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Meu Drive\Triênio 2024-2026\1. Prestação de conta mensal\2025\07 - JULHO\RELATÓRIOS\"/>
    </mc:Choice>
  </mc:AlternateContent>
  <xr:revisionPtr revIDLastSave="0" documentId="13_ncr:1_{CEE9866C-7578-4AB1-BF12-E98CC1FC3556}" xr6:coauthVersionLast="47" xr6:coauthVersionMax="47" xr10:uidLastSave="{00000000-0000-0000-0000-000000000000}"/>
  <bookViews>
    <workbookView xWindow="-108" yWindow="-108" windowWidth="23256" windowHeight="12456" tabRatio="927" firstSheet="1" activeTab="33" xr2:uid="{00000000-000D-0000-FFFF-FFFF00000000}"/>
  </bookViews>
  <sheets>
    <sheet name="Entenda a planilha" sheetId="1" state="hidden" r:id="rId1"/>
    <sheet name="Caixa" sheetId="2" r:id="rId2"/>
    <sheet name="Distrib. Valores" sheetId="3" r:id="rId3"/>
    <sheet name="Dinheiro" sheetId="4" r:id="rId4"/>
    <sheet name="Mov. entre Contas" sheetId="5" r:id="rId5"/>
    <sheet name="2023-DEZ-RECEITAS" sheetId="6" state="hidden" r:id="rId6"/>
    <sheet name="2023-DEZ-DESPESAS" sheetId="7" state="hidden" r:id="rId7"/>
    <sheet name="JAN-Receitas" sheetId="8" state="hidden" r:id="rId8"/>
    <sheet name="JAN-Despesas" sheetId="9" state="hidden" r:id="rId9"/>
    <sheet name="FEV-Receitas" sheetId="10" state="hidden" r:id="rId10"/>
    <sheet name="FEV-Despesas" sheetId="11" state="hidden" r:id="rId11"/>
    <sheet name="MAR-Receitas" sheetId="12" state="hidden" r:id="rId12"/>
    <sheet name="MAR-Despesas" sheetId="13" state="hidden" r:id="rId13"/>
    <sheet name="ABR-Receitas" sheetId="14" state="hidden" r:id="rId14"/>
    <sheet name="ABR-Despesas" sheetId="15" state="hidden" r:id="rId15"/>
    <sheet name="MAI-Receitas" sheetId="16" state="hidden" r:id="rId16"/>
    <sheet name="MAI-Despesas" sheetId="17" state="hidden" r:id="rId17"/>
    <sheet name="2024-ORÇAMENTO" sheetId="18" state="hidden" r:id="rId18"/>
    <sheet name="JUN-Receitas" sheetId="19" state="hidden" r:id="rId19"/>
    <sheet name="JUN-Despesas" sheetId="20" state="hidden" r:id="rId20"/>
    <sheet name="JUL-Receitas" sheetId="21" r:id="rId21"/>
    <sheet name="JUL-Despesas" sheetId="22" r:id="rId22"/>
    <sheet name="AGO-Receitas" sheetId="23" state="hidden" r:id="rId23"/>
    <sheet name="AGO-Despesas" sheetId="24" state="hidden" r:id="rId24"/>
    <sheet name="SET-Receitas" sheetId="25" state="hidden" r:id="rId25"/>
    <sheet name="SET-Despesas" sheetId="26" state="hidden" r:id="rId26"/>
    <sheet name="OUT-Receitas" sheetId="27" state="hidden" r:id="rId27"/>
    <sheet name="OUT-Despesas" sheetId="28" state="hidden" r:id="rId28"/>
    <sheet name="NOV-Receitas" sheetId="29" state="hidden" r:id="rId29"/>
    <sheet name="NOV-Despesas" sheetId="30" state="hidden" r:id="rId30"/>
    <sheet name="DEZ-Receitas" sheetId="31" state="hidden" r:id="rId31"/>
    <sheet name="DEZ-Despesas" sheetId="32" state="hidden" r:id="rId32"/>
    <sheet name="2024-Realizado anual" sheetId="33" state="hidden" r:id="rId33"/>
    <sheet name="Reunião de Diretoria" sheetId="34" r:id="rId34"/>
    <sheet name="SUC" sheetId="35" r:id="rId35"/>
    <sheet name="Plano de contas DG" sheetId="36" state="hidden" r:id="rId36"/>
  </sheets>
  <externalReferences>
    <externalReference r:id="rId37"/>
  </externalReferences>
  <definedNames>
    <definedName name="_xlnm._FilterDatabase" localSheetId="6" hidden="1">'2023-DEZ-DESPESAS'!$C$5:$F$243</definedName>
    <definedName name="_xlnm._FilterDatabase" localSheetId="5" hidden="1">'2023-DEZ-RECEITAS'!$C$5:$F$177</definedName>
    <definedName name="_xlnm._FilterDatabase" localSheetId="14" hidden="1">'ABR-Despesas'!$C$5:$F$320</definedName>
    <definedName name="_xlnm._FilterDatabase" localSheetId="13" hidden="1">'ABR-Receitas'!$C$5:$F$191</definedName>
    <definedName name="_xlnm._FilterDatabase" localSheetId="23" hidden="1">'AGO-Despesas'!$C$5:$F$345</definedName>
    <definedName name="_xlnm._FilterDatabase" localSheetId="22" hidden="1">'AGO-Receitas'!$C$5:$F$195</definedName>
    <definedName name="_xlnm._FilterDatabase" localSheetId="31" hidden="1">'DEZ-Despesas'!$C$5:$F$349</definedName>
    <definedName name="_xlnm._FilterDatabase" localSheetId="30" hidden="1">'DEZ-Receitas'!$C$5:$F$195</definedName>
    <definedName name="_xlnm._FilterDatabase" localSheetId="10" hidden="1">'FEV-Despesas'!$C$5:$F$288</definedName>
    <definedName name="_xlnm._FilterDatabase" localSheetId="9" hidden="1">'FEV-Receitas'!$C$5:$F$180</definedName>
    <definedName name="_xlnm._FilterDatabase" localSheetId="8" hidden="1">'JAN-Despesas'!$C$5:$F$282</definedName>
    <definedName name="_xlnm._FilterDatabase" localSheetId="7" hidden="1">'JAN-Receitas'!$C$5:$F$179</definedName>
    <definedName name="_xlnm._FilterDatabase" localSheetId="21" hidden="1">'JUL-Despesas'!$C$5:$F$94</definedName>
    <definedName name="_xlnm._FilterDatabase" localSheetId="20" hidden="1">'JUL-Receitas'!$C$5:$F$30</definedName>
    <definedName name="_xlnm._FilterDatabase" localSheetId="19" hidden="1">'JUN-Despesas'!$C$5:$F$328</definedName>
    <definedName name="_xlnm._FilterDatabase" localSheetId="18" hidden="1">'JUN-Receitas'!$C$5:$F$193</definedName>
    <definedName name="_xlnm._FilterDatabase" localSheetId="16" hidden="1">'MAI-Despesas'!$C$5:$F$334</definedName>
    <definedName name="_xlnm._FilterDatabase" localSheetId="15" hidden="1">'MAI-Receitas'!$C$5:$F$190</definedName>
    <definedName name="_xlnm._FilterDatabase" localSheetId="12" hidden="1">'MAR-Despesas'!$C$5:$F$289</definedName>
    <definedName name="_xlnm._FilterDatabase" localSheetId="11" hidden="1">'MAR-Receitas'!$C$5:$F$186</definedName>
    <definedName name="_xlnm._FilterDatabase" localSheetId="29" hidden="1">'NOV-Despesas'!$C$5:$F$349</definedName>
    <definedName name="_xlnm._FilterDatabase" localSheetId="28" hidden="1">'NOV-Receitas'!$C$5:$F$194</definedName>
    <definedName name="_xlnm._FilterDatabase" localSheetId="27" hidden="1">'OUT-Despesas'!$C$5:$F$346</definedName>
    <definedName name="_xlnm._FilterDatabase" localSheetId="26" hidden="1">'OUT-Receitas'!$C$5:$F$195</definedName>
    <definedName name="_xlnm._FilterDatabase" localSheetId="25" hidden="1">'SET-Despesas'!$C$5:$F$345</definedName>
    <definedName name="_xlnm._FilterDatabase" localSheetId="24" hidden="1">'SET-Receitas'!$C$5:$F$195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1" roundtripDataChecksum="BPtJLbqBk/L75ZTws06oFqRjdRCU4xQOvguibdf4PVc="/>
    </ext>
  </extLst>
</workbook>
</file>

<file path=xl/calcChain.xml><?xml version="1.0" encoding="utf-8"?>
<calcChain xmlns="http://schemas.openxmlformats.org/spreadsheetml/2006/main">
  <c r="A2" i="35" l="1" a="1"/>
  <c r="A2" i="35" s="1"/>
  <c r="T102" i="34"/>
  <c r="T101" i="34"/>
  <c r="T100" i="34"/>
  <c r="T99" i="34"/>
  <c r="T98" i="34"/>
  <c r="I100" i="34"/>
  <c r="I98" i="34"/>
  <c r="T92" i="34"/>
  <c r="T91" i="34"/>
  <c r="I76" i="34"/>
  <c r="I80" i="34"/>
  <c r="I79" i="34"/>
  <c r="I75" i="34"/>
  <c r="I78" i="34"/>
  <c r="I77" i="34"/>
  <c r="I74" i="34"/>
  <c r="T76" i="34"/>
  <c r="T77" i="34"/>
  <c r="T75" i="34"/>
  <c r="T74" i="34"/>
  <c r="T73" i="34"/>
  <c r="T82" i="34"/>
  <c r="T81" i="34"/>
  <c r="T80" i="34"/>
  <c r="T79" i="34"/>
  <c r="I68" i="34"/>
  <c r="T65" i="34"/>
  <c r="T64" i="34"/>
  <c r="T63" i="34"/>
  <c r="T62" i="34"/>
  <c r="T61" i="34"/>
  <c r="I71" i="34"/>
  <c r="I70" i="34"/>
  <c r="I69" i="34" s="1"/>
  <c r="I73" i="34"/>
  <c r="I67" i="34"/>
  <c r="I66" i="34"/>
  <c r="I65" i="34"/>
  <c r="I64" i="34"/>
  <c r="T71" i="34"/>
  <c r="T70" i="34"/>
  <c r="I72" i="34" l="1"/>
  <c r="T72" i="34"/>
  <c r="T60" i="34"/>
  <c r="T69" i="34"/>
  <c r="T68" i="34"/>
  <c r="T67" i="34"/>
  <c r="T66" i="34" s="1"/>
  <c r="I63" i="34"/>
  <c r="I62" i="34"/>
  <c r="I61" i="34"/>
  <c r="I60" i="34" s="1"/>
  <c r="L54" i="34"/>
  <c r="T50" i="34"/>
  <c r="I51" i="34"/>
  <c r="I52" i="34"/>
  <c r="T52" i="34"/>
  <c r="T51" i="34" s="1"/>
  <c r="T47" i="34"/>
  <c r="T46" i="34"/>
  <c r="T49" i="34"/>
  <c r="T48" i="34"/>
  <c r="T44" i="34"/>
  <c r="T43" i="34"/>
  <c r="T42" i="34"/>
  <c r="T41" i="34"/>
  <c r="I49" i="34"/>
  <c r="I48" i="34"/>
  <c r="I47" i="34"/>
  <c r="I46" i="34"/>
  <c r="I45" i="34"/>
  <c r="I44" i="34"/>
  <c r="I43" i="34"/>
  <c r="I42" i="34"/>
  <c r="I41" i="34"/>
  <c r="I91" i="34"/>
  <c r="T78" i="34"/>
  <c r="I50" i="34" l="1"/>
  <c r="L84" i="34"/>
  <c r="I93" i="34" s="1"/>
  <c r="T45" i="34"/>
  <c r="T40" i="34"/>
  <c r="I40" i="34"/>
  <c r="I92" i="34" l="1"/>
  <c r="I94" i="34" s="1"/>
  <c r="I95" i="34" s="1"/>
  <c r="C145" i="36"/>
  <c r="C144" i="36"/>
  <c r="C143" i="36"/>
  <c r="C142" i="36"/>
  <c r="C140" i="36"/>
  <c r="C139" i="36"/>
  <c r="C138" i="36"/>
  <c r="C137" i="36"/>
  <c r="C136" i="36"/>
  <c r="C135" i="36"/>
  <c r="C134" i="36"/>
  <c r="C132" i="36"/>
  <c r="C131" i="36"/>
  <c r="C130" i="36"/>
  <c r="C129" i="36"/>
  <c r="C128" i="36"/>
  <c r="C127" i="36"/>
  <c r="C125" i="36"/>
  <c r="C124" i="36"/>
  <c r="C123" i="36"/>
  <c r="C122" i="36"/>
  <c r="C121" i="36"/>
  <c r="C120" i="36"/>
  <c r="C119" i="36"/>
  <c r="C117" i="36"/>
  <c r="C116" i="36"/>
  <c r="C115" i="36"/>
  <c r="C114" i="36"/>
  <c r="C113" i="36"/>
  <c r="C112" i="36"/>
  <c r="C111" i="36"/>
  <c r="C110" i="36"/>
  <c r="C109" i="36"/>
  <c r="C108" i="36"/>
  <c r="C107" i="36"/>
  <c r="C106" i="36"/>
  <c r="C105" i="36"/>
  <c r="C104" i="36"/>
  <c r="C103" i="36"/>
  <c r="C102" i="36"/>
  <c r="C101" i="36"/>
  <c r="C100" i="36"/>
  <c r="C99" i="36"/>
  <c r="C98" i="36"/>
  <c r="C97" i="36"/>
  <c r="C96" i="36"/>
  <c r="C95" i="36"/>
  <c r="C94" i="36"/>
  <c r="C93" i="36"/>
  <c r="C92" i="36"/>
  <c r="C91" i="36"/>
  <c r="C90" i="36"/>
  <c r="C89" i="36"/>
  <c r="C88" i="36"/>
  <c r="C87" i="36"/>
  <c r="C86" i="36"/>
  <c r="C85" i="36"/>
  <c r="C84" i="36"/>
  <c r="C83" i="36"/>
  <c r="C82" i="36"/>
  <c r="C81" i="36"/>
  <c r="C80" i="36"/>
  <c r="C79" i="36"/>
  <c r="C77" i="36"/>
  <c r="C76" i="36"/>
  <c r="C75" i="36"/>
  <c r="C74" i="36"/>
  <c r="C73" i="36"/>
  <c r="C72" i="36"/>
  <c r="C71" i="36"/>
  <c r="C70" i="36"/>
  <c r="C69" i="36"/>
  <c r="C68" i="36"/>
  <c r="C67" i="36"/>
  <c r="C66" i="36"/>
  <c r="C64" i="36"/>
  <c r="C63" i="36"/>
  <c r="C62" i="36"/>
  <c r="C61" i="36"/>
  <c r="C60" i="36"/>
  <c r="C59" i="36"/>
  <c r="C58" i="36"/>
  <c r="C57" i="36"/>
  <c r="C56" i="36"/>
  <c r="C55" i="36"/>
  <c r="C54" i="36"/>
  <c r="C53" i="36"/>
  <c r="C52" i="36"/>
  <c r="C51" i="36"/>
  <c r="C50" i="36"/>
  <c r="C49" i="36"/>
  <c r="C48" i="36"/>
  <c r="C47" i="36"/>
  <c r="C46" i="36"/>
  <c r="C45" i="36"/>
  <c r="C44" i="36"/>
  <c r="C43" i="36"/>
  <c r="C38" i="36"/>
  <c r="C36" i="36"/>
  <c r="C35" i="36"/>
  <c r="C33" i="36"/>
  <c r="C32" i="36"/>
  <c r="C31" i="36"/>
  <c r="C29" i="36"/>
  <c r="C28" i="36"/>
  <c r="C27" i="36"/>
  <c r="C26" i="36"/>
  <c r="C25" i="36"/>
  <c r="C24" i="36"/>
  <c r="C22" i="36"/>
  <c r="C21" i="36"/>
  <c r="C20" i="36"/>
  <c r="C19" i="36"/>
  <c r="C18" i="36"/>
  <c r="C17" i="36"/>
  <c r="C16" i="36"/>
  <c r="C15" i="36"/>
  <c r="C13" i="36"/>
  <c r="C12" i="36"/>
  <c r="C11" i="36"/>
  <c r="C10" i="36"/>
  <c r="C9" i="36"/>
  <c r="C8" i="36"/>
  <c r="C7" i="36"/>
  <c r="C6" i="36"/>
  <c r="C5" i="36"/>
  <c r="O121" i="33"/>
  <c r="N121" i="33"/>
  <c r="M121" i="33"/>
  <c r="L121" i="33"/>
  <c r="K121" i="33"/>
  <c r="J121" i="33"/>
  <c r="N120" i="33"/>
  <c r="M120" i="33"/>
  <c r="L120" i="33"/>
  <c r="K120" i="33"/>
  <c r="J120" i="33"/>
  <c r="I120" i="33"/>
  <c r="G120" i="33"/>
  <c r="F120" i="33"/>
  <c r="E120" i="33"/>
  <c r="E116" i="33" s="1"/>
  <c r="D120" i="33"/>
  <c r="N119" i="33"/>
  <c r="M119" i="33"/>
  <c r="L119" i="33"/>
  <c r="K119" i="33"/>
  <c r="J119" i="33"/>
  <c r="I119" i="33"/>
  <c r="G119" i="33"/>
  <c r="F119" i="33"/>
  <c r="E119" i="33"/>
  <c r="D119" i="33"/>
  <c r="N118" i="33"/>
  <c r="M118" i="33"/>
  <c r="L118" i="33"/>
  <c r="K118" i="33"/>
  <c r="J118" i="33"/>
  <c r="I118" i="33"/>
  <c r="G118" i="33"/>
  <c r="F118" i="33"/>
  <c r="E118" i="33"/>
  <c r="D118" i="33"/>
  <c r="N117" i="33"/>
  <c r="M117" i="33"/>
  <c r="L117" i="33"/>
  <c r="K117" i="33"/>
  <c r="J117" i="33"/>
  <c r="J116" i="33" s="1"/>
  <c r="I117" i="33"/>
  <c r="G117" i="33"/>
  <c r="F117" i="33"/>
  <c r="E117" i="33"/>
  <c r="D117" i="33"/>
  <c r="O116" i="33"/>
  <c r="N115" i="33"/>
  <c r="M115" i="33"/>
  <c r="L115" i="33"/>
  <c r="K115" i="33"/>
  <c r="J115" i="33"/>
  <c r="I115" i="33"/>
  <c r="G115" i="33"/>
  <c r="F115" i="33"/>
  <c r="E115" i="33"/>
  <c r="D115" i="33"/>
  <c r="N114" i="33"/>
  <c r="M114" i="33"/>
  <c r="L114" i="33"/>
  <c r="K114" i="33"/>
  <c r="J114" i="33"/>
  <c r="I114" i="33"/>
  <c r="G114" i="33"/>
  <c r="F114" i="33"/>
  <c r="E114" i="33"/>
  <c r="D114" i="33"/>
  <c r="N113" i="33"/>
  <c r="M113" i="33"/>
  <c r="L113" i="33"/>
  <c r="K113" i="33"/>
  <c r="J113" i="33"/>
  <c r="I113" i="33"/>
  <c r="G113" i="33"/>
  <c r="F113" i="33"/>
  <c r="E113" i="33"/>
  <c r="D113" i="33"/>
  <c r="N112" i="33"/>
  <c r="M112" i="33"/>
  <c r="L112" i="33"/>
  <c r="K112" i="33"/>
  <c r="J112" i="33"/>
  <c r="I112" i="33"/>
  <c r="G112" i="33"/>
  <c r="F112" i="33"/>
  <c r="E112" i="33"/>
  <c r="D112" i="33"/>
  <c r="N111" i="33"/>
  <c r="M111" i="33"/>
  <c r="L111" i="33"/>
  <c r="K111" i="33"/>
  <c r="J111" i="33"/>
  <c r="I111" i="33"/>
  <c r="G111" i="33"/>
  <c r="F111" i="33"/>
  <c r="E111" i="33"/>
  <c r="D111" i="33"/>
  <c r="N110" i="33"/>
  <c r="M110" i="33"/>
  <c r="L110" i="33"/>
  <c r="K110" i="33"/>
  <c r="J110" i="33"/>
  <c r="I110" i="33"/>
  <c r="G110" i="33"/>
  <c r="F110" i="33"/>
  <c r="E110" i="33"/>
  <c r="D110" i="33"/>
  <c r="N109" i="33"/>
  <c r="M109" i="33"/>
  <c r="L109" i="33"/>
  <c r="K109" i="33"/>
  <c r="J109" i="33"/>
  <c r="I109" i="33"/>
  <c r="G109" i="33"/>
  <c r="F109" i="33"/>
  <c r="E109" i="33"/>
  <c r="D109" i="33"/>
  <c r="N108" i="33"/>
  <c r="M108" i="33"/>
  <c r="L108" i="33"/>
  <c r="K108" i="33"/>
  <c r="J108" i="33"/>
  <c r="I108" i="33"/>
  <c r="G108" i="33"/>
  <c r="F108" i="33"/>
  <c r="E108" i="33"/>
  <c r="D108" i="33"/>
  <c r="N107" i="33"/>
  <c r="M107" i="33"/>
  <c r="L107" i="33"/>
  <c r="K107" i="33"/>
  <c r="J107" i="33"/>
  <c r="I107" i="33"/>
  <c r="G107" i="33"/>
  <c r="F107" i="33"/>
  <c r="E107" i="33"/>
  <c r="D107" i="33"/>
  <c r="N106" i="33"/>
  <c r="M106" i="33"/>
  <c r="L106" i="33"/>
  <c r="K106" i="33"/>
  <c r="J106" i="33"/>
  <c r="I106" i="33"/>
  <c r="G106" i="33"/>
  <c r="F106" i="33"/>
  <c r="E106" i="33"/>
  <c r="D106" i="33"/>
  <c r="N105" i="33"/>
  <c r="M105" i="33"/>
  <c r="M104" i="33" s="1"/>
  <c r="L105" i="33"/>
  <c r="K105" i="33"/>
  <c r="J105" i="33"/>
  <c r="I105" i="33"/>
  <c r="G105" i="33"/>
  <c r="F105" i="33"/>
  <c r="E105" i="33"/>
  <c r="D105" i="33"/>
  <c r="O104" i="33"/>
  <c r="I104" i="33"/>
  <c r="N103" i="33"/>
  <c r="M103" i="33"/>
  <c r="L103" i="33"/>
  <c r="K103" i="33"/>
  <c r="J103" i="33"/>
  <c r="I103" i="33"/>
  <c r="G103" i="33"/>
  <c r="F103" i="33"/>
  <c r="E103" i="33"/>
  <c r="D103" i="33"/>
  <c r="N102" i="33"/>
  <c r="M102" i="33"/>
  <c r="L102" i="33"/>
  <c r="K102" i="33"/>
  <c r="J102" i="33"/>
  <c r="I102" i="33"/>
  <c r="G102" i="33"/>
  <c r="F102" i="33"/>
  <c r="E102" i="33"/>
  <c r="D102" i="33"/>
  <c r="N101" i="33"/>
  <c r="M101" i="33"/>
  <c r="M100" i="33" s="1"/>
  <c r="L101" i="33"/>
  <c r="K101" i="33"/>
  <c r="K100" i="33" s="1"/>
  <c r="J101" i="33"/>
  <c r="I101" i="33"/>
  <c r="G101" i="33"/>
  <c r="F101" i="33"/>
  <c r="E101" i="33"/>
  <c r="D101" i="33"/>
  <c r="O100" i="33"/>
  <c r="N99" i="33"/>
  <c r="M99" i="33"/>
  <c r="J99" i="33"/>
  <c r="I99" i="33"/>
  <c r="G99" i="33"/>
  <c r="F99" i="33"/>
  <c r="E99" i="33"/>
  <c r="N98" i="33"/>
  <c r="M98" i="33"/>
  <c r="J98" i="33"/>
  <c r="I98" i="33"/>
  <c r="H98" i="33"/>
  <c r="G98" i="33"/>
  <c r="F98" i="33"/>
  <c r="E98" i="33"/>
  <c r="N97" i="33"/>
  <c r="M97" i="33"/>
  <c r="J97" i="33"/>
  <c r="I97" i="33"/>
  <c r="G97" i="33"/>
  <c r="F97" i="33"/>
  <c r="E97" i="33"/>
  <c r="O96" i="33"/>
  <c r="L96" i="33"/>
  <c r="K96" i="33"/>
  <c r="D96" i="33"/>
  <c r="N95" i="33"/>
  <c r="M95" i="33"/>
  <c r="L95" i="33"/>
  <c r="K95" i="33"/>
  <c r="J95" i="33"/>
  <c r="I95" i="33"/>
  <c r="F95" i="33"/>
  <c r="E95" i="33"/>
  <c r="D95" i="33"/>
  <c r="F94" i="33"/>
  <c r="D94" i="33"/>
  <c r="N93" i="33"/>
  <c r="M93" i="33"/>
  <c r="L93" i="33"/>
  <c r="K93" i="33"/>
  <c r="J93" i="33"/>
  <c r="I93" i="33"/>
  <c r="H93" i="33"/>
  <c r="G93" i="33"/>
  <c r="F93" i="33"/>
  <c r="E93" i="33"/>
  <c r="D93" i="33"/>
  <c r="N92" i="33"/>
  <c r="M92" i="33"/>
  <c r="L92" i="33"/>
  <c r="K92" i="33"/>
  <c r="J92" i="33"/>
  <c r="I92" i="33"/>
  <c r="H92" i="33"/>
  <c r="G92" i="33"/>
  <c r="F92" i="33"/>
  <c r="E92" i="33"/>
  <c r="D92" i="33"/>
  <c r="N91" i="33"/>
  <c r="M91" i="33"/>
  <c r="L91" i="33"/>
  <c r="K91" i="33"/>
  <c r="J91" i="33"/>
  <c r="I91" i="33"/>
  <c r="H91" i="33"/>
  <c r="G91" i="33"/>
  <c r="F91" i="33"/>
  <c r="E91" i="33"/>
  <c r="D91" i="33"/>
  <c r="N90" i="33"/>
  <c r="M90" i="33"/>
  <c r="L90" i="33"/>
  <c r="K90" i="33"/>
  <c r="J90" i="33"/>
  <c r="I90" i="33"/>
  <c r="H90" i="33"/>
  <c r="G90" i="33"/>
  <c r="F90" i="33"/>
  <c r="E90" i="33"/>
  <c r="D90" i="33"/>
  <c r="O89" i="33"/>
  <c r="H89" i="33"/>
  <c r="H88" i="33"/>
  <c r="G88" i="33"/>
  <c r="F88" i="33"/>
  <c r="E88" i="33"/>
  <c r="D88" i="33"/>
  <c r="C88" i="33" s="1"/>
  <c r="H87" i="33"/>
  <c r="G87" i="33"/>
  <c r="F87" i="33"/>
  <c r="E87" i="33"/>
  <c r="D87" i="33"/>
  <c r="H86" i="33"/>
  <c r="G86" i="33"/>
  <c r="F86" i="33"/>
  <c r="E86" i="33"/>
  <c r="D86" i="33"/>
  <c r="C86" i="33" s="1"/>
  <c r="H85" i="33"/>
  <c r="G85" i="33"/>
  <c r="F85" i="33"/>
  <c r="E85" i="33"/>
  <c r="C85" i="33" s="1"/>
  <c r="D85" i="33"/>
  <c r="H84" i="33"/>
  <c r="G84" i="33"/>
  <c r="F84" i="33"/>
  <c r="E84" i="33"/>
  <c r="D84" i="33"/>
  <c r="C84" i="33" s="1"/>
  <c r="H83" i="33"/>
  <c r="G83" i="33"/>
  <c r="F83" i="33"/>
  <c r="E83" i="33"/>
  <c r="C83" i="33" s="1"/>
  <c r="D83" i="33"/>
  <c r="H82" i="33"/>
  <c r="G82" i="33"/>
  <c r="F82" i="33"/>
  <c r="E82" i="33"/>
  <c r="D82" i="33"/>
  <c r="C82" i="33" s="1"/>
  <c r="H81" i="33"/>
  <c r="G81" i="33"/>
  <c r="F81" i="33"/>
  <c r="E81" i="33"/>
  <c r="D81" i="33"/>
  <c r="H80" i="33"/>
  <c r="G80" i="33"/>
  <c r="F80" i="33"/>
  <c r="E80" i="33"/>
  <c r="D80" i="33"/>
  <c r="C80" i="33" s="1"/>
  <c r="C79" i="33"/>
  <c r="H78" i="33"/>
  <c r="G78" i="33"/>
  <c r="F78" i="33"/>
  <c r="E78" i="33"/>
  <c r="D78" i="33"/>
  <c r="H77" i="33"/>
  <c r="G77" i="33"/>
  <c r="F77" i="33"/>
  <c r="E77" i="33"/>
  <c r="C77" i="33" s="1"/>
  <c r="D77" i="33"/>
  <c r="H76" i="33"/>
  <c r="G76" i="33"/>
  <c r="C76" i="33" s="1"/>
  <c r="F76" i="33"/>
  <c r="E76" i="33"/>
  <c r="D76" i="33"/>
  <c r="H75" i="33"/>
  <c r="G75" i="33"/>
  <c r="F75" i="33"/>
  <c r="D75" i="33"/>
  <c r="H74" i="33"/>
  <c r="G74" i="33"/>
  <c r="C74" i="33" s="1"/>
  <c r="F74" i="33"/>
  <c r="E74" i="33"/>
  <c r="D74" i="33"/>
  <c r="H73" i="33"/>
  <c r="G73" i="33"/>
  <c r="F73" i="33"/>
  <c r="E73" i="33"/>
  <c r="C73" i="33" s="1"/>
  <c r="D73" i="33"/>
  <c r="H72" i="33"/>
  <c r="G72" i="33"/>
  <c r="F72" i="33"/>
  <c r="E72" i="33"/>
  <c r="D72" i="33"/>
  <c r="N71" i="33"/>
  <c r="M71" i="33"/>
  <c r="M65" i="33" s="1"/>
  <c r="L71" i="33"/>
  <c r="L65" i="33" s="1"/>
  <c r="K71" i="33"/>
  <c r="K65" i="33" s="1"/>
  <c r="J71" i="33"/>
  <c r="J65" i="33" s="1"/>
  <c r="I71" i="33"/>
  <c r="I65" i="33" s="1"/>
  <c r="H71" i="33"/>
  <c r="G71" i="33"/>
  <c r="F71" i="33"/>
  <c r="E71" i="33"/>
  <c r="D71" i="33"/>
  <c r="H70" i="33"/>
  <c r="G70" i="33"/>
  <c r="F70" i="33"/>
  <c r="E70" i="33"/>
  <c r="C70" i="33" s="1"/>
  <c r="D70" i="33"/>
  <c r="H69" i="33"/>
  <c r="G69" i="33"/>
  <c r="F69" i="33"/>
  <c r="E69" i="33"/>
  <c r="D69" i="33"/>
  <c r="H68" i="33"/>
  <c r="G68" i="33"/>
  <c r="F68" i="33"/>
  <c r="E68" i="33"/>
  <c r="C68" i="33" s="1"/>
  <c r="D68" i="33"/>
  <c r="H67" i="33"/>
  <c r="G67" i="33"/>
  <c r="F67" i="33"/>
  <c r="E67" i="33"/>
  <c r="D67" i="33"/>
  <c r="H66" i="33"/>
  <c r="H65" i="33" s="1"/>
  <c r="F66" i="33"/>
  <c r="E66" i="33"/>
  <c r="D66" i="33"/>
  <c r="O65" i="33"/>
  <c r="N65" i="33"/>
  <c r="F65" i="33"/>
  <c r="H64" i="33"/>
  <c r="G64" i="33"/>
  <c r="F64" i="33"/>
  <c r="E64" i="33"/>
  <c r="D64" i="33"/>
  <c r="C64" i="33" s="1"/>
  <c r="H63" i="33"/>
  <c r="G63" i="33"/>
  <c r="F63" i="33"/>
  <c r="E63" i="33"/>
  <c r="D63" i="33"/>
  <c r="C63" i="33"/>
  <c r="E62" i="33"/>
  <c r="D62" i="33"/>
  <c r="O61" i="33"/>
  <c r="N61" i="33"/>
  <c r="M61" i="33"/>
  <c r="L61" i="33"/>
  <c r="K61" i="33"/>
  <c r="J61" i="33"/>
  <c r="I61" i="33"/>
  <c r="E61" i="33"/>
  <c r="H60" i="33"/>
  <c r="D60" i="33"/>
  <c r="C60" i="33" s="1"/>
  <c r="H59" i="33"/>
  <c r="D59" i="33"/>
  <c r="C59" i="33" s="1"/>
  <c r="H58" i="33"/>
  <c r="D58" i="33"/>
  <c r="H57" i="33"/>
  <c r="G57" i="33"/>
  <c r="E57" i="33"/>
  <c r="H56" i="33"/>
  <c r="G56" i="33"/>
  <c r="F56" i="33"/>
  <c r="E56" i="33"/>
  <c r="D56" i="33"/>
  <c r="N55" i="33"/>
  <c r="N53" i="33" s="1"/>
  <c r="M55" i="33"/>
  <c r="L55" i="33"/>
  <c r="K55" i="33"/>
  <c r="J55" i="33"/>
  <c r="I55" i="33"/>
  <c r="H55" i="33"/>
  <c r="G55" i="33"/>
  <c r="F55" i="33"/>
  <c r="E55" i="33"/>
  <c r="D55" i="33"/>
  <c r="N54" i="33"/>
  <c r="M54" i="33"/>
  <c r="L54" i="33"/>
  <c r="K54" i="33"/>
  <c r="J54" i="33"/>
  <c r="I54" i="33"/>
  <c r="H54" i="33"/>
  <c r="G54" i="33"/>
  <c r="F54" i="33"/>
  <c r="E54" i="33"/>
  <c r="D54" i="33"/>
  <c r="O53" i="33"/>
  <c r="H53" i="33"/>
  <c r="N52" i="33"/>
  <c r="M52" i="33"/>
  <c r="L52" i="33"/>
  <c r="K52" i="33"/>
  <c r="J52" i="33"/>
  <c r="I52" i="33"/>
  <c r="H52" i="33"/>
  <c r="G52" i="33"/>
  <c r="F52" i="33"/>
  <c r="E52" i="33"/>
  <c r="D52" i="33"/>
  <c r="N51" i="33"/>
  <c r="M51" i="33"/>
  <c r="L51" i="33"/>
  <c r="K51" i="33"/>
  <c r="J51" i="33"/>
  <c r="I51" i="33"/>
  <c r="H51" i="33"/>
  <c r="G51" i="33"/>
  <c r="F51" i="33"/>
  <c r="E51" i="33"/>
  <c r="D51" i="33"/>
  <c r="H50" i="33"/>
  <c r="G50" i="33"/>
  <c r="F50" i="33"/>
  <c r="E50" i="33"/>
  <c r="D50" i="33"/>
  <c r="H49" i="33"/>
  <c r="G49" i="33"/>
  <c r="F49" i="33"/>
  <c r="E49" i="33"/>
  <c r="D49" i="33"/>
  <c r="H48" i="33"/>
  <c r="G48" i="33"/>
  <c r="F48" i="33"/>
  <c r="E48" i="33"/>
  <c r="D48" i="33"/>
  <c r="O47" i="33"/>
  <c r="N42" i="33"/>
  <c r="M42" i="33"/>
  <c r="L42" i="33"/>
  <c r="K42" i="33"/>
  <c r="J42" i="33"/>
  <c r="I42" i="33"/>
  <c r="G42" i="33"/>
  <c r="F42" i="33"/>
  <c r="E42" i="33"/>
  <c r="D42" i="33"/>
  <c r="N41" i="33"/>
  <c r="M41" i="33"/>
  <c r="L41" i="33"/>
  <c r="K41" i="33"/>
  <c r="J41" i="33"/>
  <c r="I41" i="33"/>
  <c r="G41" i="33"/>
  <c r="F41" i="33"/>
  <c r="E41" i="33"/>
  <c r="D41" i="33"/>
  <c r="N40" i="33"/>
  <c r="M40" i="33"/>
  <c r="L40" i="33"/>
  <c r="K40" i="33"/>
  <c r="J40" i="33"/>
  <c r="I40" i="33"/>
  <c r="G40" i="33"/>
  <c r="F40" i="33"/>
  <c r="E40" i="33"/>
  <c r="D40" i="33"/>
  <c r="N39" i="33"/>
  <c r="M39" i="33"/>
  <c r="L39" i="33"/>
  <c r="K39" i="33"/>
  <c r="J39" i="33"/>
  <c r="I39" i="33"/>
  <c r="G39" i="33"/>
  <c r="F39" i="33"/>
  <c r="E39" i="33"/>
  <c r="D39" i="33"/>
  <c r="N38" i="33"/>
  <c r="M38" i="33"/>
  <c r="L38" i="33"/>
  <c r="K38" i="33"/>
  <c r="J38" i="33"/>
  <c r="I38" i="33"/>
  <c r="G38" i="33"/>
  <c r="F38" i="33"/>
  <c r="E38" i="33"/>
  <c r="D38" i="33"/>
  <c r="N37" i="33"/>
  <c r="M37" i="33"/>
  <c r="L37" i="33"/>
  <c r="K37" i="33"/>
  <c r="J37" i="33"/>
  <c r="I37" i="33"/>
  <c r="G37" i="33"/>
  <c r="F37" i="33"/>
  <c r="E37" i="33"/>
  <c r="D37" i="33"/>
  <c r="O36" i="33"/>
  <c r="N35" i="33"/>
  <c r="M35" i="33"/>
  <c r="L35" i="33"/>
  <c r="K35" i="33"/>
  <c r="J35" i="33"/>
  <c r="I35" i="33"/>
  <c r="G35" i="33"/>
  <c r="F35" i="33"/>
  <c r="E35" i="33"/>
  <c r="D35" i="33"/>
  <c r="N34" i="33"/>
  <c r="M34" i="33"/>
  <c r="L34" i="33"/>
  <c r="K34" i="33"/>
  <c r="J34" i="33"/>
  <c r="I34" i="33"/>
  <c r="G34" i="33"/>
  <c r="F34" i="33"/>
  <c r="E34" i="33"/>
  <c r="D34" i="33"/>
  <c r="N33" i="33"/>
  <c r="M33" i="33"/>
  <c r="L33" i="33"/>
  <c r="K33" i="33"/>
  <c r="J33" i="33"/>
  <c r="I33" i="33"/>
  <c r="G33" i="33"/>
  <c r="F33" i="33"/>
  <c r="E33" i="33"/>
  <c r="D33" i="33"/>
  <c r="N32" i="33"/>
  <c r="M32" i="33"/>
  <c r="L32" i="33"/>
  <c r="K32" i="33"/>
  <c r="J32" i="33"/>
  <c r="I32" i="33"/>
  <c r="G32" i="33"/>
  <c r="F32" i="33"/>
  <c r="E32" i="33"/>
  <c r="D32" i="33"/>
  <c r="N31" i="33"/>
  <c r="M31" i="33"/>
  <c r="L31" i="33"/>
  <c r="K31" i="33"/>
  <c r="J31" i="33"/>
  <c r="I31" i="33"/>
  <c r="G31" i="33"/>
  <c r="F31" i="33"/>
  <c r="E31" i="33"/>
  <c r="D31" i="33"/>
  <c r="O30" i="33"/>
  <c r="N29" i="33"/>
  <c r="M29" i="33"/>
  <c r="L29" i="33"/>
  <c r="K29" i="33"/>
  <c r="J29" i="33"/>
  <c r="I29" i="33"/>
  <c r="G29" i="33"/>
  <c r="F29" i="33"/>
  <c r="E29" i="33"/>
  <c r="D29" i="33"/>
  <c r="N28" i="33"/>
  <c r="M28" i="33"/>
  <c r="L28" i="33"/>
  <c r="K28" i="33"/>
  <c r="J28" i="33"/>
  <c r="I28" i="33"/>
  <c r="G28" i="33"/>
  <c r="F28" i="33"/>
  <c r="E28" i="33"/>
  <c r="D28" i="33"/>
  <c r="N27" i="33"/>
  <c r="M27" i="33"/>
  <c r="L27" i="33"/>
  <c r="K27" i="33"/>
  <c r="J27" i="33"/>
  <c r="I27" i="33"/>
  <c r="G27" i="33"/>
  <c r="F27" i="33"/>
  <c r="E27" i="33"/>
  <c r="D27" i="33"/>
  <c r="N26" i="33"/>
  <c r="M26" i="33"/>
  <c r="L26" i="33"/>
  <c r="K26" i="33"/>
  <c r="J26" i="33"/>
  <c r="I26" i="33"/>
  <c r="G26" i="33"/>
  <c r="F26" i="33"/>
  <c r="E26" i="33"/>
  <c r="D26" i="33"/>
  <c r="N25" i="33"/>
  <c r="M25" i="33"/>
  <c r="L25" i="33"/>
  <c r="K25" i="33"/>
  <c r="J25" i="33"/>
  <c r="I25" i="33"/>
  <c r="G25" i="33"/>
  <c r="F25" i="33"/>
  <c r="E25" i="33"/>
  <c r="D25" i="33"/>
  <c r="N24" i="33"/>
  <c r="M24" i="33"/>
  <c r="L24" i="33"/>
  <c r="K24" i="33"/>
  <c r="J24" i="33"/>
  <c r="I24" i="33"/>
  <c r="G24" i="33"/>
  <c r="G23" i="33" s="1"/>
  <c r="F24" i="33"/>
  <c r="E24" i="33"/>
  <c r="D24" i="33"/>
  <c r="O23" i="33"/>
  <c r="O22" i="33"/>
  <c r="D16" i="33"/>
  <c r="F327" i="32"/>
  <c r="E327" i="32"/>
  <c r="F317" i="32"/>
  <c r="E317" i="32"/>
  <c r="F295" i="32"/>
  <c r="E295" i="32"/>
  <c r="F285" i="32"/>
  <c r="E285" i="32"/>
  <c r="F275" i="32"/>
  <c r="E275" i="32"/>
  <c r="F265" i="32"/>
  <c r="E265" i="32"/>
  <c r="E264" i="32"/>
  <c r="F254" i="32"/>
  <c r="E254" i="32"/>
  <c r="F244" i="32"/>
  <c r="E244" i="32"/>
  <c r="F234" i="32"/>
  <c r="E234" i="32"/>
  <c r="F224" i="32"/>
  <c r="E224" i="32"/>
  <c r="F214" i="32"/>
  <c r="E214" i="32"/>
  <c r="F185" i="32"/>
  <c r="E185" i="32"/>
  <c r="F179" i="32"/>
  <c r="E179" i="32"/>
  <c r="F173" i="32"/>
  <c r="F154" i="32" s="1"/>
  <c r="E173" i="32"/>
  <c r="F167" i="32"/>
  <c r="E167" i="32"/>
  <c r="F161" i="32"/>
  <c r="E161" i="32"/>
  <c r="F155" i="32"/>
  <c r="E155" i="32"/>
  <c r="E154" i="32"/>
  <c r="F144" i="32"/>
  <c r="E144" i="32"/>
  <c r="F125" i="32"/>
  <c r="F116" i="32" s="1"/>
  <c r="E125" i="32"/>
  <c r="F117" i="32"/>
  <c r="E117" i="32"/>
  <c r="E116" i="32"/>
  <c r="F112" i="32"/>
  <c r="E112" i="32"/>
  <c r="F107" i="32"/>
  <c r="E107" i="32"/>
  <c r="E90" i="32" s="1"/>
  <c r="E4" i="32" s="1"/>
  <c r="F91" i="32"/>
  <c r="E91" i="32"/>
  <c r="F90" i="32"/>
  <c r="F63" i="32"/>
  <c r="E63" i="32"/>
  <c r="F38" i="32"/>
  <c r="E38" i="32"/>
  <c r="F34" i="32"/>
  <c r="E34" i="32"/>
  <c r="F16" i="32"/>
  <c r="E16" i="32"/>
  <c r="F6" i="32"/>
  <c r="E6" i="32"/>
  <c r="F188" i="31"/>
  <c r="E188" i="31"/>
  <c r="F184" i="31"/>
  <c r="E184" i="31"/>
  <c r="F169" i="31"/>
  <c r="E169" i="31"/>
  <c r="F165" i="31"/>
  <c r="E165" i="31"/>
  <c r="F160" i="31"/>
  <c r="E160" i="31"/>
  <c r="F155" i="31"/>
  <c r="F154" i="31" s="1"/>
  <c r="E155" i="31"/>
  <c r="E154" i="31" s="1"/>
  <c r="F146" i="31"/>
  <c r="E146" i="31"/>
  <c r="F139" i="31"/>
  <c r="E139" i="31"/>
  <c r="F134" i="31"/>
  <c r="E134" i="31"/>
  <c r="F129" i="31"/>
  <c r="E129" i="31"/>
  <c r="F126" i="31"/>
  <c r="F125" i="31" s="1"/>
  <c r="F4" i="31" s="1"/>
  <c r="E126" i="31"/>
  <c r="E125" i="31" s="1"/>
  <c r="X124" i="31"/>
  <c r="W124" i="31"/>
  <c r="L124" i="31"/>
  <c r="W123" i="31"/>
  <c r="X123" i="31" s="1"/>
  <c r="L123" i="31"/>
  <c r="X122" i="31"/>
  <c r="W122" i="31"/>
  <c r="L122" i="31"/>
  <c r="W121" i="31"/>
  <c r="X121" i="31" s="1"/>
  <c r="L121" i="31"/>
  <c r="X120" i="31"/>
  <c r="W120" i="31"/>
  <c r="L120" i="31"/>
  <c r="W119" i="31"/>
  <c r="X119" i="31" s="1"/>
  <c r="L119" i="31"/>
  <c r="X118" i="31"/>
  <c r="W118" i="31"/>
  <c r="L118" i="31"/>
  <c r="W117" i="31"/>
  <c r="X117" i="31" s="1"/>
  <c r="L117" i="31"/>
  <c r="X116" i="31"/>
  <c r="W116" i="31"/>
  <c r="L116" i="31"/>
  <c r="W115" i="31"/>
  <c r="X115" i="31" s="1"/>
  <c r="L115" i="31"/>
  <c r="X114" i="31"/>
  <c r="W114" i="31"/>
  <c r="L114" i="31"/>
  <c r="W113" i="31"/>
  <c r="X113" i="31" s="1"/>
  <c r="L113" i="31"/>
  <c r="X112" i="31"/>
  <c r="W112" i="31"/>
  <c r="L112" i="31"/>
  <c r="W111" i="31"/>
  <c r="X111" i="31" s="1"/>
  <c r="L111" i="31"/>
  <c r="X110" i="31"/>
  <c r="W110" i="31"/>
  <c r="L110" i="31"/>
  <c r="W109" i="31"/>
  <c r="X109" i="31" s="1"/>
  <c r="L109" i="31"/>
  <c r="X108" i="31"/>
  <c r="W108" i="31"/>
  <c r="L108" i="31"/>
  <c r="W107" i="31"/>
  <c r="X107" i="31" s="1"/>
  <c r="L107" i="31"/>
  <c r="X106" i="31"/>
  <c r="W106" i="31"/>
  <c r="L106" i="31"/>
  <c r="W105" i="31"/>
  <c r="X105" i="31" s="1"/>
  <c r="L105" i="31"/>
  <c r="X104" i="31"/>
  <c r="W104" i="31"/>
  <c r="L104" i="31"/>
  <c r="W103" i="31"/>
  <c r="X103" i="31" s="1"/>
  <c r="L103" i="31"/>
  <c r="X102" i="31"/>
  <c r="W102" i="31"/>
  <c r="L102" i="31"/>
  <c r="W101" i="31"/>
  <c r="X101" i="31" s="1"/>
  <c r="L101" i="31"/>
  <c r="X100" i="31"/>
  <c r="W100" i="31"/>
  <c r="L100" i="31"/>
  <c r="W99" i="31"/>
  <c r="X99" i="31" s="1"/>
  <c r="L99" i="31"/>
  <c r="X98" i="31"/>
  <c r="W98" i="31"/>
  <c r="L98" i="31"/>
  <c r="W97" i="31"/>
  <c r="X97" i="31" s="1"/>
  <c r="L97" i="31"/>
  <c r="X96" i="31"/>
  <c r="W96" i="31"/>
  <c r="L96" i="31"/>
  <c r="W95" i="31"/>
  <c r="X95" i="31" s="1"/>
  <c r="L95" i="31"/>
  <c r="X94" i="31"/>
  <c r="W94" i="31"/>
  <c r="L94" i="31"/>
  <c r="W93" i="31"/>
  <c r="X93" i="31" s="1"/>
  <c r="L93" i="31"/>
  <c r="X92" i="31"/>
  <c r="W92" i="31"/>
  <c r="L92" i="31"/>
  <c r="W91" i="31"/>
  <c r="X91" i="31" s="1"/>
  <c r="L91" i="31"/>
  <c r="X90" i="31"/>
  <c r="W90" i="31"/>
  <c r="L90" i="31"/>
  <c r="W89" i="31"/>
  <c r="X89" i="31" s="1"/>
  <c r="L89" i="31"/>
  <c r="X88" i="31"/>
  <c r="W88" i="31"/>
  <c r="L88" i="31"/>
  <c r="W87" i="31"/>
  <c r="X87" i="31" s="1"/>
  <c r="L87" i="31"/>
  <c r="X86" i="31"/>
  <c r="W86" i="31"/>
  <c r="L86" i="31"/>
  <c r="W85" i="31"/>
  <c r="X85" i="31" s="1"/>
  <c r="L85" i="31"/>
  <c r="X84" i="31"/>
  <c r="W84" i="31"/>
  <c r="L84" i="31"/>
  <c r="W83" i="31"/>
  <c r="X83" i="31" s="1"/>
  <c r="L83" i="31"/>
  <c r="X82" i="31"/>
  <c r="W82" i="31"/>
  <c r="L82" i="31"/>
  <c r="W81" i="31"/>
  <c r="X81" i="31" s="1"/>
  <c r="L81" i="31"/>
  <c r="X80" i="31"/>
  <c r="W80" i="31"/>
  <c r="L80" i="31"/>
  <c r="W79" i="31"/>
  <c r="X79" i="31" s="1"/>
  <c r="L79" i="31"/>
  <c r="X78" i="31"/>
  <c r="W78" i="31"/>
  <c r="L78" i="31"/>
  <c r="W77" i="31"/>
  <c r="X77" i="31" s="1"/>
  <c r="L77" i="31"/>
  <c r="X76" i="31"/>
  <c r="W76" i="31"/>
  <c r="L76" i="31"/>
  <c r="W75" i="31"/>
  <c r="X75" i="31" s="1"/>
  <c r="L75" i="31"/>
  <c r="X74" i="31"/>
  <c r="W74" i="31"/>
  <c r="L74" i="31"/>
  <c r="W73" i="31"/>
  <c r="X73" i="31" s="1"/>
  <c r="L73" i="31"/>
  <c r="X72" i="31"/>
  <c r="W72" i="31"/>
  <c r="L72" i="31"/>
  <c r="W71" i="31"/>
  <c r="X71" i="31" s="1"/>
  <c r="L71" i="31"/>
  <c r="X70" i="31"/>
  <c r="W70" i="31"/>
  <c r="L70" i="31"/>
  <c r="W69" i="31"/>
  <c r="X69" i="31" s="1"/>
  <c r="L69" i="31"/>
  <c r="X68" i="31"/>
  <c r="W68" i="31"/>
  <c r="L68" i="31"/>
  <c r="W67" i="31"/>
  <c r="X67" i="31" s="1"/>
  <c r="L67" i="31"/>
  <c r="X66" i="31"/>
  <c r="W66" i="31"/>
  <c r="L66" i="31"/>
  <c r="W65" i="31"/>
  <c r="X65" i="31" s="1"/>
  <c r="L65" i="31"/>
  <c r="X64" i="31"/>
  <c r="W64" i="31"/>
  <c r="L64" i="31"/>
  <c r="W63" i="31"/>
  <c r="X63" i="31" s="1"/>
  <c r="L63" i="31"/>
  <c r="X62" i="31"/>
  <c r="W62" i="31"/>
  <c r="L62" i="31"/>
  <c r="W61" i="31"/>
  <c r="X61" i="31" s="1"/>
  <c r="L61" i="31"/>
  <c r="X60" i="31"/>
  <c r="W60" i="31"/>
  <c r="L60" i="31"/>
  <c r="W59" i="31"/>
  <c r="X59" i="31" s="1"/>
  <c r="L59" i="31"/>
  <c r="X58" i="31"/>
  <c r="W58" i="31"/>
  <c r="L58" i="31"/>
  <c r="W57" i="31"/>
  <c r="X57" i="31" s="1"/>
  <c r="L57" i="31"/>
  <c r="X56" i="31"/>
  <c r="W56" i="31"/>
  <c r="L56" i="31"/>
  <c r="W55" i="31"/>
  <c r="X55" i="31" s="1"/>
  <c r="L55" i="31"/>
  <c r="X54" i="31"/>
  <c r="W54" i="31"/>
  <c r="L54" i="31"/>
  <c r="W53" i="31"/>
  <c r="X53" i="31" s="1"/>
  <c r="L53" i="31"/>
  <c r="X52" i="31"/>
  <c r="W52" i="31"/>
  <c r="L52" i="31"/>
  <c r="W51" i="31"/>
  <c r="X51" i="31" s="1"/>
  <c r="L51" i="31"/>
  <c r="X50" i="31"/>
  <c r="W50" i="31"/>
  <c r="L50" i="31"/>
  <c r="W49" i="31"/>
  <c r="X49" i="31" s="1"/>
  <c r="L49" i="31"/>
  <c r="X48" i="31"/>
  <c r="W48" i="31"/>
  <c r="L48" i="31"/>
  <c r="W47" i="31"/>
  <c r="X47" i="31" s="1"/>
  <c r="L47" i="31"/>
  <c r="X46" i="31"/>
  <c r="W46" i="31"/>
  <c r="L46" i="31"/>
  <c r="W45" i="31"/>
  <c r="X45" i="31" s="1"/>
  <c r="L45" i="31"/>
  <c r="X44" i="31"/>
  <c r="W44" i="31"/>
  <c r="L44" i="31"/>
  <c r="W43" i="31"/>
  <c r="X43" i="31" s="1"/>
  <c r="L43" i="31"/>
  <c r="X42" i="31"/>
  <c r="W42" i="31"/>
  <c r="L42" i="31"/>
  <c r="W41" i="31"/>
  <c r="X41" i="31" s="1"/>
  <c r="L41" i="31"/>
  <c r="X40" i="31"/>
  <c r="W40" i="31"/>
  <c r="L40" i="31"/>
  <c r="W39" i="31"/>
  <c r="X39" i="31" s="1"/>
  <c r="L39" i="31"/>
  <c r="X38" i="31"/>
  <c r="W38" i="31"/>
  <c r="L38" i="31"/>
  <c r="W37" i="31"/>
  <c r="X37" i="31" s="1"/>
  <c r="L37" i="31"/>
  <c r="X36" i="31"/>
  <c r="W36" i="31"/>
  <c r="L36" i="31"/>
  <c r="W35" i="31"/>
  <c r="X35" i="31" s="1"/>
  <c r="L35" i="31"/>
  <c r="X34" i="31"/>
  <c r="W34" i="31"/>
  <c r="L34" i="31"/>
  <c r="W33" i="31"/>
  <c r="X33" i="31" s="1"/>
  <c r="L33" i="31"/>
  <c r="X32" i="31"/>
  <c r="W32" i="31"/>
  <c r="L32" i="31"/>
  <c r="W31" i="31"/>
  <c r="X31" i="31" s="1"/>
  <c r="L31" i="31"/>
  <c r="X30" i="31"/>
  <c r="W30" i="31"/>
  <c r="L30" i="31"/>
  <c r="W29" i="31"/>
  <c r="X29" i="31" s="1"/>
  <c r="L29" i="31"/>
  <c r="X28" i="31"/>
  <c r="W28" i="31"/>
  <c r="L28" i="31"/>
  <c r="W27" i="31"/>
  <c r="X27" i="31" s="1"/>
  <c r="L27" i="31"/>
  <c r="X26" i="31"/>
  <c r="W26" i="31"/>
  <c r="L26" i="31"/>
  <c r="W25" i="31"/>
  <c r="X25" i="31" s="1"/>
  <c r="L25" i="31"/>
  <c r="X24" i="31"/>
  <c r="W24" i="31"/>
  <c r="L24" i="31"/>
  <c r="W23" i="31"/>
  <c r="X23" i="31" s="1"/>
  <c r="L23" i="31"/>
  <c r="X22" i="31"/>
  <c r="W22" i="31"/>
  <c r="L22" i="31"/>
  <c r="W21" i="31"/>
  <c r="X21" i="31" s="1"/>
  <c r="L21" i="31"/>
  <c r="X20" i="31"/>
  <c r="W20" i="31"/>
  <c r="L20" i="31"/>
  <c r="W19" i="31"/>
  <c r="X19" i="31" s="1"/>
  <c r="L19" i="31"/>
  <c r="X18" i="31"/>
  <c r="W18" i="31"/>
  <c r="L18" i="31"/>
  <c r="W17" i="31"/>
  <c r="X17" i="31" s="1"/>
  <c r="L17" i="31"/>
  <c r="X16" i="31"/>
  <c r="W16" i="31"/>
  <c r="L16" i="31"/>
  <c r="W15" i="31"/>
  <c r="X15" i="31" s="1"/>
  <c r="L15" i="31"/>
  <c r="X14" i="31"/>
  <c r="W14" i="31"/>
  <c r="L14" i="31"/>
  <c r="W13" i="31"/>
  <c r="X13" i="31" s="1"/>
  <c r="L13" i="31"/>
  <c r="X12" i="31"/>
  <c r="W12" i="31"/>
  <c r="L12" i="31"/>
  <c r="W11" i="31"/>
  <c r="X11" i="31" s="1"/>
  <c r="L11" i="31"/>
  <c r="X10" i="31"/>
  <c r="W10" i="31"/>
  <c r="L10" i="31"/>
  <c r="W9" i="31"/>
  <c r="X9" i="31" s="1"/>
  <c r="L9" i="31"/>
  <c r="X8" i="31"/>
  <c r="W8" i="31"/>
  <c r="L8" i="31"/>
  <c r="W7" i="31"/>
  <c r="X7" i="31" s="1"/>
  <c r="L7" i="31"/>
  <c r="W6" i="31"/>
  <c r="U6" i="31"/>
  <c r="T6" i="31"/>
  <c r="S6" i="31"/>
  <c r="R6" i="31"/>
  <c r="Q6" i="31"/>
  <c r="P6" i="31"/>
  <c r="O6" i="31"/>
  <c r="N6" i="31"/>
  <c r="Y6" i="31" s="1"/>
  <c r="M6" i="31"/>
  <c r="J6" i="31"/>
  <c r="F6" i="31"/>
  <c r="E6" i="31"/>
  <c r="F327" i="30"/>
  <c r="E327" i="30"/>
  <c r="F317" i="30"/>
  <c r="E317" i="30"/>
  <c r="F295" i="30"/>
  <c r="E295" i="30"/>
  <c r="F285" i="30"/>
  <c r="E285" i="30"/>
  <c r="F275" i="30"/>
  <c r="E275" i="30"/>
  <c r="F265" i="30"/>
  <c r="F264" i="30" s="1"/>
  <c r="E265" i="30"/>
  <c r="E264" i="30" s="1"/>
  <c r="F254" i="30"/>
  <c r="E254" i="30"/>
  <c r="F244" i="30"/>
  <c r="E244" i="30"/>
  <c r="F234" i="30"/>
  <c r="E234" i="30"/>
  <c r="F224" i="30"/>
  <c r="E224" i="30"/>
  <c r="F214" i="30"/>
  <c r="E214" i="30"/>
  <c r="F185" i="30"/>
  <c r="E185" i="30"/>
  <c r="F179" i="30"/>
  <c r="E179" i="30"/>
  <c r="F173" i="30"/>
  <c r="E173" i="30"/>
  <c r="F167" i="30"/>
  <c r="E167" i="30"/>
  <c r="F161" i="30"/>
  <c r="E161" i="30"/>
  <c r="F155" i="30"/>
  <c r="F154" i="30" s="1"/>
  <c r="F4" i="30" s="1"/>
  <c r="E155" i="30"/>
  <c r="F144" i="30"/>
  <c r="E144" i="30"/>
  <c r="F125" i="30"/>
  <c r="F116" i="30" s="1"/>
  <c r="E125" i="30"/>
  <c r="F117" i="30"/>
  <c r="E117" i="30"/>
  <c r="E116" i="30" s="1"/>
  <c r="F112" i="30"/>
  <c r="F90" i="30" s="1"/>
  <c r="E112" i="30"/>
  <c r="F107" i="30"/>
  <c r="E107" i="30"/>
  <c r="F91" i="30"/>
  <c r="E91" i="30"/>
  <c r="E90" i="30" s="1"/>
  <c r="F63" i="30"/>
  <c r="E63" i="30"/>
  <c r="F38" i="30"/>
  <c r="E38" i="30"/>
  <c r="F34" i="30"/>
  <c r="E34" i="30"/>
  <c r="F16" i="30"/>
  <c r="E16" i="30"/>
  <c r="F6" i="30"/>
  <c r="E6" i="30"/>
  <c r="F187" i="29"/>
  <c r="E187" i="29"/>
  <c r="F183" i="29"/>
  <c r="E183" i="29"/>
  <c r="F168" i="29"/>
  <c r="E168" i="29"/>
  <c r="F164" i="29"/>
  <c r="E164" i="29"/>
  <c r="F159" i="29"/>
  <c r="E159" i="29"/>
  <c r="F154" i="29"/>
  <c r="F153" i="29" s="1"/>
  <c r="E154" i="29"/>
  <c r="E153" i="29"/>
  <c r="F145" i="29"/>
  <c r="E145" i="29"/>
  <c r="F138" i="29"/>
  <c r="E138" i="29"/>
  <c r="F133" i="29"/>
  <c r="E133" i="29"/>
  <c r="F129" i="29"/>
  <c r="E129" i="29"/>
  <c r="F126" i="29"/>
  <c r="F125" i="29" s="1"/>
  <c r="F4" i="29" s="1"/>
  <c r="E126" i="29"/>
  <c r="E125" i="29"/>
  <c r="W124" i="29"/>
  <c r="X124" i="29" s="1"/>
  <c r="L124" i="29"/>
  <c r="X123" i="29"/>
  <c r="W123" i="29"/>
  <c r="L123" i="29"/>
  <c r="W122" i="29"/>
  <c r="X122" i="29" s="1"/>
  <c r="L122" i="29"/>
  <c r="X121" i="29"/>
  <c r="W121" i="29"/>
  <c r="L121" i="29"/>
  <c r="W120" i="29"/>
  <c r="X120" i="29" s="1"/>
  <c r="L120" i="29"/>
  <c r="X119" i="29"/>
  <c r="W119" i="29"/>
  <c r="L119" i="29"/>
  <c r="W118" i="29"/>
  <c r="X118" i="29" s="1"/>
  <c r="L118" i="29"/>
  <c r="X117" i="29"/>
  <c r="W117" i="29"/>
  <c r="L117" i="29"/>
  <c r="W116" i="29"/>
  <c r="X116" i="29" s="1"/>
  <c r="L116" i="29"/>
  <c r="X115" i="29"/>
  <c r="W115" i="29"/>
  <c r="L115" i="29"/>
  <c r="W114" i="29"/>
  <c r="X114" i="29" s="1"/>
  <c r="L114" i="29"/>
  <c r="X113" i="29"/>
  <c r="W113" i="29"/>
  <c r="L113" i="29"/>
  <c r="W112" i="29"/>
  <c r="X112" i="29" s="1"/>
  <c r="L112" i="29"/>
  <c r="X111" i="29"/>
  <c r="W111" i="29"/>
  <c r="L111" i="29"/>
  <c r="W110" i="29"/>
  <c r="X110" i="29" s="1"/>
  <c r="L110" i="29"/>
  <c r="X109" i="29"/>
  <c r="W109" i="29"/>
  <c r="L109" i="29"/>
  <c r="W108" i="29"/>
  <c r="X108" i="29" s="1"/>
  <c r="L108" i="29"/>
  <c r="X107" i="29"/>
  <c r="W107" i="29"/>
  <c r="L107" i="29"/>
  <c r="W106" i="29"/>
  <c r="X106" i="29" s="1"/>
  <c r="L106" i="29"/>
  <c r="X105" i="29"/>
  <c r="W105" i="29"/>
  <c r="L105" i="29"/>
  <c r="W104" i="29"/>
  <c r="X104" i="29" s="1"/>
  <c r="L104" i="29"/>
  <c r="X103" i="29"/>
  <c r="W103" i="29"/>
  <c r="L103" i="29"/>
  <c r="W102" i="29"/>
  <c r="X102" i="29" s="1"/>
  <c r="L102" i="29"/>
  <c r="X101" i="29"/>
  <c r="W101" i="29"/>
  <c r="L101" i="29"/>
  <c r="W100" i="29"/>
  <c r="X100" i="29" s="1"/>
  <c r="L100" i="29"/>
  <c r="X99" i="29"/>
  <c r="W99" i="29"/>
  <c r="L99" i="29"/>
  <c r="W98" i="29"/>
  <c r="X98" i="29" s="1"/>
  <c r="L98" i="29"/>
  <c r="X97" i="29"/>
  <c r="W97" i="29"/>
  <c r="L97" i="29"/>
  <c r="W96" i="29"/>
  <c r="X96" i="29" s="1"/>
  <c r="L96" i="29"/>
  <c r="X95" i="29"/>
  <c r="W95" i="29"/>
  <c r="L95" i="29"/>
  <c r="W94" i="29"/>
  <c r="X94" i="29" s="1"/>
  <c r="L94" i="29"/>
  <c r="X93" i="29"/>
  <c r="W93" i="29"/>
  <c r="L93" i="29"/>
  <c r="W92" i="29"/>
  <c r="X92" i="29" s="1"/>
  <c r="L92" i="29"/>
  <c r="X91" i="29"/>
  <c r="W91" i="29"/>
  <c r="L91" i="29"/>
  <c r="W90" i="29"/>
  <c r="X90" i="29" s="1"/>
  <c r="L90" i="29"/>
  <c r="X89" i="29"/>
  <c r="W89" i="29"/>
  <c r="L89" i="29"/>
  <c r="W88" i="29"/>
  <c r="X88" i="29" s="1"/>
  <c r="L88" i="29"/>
  <c r="X87" i="29"/>
  <c r="W87" i="29"/>
  <c r="L87" i="29"/>
  <c r="W86" i="29"/>
  <c r="X86" i="29" s="1"/>
  <c r="L86" i="29"/>
  <c r="X85" i="29"/>
  <c r="W85" i="29"/>
  <c r="L85" i="29"/>
  <c r="W84" i="29"/>
  <c r="X84" i="29" s="1"/>
  <c r="L84" i="29"/>
  <c r="X83" i="29"/>
  <c r="W83" i="29"/>
  <c r="L83" i="29"/>
  <c r="W82" i="29"/>
  <c r="X82" i="29" s="1"/>
  <c r="L82" i="29"/>
  <c r="X81" i="29"/>
  <c r="W81" i="29"/>
  <c r="L81" i="29"/>
  <c r="W80" i="29"/>
  <c r="X80" i="29" s="1"/>
  <c r="L80" i="29"/>
  <c r="X79" i="29"/>
  <c r="W79" i="29"/>
  <c r="L79" i="29"/>
  <c r="W78" i="29"/>
  <c r="X78" i="29" s="1"/>
  <c r="L78" i="29"/>
  <c r="X77" i="29"/>
  <c r="W77" i="29"/>
  <c r="L77" i="29"/>
  <c r="W76" i="29"/>
  <c r="X76" i="29" s="1"/>
  <c r="L76" i="29"/>
  <c r="X75" i="29"/>
  <c r="W75" i="29"/>
  <c r="L75" i="29"/>
  <c r="W74" i="29"/>
  <c r="X74" i="29" s="1"/>
  <c r="L74" i="29"/>
  <c r="X73" i="29"/>
  <c r="W73" i="29"/>
  <c r="L73" i="29"/>
  <c r="W72" i="29"/>
  <c r="X72" i="29" s="1"/>
  <c r="L72" i="29"/>
  <c r="X71" i="29"/>
  <c r="W71" i="29"/>
  <c r="L71" i="29"/>
  <c r="W70" i="29"/>
  <c r="X70" i="29" s="1"/>
  <c r="L70" i="29"/>
  <c r="X69" i="29"/>
  <c r="W69" i="29"/>
  <c r="L69" i="29"/>
  <c r="W68" i="29"/>
  <c r="X68" i="29" s="1"/>
  <c r="L68" i="29"/>
  <c r="X67" i="29"/>
  <c r="W67" i="29"/>
  <c r="L67" i="29"/>
  <c r="W66" i="29"/>
  <c r="X66" i="29" s="1"/>
  <c r="L66" i="29"/>
  <c r="X65" i="29"/>
  <c r="W65" i="29"/>
  <c r="L65" i="29"/>
  <c r="W64" i="29"/>
  <c r="X64" i="29" s="1"/>
  <c r="L64" i="29"/>
  <c r="X63" i="29"/>
  <c r="W63" i="29"/>
  <c r="L63" i="29"/>
  <c r="W62" i="29"/>
  <c r="X62" i="29" s="1"/>
  <c r="L62" i="29"/>
  <c r="X61" i="29"/>
  <c r="W61" i="29"/>
  <c r="L61" i="29"/>
  <c r="W60" i="29"/>
  <c r="X60" i="29" s="1"/>
  <c r="L60" i="29"/>
  <c r="X59" i="29"/>
  <c r="W59" i="29"/>
  <c r="L59" i="29"/>
  <c r="W58" i="29"/>
  <c r="X58" i="29" s="1"/>
  <c r="L58" i="29"/>
  <c r="X57" i="29"/>
  <c r="W57" i="29"/>
  <c r="L57" i="29"/>
  <c r="W56" i="29"/>
  <c r="X56" i="29" s="1"/>
  <c r="L56" i="29"/>
  <c r="X55" i="29"/>
  <c r="W55" i="29"/>
  <c r="L55" i="29"/>
  <c r="W54" i="29"/>
  <c r="X54" i="29" s="1"/>
  <c r="L54" i="29"/>
  <c r="X53" i="29"/>
  <c r="W53" i="29"/>
  <c r="L53" i="29"/>
  <c r="W52" i="29"/>
  <c r="X52" i="29" s="1"/>
  <c r="L52" i="29"/>
  <c r="X51" i="29"/>
  <c r="W51" i="29"/>
  <c r="L51" i="29"/>
  <c r="W50" i="29"/>
  <c r="X50" i="29" s="1"/>
  <c r="L50" i="29"/>
  <c r="X49" i="29"/>
  <c r="W49" i="29"/>
  <c r="L49" i="29"/>
  <c r="W48" i="29"/>
  <c r="X48" i="29" s="1"/>
  <c r="L48" i="29"/>
  <c r="X47" i="29"/>
  <c r="W47" i="29"/>
  <c r="L47" i="29"/>
  <c r="W46" i="29"/>
  <c r="X46" i="29" s="1"/>
  <c r="L46" i="29"/>
  <c r="X45" i="29"/>
  <c r="W45" i="29"/>
  <c r="L45" i="29"/>
  <c r="W44" i="29"/>
  <c r="X44" i="29" s="1"/>
  <c r="L44" i="29"/>
  <c r="X43" i="29"/>
  <c r="W43" i="29"/>
  <c r="L43" i="29"/>
  <c r="W42" i="29"/>
  <c r="X42" i="29" s="1"/>
  <c r="L42" i="29"/>
  <c r="X41" i="29"/>
  <c r="W41" i="29"/>
  <c r="L41" i="29"/>
  <c r="W40" i="29"/>
  <c r="X40" i="29" s="1"/>
  <c r="L40" i="29"/>
  <c r="X39" i="29"/>
  <c r="W39" i="29"/>
  <c r="L39" i="29"/>
  <c r="W38" i="29"/>
  <c r="X38" i="29" s="1"/>
  <c r="L38" i="29"/>
  <c r="X37" i="29"/>
  <c r="W37" i="29"/>
  <c r="L37" i="29"/>
  <c r="W36" i="29"/>
  <c r="X36" i="29" s="1"/>
  <c r="L36" i="29"/>
  <c r="X35" i="29"/>
  <c r="W35" i="29"/>
  <c r="L35" i="29"/>
  <c r="W34" i="29"/>
  <c r="X34" i="29" s="1"/>
  <c r="L34" i="29"/>
  <c r="X33" i="29"/>
  <c r="W33" i="29"/>
  <c r="L33" i="29"/>
  <c r="W32" i="29"/>
  <c r="X32" i="29" s="1"/>
  <c r="L32" i="29"/>
  <c r="X31" i="29"/>
  <c r="W31" i="29"/>
  <c r="L31" i="29"/>
  <c r="W30" i="29"/>
  <c r="X30" i="29" s="1"/>
  <c r="L30" i="29"/>
  <c r="X29" i="29"/>
  <c r="W29" i="29"/>
  <c r="L29" i="29"/>
  <c r="W28" i="29"/>
  <c r="X28" i="29" s="1"/>
  <c r="L28" i="29"/>
  <c r="X27" i="29"/>
  <c r="W27" i="29"/>
  <c r="L27" i="29"/>
  <c r="W26" i="29"/>
  <c r="X26" i="29" s="1"/>
  <c r="L26" i="29"/>
  <c r="X25" i="29"/>
  <c r="W25" i="29"/>
  <c r="L25" i="29"/>
  <c r="X24" i="29"/>
  <c r="W24" i="29"/>
  <c r="L24" i="29"/>
  <c r="X23" i="29"/>
  <c r="W23" i="29"/>
  <c r="L23" i="29"/>
  <c r="W22" i="29"/>
  <c r="X22" i="29" s="1"/>
  <c r="L22" i="29"/>
  <c r="X21" i="29"/>
  <c r="W21" i="29"/>
  <c r="L21" i="29"/>
  <c r="X20" i="29"/>
  <c r="W20" i="29"/>
  <c r="L20" i="29"/>
  <c r="X19" i="29"/>
  <c r="W19" i="29"/>
  <c r="L19" i="29"/>
  <c r="W18" i="29"/>
  <c r="X18" i="29" s="1"/>
  <c r="L18" i="29"/>
  <c r="X17" i="29"/>
  <c r="W17" i="29"/>
  <c r="L17" i="29"/>
  <c r="X16" i="29"/>
  <c r="W16" i="29"/>
  <c r="L16" i="29"/>
  <c r="X15" i="29"/>
  <c r="W15" i="29"/>
  <c r="L15" i="29"/>
  <c r="W14" i="29"/>
  <c r="X14" i="29" s="1"/>
  <c r="L14" i="29"/>
  <c r="X13" i="29"/>
  <c r="W13" i="29"/>
  <c r="L13" i="29"/>
  <c r="X12" i="29"/>
  <c r="W12" i="29"/>
  <c r="L12" i="29"/>
  <c r="X11" i="29"/>
  <c r="W11" i="29"/>
  <c r="L11" i="29"/>
  <c r="W10" i="29"/>
  <c r="X10" i="29" s="1"/>
  <c r="L10" i="29"/>
  <c r="X9" i="29"/>
  <c r="W9" i="29"/>
  <c r="L9" i="29"/>
  <c r="X8" i="29"/>
  <c r="W8" i="29"/>
  <c r="L8" i="29"/>
  <c r="X7" i="29"/>
  <c r="X6" i="29" s="1"/>
  <c r="K6" i="29" s="1"/>
  <c r="W7" i="29"/>
  <c r="L7" i="29"/>
  <c r="U6" i="29"/>
  <c r="T6" i="29"/>
  <c r="S6" i="29"/>
  <c r="Y6" i="29" s="1"/>
  <c r="R6" i="29"/>
  <c r="Q6" i="29"/>
  <c r="P6" i="29"/>
  <c r="O6" i="29"/>
  <c r="N6" i="29"/>
  <c r="M6" i="29"/>
  <c r="J6" i="29"/>
  <c r="F6" i="29"/>
  <c r="E6" i="29"/>
  <c r="E4" i="29"/>
  <c r="F324" i="28"/>
  <c r="E324" i="28"/>
  <c r="F314" i="28"/>
  <c r="E314" i="28"/>
  <c r="F292" i="28"/>
  <c r="E292" i="28"/>
  <c r="F282" i="28"/>
  <c r="E282" i="28"/>
  <c r="F272" i="28"/>
  <c r="E272" i="28"/>
  <c r="F262" i="28"/>
  <c r="F261" i="28" s="1"/>
  <c r="E262" i="28"/>
  <c r="F251" i="28"/>
  <c r="E251" i="28"/>
  <c r="F241" i="28"/>
  <c r="E241" i="28"/>
  <c r="F231" i="28"/>
  <c r="E231" i="28"/>
  <c r="F221" i="28"/>
  <c r="E221" i="28"/>
  <c r="F211" i="28"/>
  <c r="E211" i="28"/>
  <c r="F182" i="28"/>
  <c r="E182" i="28"/>
  <c r="F176" i="28"/>
  <c r="E176" i="28"/>
  <c r="F170" i="28"/>
  <c r="E170" i="28"/>
  <c r="F164" i="28"/>
  <c r="E164" i="28"/>
  <c r="F158" i="28"/>
  <c r="E158" i="28"/>
  <c r="F152" i="28"/>
  <c r="F151" i="28" s="1"/>
  <c r="E152" i="28"/>
  <c r="E151" i="28" s="1"/>
  <c r="F141" i="28"/>
  <c r="E141" i="28"/>
  <c r="F122" i="28"/>
  <c r="E122" i="28"/>
  <c r="F116" i="28"/>
  <c r="E116" i="28"/>
  <c r="E115" i="28" s="1"/>
  <c r="F111" i="28"/>
  <c r="F89" i="28" s="1"/>
  <c r="E111" i="28"/>
  <c r="E89" i="28" s="1"/>
  <c r="F106" i="28"/>
  <c r="E106" i="28"/>
  <c r="F90" i="28"/>
  <c r="E90" i="28"/>
  <c r="F62" i="28"/>
  <c r="E62" i="28"/>
  <c r="F37" i="28"/>
  <c r="E37" i="28"/>
  <c r="F33" i="28"/>
  <c r="E33" i="28"/>
  <c r="F16" i="28"/>
  <c r="E16" i="28"/>
  <c r="F6" i="28"/>
  <c r="E6" i="28"/>
  <c r="F188" i="27"/>
  <c r="E188" i="27"/>
  <c r="F184" i="27"/>
  <c r="E184" i="27"/>
  <c r="F169" i="27"/>
  <c r="E169" i="27"/>
  <c r="F165" i="27"/>
  <c r="E165" i="27"/>
  <c r="F160" i="27"/>
  <c r="E160" i="27"/>
  <c r="F155" i="27"/>
  <c r="F154" i="27" s="1"/>
  <c r="E155" i="27"/>
  <c r="E154" i="27" s="1"/>
  <c r="F146" i="27"/>
  <c r="E146" i="27"/>
  <c r="F139" i="27"/>
  <c r="E139" i="27"/>
  <c r="F134" i="27"/>
  <c r="E134" i="27"/>
  <c r="F130" i="27"/>
  <c r="E130" i="27"/>
  <c r="F127" i="27"/>
  <c r="E127" i="27"/>
  <c r="E126" i="27" s="1"/>
  <c r="X125" i="27"/>
  <c r="W125" i="27"/>
  <c r="L125" i="27"/>
  <c r="X124" i="27"/>
  <c r="W124" i="27"/>
  <c r="L124" i="27"/>
  <c r="X123" i="27"/>
  <c r="W123" i="27"/>
  <c r="L123" i="27"/>
  <c r="X122" i="27"/>
  <c r="W122" i="27"/>
  <c r="L122" i="27"/>
  <c r="X121" i="27"/>
  <c r="W121" i="27"/>
  <c r="L121" i="27"/>
  <c r="X120" i="27"/>
  <c r="W120" i="27"/>
  <c r="L120" i="27"/>
  <c r="X119" i="27"/>
  <c r="W119" i="27"/>
  <c r="L119" i="27"/>
  <c r="X118" i="27"/>
  <c r="W118" i="27"/>
  <c r="L118" i="27"/>
  <c r="X117" i="27"/>
  <c r="W117" i="27"/>
  <c r="L117" i="27"/>
  <c r="X116" i="27"/>
  <c r="W116" i="27"/>
  <c r="L116" i="27"/>
  <c r="X115" i="27"/>
  <c r="W115" i="27"/>
  <c r="L115" i="27"/>
  <c r="X114" i="27"/>
  <c r="W114" i="27"/>
  <c r="L114" i="27"/>
  <c r="X113" i="27"/>
  <c r="W113" i="27"/>
  <c r="L113" i="27"/>
  <c r="X112" i="27"/>
  <c r="W112" i="27"/>
  <c r="L112" i="27"/>
  <c r="X111" i="27"/>
  <c r="W111" i="27"/>
  <c r="L111" i="27"/>
  <c r="X110" i="27"/>
  <c r="W110" i="27"/>
  <c r="L110" i="27"/>
  <c r="X109" i="27"/>
  <c r="W109" i="27"/>
  <c r="L109" i="27"/>
  <c r="X108" i="27"/>
  <c r="W108" i="27"/>
  <c r="L108" i="27"/>
  <c r="X107" i="27"/>
  <c r="W107" i="27"/>
  <c r="L107" i="27"/>
  <c r="X106" i="27"/>
  <c r="W106" i="27"/>
  <c r="L106" i="27"/>
  <c r="X105" i="27"/>
  <c r="W105" i="27"/>
  <c r="L105" i="27"/>
  <c r="X104" i="27"/>
  <c r="W104" i="27"/>
  <c r="L104" i="27"/>
  <c r="X103" i="27"/>
  <c r="W103" i="27"/>
  <c r="L103" i="27"/>
  <c r="X102" i="27"/>
  <c r="W102" i="27"/>
  <c r="L102" i="27"/>
  <c r="X101" i="27"/>
  <c r="W101" i="27"/>
  <c r="L101" i="27"/>
  <c r="X100" i="27"/>
  <c r="W100" i="27"/>
  <c r="L100" i="27"/>
  <c r="X99" i="27"/>
  <c r="W99" i="27"/>
  <c r="L99" i="27"/>
  <c r="X98" i="27"/>
  <c r="W98" i="27"/>
  <c r="L98" i="27"/>
  <c r="X97" i="27"/>
  <c r="W97" i="27"/>
  <c r="L97" i="27"/>
  <c r="X96" i="27"/>
  <c r="W96" i="27"/>
  <c r="L96" i="27"/>
  <c r="X95" i="27"/>
  <c r="W95" i="27"/>
  <c r="L95" i="27"/>
  <c r="X94" i="27"/>
  <c r="W94" i="27"/>
  <c r="L94" i="27"/>
  <c r="X93" i="27"/>
  <c r="W93" i="27"/>
  <c r="L93" i="27"/>
  <c r="X92" i="27"/>
  <c r="W92" i="27"/>
  <c r="L92" i="27"/>
  <c r="X91" i="27"/>
  <c r="W91" i="27"/>
  <c r="L91" i="27"/>
  <c r="X90" i="27"/>
  <c r="W90" i="27"/>
  <c r="L90" i="27"/>
  <c r="X89" i="27"/>
  <c r="W89" i="27"/>
  <c r="L89" i="27"/>
  <c r="X88" i="27"/>
  <c r="W88" i="27"/>
  <c r="L88" i="27"/>
  <c r="X87" i="27"/>
  <c r="W87" i="27"/>
  <c r="L87" i="27"/>
  <c r="X86" i="27"/>
  <c r="W86" i="27"/>
  <c r="L86" i="27"/>
  <c r="X85" i="27"/>
  <c r="W85" i="27"/>
  <c r="L85" i="27"/>
  <c r="X84" i="27"/>
  <c r="W84" i="27"/>
  <c r="L84" i="27"/>
  <c r="X83" i="27"/>
  <c r="W83" i="27"/>
  <c r="L83" i="27"/>
  <c r="X82" i="27"/>
  <c r="W82" i="27"/>
  <c r="L82" i="27"/>
  <c r="X81" i="27"/>
  <c r="W81" i="27"/>
  <c r="L81" i="27"/>
  <c r="X80" i="27"/>
  <c r="W80" i="27"/>
  <c r="L80" i="27"/>
  <c r="X79" i="27"/>
  <c r="W79" i="27"/>
  <c r="L79" i="27"/>
  <c r="X78" i="27"/>
  <c r="W78" i="27"/>
  <c r="L78" i="27"/>
  <c r="X77" i="27"/>
  <c r="W77" i="27"/>
  <c r="L77" i="27"/>
  <c r="X76" i="27"/>
  <c r="W76" i="27"/>
  <c r="L76" i="27"/>
  <c r="X75" i="27"/>
  <c r="W75" i="27"/>
  <c r="L75" i="27"/>
  <c r="X74" i="27"/>
  <c r="W74" i="27"/>
  <c r="L74" i="27"/>
  <c r="X73" i="27"/>
  <c r="W73" i="27"/>
  <c r="L73" i="27"/>
  <c r="X72" i="27"/>
  <c r="W72" i="27"/>
  <c r="L72" i="27"/>
  <c r="X71" i="27"/>
  <c r="W71" i="27"/>
  <c r="L71" i="27"/>
  <c r="X70" i="27"/>
  <c r="W70" i="27"/>
  <c r="L70" i="27"/>
  <c r="X69" i="27"/>
  <c r="W69" i="27"/>
  <c r="L69" i="27"/>
  <c r="X68" i="27"/>
  <c r="W68" i="27"/>
  <c r="L68" i="27"/>
  <c r="X67" i="27"/>
  <c r="W67" i="27"/>
  <c r="L67" i="27"/>
  <c r="X66" i="27"/>
  <c r="W66" i="27"/>
  <c r="L66" i="27"/>
  <c r="X65" i="27"/>
  <c r="W65" i="27"/>
  <c r="L65" i="27"/>
  <c r="X64" i="27"/>
  <c r="W64" i="27"/>
  <c r="L64" i="27"/>
  <c r="X63" i="27"/>
  <c r="W63" i="27"/>
  <c r="L63" i="27"/>
  <c r="X62" i="27"/>
  <c r="W62" i="27"/>
  <c r="L62" i="27"/>
  <c r="X61" i="27"/>
  <c r="W61" i="27"/>
  <c r="L61" i="27"/>
  <c r="X60" i="27"/>
  <c r="W60" i="27"/>
  <c r="L60" i="27"/>
  <c r="X59" i="27"/>
  <c r="W59" i="27"/>
  <c r="L59" i="27"/>
  <c r="X58" i="27"/>
  <c r="W58" i="27"/>
  <c r="L58" i="27"/>
  <c r="X57" i="27"/>
  <c r="W57" i="27"/>
  <c r="L57" i="27"/>
  <c r="X56" i="27"/>
  <c r="W56" i="27"/>
  <c r="L56" i="27"/>
  <c r="X55" i="27"/>
  <c r="W55" i="27"/>
  <c r="L55" i="27"/>
  <c r="X54" i="27"/>
  <c r="W54" i="27"/>
  <c r="L54" i="27"/>
  <c r="X53" i="27"/>
  <c r="W53" i="27"/>
  <c r="L53" i="27"/>
  <c r="X52" i="27"/>
  <c r="W52" i="27"/>
  <c r="L52" i="27"/>
  <c r="X51" i="27"/>
  <c r="W51" i="27"/>
  <c r="L51" i="27"/>
  <c r="X50" i="27"/>
  <c r="W50" i="27"/>
  <c r="L50" i="27"/>
  <c r="X49" i="27"/>
  <c r="W49" i="27"/>
  <c r="L49" i="27"/>
  <c r="X48" i="27"/>
  <c r="W48" i="27"/>
  <c r="L48" i="27"/>
  <c r="X47" i="27"/>
  <c r="W47" i="27"/>
  <c r="L47" i="27"/>
  <c r="X46" i="27"/>
  <c r="W46" i="27"/>
  <c r="L46" i="27"/>
  <c r="X45" i="27"/>
  <c r="W45" i="27"/>
  <c r="L45" i="27"/>
  <c r="X44" i="27"/>
  <c r="W44" i="27"/>
  <c r="L44" i="27"/>
  <c r="X43" i="27"/>
  <c r="W43" i="27"/>
  <c r="L43" i="27"/>
  <c r="X42" i="27"/>
  <c r="W42" i="27"/>
  <c r="L42" i="27"/>
  <c r="X41" i="27"/>
  <c r="W41" i="27"/>
  <c r="L41" i="27"/>
  <c r="X40" i="27"/>
  <c r="W40" i="27"/>
  <c r="L40" i="27"/>
  <c r="X39" i="27"/>
  <c r="W39" i="27"/>
  <c r="L39" i="27"/>
  <c r="X38" i="27"/>
  <c r="W38" i="27"/>
  <c r="L38" i="27"/>
  <c r="X37" i="27"/>
  <c r="W37" i="27"/>
  <c r="L37" i="27"/>
  <c r="X36" i="27"/>
  <c r="W36" i="27"/>
  <c r="L36" i="27"/>
  <c r="X35" i="27"/>
  <c r="W35" i="27"/>
  <c r="L35" i="27"/>
  <c r="X34" i="27"/>
  <c r="W34" i="27"/>
  <c r="L34" i="27"/>
  <c r="X33" i="27"/>
  <c r="W33" i="27"/>
  <c r="L33" i="27"/>
  <c r="X32" i="27"/>
  <c r="W32" i="27"/>
  <c r="L32" i="27"/>
  <c r="X31" i="27"/>
  <c r="W31" i="27"/>
  <c r="L31" i="27"/>
  <c r="X30" i="27"/>
  <c r="W30" i="27"/>
  <c r="L30" i="27"/>
  <c r="X29" i="27"/>
  <c r="W29" i="27"/>
  <c r="L29" i="27"/>
  <c r="X28" i="27"/>
  <c r="W28" i="27"/>
  <c r="L28" i="27"/>
  <c r="X27" i="27"/>
  <c r="W27" i="27"/>
  <c r="L27" i="27"/>
  <c r="X26" i="27"/>
  <c r="W26" i="27"/>
  <c r="L26" i="27"/>
  <c r="X25" i="27"/>
  <c r="W25" i="27"/>
  <c r="L25" i="27"/>
  <c r="X24" i="27"/>
  <c r="W24" i="27"/>
  <c r="L24" i="27"/>
  <c r="X23" i="27"/>
  <c r="W23" i="27"/>
  <c r="L23" i="27"/>
  <c r="X22" i="27"/>
  <c r="W22" i="27"/>
  <c r="L22" i="27"/>
  <c r="X21" i="27"/>
  <c r="W21" i="27"/>
  <c r="L21" i="27"/>
  <c r="X20" i="27"/>
  <c r="W20" i="27"/>
  <c r="L20" i="27"/>
  <c r="X19" i="27"/>
  <c r="W19" i="27"/>
  <c r="L19" i="27"/>
  <c r="X18" i="27"/>
  <c r="W18" i="27"/>
  <c r="L18" i="27"/>
  <c r="X17" i="27"/>
  <c r="W17" i="27"/>
  <c r="L17" i="27"/>
  <c r="X16" i="27"/>
  <c r="W16" i="27"/>
  <c r="L16" i="27"/>
  <c r="X15" i="27"/>
  <c r="W15" i="27"/>
  <c r="L15" i="27"/>
  <c r="X14" i="27"/>
  <c r="W14" i="27"/>
  <c r="L14" i="27"/>
  <c r="X13" i="27"/>
  <c r="W13" i="27"/>
  <c r="L13" i="27"/>
  <c r="X12" i="27"/>
  <c r="W12" i="27"/>
  <c r="L12" i="27"/>
  <c r="X11" i="27"/>
  <c r="W11" i="27"/>
  <c r="L11" i="27"/>
  <c r="X10" i="27"/>
  <c r="W10" i="27"/>
  <c r="L10" i="27"/>
  <c r="X9" i="27"/>
  <c r="W9" i="27"/>
  <c r="L9" i="27"/>
  <c r="X8" i="27"/>
  <c r="W8" i="27"/>
  <c r="L8" i="27"/>
  <c r="X7" i="27"/>
  <c r="W7" i="27"/>
  <c r="L7" i="27"/>
  <c r="Y6" i="27"/>
  <c r="U6" i="27"/>
  <c r="T6" i="27"/>
  <c r="S6" i="27"/>
  <c r="R6" i="27"/>
  <c r="Q6" i="27"/>
  <c r="P6" i="27"/>
  <c r="O6" i="27"/>
  <c r="N6" i="27"/>
  <c r="M6" i="27"/>
  <c r="L6" i="27"/>
  <c r="J6" i="27"/>
  <c r="F6" i="27"/>
  <c r="W6" i="27" s="1"/>
  <c r="E6" i="27"/>
  <c r="E4" i="27"/>
  <c r="F324" i="26"/>
  <c r="E324" i="26"/>
  <c r="F314" i="26"/>
  <c r="E314" i="26"/>
  <c r="F292" i="26"/>
  <c r="E292" i="26"/>
  <c r="F282" i="26"/>
  <c r="E282" i="26"/>
  <c r="F272" i="26"/>
  <c r="E272" i="26"/>
  <c r="F262" i="26"/>
  <c r="F261" i="26" s="1"/>
  <c r="E262" i="26"/>
  <c r="E261" i="26" s="1"/>
  <c r="F251" i="26"/>
  <c r="E251" i="26"/>
  <c r="F241" i="26"/>
  <c r="E241" i="26"/>
  <c r="F231" i="26"/>
  <c r="E231" i="26"/>
  <c r="F221" i="26"/>
  <c r="E221" i="26"/>
  <c r="F211" i="26"/>
  <c r="E211" i="26"/>
  <c r="F182" i="26"/>
  <c r="E182" i="26"/>
  <c r="F176" i="26"/>
  <c r="E176" i="26"/>
  <c r="F170" i="26"/>
  <c r="E170" i="26"/>
  <c r="F164" i="26"/>
  <c r="E164" i="26"/>
  <c r="F158" i="26"/>
  <c r="E158" i="26"/>
  <c r="F152" i="26"/>
  <c r="F151" i="26" s="1"/>
  <c r="F4" i="26" s="1"/>
  <c r="E152" i="26"/>
  <c r="F141" i="26"/>
  <c r="E141" i="26"/>
  <c r="F122" i="26"/>
  <c r="F115" i="26" s="1"/>
  <c r="E122" i="26"/>
  <c r="F116" i="26"/>
  <c r="E116" i="26"/>
  <c r="F111" i="26"/>
  <c r="F89" i="26" s="1"/>
  <c r="E111" i="26"/>
  <c r="F106" i="26"/>
  <c r="E106" i="26"/>
  <c r="F90" i="26"/>
  <c r="E90" i="26"/>
  <c r="E89" i="26"/>
  <c r="F62" i="26"/>
  <c r="E62" i="26"/>
  <c r="F37" i="26"/>
  <c r="E37" i="26"/>
  <c r="F33" i="26"/>
  <c r="E33" i="26"/>
  <c r="F16" i="26"/>
  <c r="E16" i="26"/>
  <c r="F6" i="26"/>
  <c r="E6" i="26"/>
  <c r="F188" i="25"/>
  <c r="E188" i="25"/>
  <c r="F184" i="25"/>
  <c r="E184" i="25"/>
  <c r="F169" i="25"/>
  <c r="E169" i="25"/>
  <c r="F165" i="25"/>
  <c r="E165" i="25"/>
  <c r="F160" i="25"/>
  <c r="E160" i="25"/>
  <c r="F155" i="25"/>
  <c r="F154" i="25" s="1"/>
  <c r="E155" i="25"/>
  <c r="E154" i="25" s="1"/>
  <c r="F146" i="25"/>
  <c r="E146" i="25"/>
  <c r="F139" i="25"/>
  <c r="E139" i="25"/>
  <c r="F134" i="25"/>
  <c r="E134" i="25"/>
  <c r="F130" i="25"/>
  <c r="E130" i="25"/>
  <c r="F127" i="25"/>
  <c r="E127" i="25"/>
  <c r="X125" i="25"/>
  <c r="W125" i="25"/>
  <c r="L125" i="25"/>
  <c r="X124" i="25"/>
  <c r="W124" i="25"/>
  <c r="L124" i="25"/>
  <c r="X123" i="25"/>
  <c r="W123" i="25"/>
  <c r="L123" i="25"/>
  <c r="X122" i="25"/>
  <c r="W122" i="25"/>
  <c r="L122" i="25"/>
  <c r="X121" i="25"/>
  <c r="W121" i="25"/>
  <c r="L121" i="25"/>
  <c r="X120" i="25"/>
  <c r="W120" i="25"/>
  <c r="L120" i="25"/>
  <c r="X119" i="25"/>
  <c r="W119" i="25"/>
  <c r="L119" i="25"/>
  <c r="X118" i="25"/>
  <c r="W118" i="25"/>
  <c r="L118" i="25"/>
  <c r="X117" i="25"/>
  <c r="W117" i="25"/>
  <c r="L117" i="25"/>
  <c r="X116" i="25"/>
  <c r="W116" i="25"/>
  <c r="L116" i="25"/>
  <c r="X115" i="25"/>
  <c r="W115" i="25"/>
  <c r="L115" i="25"/>
  <c r="X114" i="25"/>
  <c r="W114" i="25"/>
  <c r="L114" i="25"/>
  <c r="X113" i="25"/>
  <c r="W113" i="25"/>
  <c r="L113" i="25"/>
  <c r="X112" i="25"/>
  <c r="W112" i="25"/>
  <c r="L112" i="25"/>
  <c r="X111" i="25"/>
  <c r="W111" i="25"/>
  <c r="L111" i="25"/>
  <c r="X110" i="25"/>
  <c r="W110" i="25"/>
  <c r="L110" i="25"/>
  <c r="X109" i="25"/>
  <c r="W109" i="25"/>
  <c r="L109" i="25"/>
  <c r="X108" i="25"/>
  <c r="W108" i="25"/>
  <c r="L108" i="25"/>
  <c r="X107" i="25"/>
  <c r="W107" i="25"/>
  <c r="L107" i="25"/>
  <c r="X106" i="25"/>
  <c r="W106" i="25"/>
  <c r="L106" i="25"/>
  <c r="X105" i="25"/>
  <c r="W105" i="25"/>
  <c r="L105" i="25"/>
  <c r="X104" i="25"/>
  <c r="W104" i="25"/>
  <c r="L104" i="25"/>
  <c r="X103" i="25"/>
  <c r="W103" i="25"/>
  <c r="L103" i="25"/>
  <c r="X102" i="25"/>
  <c r="W102" i="25"/>
  <c r="L102" i="25"/>
  <c r="X101" i="25"/>
  <c r="W101" i="25"/>
  <c r="L101" i="25"/>
  <c r="X100" i="25"/>
  <c r="W100" i="25"/>
  <c r="L100" i="25"/>
  <c r="X99" i="25"/>
  <c r="W99" i="25"/>
  <c r="L99" i="25"/>
  <c r="X98" i="25"/>
  <c r="W98" i="25"/>
  <c r="L98" i="25"/>
  <c r="X97" i="25"/>
  <c r="W97" i="25"/>
  <c r="L97" i="25"/>
  <c r="X96" i="25"/>
  <c r="W96" i="25"/>
  <c r="L96" i="25"/>
  <c r="X95" i="25"/>
  <c r="W95" i="25"/>
  <c r="L95" i="25"/>
  <c r="X94" i="25"/>
  <c r="W94" i="25"/>
  <c r="L94" i="25"/>
  <c r="X93" i="25"/>
  <c r="W93" i="25"/>
  <c r="L93" i="25"/>
  <c r="X92" i="25"/>
  <c r="W92" i="25"/>
  <c r="L92" i="25"/>
  <c r="X91" i="25"/>
  <c r="W91" i="25"/>
  <c r="L91" i="25"/>
  <c r="X90" i="25"/>
  <c r="W90" i="25"/>
  <c r="L90" i="25"/>
  <c r="X89" i="25"/>
  <c r="W89" i="25"/>
  <c r="L89" i="25"/>
  <c r="X88" i="25"/>
  <c r="W88" i="25"/>
  <c r="L88" i="25"/>
  <c r="X87" i="25"/>
  <c r="W87" i="25"/>
  <c r="L87" i="25"/>
  <c r="X86" i="25"/>
  <c r="W86" i="25"/>
  <c r="L86" i="25"/>
  <c r="X85" i="25"/>
  <c r="W85" i="25"/>
  <c r="L85" i="25"/>
  <c r="X84" i="25"/>
  <c r="W84" i="25"/>
  <c r="L84" i="25"/>
  <c r="X83" i="25"/>
  <c r="W83" i="25"/>
  <c r="L83" i="25"/>
  <c r="X82" i="25"/>
  <c r="W82" i="25"/>
  <c r="L82" i="25"/>
  <c r="X81" i="25"/>
  <c r="W81" i="25"/>
  <c r="L81" i="25"/>
  <c r="X80" i="25"/>
  <c r="W80" i="25"/>
  <c r="L80" i="25"/>
  <c r="X79" i="25"/>
  <c r="W79" i="25"/>
  <c r="L79" i="25"/>
  <c r="X78" i="25"/>
  <c r="W78" i="25"/>
  <c r="L78" i="25"/>
  <c r="X77" i="25"/>
  <c r="W77" i="25"/>
  <c r="L77" i="25"/>
  <c r="X76" i="25"/>
  <c r="W76" i="25"/>
  <c r="L76" i="25"/>
  <c r="X75" i="25"/>
  <c r="W75" i="25"/>
  <c r="L75" i="25"/>
  <c r="X74" i="25"/>
  <c r="W74" i="25"/>
  <c r="L74" i="25"/>
  <c r="X73" i="25"/>
  <c r="W73" i="25"/>
  <c r="L73" i="25"/>
  <c r="X72" i="25"/>
  <c r="W72" i="25"/>
  <c r="L72" i="25"/>
  <c r="X71" i="25"/>
  <c r="W71" i="25"/>
  <c r="L71" i="25"/>
  <c r="X70" i="25"/>
  <c r="W70" i="25"/>
  <c r="L70" i="25"/>
  <c r="X69" i="25"/>
  <c r="W69" i="25"/>
  <c r="L69" i="25"/>
  <c r="X68" i="25"/>
  <c r="W68" i="25"/>
  <c r="L68" i="25"/>
  <c r="X67" i="25"/>
  <c r="W67" i="25"/>
  <c r="L67" i="25"/>
  <c r="X66" i="25"/>
  <c r="W66" i="25"/>
  <c r="L66" i="25"/>
  <c r="X65" i="25"/>
  <c r="W65" i="25"/>
  <c r="L65" i="25"/>
  <c r="X64" i="25"/>
  <c r="W64" i="25"/>
  <c r="L64" i="25"/>
  <c r="X63" i="25"/>
  <c r="W63" i="25"/>
  <c r="L63" i="25"/>
  <c r="X62" i="25"/>
  <c r="W62" i="25"/>
  <c r="L62" i="25"/>
  <c r="X61" i="25"/>
  <c r="W61" i="25"/>
  <c r="L61" i="25"/>
  <c r="X60" i="25"/>
  <c r="W60" i="25"/>
  <c r="L60" i="25"/>
  <c r="X59" i="25"/>
  <c r="W59" i="25"/>
  <c r="L59" i="25"/>
  <c r="X58" i="25"/>
  <c r="W58" i="25"/>
  <c r="L58" i="25"/>
  <c r="X57" i="25"/>
  <c r="W57" i="25"/>
  <c r="L57" i="25"/>
  <c r="X56" i="25"/>
  <c r="W56" i="25"/>
  <c r="L56" i="25"/>
  <c r="X55" i="25"/>
  <c r="W55" i="25"/>
  <c r="L55" i="25"/>
  <c r="X54" i="25"/>
  <c r="W54" i="25"/>
  <c r="L54" i="25"/>
  <c r="X53" i="25"/>
  <c r="W53" i="25"/>
  <c r="L53" i="25"/>
  <c r="X52" i="25"/>
  <c r="W52" i="25"/>
  <c r="L52" i="25"/>
  <c r="X51" i="25"/>
  <c r="W51" i="25"/>
  <c r="L51" i="25"/>
  <c r="X50" i="25"/>
  <c r="W50" i="25"/>
  <c r="L50" i="25"/>
  <c r="X49" i="25"/>
  <c r="W49" i="25"/>
  <c r="L49" i="25"/>
  <c r="X48" i="25"/>
  <c r="W48" i="25"/>
  <c r="L48" i="25"/>
  <c r="X47" i="25"/>
  <c r="W47" i="25"/>
  <c r="L47" i="25"/>
  <c r="X46" i="25"/>
  <c r="W46" i="25"/>
  <c r="L46" i="25"/>
  <c r="X45" i="25"/>
  <c r="W45" i="25"/>
  <c r="L45" i="25"/>
  <c r="X44" i="25"/>
  <c r="W44" i="25"/>
  <c r="L44" i="25"/>
  <c r="X43" i="25"/>
  <c r="W43" i="25"/>
  <c r="L43" i="25"/>
  <c r="X42" i="25"/>
  <c r="W42" i="25"/>
  <c r="L42" i="25"/>
  <c r="X41" i="25"/>
  <c r="W41" i="25"/>
  <c r="L41" i="25"/>
  <c r="X40" i="25"/>
  <c r="W40" i="25"/>
  <c r="L40" i="25"/>
  <c r="X39" i="25"/>
  <c r="W39" i="25"/>
  <c r="L39" i="25"/>
  <c r="X38" i="25"/>
  <c r="W38" i="25"/>
  <c r="L38" i="25"/>
  <c r="X37" i="25"/>
  <c r="W37" i="25"/>
  <c r="L37" i="25"/>
  <c r="X36" i="25"/>
  <c r="W36" i="25"/>
  <c r="L36" i="25"/>
  <c r="X35" i="25"/>
  <c r="W35" i="25"/>
  <c r="L35" i="25"/>
  <c r="X34" i="25"/>
  <c r="W34" i="25"/>
  <c r="L34" i="25"/>
  <c r="X33" i="25"/>
  <c r="W33" i="25"/>
  <c r="L33" i="25"/>
  <c r="X32" i="25"/>
  <c r="W32" i="25"/>
  <c r="L32" i="25"/>
  <c r="X31" i="25"/>
  <c r="W31" i="25"/>
  <c r="L31" i="25"/>
  <c r="X30" i="25"/>
  <c r="W30" i="25"/>
  <c r="L30" i="25"/>
  <c r="X29" i="25"/>
  <c r="W29" i="25"/>
  <c r="L29" i="25"/>
  <c r="X28" i="25"/>
  <c r="W28" i="25"/>
  <c r="L28" i="25"/>
  <c r="X27" i="25"/>
  <c r="W27" i="25"/>
  <c r="L27" i="25"/>
  <c r="X26" i="25"/>
  <c r="W26" i="25"/>
  <c r="L26" i="25"/>
  <c r="X25" i="25"/>
  <c r="W25" i="25"/>
  <c r="L25" i="25"/>
  <c r="X24" i="25"/>
  <c r="W24" i="25"/>
  <c r="L24" i="25"/>
  <c r="X23" i="25"/>
  <c r="W23" i="25"/>
  <c r="L23" i="25"/>
  <c r="X22" i="25"/>
  <c r="W22" i="25"/>
  <c r="L22" i="25"/>
  <c r="X21" i="25"/>
  <c r="W21" i="25"/>
  <c r="L21" i="25"/>
  <c r="X20" i="25"/>
  <c r="W20" i="25"/>
  <c r="L20" i="25"/>
  <c r="X19" i="25"/>
  <c r="W19" i="25"/>
  <c r="L19" i="25"/>
  <c r="X18" i="25"/>
  <c r="W18" i="25"/>
  <c r="L18" i="25"/>
  <c r="X17" i="25"/>
  <c r="W17" i="25"/>
  <c r="L17" i="25"/>
  <c r="X16" i="25"/>
  <c r="W16" i="25"/>
  <c r="L16" i="25"/>
  <c r="X15" i="25"/>
  <c r="W15" i="25"/>
  <c r="L15" i="25"/>
  <c r="X14" i="25"/>
  <c r="W14" i="25"/>
  <c r="L14" i="25"/>
  <c r="X13" i="25"/>
  <c r="W13" i="25"/>
  <c r="L13" i="25"/>
  <c r="X12" i="25"/>
  <c r="W12" i="25"/>
  <c r="L12" i="25"/>
  <c r="X11" i="25"/>
  <c r="W11" i="25"/>
  <c r="L11" i="25"/>
  <c r="X10" i="25"/>
  <c r="W10" i="25"/>
  <c r="L10" i="25"/>
  <c r="X9" i="25"/>
  <c r="W9" i="25"/>
  <c r="L9" i="25"/>
  <c r="L6" i="25" s="1"/>
  <c r="X8" i="25"/>
  <c r="W8" i="25"/>
  <c r="L8" i="25"/>
  <c r="X7" i="25"/>
  <c r="W7" i="25"/>
  <c r="L7" i="25"/>
  <c r="U6" i="25"/>
  <c r="T6" i="25"/>
  <c r="S6" i="25"/>
  <c r="Y6" i="25" s="1"/>
  <c r="R6" i="25"/>
  <c r="Q6" i="25"/>
  <c r="P6" i="25"/>
  <c r="O6" i="25"/>
  <c r="N6" i="25"/>
  <c r="M6" i="25"/>
  <c r="J6" i="25"/>
  <c r="F6" i="25"/>
  <c r="E6" i="25"/>
  <c r="F324" i="24"/>
  <c r="E324" i="24"/>
  <c r="F314" i="24"/>
  <c r="E314" i="24"/>
  <c r="F292" i="24"/>
  <c r="E292" i="24"/>
  <c r="F282" i="24"/>
  <c r="E282" i="24"/>
  <c r="F272" i="24"/>
  <c r="E272" i="24"/>
  <c r="F262" i="24"/>
  <c r="F261" i="24" s="1"/>
  <c r="E262" i="24"/>
  <c r="E261" i="24" s="1"/>
  <c r="F251" i="24"/>
  <c r="E251" i="24"/>
  <c r="F241" i="24"/>
  <c r="E241" i="24"/>
  <c r="F231" i="24"/>
  <c r="E231" i="24"/>
  <c r="F221" i="24"/>
  <c r="E221" i="24"/>
  <c r="F211" i="24"/>
  <c r="E211" i="24"/>
  <c r="F182" i="24"/>
  <c r="E182" i="24"/>
  <c r="F176" i="24"/>
  <c r="E176" i="24"/>
  <c r="F170" i="24"/>
  <c r="E170" i="24"/>
  <c r="F164" i="24"/>
  <c r="E164" i="24"/>
  <c r="F158" i="24"/>
  <c r="E158" i="24"/>
  <c r="F152" i="24"/>
  <c r="F151" i="24" s="1"/>
  <c r="E152" i="24"/>
  <c r="F141" i="24"/>
  <c r="E141" i="24"/>
  <c r="F122" i="24"/>
  <c r="F115" i="24" s="1"/>
  <c r="E122" i="24"/>
  <c r="F116" i="24"/>
  <c r="E116" i="24"/>
  <c r="E115" i="24" s="1"/>
  <c r="F111" i="24"/>
  <c r="F89" i="24" s="1"/>
  <c r="E111" i="24"/>
  <c r="E89" i="24" s="1"/>
  <c r="F106" i="24"/>
  <c r="E106" i="24"/>
  <c r="F90" i="24"/>
  <c r="E90" i="24"/>
  <c r="F62" i="24"/>
  <c r="E62" i="24"/>
  <c r="F37" i="24"/>
  <c r="E37" i="24"/>
  <c r="F33" i="24"/>
  <c r="E33" i="24"/>
  <c r="F16" i="24"/>
  <c r="E16" i="24"/>
  <c r="F6" i="24"/>
  <c r="E6" i="24"/>
  <c r="F188" i="23"/>
  <c r="E188" i="23"/>
  <c r="F184" i="23"/>
  <c r="E184" i="23"/>
  <c r="F169" i="23"/>
  <c r="E169" i="23"/>
  <c r="F165" i="23"/>
  <c r="E165" i="23"/>
  <c r="F160" i="23"/>
  <c r="E160" i="23"/>
  <c r="F155" i="23"/>
  <c r="E155" i="23"/>
  <c r="F146" i="23"/>
  <c r="E146" i="23"/>
  <c r="F139" i="23"/>
  <c r="E139" i="23"/>
  <c r="F134" i="23"/>
  <c r="E134" i="23"/>
  <c r="F130" i="23"/>
  <c r="E130" i="23"/>
  <c r="F127" i="23"/>
  <c r="E127" i="23"/>
  <c r="X125" i="23"/>
  <c r="W125" i="23"/>
  <c r="L125" i="23"/>
  <c r="X124" i="23"/>
  <c r="W124" i="23"/>
  <c r="L124" i="23"/>
  <c r="X123" i="23"/>
  <c r="W123" i="23"/>
  <c r="L123" i="23"/>
  <c r="X122" i="23"/>
  <c r="W122" i="23"/>
  <c r="L122" i="23"/>
  <c r="X121" i="23"/>
  <c r="W121" i="23"/>
  <c r="L121" i="23"/>
  <c r="X120" i="23"/>
  <c r="W120" i="23"/>
  <c r="L120" i="23"/>
  <c r="X119" i="23"/>
  <c r="W119" i="23"/>
  <c r="L119" i="23"/>
  <c r="X118" i="23"/>
  <c r="W118" i="23"/>
  <c r="L118" i="23"/>
  <c r="X117" i="23"/>
  <c r="W117" i="23"/>
  <c r="L117" i="23"/>
  <c r="X116" i="23"/>
  <c r="W116" i="23"/>
  <c r="L116" i="23"/>
  <c r="X115" i="23"/>
  <c r="W115" i="23"/>
  <c r="L115" i="23"/>
  <c r="X114" i="23"/>
  <c r="W114" i="23"/>
  <c r="L114" i="23"/>
  <c r="X113" i="23"/>
  <c r="W113" i="23"/>
  <c r="L113" i="23"/>
  <c r="X112" i="23"/>
  <c r="W112" i="23"/>
  <c r="L112" i="23"/>
  <c r="X111" i="23"/>
  <c r="W111" i="23"/>
  <c r="L111" i="23"/>
  <c r="X110" i="23"/>
  <c r="W110" i="23"/>
  <c r="L110" i="23"/>
  <c r="X109" i="23"/>
  <c r="W109" i="23"/>
  <c r="L109" i="23"/>
  <c r="X108" i="23"/>
  <c r="W108" i="23"/>
  <c r="L108" i="23"/>
  <c r="X107" i="23"/>
  <c r="W107" i="23"/>
  <c r="L107" i="23"/>
  <c r="X106" i="23"/>
  <c r="W106" i="23"/>
  <c r="L106" i="23"/>
  <c r="X105" i="23"/>
  <c r="W105" i="23"/>
  <c r="L105" i="23"/>
  <c r="X104" i="23"/>
  <c r="W104" i="23"/>
  <c r="L104" i="23"/>
  <c r="X103" i="23"/>
  <c r="W103" i="23"/>
  <c r="L103" i="23"/>
  <c r="X102" i="23"/>
  <c r="W102" i="23"/>
  <c r="L102" i="23"/>
  <c r="X101" i="23"/>
  <c r="W101" i="23"/>
  <c r="L101" i="23"/>
  <c r="X100" i="23"/>
  <c r="W100" i="23"/>
  <c r="L100" i="23"/>
  <c r="X99" i="23"/>
  <c r="W99" i="23"/>
  <c r="L99" i="23"/>
  <c r="X98" i="23"/>
  <c r="W98" i="23"/>
  <c r="L98" i="23"/>
  <c r="X97" i="23"/>
  <c r="W97" i="23"/>
  <c r="L97" i="23"/>
  <c r="X96" i="23"/>
  <c r="W96" i="23"/>
  <c r="L96" i="23"/>
  <c r="X95" i="23"/>
  <c r="W95" i="23"/>
  <c r="L95" i="23"/>
  <c r="X94" i="23"/>
  <c r="W94" i="23"/>
  <c r="L94" i="23"/>
  <c r="X93" i="23"/>
  <c r="W93" i="23"/>
  <c r="L93" i="23"/>
  <c r="X92" i="23"/>
  <c r="W92" i="23"/>
  <c r="L92" i="23"/>
  <c r="X91" i="23"/>
  <c r="W91" i="23"/>
  <c r="L91" i="23"/>
  <c r="X90" i="23"/>
  <c r="W90" i="23"/>
  <c r="L90" i="23"/>
  <c r="X89" i="23"/>
  <c r="W89" i="23"/>
  <c r="L89" i="23"/>
  <c r="X88" i="23"/>
  <c r="W88" i="23"/>
  <c r="L88" i="23"/>
  <c r="X87" i="23"/>
  <c r="W87" i="23"/>
  <c r="L87" i="23"/>
  <c r="X86" i="23"/>
  <c r="W86" i="23"/>
  <c r="L86" i="23"/>
  <c r="X85" i="23"/>
  <c r="W85" i="23"/>
  <c r="L85" i="23"/>
  <c r="X84" i="23"/>
  <c r="W84" i="23"/>
  <c r="L84" i="23"/>
  <c r="X83" i="23"/>
  <c r="W83" i="23"/>
  <c r="L83" i="23"/>
  <c r="X82" i="23"/>
  <c r="W82" i="23"/>
  <c r="L82" i="23"/>
  <c r="X81" i="23"/>
  <c r="W81" i="23"/>
  <c r="L81" i="23"/>
  <c r="X80" i="23"/>
  <c r="W80" i="23"/>
  <c r="L80" i="23"/>
  <c r="X79" i="23"/>
  <c r="W79" i="23"/>
  <c r="L79" i="23"/>
  <c r="X78" i="23"/>
  <c r="W78" i="23"/>
  <c r="L78" i="23"/>
  <c r="X77" i="23"/>
  <c r="W77" i="23"/>
  <c r="L77" i="23"/>
  <c r="X76" i="23"/>
  <c r="W76" i="23"/>
  <c r="L76" i="23"/>
  <c r="X75" i="23"/>
  <c r="W75" i="23"/>
  <c r="L75" i="23"/>
  <c r="X74" i="23"/>
  <c r="W74" i="23"/>
  <c r="L74" i="23"/>
  <c r="X73" i="23"/>
  <c r="W73" i="23"/>
  <c r="L73" i="23"/>
  <c r="X72" i="23"/>
  <c r="W72" i="23"/>
  <c r="L72" i="23"/>
  <c r="X71" i="23"/>
  <c r="W71" i="23"/>
  <c r="L71" i="23"/>
  <c r="X70" i="23"/>
  <c r="W70" i="23"/>
  <c r="L70" i="23"/>
  <c r="X69" i="23"/>
  <c r="W69" i="23"/>
  <c r="L69" i="23"/>
  <c r="X68" i="23"/>
  <c r="W68" i="23"/>
  <c r="L68" i="23"/>
  <c r="X67" i="23"/>
  <c r="W67" i="23"/>
  <c r="L67" i="23"/>
  <c r="X66" i="23"/>
  <c r="W66" i="23"/>
  <c r="L66" i="23"/>
  <c r="X65" i="23"/>
  <c r="W65" i="23"/>
  <c r="L65" i="23"/>
  <c r="X64" i="23"/>
  <c r="W64" i="23"/>
  <c r="L64" i="23"/>
  <c r="X63" i="23"/>
  <c r="W63" i="23"/>
  <c r="L63" i="23"/>
  <c r="X62" i="23"/>
  <c r="W62" i="23"/>
  <c r="L62" i="23"/>
  <c r="X61" i="23"/>
  <c r="W61" i="23"/>
  <c r="L61" i="23"/>
  <c r="X60" i="23"/>
  <c r="W60" i="23"/>
  <c r="L60" i="23"/>
  <c r="X59" i="23"/>
  <c r="W59" i="23"/>
  <c r="L59" i="23"/>
  <c r="X58" i="23"/>
  <c r="W58" i="23"/>
  <c r="L58" i="23"/>
  <c r="X57" i="23"/>
  <c r="W57" i="23"/>
  <c r="L57" i="23"/>
  <c r="X56" i="23"/>
  <c r="W56" i="23"/>
  <c r="L56" i="23"/>
  <c r="X55" i="23"/>
  <c r="W55" i="23"/>
  <c r="L55" i="23"/>
  <c r="X54" i="23"/>
  <c r="W54" i="23"/>
  <c r="L54" i="23"/>
  <c r="X53" i="23"/>
  <c r="W53" i="23"/>
  <c r="L53" i="23"/>
  <c r="X52" i="23"/>
  <c r="W52" i="23"/>
  <c r="L52" i="23"/>
  <c r="X51" i="23"/>
  <c r="W51" i="23"/>
  <c r="L51" i="23"/>
  <c r="X50" i="23"/>
  <c r="W50" i="23"/>
  <c r="L50" i="23"/>
  <c r="X49" i="23"/>
  <c r="W49" i="23"/>
  <c r="L49" i="23"/>
  <c r="X48" i="23"/>
  <c r="W48" i="23"/>
  <c r="L48" i="23"/>
  <c r="X47" i="23"/>
  <c r="W47" i="23"/>
  <c r="L47" i="23"/>
  <c r="X46" i="23"/>
  <c r="W46" i="23"/>
  <c r="L46" i="23"/>
  <c r="X45" i="23"/>
  <c r="W45" i="23"/>
  <c r="L45" i="23"/>
  <c r="X44" i="23"/>
  <c r="W44" i="23"/>
  <c r="L44" i="23"/>
  <c r="X43" i="23"/>
  <c r="W43" i="23"/>
  <c r="L43" i="23"/>
  <c r="X42" i="23"/>
  <c r="W42" i="23"/>
  <c r="L42" i="23"/>
  <c r="X41" i="23"/>
  <c r="W41" i="23"/>
  <c r="L41" i="23"/>
  <c r="X40" i="23"/>
  <c r="W40" i="23"/>
  <c r="L40" i="23"/>
  <c r="X39" i="23"/>
  <c r="W39" i="23"/>
  <c r="L39" i="23"/>
  <c r="X38" i="23"/>
  <c r="W38" i="23"/>
  <c r="L38" i="23"/>
  <c r="X37" i="23"/>
  <c r="W37" i="23"/>
  <c r="L37" i="23"/>
  <c r="X36" i="23"/>
  <c r="W36" i="23"/>
  <c r="L36" i="23"/>
  <c r="X35" i="23"/>
  <c r="W35" i="23"/>
  <c r="L35" i="23"/>
  <c r="X34" i="23"/>
  <c r="W34" i="23"/>
  <c r="L34" i="23"/>
  <c r="X33" i="23"/>
  <c r="W33" i="23"/>
  <c r="L33" i="23"/>
  <c r="X32" i="23"/>
  <c r="W32" i="23"/>
  <c r="L32" i="23"/>
  <c r="X31" i="23"/>
  <c r="W31" i="23"/>
  <c r="L31" i="23"/>
  <c r="X30" i="23"/>
  <c r="W30" i="23"/>
  <c r="L30" i="23"/>
  <c r="X29" i="23"/>
  <c r="W29" i="23"/>
  <c r="L29" i="23"/>
  <c r="X28" i="23"/>
  <c r="W28" i="23"/>
  <c r="L28" i="23"/>
  <c r="X27" i="23"/>
  <c r="W27" i="23"/>
  <c r="L27" i="23"/>
  <c r="X26" i="23"/>
  <c r="W26" i="23"/>
  <c r="L26" i="23"/>
  <c r="X25" i="23"/>
  <c r="W25" i="23"/>
  <c r="L25" i="23"/>
  <c r="X24" i="23"/>
  <c r="W24" i="23"/>
  <c r="L24" i="23"/>
  <c r="X23" i="23"/>
  <c r="W23" i="23"/>
  <c r="L23" i="23"/>
  <c r="X22" i="23"/>
  <c r="W22" i="23"/>
  <c r="L22" i="23"/>
  <c r="X21" i="23"/>
  <c r="W21" i="23"/>
  <c r="L21" i="23"/>
  <c r="X20" i="23"/>
  <c r="W20" i="23"/>
  <c r="L20" i="23"/>
  <c r="X19" i="23"/>
  <c r="W19" i="23"/>
  <c r="L19" i="23"/>
  <c r="X18" i="23"/>
  <c r="W18" i="23"/>
  <c r="L18" i="23"/>
  <c r="X17" i="23"/>
  <c r="W17" i="23"/>
  <c r="L17" i="23"/>
  <c r="X16" i="23"/>
  <c r="W16" i="23"/>
  <c r="L16" i="23"/>
  <c r="X15" i="23"/>
  <c r="W15" i="23"/>
  <c r="L15" i="23"/>
  <c r="X14" i="23"/>
  <c r="W14" i="23"/>
  <c r="L14" i="23"/>
  <c r="X13" i="23"/>
  <c r="W13" i="23"/>
  <c r="L13" i="23"/>
  <c r="X12" i="23"/>
  <c r="W12" i="23"/>
  <c r="L12" i="23"/>
  <c r="X11" i="23"/>
  <c r="W11" i="23"/>
  <c r="L11" i="23"/>
  <c r="X10" i="23"/>
  <c r="W10" i="23"/>
  <c r="L10" i="23"/>
  <c r="X9" i="23"/>
  <c r="W9" i="23"/>
  <c r="L9" i="23"/>
  <c r="X8" i="23"/>
  <c r="W8" i="23"/>
  <c r="L8" i="23"/>
  <c r="X7" i="23"/>
  <c r="W7" i="23"/>
  <c r="L7" i="23"/>
  <c r="Y6" i="23"/>
  <c r="U6" i="23"/>
  <c r="T6" i="23"/>
  <c r="S6" i="23"/>
  <c r="R6" i="23"/>
  <c r="Q6" i="23"/>
  <c r="P6" i="23"/>
  <c r="O6" i="23"/>
  <c r="N6" i="23"/>
  <c r="M6" i="23"/>
  <c r="L6" i="23"/>
  <c r="J6" i="23"/>
  <c r="F6" i="23"/>
  <c r="W6" i="23" s="1"/>
  <c r="E6" i="23"/>
  <c r="F310" i="20"/>
  <c r="I121" i="33" s="1"/>
  <c r="E310" i="20"/>
  <c r="F300" i="20"/>
  <c r="E300" i="20"/>
  <c r="F290" i="20"/>
  <c r="E290" i="20"/>
  <c r="F280" i="20"/>
  <c r="E280" i="20"/>
  <c r="F270" i="20"/>
  <c r="E270" i="20"/>
  <c r="F260" i="20"/>
  <c r="F259" i="20" s="1"/>
  <c r="E260" i="20"/>
  <c r="F249" i="20"/>
  <c r="E249" i="20"/>
  <c r="F239" i="20"/>
  <c r="E239" i="20"/>
  <c r="F229" i="20"/>
  <c r="E229" i="20"/>
  <c r="F219" i="20"/>
  <c r="E219" i="20"/>
  <c r="F209" i="20"/>
  <c r="E209" i="20"/>
  <c r="F180" i="20"/>
  <c r="E180" i="20"/>
  <c r="F174" i="20"/>
  <c r="E174" i="20"/>
  <c r="F168" i="20"/>
  <c r="E168" i="20"/>
  <c r="F162" i="20"/>
  <c r="E162" i="20"/>
  <c r="F156" i="20"/>
  <c r="E156" i="20"/>
  <c r="F150" i="20"/>
  <c r="F149" i="20" s="1"/>
  <c r="F4" i="20" s="1"/>
  <c r="E150" i="20"/>
  <c r="F139" i="20"/>
  <c r="E139" i="20"/>
  <c r="F120" i="20"/>
  <c r="F113" i="20" s="1"/>
  <c r="E120" i="20"/>
  <c r="F114" i="20"/>
  <c r="E114" i="20"/>
  <c r="E113" i="20" s="1"/>
  <c r="F109" i="20"/>
  <c r="F87" i="20" s="1"/>
  <c r="E109" i="20"/>
  <c r="E87" i="20" s="1"/>
  <c r="F104" i="20"/>
  <c r="E104" i="20"/>
  <c r="F88" i="20"/>
  <c r="E88" i="20"/>
  <c r="F63" i="20"/>
  <c r="E63" i="20"/>
  <c r="F38" i="20"/>
  <c r="E38" i="20"/>
  <c r="F34" i="20"/>
  <c r="E34" i="20"/>
  <c r="F16" i="20"/>
  <c r="E16" i="20"/>
  <c r="F6" i="20"/>
  <c r="E6" i="20"/>
  <c r="F186" i="19"/>
  <c r="E186" i="19"/>
  <c r="F182" i="19"/>
  <c r="E182" i="19"/>
  <c r="F168" i="19"/>
  <c r="F167" i="19" s="1"/>
  <c r="E167" i="19"/>
  <c r="F163" i="19"/>
  <c r="E163" i="19"/>
  <c r="F162" i="19"/>
  <c r="F161" i="19"/>
  <c r="F159" i="19"/>
  <c r="F158" i="19" s="1"/>
  <c r="E158" i="19"/>
  <c r="F156" i="19"/>
  <c r="F154" i="19"/>
  <c r="F153" i="19"/>
  <c r="E153" i="19"/>
  <c r="E152" i="19" s="1"/>
  <c r="F151" i="19"/>
  <c r="F150" i="19"/>
  <c r="F146" i="19"/>
  <c r="E146" i="19"/>
  <c r="E126" i="19" s="1"/>
  <c r="F139" i="19"/>
  <c r="E139" i="19"/>
  <c r="F134" i="19"/>
  <c r="E134" i="19"/>
  <c r="F133" i="19"/>
  <c r="F130" i="19" s="1"/>
  <c r="E130" i="19"/>
  <c r="F127" i="19"/>
  <c r="E127" i="19"/>
  <c r="X125" i="19"/>
  <c r="W125" i="19"/>
  <c r="L125" i="19"/>
  <c r="X124" i="19"/>
  <c r="W124" i="19"/>
  <c r="L124" i="19"/>
  <c r="X123" i="19"/>
  <c r="W123" i="19"/>
  <c r="L123" i="19"/>
  <c r="X122" i="19"/>
  <c r="W122" i="19"/>
  <c r="L122" i="19"/>
  <c r="X121" i="19"/>
  <c r="W121" i="19"/>
  <c r="L121" i="19"/>
  <c r="X120" i="19"/>
  <c r="W120" i="19"/>
  <c r="L120" i="19"/>
  <c r="X119" i="19"/>
  <c r="W119" i="19"/>
  <c r="L119" i="19"/>
  <c r="X118" i="19"/>
  <c r="W118" i="19"/>
  <c r="L118" i="19"/>
  <c r="X117" i="19"/>
  <c r="W117" i="19"/>
  <c r="L117" i="19"/>
  <c r="X116" i="19"/>
  <c r="W116" i="19"/>
  <c r="L116" i="19"/>
  <c r="X115" i="19"/>
  <c r="W115" i="19"/>
  <c r="L115" i="19"/>
  <c r="X114" i="19"/>
  <c r="W114" i="19"/>
  <c r="L114" i="19"/>
  <c r="X113" i="19"/>
  <c r="W113" i="19"/>
  <c r="L113" i="19"/>
  <c r="X112" i="19"/>
  <c r="W112" i="19"/>
  <c r="L112" i="19"/>
  <c r="X111" i="19"/>
  <c r="W111" i="19"/>
  <c r="L111" i="19"/>
  <c r="X110" i="19"/>
  <c r="W110" i="19"/>
  <c r="L110" i="19"/>
  <c r="X109" i="19"/>
  <c r="W109" i="19"/>
  <c r="L109" i="19"/>
  <c r="X108" i="19"/>
  <c r="W108" i="19"/>
  <c r="L108" i="19"/>
  <c r="X107" i="19"/>
  <c r="W107" i="19"/>
  <c r="L107" i="19"/>
  <c r="X106" i="19"/>
  <c r="W106" i="19"/>
  <c r="L106" i="19"/>
  <c r="X105" i="19"/>
  <c r="W105" i="19"/>
  <c r="L105" i="19"/>
  <c r="M104" i="19"/>
  <c r="F104" i="19" s="1"/>
  <c r="W104" i="19" s="1"/>
  <c r="X104" i="19" s="1"/>
  <c r="L104" i="19"/>
  <c r="L103" i="19"/>
  <c r="E103" i="19"/>
  <c r="F103" i="19" s="1"/>
  <c r="W103" i="19" s="1"/>
  <c r="X103" i="19" s="1"/>
  <c r="L102" i="19"/>
  <c r="E102" i="19"/>
  <c r="F102" i="19" s="1"/>
  <c r="W102" i="19" s="1"/>
  <c r="X102" i="19" s="1"/>
  <c r="X101" i="19"/>
  <c r="W101" i="19"/>
  <c r="L101" i="19"/>
  <c r="F101" i="19"/>
  <c r="E101" i="19"/>
  <c r="L100" i="19"/>
  <c r="E100" i="19"/>
  <c r="F100" i="19" s="1"/>
  <c r="W100" i="19" s="1"/>
  <c r="X100" i="19" s="1"/>
  <c r="W99" i="19"/>
  <c r="X99" i="19" s="1"/>
  <c r="L99" i="19"/>
  <c r="F99" i="19"/>
  <c r="E99" i="19"/>
  <c r="L98" i="19"/>
  <c r="F98" i="19"/>
  <c r="W98" i="19" s="1"/>
  <c r="X98" i="19" s="1"/>
  <c r="E98" i="19"/>
  <c r="W97" i="19"/>
  <c r="X97" i="19" s="1"/>
  <c r="L97" i="19"/>
  <c r="E97" i="19"/>
  <c r="U96" i="19"/>
  <c r="P96" i="19"/>
  <c r="O96" i="19"/>
  <c r="N96" i="19"/>
  <c r="M96" i="19"/>
  <c r="F96" i="19" s="1"/>
  <c r="W96" i="19" s="1"/>
  <c r="X96" i="19" s="1"/>
  <c r="L96" i="19"/>
  <c r="U95" i="19"/>
  <c r="P95" i="19"/>
  <c r="O95" i="19"/>
  <c r="N95" i="19"/>
  <c r="M95" i="19"/>
  <c r="L95" i="19"/>
  <c r="X94" i="19"/>
  <c r="L94" i="19"/>
  <c r="F94" i="19"/>
  <c r="W94" i="19" s="1"/>
  <c r="E94" i="19"/>
  <c r="L93" i="19"/>
  <c r="E93" i="19"/>
  <c r="F93" i="19" s="1"/>
  <c r="W93" i="19" s="1"/>
  <c r="X93" i="19" s="1"/>
  <c r="W92" i="19"/>
  <c r="X92" i="19" s="1"/>
  <c r="L92" i="19"/>
  <c r="E92" i="19"/>
  <c r="L91" i="19"/>
  <c r="F91" i="19"/>
  <c r="W91" i="19" s="1"/>
  <c r="X91" i="19" s="1"/>
  <c r="E91" i="19"/>
  <c r="L90" i="19"/>
  <c r="E90" i="19"/>
  <c r="F90" i="19" s="1"/>
  <c r="W90" i="19" s="1"/>
  <c r="X90" i="19" s="1"/>
  <c r="L89" i="19"/>
  <c r="F89" i="19"/>
  <c r="W89" i="19" s="1"/>
  <c r="X89" i="19" s="1"/>
  <c r="E89" i="19"/>
  <c r="W88" i="19"/>
  <c r="X88" i="19" s="1"/>
  <c r="L88" i="19"/>
  <c r="E88" i="19"/>
  <c r="F88" i="19" s="1"/>
  <c r="W87" i="19"/>
  <c r="X87" i="19" s="1"/>
  <c r="L87" i="19"/>
  <c r="F87" i="19"/>
  <c r="E87" i="19"/>
  <c r="L86" i="19"/>
  <c r="F86" i="19"/>
  <c r="W86" i="19" s="1"/>
  <c r="X86" i="19" s="1"/>
  <c r="E86" i="19"/>
  <c r="L85" i="19"/>
  <c r="E85" i="19"/>
  <c r="F85" i="19" s="1"/>
  <c r="W85" i="19" s="1"/>
  <c r="X85" i="19" s="1"/>
  <c r="L84" i="19"/>
  <c r="E84" i="19"/>
  <c r="F84" i="19" s="1"/>
  <c r="W84" i="19" s="1"/>
  <c r="X84" i="19" s="1"/>
  <c r="X83" i="19"/>
  <c r="W83" i="19"/>
  <c r="L83" i="19"/>
  <c r="F83" i="19"/>
  <c r="E83" i="19"/>
  <c r="L82" i="19"/>
  <c r="E82" i="19"/>
  <c r="F82" i="19" s="1"/>
  <c r="W82" i="19" s="1"/>
  <c r="X82" i="19" s="1"/>
  <c r="W81" i="19"/>
  <c r="X81" i="19" s="1"/>
  <c r="L81" i="19"/>
  <c r="F81" i="19"/>
  <c r="E81" i="19"/>
  <c r="L80" i="19"/>
  <c r="F80" i="19"/>
  <c r="W80" i="19" s="1"/>
  <c r="X80" i="19" s="1"/>
  <c r="E80" i="19"/>
  <c r="L79" i="19"/>
  <c r="E79" i="19"/>
  <c r="F79" i="19" s="1"/>
  <c r="W79" i="19" s="1"/>
  <c r="X79" i="19" s="1"/>
  <c r="L78" i="19"/>
  <c r="E78" i="19"/>
  <c r="F78" i="19" s="1"/>
  <c r="W78" i="19" s="1"/>
  <c r="X78" i="19" s="1"/>
  <c r="L77" i="19"/>
  <c r="F77" i="19"/>
  <c r="W77" i="19" s="1"/>
  <c r="X77" i="19" s="1"/>
  <c r="E77" i="19"/>
  <c r="W76" i="19"/>
  <c r="X76" i="19" s="1"/>
  <c r="L76" i="19"/>
  <c r="E76" i="19"/>
  <c r="F76" i="19" s="1"/>
  <c r="W75" i="19"/>
  <c r="X75" i="19" s="1"/>
  <c r="L75" i="19"/>
  <c r="F75" i="19"/>
  <c r="E75" i="19"/>
  <c r="L74" i="19"/>
  <c r="F74" i="19"/>
  <c r="W74" i="19" s="1"/>
  <c r="X74" i="19" s="1"/>
  <c r="E74" i="19"/>
  <c r="W73" i="19"/>
  <c r="X73" i="19" s="1"/>
  <c r="L73" i="19"/>
  <c r="E73" i="19"/>
  <c r="X72" i="19"/>
  <c r="W72" i="19"/>
  <c r="L72" i="19"/>
  <c r="E72" i="19"/>
  <c r="W71" i="19"/>
  <c r="X71" i="19" s="1"/>
  <c r="L71" i="19"/>
  <c r="F71" i="19"/>
  <c r="E71" i="19"/>
  <c r="L70" i="19"/>
  <c r="F70" i="19"/>
  <c r="W70" i="19" s="1"/>
  <c r="X70" i="19" s="1"/>
  <c r="E70" i="19"/>
  <c r="U69" i="19"/>
  <c r="P69" i="19"/>
  <c r="O69" i="19"/>
  <c r="N69" i="19"/>
  <c r="M69" i="19"/>
  <c r="F69" i="19" s="1"/>
  <c r="W69" i="19" s="1"/>
  <c r="X69" i="19" s="1"/>
  <c r="L69" i="19"/>
  <c r="W68" i="19"/>
  <c r="X68" i="19" s="1"/>
  <c r="U68" i="19"/>
  <c r="P68" i="19"/>
  <c r="O68" i="19"/>
  <c r="N68" i="19"/>
  <c r="M68" i="19"/>
  <c r="F68" i="19" s="1"/>
  <c r="L68" i="19"/>
  <c r="L67" i="19"/>
  <c r="E67" i="19"/>
  <c r="F67" i="19" s="1"/>
  <c r="W67" i="19" s="1"/>
  <c r="X67" i="19" s="1"/>
  <c r="L66" i="19"/>
  <c r="E66" i="19"/>
  <c r="F66" i="19" s="1"/>
  <c r="W66" i="19" s="1"/>
  <c r="X66" i="19" s="1"/>
  <c r="X65" i="19"/>
  <c r="W65" i="19"/>
  <c r="L65" i="19"/>
  <c r="F65" i="19"/>
  <c r="E65" i="19"/>
  <c r="L64" i="19"/>
  <c r="E64" i="19"/>
  <c r="F64" i="19" s="1"/>
  <c r="W64" i="19" s="1"/>
  <c r="X64" i="19" s="1"/>
  <c r="W63" i="19"/>
  <c r="X63" i="19" s="1"/>
  <c r="L63" i="19"/>
  <c r="F63" i="19"/>
  <c r="E63" i="19"/>
  <c r="X62" i="19"/>
  <c r="W62" i="19"/>
  <c r="L62" i="19"/>
  <c r="E62" i="19"/>
  <c r="U61" i="19"/>
  <c r="L61" i="19"/>
  <c r="F61" i="19"/>
  <c r="W61" i="19" s="1"/>
  <c r="X61" i="19" s="1"/>
  <c r="X60" i="19"/>
  <c r="M60" i="19"/>
  <c r="L60" i="19"/>
  <c r="E60" i="19"/>
  <c r="F60" i="19" s="1"/>
  <c r="W60" i="19" s="1"/>
  <c r="X59" i="19"/>
  <c r="M59" i="19"/>
  <c r="L59" i="19"/>
  <c r="E59" i="19"/>
  <c r="F59" i="19" s="1"/>
  <c r="W59" i="19" s="1"/>
  <c r="M58" i="19"/>
  <c r="F58" i="19" s="1"/>
  <c r="W58" i="19" s="1"/>
  <c r="X58" i="19" s="1"/>
  <c r="L58" i="19"/>
  <c r="L57" i="19"/>
  <c r="E57" i="19"/>
  <c r="F57" i="19" s="1"/>
  <c r="W57" i="19" s="1"/>
  <c r="X57" i="19" s="1"/>
  <c r="W56" i="19"/>
  <c r="X56" i="19" s="1"/>
  <c r="L56" i="19"/>
  <c r="F56" i="19"/>
  <c r="E56" i="19"/>
  <c r="M55" i="19"/>
  <c r="F55" i="19" s="1"/>
  <c r="W55" i="19" s="1"/>
  <c r="X55" i="19" s="1"/>
  <c r="L55" i="19"/>
  <c r="W54" i="19"/>
  <c r="X54" i="19" s="1"/>
  <c r="L54" i="19"/>
  <c r="E54" i="19"/>
  <c r="X53" i="19"/>
  <c r="W53" i="19"/>
  <c r="L53" i="19"/>
  <c r="E53" i="19"/>
  <c r="W52" i="19"/>
  <c r="X52" i="19" s="1"/>
  <c r="L52" i="19"/>
  <c r="F52" i="19"/>
  <c r="E52" i="19"/>
  <c r="L51" i="19"/>
  <c r="F51" i="19"/>
  <c r="W51" i="19" s="1"/>
  <c r="X51" i="19" s="1"/>
  <c r="E51" i="19"/>
  <c r="L50" i="19"/>
  <c r="E50" i="19"/>
  <c r="F50" i="19" s="1"/>
  <c r="W50" i="19" s="1"/>
  <c r="X50" i="19" s="1"/>
  <c r="L49" i="19"/>
  <c r="E49" i="19"/>
  <c r="F49" i="19" s="1"/>
  <c r="W49" i="19" s="1"/>
  <c r="X49" i="19" s="1"/>
  <c r="X48" i="19"/>
  <c r="W48" i="19"/>
  <c r="L48" i="19"/>
  <c r="F48" i="19"/>
  <c r="E48" i="19"/>
  <c r="L47" i="19"/>
  <c r="E47" i="19"/>
  <c r="F47" i="19" s="1"/>
  <c r="W47" i="19" s="1"/>
  <c r="X47" i="19" s="1"/>
  <c r="W46" i="19"/>
  <c r="X46" i="19" s="1"/>
  <c r="L46" i="19"/>
  <c r="F46" i="19"/>
  <c r="E46" i="19"/>
  <c r="X45" i="19"/>
  <c r="W45" i="19"/>
  <c r="L45" i="19"/>
  <c r="X44" i="19"/>
  <c r="W44" i="19"/>
  <c r="L44" i="19"/>
  <c r="M43" i="19"/>
  <c r="F43" i="19" s="1"/>
  <c r="W43" i="19" s="1"/>
  <c r="X43" i="19" s="1"/>
  <c r="L43" i="19"/>
  <c r="M42" i="19"/>
  <c r="L42" i="19"/>
  <c r="F42" i="19"/>
  <c r="W42" i="19" s="1"/>
  <c r="X42" i="19" s="1"/>
  <c r="X41" i="19"/>
  <c r="W41" i="19"/>
  <c r="L41" i="19"/>
  <c r="E41" i="19"/>
  <c r="W40" i="19"/>
  <c r="X40" i="19" s="1"/>
  <c r="L40" i="19"/>
  <c r="E40" i="19"/>
  <c r="F40" i="19" s="1"/>
  <c r="W39" i="19"/>
  <c r="X39" i="19" s="1"/>
  <c r="L39" i="19"/>
  <c r="F39" i="19"/>
  <c r="E39" i="19"/>
  <c r="L38" i="19"/>
  <c r="F38" i="19"/>
  <c r="W38" i="19" s="1"/>
  <c r="X38" i="19" s="1"/>
  <c r="E38" i="19"/>
  <c r="L37" i="19"/>
  <c r="E37" i="19"/>
  <c r="F37" i="19" s="1"/>
  <c r="W37" i="19" s="1"/>
  <c r="X37" i="19" s="1"/>
  <c r="L36" i="19"/>
  <c r="E36" i="19"/>
  <c r="F36" i="19" s="1"/>
  <c r="W36" i="19" s="1"/>
  <c r="X36" i="19" s="1"/>
  <c r="X35" i="19"/>
  <c r="W35" i="19"/>
  <c r="L35" i="19"/>
  <c r="F35" i="19"/>
  <c r="E35" i="19"/>
  <c r="L34" i="19"/>
  <c r="E34" i="19"/>
  <c r="F34" i="19" s="1"/>
  <c r="W34" i="19" s="1"/>
  <c r="X34" i="19" s="1"/>
  <c r="W33" i="19"/>
  <c r="X33" i="19" s="1"/>
  <c r="L33" i="19"/>
  <c r="E33" i="19"/>
  <c r="L32" i="19"/>
  <c r="E32" i="19"/>
  <c r="F32" i="19" s="1"/>
  <c r="W32" i="19" s="1"/>
  <c r="X32" i="19" s="1"/>
  <c r="L31" i="19"/>
  <c r="E31" i="19"/>
  <c r="F31" i="19" s="1"/>
  <c r="W31" i="19" s="1"/>
  <c r="X31" i="19" s="1"/>
  <c r="X30" i="19"/>
  <c r="W30" i="19"/>
  <c r="L30" i="19"/>
  <c r="E30" i="19"/>
  <c r="W29" i="19"/>
  <c r="X29" i="19" s="1"/>
  <c r="L29" i="19"/>
  <c r="E29" i="19"/>
  <c r="L28" i="19"/>
  <c r="E28" i="19"/>
  <c r="F28" i="19" s="1"/>
  <c r="W28" i="19" s="1"/>
  <c r="X28" i="19" s="1"/>
  <c r="L27" i="19"/>
  <c r="E27" i="19"/>
  <c r="F27" i="19" s="1"/>
  <c r="W27" i="19" s="1"/>
  <c r="X27" i="19" s="1"/>
  <c r="L26" i="19"/>
  <c r="F26" i="19"/>
  <c r="W26" i="19" s="1"/>
  <c r="X26" i="19" s="1"/>
  <c r="E26" i="19"/>
  <c r="L25" i="19"/>
  <c r="E25" i="19"/>
  <c r="F25" i="19" s="1"/>
  <c r="W25" i="19" s="1"/>
  <c r="X25" i="19" s="1"/>
  <c r="W24" i="19"/>
  <c r="X24" i="19" s="1"/>
  <c r="L24" i="19"/>
  <c r="F24" i="19"/>
  <c r="E24" i="19"/>
  <c r="X23" i="19"/>
  <c r="W23" i="19"/>
  <c r="L23" i="19"/>
  <c r="E23" i="19"/>
  <c r="O22" i="19"/>
  <c r="N22" i="19"/>
  <c r="M22" i="19"/>
  <c r="F22" i="19" s="1"/>
  <c r="W22" i="19" s="1"/>
  <c r="X22" i="19" s="1"/>
  <c r="L22" i="19"/>
  <c r="U21" i="19"/>
  <c r="O21" i="19"/>
  <c r="N21" i="19"/>
  <c r="M21" i="19"/>
  <c r="L21" i="19"/>
  <c r="W20" i="19"/>
  <c r="X20" i="19" s="1"/>
  <c r="L20" i="19"/>
  <c r="F20" i="19"/>
  <c r="E20" i="19"/>
  <c r="L19" i="19"/>
  <c r="F19" i="19"/>
  <c r="W19" i="19" s="1"/>
  <c r="X19" i="19" s="1"/>
  <c r="E19" i="19"/>
  <c r="L18" i="19"/>
  <c r="E18" i="19"/>
  <c r="F18" i="19" s="1"/>
  <c r="W18" i="19" s="1"/>
  <c r="X18" i="19" s="1"/>
  <c r="L17" i="19"/>
  <c r="E17" i="19"/>
  <c r="F17" i="19" s="1"/>
  <c r="W17" i="19" s="1"/>
  <c r="X17" i="19" s="1"/>
  <c r="X16" i="19"/>
  <c r="W16" i="19"/>
  <c r="L16" i="19"/>
  <c r="F16" i="19"/>
  <c r="E16" i="19"/>
  <c r="L15" i="19"/>
  <c r="E15" i="19"/>
  <c r="F15" i="19" s="1"/>
  <c r="W15" i="19" s="1"/>
  <c r="X15" i="19" s="1"/>
  <c r="U14" i="19"/>
  <c r="T14" i="19"/>
  <c r="Q14" i="19"/>
  <c r="P14" i="19"/>
  <c r="O14" i="19"/>
  <c r="N14" i="19"/>
  <c r="M14" i="19"/>
  <c r="L14" i="19"/>
  <c r="U13" i="19"/>
  <c r="T13" i="19"/>
  <c r="T6" i="19" s="1"/>
  <c r="S13" i="19"/>
  <c r="R13" i="19"/>
  <c r="Q13" i="19"/>
  <c r="Q6" i="19" s="1"/>
  <c r="P13" i="19"/>
  <c r="P6" i="19" s="1"/>
  <c r="O13" i="19"/>
  <c r="O6" i="19" s="1"/>
  <c r="N13" i="19"/>
  <c r="M13" i="19"/>
  <c r="L13" i="19"/>
  <c r="W12" i="19"/>
  <c r="X12" i="19" s="1"/>
  <c r="L12" i="19"/>
  <c r="F12" i="19"/>
  <c r="E12" i="19"/>
  <c r="L11" i="19"/>
  <c r="F11" i="19"/>
  <c r="E11" i="19"/>
  <c r="W10" i="19"/>
  <c r="X10" i="19" s="1"/>
  <c r="L10" i="19"/>
  <c r="E10" i="19"/>
  <c r="X9" i="19"/>
  <c r="W9" i="19"/>
  <c r="L9" i="19"/>
  <c r="E9" i="19"/>
  <c r="W8" i="19"/>
  <c r="X8" i="19" s="1"/>
  <c r="L8" i="19"/>
  <c r="L6" i="19" s="1"/>
  <c r="E8" i="19"/>
  <c r="W7" i="19"/>
  <c r="X7" i="19" s="1"/>
  <c r="L7" i="19"/>
  <c r="E7" i="19"/>
  <c r="E6" i="19" s="1"/>
  <c r="S6" i="19"/>
  <c r="R6" i="19"/>
  <c r="J6" i="19"/>
  <c r="C285" i="18"/>
  <c r="C284" i="18"/>
  <c r="C283" i="18"/>
  <c r="C282" i="18"/>
  <c r="C281" i="18"/>
  <c r="C280" i="18"/>
  <c r="C279" i="18"/>
  <c r="C278" i="18"/>
  <c r="C277" i="18"/>
  <c r="C276" i="18"/>
  <c r="O275" i="18"/>
  <c r="N275" i="18"/>
  <c r="M275" i="18"/>
  <c r="L275" i="18"/>
  <c r="K275" i="18"/>
  <c r="J275" i="18"/>
  <c r="I275" i="18"/>
  <c r="H275" i="18"/>
  <c r="G275" i="18"/>
  <c r="F275" i="18"/>
  <c r="E275" i="18"/>
  <c r="D275" i="18"/>
  <c r="C274" i="18"/>
  <c r="C273" i="18"/>
  <c r="C272" i="18"/>
  <c r="C271" i="18"/>
  <c r="C270" i="18"/>
  <c r="C269" i="18"/>
  <c r="C268" i="18"/>
  <c r="C267" i="18"/>
  <c r="C266" i="18"/>
  <c r="O265" i="18"/>
  <c r="N265" i="18"/>
  <c r="M265" i="18"/>
  <c r="L265" i="18"/>
  <c r="K265" i="18"/>
  <c r="J265" i="18"/>
  <c r="I265" i="18"/>
  <c r="H265" i="18"/>
  <c r="G265" i="18"/>
  <c r="F265" i="18"/>
  <c r="E265" i="18"/>
  <c r="D265" i="18"/>
  <c r="C264" i="18"/>
  <c r="C263" i="18"/>
  <c r="C262" i="18"/>
  <c r="C261" i="18"/>
  <c r="C260" i="18"/>
  <c r="C259" i="18"/>
  <c r="C258" i="18"/>
  <c r="C257" i="18"/>
  <c r="C256" i="18"/>
  <c r="C255" i="18" s="1"/>
  <c r="O255" i="18"/>
  <c r="N255" i="18"/>
  <c r="M255" i="18"/>
  <c r="L255" i="18"/>
  <c r="K255" i="18"/>
  <c r="J255" i="18"/>
  <c r="J234" i="18" s="1"/>
  <c r="I255" i="18"/>
  <c r="H255" i="18"/>
  <c r="G255" i="18"/>
  <c r="F255" i="18"/>
  <c r="E255" i="18"/>
  <c r="D255" i="18"/>
  <c r="D234" i="18" s="1"/>
  <c r="C254" i="18"/>
  <c r="C253" i="18"/>
  <c r="C252" i="18"/>
  <c r="C251" i="18"/>
  <c r="C250" i="18"/>
  <c r="C249" i="18"/>
  <c r="C248" i="18"/>
  <c r="C247" i="18"/>
  <c r="C246" i="18"/>
  <c r="O245" i="18"/>
  <c r="N245" i="18"/>
  <c r="M245" i="18"/>
  <c r="L245" i="18"/>
  <c r="K245" i="18"/>
  <c r="J245" i="18"/>
  <c r="I245" i="18"/>
  <c r="H245" i="18"/>
  <c r="H234" i="18" s="1"/>
  <c r="G245" i="18"/>
  <c r="F245" i="18"/>
  <c r="E245" i="18"/>
  <c r="D245" i="18"/>
  <c r="C245" i="18"/>
  <c r="C244" i="18"/>
  <c r="C243" i="18"/>
  <c r="C242" i="18"/>
  <c r="C241" i="18"/>
  <c r="C240" i="18"/>
  <c r="C239" i="18"/>
  <c r="C238" i="18"/>
  <c r="C237" i="18"/>
  <c r="C236" i="18"/>
  <c r="O235" i="18"/>
  <c r="N235" i="18"/>
  <c r="M235" i="18"/>
  <c r="M234" i="18" s="1"/>
  <c r="L235" i="18"/>
  <c r="K235" i="18"/>
  <c r="K234" i="18" s="1"/>
  <c r="J235" i="18"/>
  <c r="I235" i="18"/>
  <c r="I234" i="18" s="1"/>
  <c r="H235" i="18"/>
  <c r="G235" i="18"/>
  <c r="F235" i="18"/>
  <c r="E235" i="18"/>
  <c r="D235" i="18"/>
  <c r="N234" i="18"/>
  <c r="G234" i="18"/>
  <c r="C233" i="18"/>
  <c r="C232" i="18"/>
  <c r="C231" i="18"/>
  <c r="C230" i="18"/>
  <c r="C229" i="18"/>
  <c r="C228" i="18"/>
  <c r="C227" i="18"/>
  <c r="C226" i="18"/>
  <c r="C225" i="18"/>
  <c r="O224" i="18"/>
  <c r="N224" i="18"/>
  <c r="M224" i="18"/>
  <c r="L224" i="18"/>
  <c r="K224" i="18"/>
  <c r="J224" i="18"/>
  <c r="I224" i="18"/>
  <c r="H224" i="18"/>
  <c r="G224" i="18"/>
  <c r="F224" i="18"/>
  <c r="E224" i="18"/>
  <c r="D224" i="18"/>
  <c r="C223" i="18"/>
  <c r="C222" i="18"/>
  <c r="C221" i="18"/>
  <c r="C220" i="18"/>
  <c r="C214" i="18" s="1"/>
  <c r="C219" i="18"/>
  <c r="C218" i="18"/>
  <c r="C217" i="18"/>
  <c r="C216" i="18"/>
  <c r="C215" i="18"/>
  <c r="O214" i="18"/>
  <c r="N214" i="18"/>
  <c r="M214" i="18"/>
  <c r="L214" i="18"/>
  <c r="K214" i="18"/>
  <c r="J214" i="18"/>
  <c r="I214" i="18"/>
  <c r="H214" i="18"/>
  <c r="G214" i="18"/>
  <c r="F214" i="18"/>
  <c r="E214" i="18"/>
  <c r="D214" i="18"/>
  <c r="C213" i="18"/>
  <c r="C212" i="18"/>
  <c r="C211" i="18"/>
  <c r="C210" i="18"/>
  <c r="C209" i="18"/>
  <c r="C208" i="18"/>
  <c r="C207" i="18"/>
  <c r="C206" i="18"/>
  <c r="C205" i="18"/>
  <c r="O204" i="18"/>
  <c r="N204" i="18"/>
  <c r="M204" i="18"/>
  <c r="L204" i="18"/>
  <c r="K204" i="18"/>
  <c r="J204" i="18"/>
  <c r="I204" i="18"/>
  <c r="H204" i="18"/>
  <c r="G204" i="18"/>
  <c r="F204" i="18"/>
  <c r="E204" i="18"/>
  <c r="D204" i="18"/>
  <c r="C203" i="18"/>
  <c r="C202" i="18"/>
  <c r="C201" i="18"/>
  <c r="C200" i="18"/>
  <c r="C199" i="18"/>
  <c r="C198" i="18"/>
  <c r="C197" i="18"/>
  <c r="C196" i="18"/>
  <c r="C195" i="18"/>
  <c r="O194" i="18"/>
  <c r="N194" i="18"/>
  <c r="M194" i="18"/>
  <c r="L194" i="18"/>
  <c r="K194" i="18"/>
  <c r="J194" i="18"/>
  <c r="I194" i="18"/>
  <c r="H194" i="18"/>
  <c r="G194" i="18"/>
  <c r="F194" i="18"/>
  <c r="E194" i="18"/>
  <c r="D194" i="18"/>
  <c r="C193" i="18"/>
  <c r="C192" i="18"/>
  <c r="C191" i="18"/>
  <c r="C190" i="18"/>
  <c r="C189" i="18"/>
  <c r="C188" i="18"/>
  <c r="C187" i="18"/>
  <c r="C186" i="18"/>
  <c r="C185" i="18"/>
  <c r="C184" i="18" s="1"/>
  <c r="O184" i="18"/>
  <c r="N184" i="18"/>
  <c r="M184" i="18"/>
  <c r="L184" i="18"/>
  <c r="K184" i="18"/>
  <c r="J184" i="18"/>
  <c r="I184" i="18"/>
  <c r="H184" i="18"/>
  <c r="G184" i="18"/>
  <c r="F184" i="18"/>
  <c r="E184" i="18"/>
  <c r="D184" i="18"/>
  <c r="C183" i="18"/>
  <c r="C182" i="18"/>
  <c r="C181" i="18"/>
  <c r="C180" i="18"/>
  <c r="C179" i="18"/>
  <c r="O178" i="18"/>
  <c r="N178" i="18"/>
  <c r="M178" i="18"/>
  <c r="L178" i="18"/>
  <c r="K178" i="18"/>
  <c r="J178" i="18"/>
  <c r="I178" i="18"/>
  <c r="H178" i="18"/>
  <c r="G178" i="18"/>
  <c r="F178" i="18"/>
  <c r="E178" i="18"/>
  <c r="D178" i="18"/>
  <c r="C178" i="18"/>
  <c r="C177" i="18"/>
  <c r="C176" i="18"/>
  <c r="C175" i="18"/>
  <c r="C174" i="18"/>
  <c r="C173" i="18"/>
  <c r="C172" i="18" s="1"/>
  <c r="O172" i="18"/>
  <c r="N172" i="18"/>
  <c r="M172" i="18"/>
  <c r="L172" i="18"/>
  <c r="K172" i="18"/>
  <c r="J172" i="18"/>
  <c r="I172" i="18"/>
  <c r="H172" i="18"/>
  <c r="G172" i="18"/>
  <c r="F172" i="18"/>
  <c r="E172" i="18"/>
  <c r="D172" i="18"/>
  <c r="C171" i="18"/>
  <c r="C170" i="18"/>
  <c r="C169" i="18"/>
  <c r="C168" i="18"/>
  <c r="C167" i="18"/>
  <c r="O166" i="18"/>
  <c r="N166" i="18"/>
  <c r="M166" i="18"/>
  <c r="L166" i="18"/>
  <c r="K166" i="18"/>
  <c r="J166" i="18"/>
  <c r="I166" i="18"/>
  <c r="H166" i="18"/>
  <c r="G166" i="18"/>
  <c r="F166" i="18"/>
  <c r="E166" i="18"/>
  <c r="D166" i="18"/>
  <c r="C166" i="18"/>
  <c r="C165" i="18"/>
  <c r="C164" i="18"/>
  <c r="C163" i="18"/>
  <c r="C162" i="18"/>
  <c r="C161" i="18"/>
  <c r="C160" i="18" s="1"/>
  <c r="O160" i="18"/>
  <c r="N160" i="18"/>
  <c r="M160" i="18"/>
  <c r="L160" i="18"/>
  <c r="K160" i="18"/>
  <c r="J160" i="18"/>
  <c r="I160" i="18"/>
  <c r="H160" i="18"/>
  <c r="G160" i="18"/>
  <c r="F160" i="18"/>
  <c r="E160" i="18"/>
  <c r="D160" i="18"/>
  <c r="C159" i="18"/>
  <c r="C158" i="18"/>
  <c r="C157" i="18"/>
  <c r="C156" i="18"/>
  <c r="C155" i="18"/>
  <c r="O154" i="18"/>
  <c r="N154" i="18"/>
  <c r="M154" i="18"/>
  <c r="L154" i="18"/>
  <c r="K154" i="18"/>
  <c r="J154" i="18"/>
  <c r="I154" i="18"/>
  <c r="H154" i="18"/>
  <c r="G154" i="18"/>
  <c r="F154" i="18"/>
  <c r="E154" i="18"/>
  <c r="D154" i="18"/>
  <c r="C154" i="18"/>
  <c r="C153" i="18"/>
  <c r="C152" i="18"/>
  <c r="C151" i="18"/>
  <c r="C150" i="18"/>
  <c r="C149" i="18"/>
  <c r="C148" i="18" s="1"/>
  <c r="C147" i="18" s="1"/>
  <c r="O148" i="18"/>
  <c r="O147" i="18" s="1"/>
  <c r="N148" i="18"/>
  <c r="N147" i="18" s="1"/>
  <c r="M148" i="18"/>
  <c r="L148" i="18"/>
  <c r="L147" i="18" s="1"/>
  <c r="K148" i="18"/>
  <c r="J148" i="18"/>
  <c r="I148" i="18"/>
  <c r="H148" i="18"/>
  <c r="H147" i="18" s="1"/>
  <c r="G148" i="18"/>
  <c r="F148" i="18"/>
  <c r="F147" i="18" s="1"/>
  <c r="E148" i="18"/>
  <c r="D148" i="18"/>
  <c r="D147" i="18" s="1"/>
  <c r="D46" i="18" s="1"/>
  <c r="C5" i="18" s="1"/>
  <c r="M147" i="18"/>
  <c r="K147" i="18"/>
  <c r="J147" i="18"/>
  <c r="J46" i="18" s="1"/>
  <c r="C11" i="18" s="1"/>
  <c r="G147" i="18"/>
  <c r="E147" i="18"/>
  <c r="C146" i="18"/>
  <c r="C145" i="18"/>
  <c r="C144" i="18"/>
  <c r="C143" i="18"/>
  <c r="C142" i="18"/>
  <c r="C141" i="18"/>
  <c r="C140" i="18"/>
  <c r="C139" i="18"/>
  <c r="C138" i="18"/>
  <c r="O137" i="18"/>
  <c r="N137" i="18"/>
  <c r="M137" i="18"/>
  <c r="L137" i="18"/>
  <c r="K137" i="18"/>
  <c r="J137" i="18"/>
  <c r="I137" i="18"/>
  <c r="H137" i="18"/>
  <c r="G137" i="18"/>
  <c r="F137" i="18"/>
  <c r="E137" i="18"/>
  <c r="D137" i="18"/>
  <c r="C137" i="18"/>
  <c r="C136" i="18"/>
  <c r="C135" i="18"/>
  <c r="C134" i="18"/>
  <c r="C133" i="18"/>
  <c r="C132" i="18"/>
  <c r="C131" i="18"/>
  <c r="C130" i="18"/>
  <c r="C127" i="18" s="1"/>
  <c r="C129" i="18"/>
  <c r="C128" i="18"/>
  <c r="O127" i="18"/>
  <c r="N127" i="18"/>
  <c r="M127" i="18"/>
  <c r="L127" i="18"/>
  <c r="L100" i="18" s="1"/>
  <c r="K127" i="18"/>
  <c r="J127" i="18"/>
  <c r="I127" i="18"/>
  <c r="H127" i="18"/>
  <c r="G127" i="18"/>
  <c r="F127" i="18"/>
  <c r="F100" i="18" s="1"/>
  <c r="E127" i="18"/>
  <c r="D127" i="18"/>
  <c r="C126" i="18"/>
  <c r="C125" i="18"/>
  <c r="C124" i="18"/>
  <c r="C123" i="18"/>
  <c r="C122" i="18"/>
  <c r="C121" i="18"/>
  <c r="C120" i="18"/>
  <c r="C119" i="18"/>
  <c r="C118" i="18"/>
  <c r="O117" i="18"/>
  <c r="N117" i="18"/>
  <c r="M117" i="18"/>
  <c r="L117" i="18"/>
  <c r="K117" i="18"/>
  <c r="J117" i="18"/>
  <c r="J100" i="18" s="1"/>
  <c r="I117" i="18"/>
  <c r="H117" i="18"/>
  <c r="G117" i="18"/>
  <c r="F117" i="18"/>
  <c r="E117" i="18"/>
  <c r="D117" i="18"/>
  <c r="C116" i="18"/>
  <c r="C115" i="18"/>
  <c r="C114" i="18"/>
  <c r="C113" i="18"/>
  <c r="C112" i="18"/>
  <c r="C107" i="18" s="1"/>
  <c r="C111" i="18"/>
  <c r="C110" i="18"/>
  <c r="C109" i="18"/>
  <c r="C108" i="18"/>
  <c r="O107" i="18"/>
  <c r="N107" i="18"/>
  <c r="M107" i="18"/>
  <c r="L107" i="18"/>
  <c r="K107" i="18"/>
  <c r="J107" i="18"/>
  <c r="I107" i="18"/>
  <c r="H107" i="18"/>
  <c r="G107" i="18"/>
  <c r="F107" i="18"/>
  <c r="E107" i="18"/>
  <c r="D107" i="18"/>
  <c r="C106" i="18"/>
  <c r="C105" i="18"/>
  <c r="C104" i="18"/>
  <c r="C103" i="18"/>
  <c r="C102" i="18"/>
  <c r="O101" i="18"/>
  <c r="O100" i="18" s="1"/>
  <c r="N101" i="18"/>
  <c r="N100" i="18" s="1"/>
  <c r="M101" i="18"/>
  <c r="L101" i="18"/>
  <c r="K101" i="18"/>
  <c r="K100" i="18" s="1"/>
  <c r="J101" i="18"/>
  <c r="I101" i="18"/>
  <c r="H101" i="18"/>
  <c r="G101" i="18"/>
  <c r="G100" i="18" s="1"/>
  <c r="F101" i="18"/>
  <c r="E101" i="18"/>
  <c r="E100" i="18" s="1"/>
  <c r="D101" i="18"/>
  <c r="C101" i="18"/>
  <c r="I100" i="18"/>
  <c r="D100" i="18"/>
  <c r="C99" i="18"/>
  <c r="C98" i="18"/>
  <c r="C97" i="18"/>
  <c r="C96" i="18" s="1"/>
  <c r="O96" i="18"/>
  <c r="N96" i="18"/>
  <c r="M96" i="18"/>
  <c r="M85" i="18" s="1"/>
  <c r="L96" i="18"/>
  <c r="K96" i="18"/>
  <c r="J96" i="18"/>
  <c r="I96" i="18"/>
  <c r="H96" i="18"/>
  <c r="G96" i="18"/>
  <c r="G85" i="18" s="1"/>
  <c r="F96" i="18"/>
  <c r="E96" i="18"/>
  <c r="D96" i="18"/>
  <c r="C95" i="18"/>
  <c r="C94" i="18"/>
  <c r="C93" i="18"/>
  <c r="C92" i="18" s="1"/>
  <c r="O92" i="18"/>
  <c r="N92" i="18"/>
  <c r="M92" i="18"/>
  <c r="L92" i="18"/>
  <c r="L85" i="18" s="1"/>
  <c r="K92" i="18"/>
  <c r="J92" i="18"/>
  <c r="I92" i="18"/>
  <c r="H92" i="18"/>
  <c r="G92" i="18"/>
  <c r="F92" i="18"/>
  <c r="E92" i="18"/>
  <c r="D92" i="18"/>
  <c r="C91" i="18"/>
  <c r="C90" i="18"/>
  <c r="C89" i="18"/>
  <c r="C88" i="18"/>
  <c r="C87" i="18"/>
  <c r="C86" i="18" s="1"/>
  <c r="C85" i="18" s="1"/>
  <c r="O86" i="18"/>
  <c r="N86" i="18"/>
  <c r="N85" i="18" s="1"/>
  <c r="M86" i="18"/>
  <c r="L86" i="18"/>
  <c r="K86" i="18"/>
  <c r="J86" i="18"/>
  <c r="J85" i="18" s="1"/>
  <c r="I86" i="18"/>
  <c r="H86" i="18"/>
  <c r="G86" i="18"/>
  <c r="F86" i="18"/>
  <c r="F85" i="18" s="1"/>
  <c r="E86" i="18"/>
  <c r="E85" i="18" s="1"/>
  <c r="D86" i="18"/>
  <c r="D85" i="18" s="1"/>
  <c r="O85" i="18"/>
  <c r="I85" i="18"/>
  <c r="C84" i="18"/>
  <c r="C83" i="18"/>
  <c r="C82" i="18"/>
  <c r="C79" i="18" s="1"/>
  <c r="C81" i="18"/>
  <c r="C80" i="18"/>
  <c r="O79" i="18"/>
  <c r="N79" i="18"/>
  <c r="M79" i="18"/>
  <c r="L79" i="18"/>
  <c r="K79" i="18"/>
  <c r="J79" i="18"/>
  <c r="I79" i="18"/>
  <c r="H79" i="18"/>
  <c r="G79" i="18"/>
  <c r="F79" i="18"/>
  <c r="E79" i="18"/>
  <c r="D79" i="18"/>
  <c r="C78" i="18"/>
  <c r="C77" i="18"/>
  <c r="C76" i="18"/>
  <c r="C75" i="18"/>
  <c r="C74" i="18"/>
  <c r="C73" i="18"/>
  <c r="C72" i="18"/>
  <c r="C71" i="18"/>
  <c r="C70" i="18"/>
  <c r="C69" i="18"/>
  <c r="C68" i="18"/>
  <c r="C67" i="18"/>
  <c r="C66" i="18"/>
  <c r="O65" i="18"/>
  <c r="N65" i="18"/>
  <c r="M65" i="18"/>
  <c r="L65" i="18"/>
  <c r="K65" i="18"/>
  <c r="J65" i="18"/>
  <c r="I65" i="18"/>
  <c r="H65" i="18"/>
  <c r="G65" i="18"/>
  <c r="F65" i="18"/>
  <c r="E65" i="18"/>
  <c r="D65" i="18"/>
  <c r="C65" i="18"/>
  <c r="C64" i="18"/>
  <c r="C63" i="18"/>
  <c r="C62" i="18"/>
  <c r="O61" i="18"/>
  <c r="N61" i="18"/>
  <c r="M61" i="18"/>
  <c r="L61" i="18"/>
  <c r="K61" i="18"/>
  <c r="J61" i="18"/>
  <c r="I61" i="18"/>
  <c r="H61" i="18"/>
  <c r="G61" i="18"/>
  <c r="F61" i="18"/>
  <c r="E61" i="18"/>
  <c r="D61" i="18"/>
  <c r="C60" i="18"/>
  <c r="C59" i="18"/>
  <c r="C58" i="18"/>
  <c r="C57" i="18"/>
  <c r="C56" i="18"/>
  <c r="C55" i="18"/>
  <c r="C54" i="18"/>
  <c r="O53" i="18"/>
  <c r="N53" i="18"/>
  <c r="M53" i="18"/>
  <c r="L53" i="18"/>
  <c r="K53" i="18"/>
  <c r="J53" i="18"/>
  <c r="I53" i="18"/>
  <c r="H53" i="18"/>
  <c r="G53" i="18"/>
  <c r="F53" i="18"/>
  <c r="E53" i="18"/>
  <c r="D53" i="18"/>
  <c r="C53" i="18"/>
  <c r="C52" i="18"/>
  <c r="C47" i="18" s="1"/>
  <c r="C51" i="18"/>
  <c r="C50" i="18"/>
  <c r="C49" i="18"/>
  <c r="C48" i="18"/>
  <c r="O47" i="18"/>
  <c r="N47" i="18"/>
  <c r="M47" i="18"/>
  <c r="L47" i="18"/>
  <c r="K47" i="18"/>
  <c r="J47" i="18"/>
  <c r="I47" i="18"/>
  <c r="H47" i="18"/>
  <c r="G47" i="18"/>
  <c r="F47" i="18"/>
  <c r="E47" i="18"/>
  <c r="D47" i="18"/>
  <c r="C42" i="18"/>
  <c r="C41" i="18"/>
  <c r="C40" i="18"/>
  <c r="C39" i="18"/>
  <c r="C38" i="18"/>
  <c r="C37" i="18"/>
  <c r="O36" i="18"/>
  <c r="O22" i="18" s="1"/>
  <c r="D16" i="18" s="1"/>
  <c r="N36" i="18"/>
  <c r="M36" i="18"/>
  <c r="L36" i="18"/>
  <c r="K36" i="18"/>
  <c r="J36" i="18"/>
  <c r="I36" i="18"/>
  <c r="H36" i="18"/>
  <c r="G36" i="18"/>
  <c r="F36" i="18"/>
  <c r="E36" i="18"/>
  <c r="D36" i="18"/>
  <c r="C35" i="18"/>
  <c r="C34" i="18"/>
  <c r="C33" i="18"/>
  <c r="C32" i="18"/>
  <c r="C31" i="18"/>
  <c r="C30" i="18" s="1"/>
  <c r="O30" i="18"/>
  <c r="N30" i="18"/>
  <c r="M30" i="18"/>
  <c r="L30" i="18"/>
  <c r="K30" i="18"/>
  <c r="J30" i="18"/>
  <c r="I30" i="18"/>
  <c r="H30" i="18"/>
  <c r="G30" i="18"/>
  <c r="F30" i="18"/>
  <c r="E30" i="18"/>
  <c r="D30" i="18"/>
  <c r="C29" i="18"/>
  <c r="C28" i="18"/>
  <c r="C27" i="18"/>
  <c r="C26" i="18"/>
  <c r="C25" i="18"/>
  <c r="C24" i="18"/>
  <c r="O23" i="18"/>
  <c r="N23" i="18"/>
  <c r="N22" i="18" s="1"/>
  <c r="M23" i="18"/>
  <c r="L23" i="18"/>
  <c r="K23" i="18"/>
  <c r="J23" i="18"/>
  <c r="J22" i="18" s="1"/>
  <c r="D11" i="18" s="1"/>
  <c r="I23" i="18"/>
  <c r="H23" i="18"/>
  <c r="H22" i="18" s="1"/>
  <c r="D9" i="18" s="1"/>
  <c r="G23" i="18"/>
  <c r="F23" i="18"/>
  <c r="F22" i="18" s="1"/>
  <c r="D7" i="18" s="1"/>
  <c r="E23" i="18"/>
  <c r="E22" i="18" s="1"/>
  <c r="D6" i="18" s="1"/>
  <c r="D23" i="18"/>
  <c r="M22" i="18"/>
  <c r="D14" i="18" s="1"/>
  <c r="L22" i="18"/>
  <c r="D13" i="18" s="1"/>
  <c r="I22" i="18"/>
  <c r="G22" i="18"/>
  <c r="D8" i="18" s="1"/>
  <c r="D15" i="18"/>
  <c r="D10" i="18"/>
  <c r="C4" i="18"/>
  <c r="F319" i="17"/>
  <c r="H121" i="33" s="1"/>
  <c r="E319" i="17"/>
  <c r="F309" i="17"/>
  <c r="E309" i="17"/>
  <c r="F299" i="17"/>
  <c r="H120" i="33" s="1"/>
  <c r="E299" i="17"/>
  <c r="F289" i="17"/>
  <c r="H119" i="33" s="1"/>
  <c r="E289" i="17"/>
  <c r="F279" i="17"/>
  <c r="H118" i="33" s="1"/>
  <c r="E279" i="17"/>
  <c r="F269" i="17"/>
  <c r="F268" i="17" s="1"/>
  <c r="E269" i="17"/>
  <c r="E268" i="17" s="1"/>
  <c r="F258" i="17"/>
  <c r="H115" i="33" s="1"/>
  <c r="E258" i="17"/>
  <c r="F248" i="17"/>
  <c r="H114" i="33" s="1"/>
  <c r="E248" i="17"/>
  <c r="F238" i="17"/>
  <c r="H113" i="33" s="1"/>
  <c r="E238" i="17"/>
  <c r="F228" i="17"/>
  <c r="H112" i="33" s="1"/>
  <c r="E228" i="17"/>
  <c r="F218" i="17"/>
  <c r="H111" i="33" s="1"/>
  <c r="E218" i="17"/>
  <c r="F189" i="17"/>
  <c r="H110" i="33" s="1"/>
  <c r="E189" i="17"/>
  <c r="F183" i="17"/>
  <c r="H109" i="33" s="1"/>
  <c r="E183" i="17"/>
  <c r="F177" i="17"/>
  <c r="H108" i="33" s="1"/>
  <c r="E177" i="17"/>
  <c r="F171" i="17"/>
  <c r="H107" i="33" s="1"/>
  <c r="E171" i="17"/>
  <c r="F165" i="17"/>
  <c r="H106" i="33" s="1"/>
  <c r="E165" i="17"/>
  <c r="F159" i="17"/>
  <c r="E159" i="17"/>
  <c r="E158" i="17"/>
  <c r="F148" i="17"/>
  <c r="H103" i="33" s="1"/>
  <c r="E148" i="17"/>
  <c r="F121" i="17"/>
  <c r="H102" i="33" s="1"/>
  <c r="E121" i="17"/>
  <c r="F114" i="17"/>
  <c r="H101" i="33" s="1"/>
  <c r="E114" i="17"/>
  <c r="F109" i="17"/>
  <c r="H99" i="33" s="1"/>
  <c r="E109" i="17"/>
  <c r="F104" i="17"/>
  <c r="E104" i="17"/>
  <c r="E87" i="17" s="1"/>
  <c r="F88" i="17"/>
  <c r="H97" i="33" s="1"/>
  <c r="H96" i="33" s="1"/>
  <c r="E88" i="17"/>
  <c r="F87" i="17"/>
  <c r="F63" i="17"/>
  <c r="E63" i="17"/>
  <c r="F38" i="17"/>
  <c r="E38" i="17"/>
  <c r="F35" i="17"/>
  <c r="H62" i="33" s="1"/>
  <c r="H61" i="33" s="1"/>
  <c r="F34" i="17"/>
  <c r="E34" i="17"/>
  <c r="F16" i="17"/>
  <c r="E16" i="17"/>
  <c r="F6" i="17"/>
  <c r="E6" i="17"/>
  <c r="F185" i="16"/>
  <c r="F183" i="16"/>
  <c r="H42" i="33" s="1"/>
  <c r="E183" i="16"/>
  <c r="F179" i="16"/>
  <c r="H41" i="33" s="1"/>
  <c r="E179" i="16"/>
  <c r="F164" i="16"/>
  <c r="H40" i="33" s="1"/>
  <c r="E164" i="16"/>
  <c r="F160" i="16"/>
  <c r="H39" i="33" s="1"/>
  <c r="E160" i="16"/>
  <c r="F158" i="16"/>
  <c r="F155" i="16" s="1"/>
  <c r="E155" i="16"/>
  <c r="F153" i="16"/>
  <c r="F151" i="16"/>
  <c r="F150" i="16" s="1"/>
  <c r="H37" i="33" s="1"/>
  <c r="E150" i="16"/>
  <c r="F145" i="16"/>
  <c r="F144" i="16" s="1"/>
  <c r="H35" i="33" s="1"/>
  <c r="E144" i="16"/>
  <c r="F137" i="16"/>
  <c r="H34" i="33" s="1"/>
  <c r="E137" i="16"/>
  <c r="F132" i="16"/>
  <c r="H33" i="33" s="1"/>
  <c r="E132" i="16"/>
  <c r="F130" i="16"/>
  <c r="F129" i="16"/>
  <c r="F128" i="16"/>
  <c r="H32" i="33" s="1"/>
  <c r="E128" i="16"/>
  <c r="F125" i="16"/>
  <c r="H31" i="33" s="1"/>
  <c r="E125" i="16"/>
  <c r="W123" i="16"/>
  <c r="X123" i="16" s="1"/>
  <c r="L123" i="16"/>
  <c r="W122" i="16"/>
  <c r="X122" i="16" s="1"/>
  <c r="L122" i="16"/>
  <c r="W121" i="16"/>
  <c r="X121" i="16" s="1"/>
  <c r="L121" i="16"/>
  <c r="X120" i="16"/>
  <c r="W120" i="16"/>
  <c r="L120" i="16"/>
  <c r="W119" i="16"/>
  <c r="X119" i="16" s="1"/>
  <c r="L119" i="16"/>
  <c r="W118" i="16"/>
  <c r="X118" i="16" s="1"/>
  <c r="L118" i="16"/>
  <c r="W117" i="16"/>
  <c r="X117" i="16" s="1"/>
  <c r="L117" i="16"/>
  <c r="X116" i="16"/>
  <c r="W116" i="16"/>
  <c r="L116" i="16"/>
  <c r="W115" i="16"/>
  <c r="X115" i="16" s="1"/>
  <c r="L115" i="16"/>
  <c r="W114" i="16"/>
  <c r="X114" i="16" s="1"/>
  <c r="L114" i="16"/>
  <c r="W113" i="16"/>
  <c r="X113" i="16" s="1"/>
  <c r="L113" i="16"/>
  <c r="X112" i="16"/>
  <c r="W112" i="16"/>
  <c r="L112" i="16"/>
  <c r="W111" i="16"/>
  <c r="X111" i="16" s="1"/>
  <c r="L111" i="16"/>
  <c r="W110" i="16"/>
  <c r="X110" i="16" s="1"/>
  <c r="L110" i="16"/>
  <c r="W109" i="16"/>
  <c r="X109" i="16" s="1"/>
  <c r="L109" i="16"/>
  <c r="X108" i="16"/>
  <c r="W108" i="16"/>
  <c r="L108" i="16"/>
  <c r="W107" i="16"/>
  <c r="X107" i="16" s="1"/>
  <c r="L107" i="16"/>
  <c r="W106" i="16"/>
  <c r="X106" i="16" s="1"/>
  <c r="L106" i="16"/>
  <c r="W105" i="16"/>
  <c r="X105" i="16" s="1"/>
  <c r="M105" i="16"/>
  <c r="E105" i="16" s="1"/>
  <c r="F105" i="16" s="1"/>
  <c r="L105" i="16"/>
  <c r="W104" i="16"/>
  <c r="X104" i="16" s="1"/>
  <c r="L104" i="16"/>
  <c r="E104" i="16"/>
  <c r="L103" i="16"/>
  <c r="F103" i="16"/>
  <c r="W103" i="16" s="1"/>
  <c r="X103" i="16" s="1"/>
  <c r="E103" i="16"/>
  <c r="L102" i="16"/>
  <c r="F102" i="16"/>
  <c r="W102" i="16" s="1"/>
  <c r="X102" i="16" s="1"/>
  <c r="E102" i="16"/>
  <c r="W101" i="16"/>
  <c r="X101" i="16" s="1"/>
  <c r="L101" i="16"/>
  <c r="E101" i="16"/>
  <c r="F101" i="16" s="1"/>
  <c r="L100" i="16"/>
  <c r="F100" i="16"/>
  <c r="W100" i="16" s="1"/>
  <c r="X100" i="16" s="1"/>
  <c r="E100" i="16"/>
  <c r="L99" i="16"/>
  <c r="F99" i="16"/>
  <c r="W99" i="16" s="1"/>
  <c r="X99" i="16" s="1"/>
  <c r="E99" i="16"/>
  <c r="W98" i="16"/>
  <c r="X98" i="16" s="1"/>
  <c r="L98" i="16"/>
  <c r="E98" i="16"/>
  <c r="L97" i="16"/>
  <c r="E97" i="16"/>
  <c r="F97" i="16" s="1"/>
  <c r="W97" i="16" s="1"/>
  <c r="X97" i="16" s="1"/>
  <c r="W96" i="16"/>
  <c r="X96" i="16" s="1"/>
  <c r="L96" i="16"/>
  <c r="F96" i="16"/>
  <c r="W95" i="16"/>
  <c r="X95" i="16" s="1"/>
  <c r="L95" i="16"/>
  <c r="F95" i="16"/>
  <c r="E95" i="16"/>
  <c r="L94" i="16"/>
  <c r="E94" i="16"/>
  <c r="F94" i="16" s="1"/>
  <c r="W94" i="16" s="1"/>
  <c r="X94" i="16" s="1"/>
  <c r="X93" i="16"/>
  <c r="W93" i="16"/>
  <c r="L93" i="16"/>
  <c r="E93" i="16"/>
  <c r="W92" i="16"/>
  <c r="X92" i="16" s="1"/>
  <c r="L92" i="16"/>
  <c r="E92" i="16"/>
  <c r="F92" i="16" s="1"/>
  <c r="X91" i="16"/>
  <c r="W91" i="16"/>
  <c r="L91" i="16"/>
  <c r="F91" i="16"/>
  <c r="L90" i="16"/>
  <c r="E90" i="16"/>
  <c r="F90" i="16" s="1"/>
  <c r="W90" i="16" s="1"/>
  <c r="X90" i="16" s="1"/>
  <c r="L89" i="16"/>
  <c r="F89" i="16"/>
  <c r="W89" i="16" s="1"/>
  <c r="X89" i="16" s="1"/>
  <c r="E89" i="16"/>
  <c r="X88" i="16"/>
  <c r="L88" i="16"/>
  <c r="E88" i="16"/>
  <c r="F88" i="16" s="1"/>
  <c r="W88" i="16" s="1"/>
  <c r="W87" i="16"/>
  <c r="X87" i="16" s="1"/>
  <c r="L87" i="16"/>
  <c r="E87" i="16"/>
  <c r="F87" i="16" s="1"/>
  <c r="X86" i="16"/>
  <c r="W86" i="16"/>
  <c r="L86" i="16"/>
  <c r="F86" i="16"/>
  <c r="E86" i="16"/>
  <c r="L85" i="16"/>
  <c r="F85" i="16"/>
  <c r="W85" i="16" s="1"/>
  <c r="X85" i="16" s="1"/>
  <c r="E85" i="16"/>
  <c r="W84" i="16"/>
  <c r="X84" i="16" s="1"/>
  <c r="L84" i="16"/>
  <c r="E84" i="16"/>
  <c r="F84" i="16" s="1"/>
  <c r="L83" i="16"/>
  <c r="F83" i="16"/>
  <c r="W83" i="16" s="1"/>
  <c r="X83" i="16" s="1"/>
  <c r="E83" i="16"/>
  <c r="X82" i="16"/>
  <c r="L82" i="16"/>
  <c r="F82" i="16"/>
  <c r="W82" i="16" s="1"/>
  <c r="E82" i="16"/>
  <c r="W81" i="16"/>
  <c r="X81" i="16" s="1"/>
  <c r="L81" i="16"/>
  <c r="F81" i="16"/>
  <c r="L80" i="16"/>
  <c r="F80" i="16"/>
  <c r="W80" i="16" s="1"/>
  <c r="X80" i="16" s="1"/>
  <c r="E80" i="16"/>
  <c r="W79" i="16"/>
  <c r="X79" i="16" s="1"/>
  <c r="L79" i="16"/>
  <c r="E79" i="16"/>
  <c r="F79" i="16" s="1"/>
  <c r="L78" i="16"/>
  <c r="F78" i="16"/>
  <c r="W78" i="16" s="1"/>
  <c r="X78" i="16" s="1"/>
  <c r="E78" i="16"/>
  <c r="L77" i="16"/>
  <c r="E77" i="16"/>
  <c r="F77" i="16" s="1"/>
  <c r="W77" i="16" s="1"/>
  <c r="X77" i="16" s="1"/>
  <c r="L76" i="16"/>
  <c r="E76" i="16"/>
  <c r="F76" i="16" s="1"/>
  <c r="W76" i="16" s="1"/>
  <c r="X76" i="16" s="1"/>
  <c r="X75" i="16"/>
  <c r="L75" i="16"/>
  <c r="F75" i="16"/>
  <c r="W75" i="16" s="1"/>
  <c r="E75" i="16"/>
  <c r="X74" i="16"/>
  <c r="W74" i="16"/>
  <c r="L74" i="16"/>
  <c r="E74" i="16"/>
  <c r="L73" i="16"/>
  <c r="F73" i="16"/>
  <c r="W73" i="16" s="1"/>
  <c r="X73" i="16" s="1"/>
  <c r="E73" i="16"/>
  <c r="L72" i="16"/>
  <c r="E72" i="16"/>
  <c r="F72" i="16" s="1"/>
  <c r="W72" i="16" s="1"/>
  <c r="X72" i="16" s="1"/>
  <c r="W71" i="16"/>
  <c r="X71" i="16" s="1"/>
  <c r="L71" i="16"/>
  <c r="E71" i="16"/>
  <c r="F71" i="16" s="1"/>
  <c r="X70" i="16"/>
  <c r="W70" i="16"/>
  <c r="L70" i="16"/>
  <c r="E70" i="16"/>
  <c r="W69" i="16"/>
  <c r="X69" i="16" s="1"/>
  <c r="L69" i="16"/>
  <c r="E69" i="16"/>
  <c r="L68" i="16"/>
  <c r="E68" i="16"/>
  <c r="F68" i="16" s="1"/>
  <c r="W68" i="16" s="1"/>
  <c r="X68" i="16" s="1"/>
  <c r="W67" i="16"/>
  <c r="X67" i="16" s="1"/>
  <c r="L67" i="16"/>
  <c r="E67" i="16"/>
  <c r="F67" i="16" s="1"/>
  <c r="X66" i="16"/>
  <c r="W66" i="16"/>
  <c r="L66" i="16"/>
  <c r="F66" i="16"/>
  <c r="E66" i="16"/>
  <c r="W65" i="16"/>
  <c r="X65" i="16" s="1"/>
  <c r="L65" i="16"/>
  <c r="F65" i="16"/>
  <c r="E65" i="16"/>
  <c r="W64" i="16"/>
  <c r="X64" i="16" s="1"/>
  <c r="L64" i="16"/>
  <c r="E64" i="16"/>
  <c r="F64" i="16" s="1"/>
  <c r="M63" i="16"/>
  <c r="F63" i="16" s="1"/>
  <c r="W63" i="16" s="1"/>
  <c r="X63" i="16" s="1"/>
  <c r="L63" i="16"/>
  <c r="X62" i="16"/>
  <c r="W62" i="16"/>
  <c r="L62" i="16"/>
  <c r="E62" i="16"/>
  <c r="X61" i="16"/>
  <c r="W61" i="16"/>
  <c r="L61" i="16"/>
  <c r="E61" i="16"/>
  <c r="W60" i="16"/>
  <c r="X60" i="16" s="1"/>
  <c r="L60" i="16"/>
  <c r="E60" i="16"/>
  <c r="M59" i="16"/>
  <c r="L59" i="16"/>
  <c r="F59" i="16"/>
  <c r="W59" i="16" s="1"/>
  <c r="X59" i="16" s="1"/>
  <c r="W58" i="16"/>
  <c r="X58" i="16" s="1"/>
  <c r="L58" i="16"/>
  <c r="E58" i="16"/>
  <c r="F58" i="16" s="1"/>
  <c r="X57" i="16"/>
  <c r="L57" i="16"/>
  <c r="F57" i="16"/>
  <c r="W57" i="16" s="1"/>
  <c r="E57" i="16"/>
  <c r="L56" i="16"/>
  <c r="F56" i="16"/>
  <c r="W56" i="16" s="1"/>
  <c r="X56" i="16" s="1"/>
  <c r="E56" i="16"/>
  <c r="M55" i="16"/>
  <c r="F55" i="16" s="1"/>
  <c r="W55" i="16" s="1"/>
  <c r="X55" i="16" s="1"/>
  <c r="L55" i="16"/>
  <c r="L54" i="16"/>
  <c r="F54" i="16"/>
  <c r="W54" i="16" s="1"/>
  <c r="X54" i="16" s="1"/>
  <c r="E54" i="16"/>
  <c r="X53" i="16"/>
  <c r="L53" i="16"/>
  <c r="E53" i="16"/>
  <c r="F53" i="16" s="1"/>
  <c r="W53" i="16" s="1"/>
  <c r="L52" i="16"/>
  <c r="E52" i="16"/>
  <c r="F52" i="16" s="1"/>
  <c r="W52" i="16" s="1"/>
  <c r="X52" i="16" s="1"/>
  <c r="X51" i="16"/>
  <c r="W51" i="16"/>
  <c r="L51" i="16"/>
  <c r="F51" i="16"/>
  <c r="E51" i="16"/>
  <c r="W50" i="16"/>
  <c r="X50" i="16" s="1"/>
  <c r="L50" i="16"/>
  <c r="F50" i="16"/>
  <c r="E50" i="16"/>
  <c r="L49" i="16"/>
  <c r="E49" i="16"/>
  <c r="F49" i="16" s="1"/>
  <c r="W49" i="16" s="1"/>
  <c r="X49" i="16" s="1"/>
  <c r="L48" i="16"/>
  <c r="F48" i="16"/>
  <c r="W48" i="16" s="1"/>
  <c r="X48" i="16" s="1"/>
  <c r="E48" i="16"/>
  <c r="L47" i="16"/>
  <c r="E47" i="16"/>
  <c r="F47" i="16" s="1"/>
  <c r="W47" i="16" s="1"/>
  <c r="X47" i="16" s="1"/>
  <c r="L46" i="16"/>
  <c r="E46" i="16"/>
  <c r="F46" i="16" s="1"/>
  <c r="W46" i="16" s="1"/>
  <c r="X46" i="16" s="1"/>
  <c r="L45" i="16"/>
  <c r="E45" i="16"/>
  <c r="F45" i="16" s="1"/>
  <c r="W45" i="16" s="1"/>
  <c r="X45" i="16" s="1"/>
  <c r="L44" i="16"/>
  <c r="F44" i="16"/>
  <c r="W44" i="16" s="1"/>
  <c r="X44" i="16" s="1"/>
  <c r="E44" i="16"/>
  <c r="L43" i="16"/>
  <c r="E43" i="16"/>
  <c r="F43" i="16" s="1"/>
  <c r="W43" i="16" s="1"/>
  <c r="X43" i="16" s="1"/>
  <c r="L42" i="16"/>
  <c r="F42" i="16"/>
  <c r="W42" i="16" s="1"/>
  <c r="X42" i="16" s="1"/>
  <c r="E42" i="16"/>
  <c r="X41" i="16"/>
  <c r="M41" i="16"/>
  <c r="L41" i="16"/>
  <c r="F41" i="16"/>
  <c r="W41" i="16" s="1"/>
  <c r="X40" i="16"/>
  <c r="W40" i="16"/>
  <c r="L40" i="16"/>
  <c r="F40" i="16"/>
  <c r="E40" i="16"/>
  <c r="L39" i="16"/>
  <c r="F39" i="16"/>
  <c r="W39" i="16" s="1"/>
  <c r="X39" i="16" s="1"/>
  <c r="E39" i="16"/>
  <c r="L38" i="16"/>
  <c r="F38" i="16"/>
  <c r="W38" i="16" s="1"/>
  <c r="X38" i="16" s="1"/>
  <c r="E38" i="16"/>
  <c r="W37" i="16"/>
  <c r="X37" i="16" s="1"/>
  <c r="L37" i="16"/>
  <c r="F37" i="16"/>
  <c r="E37" i="16"/>
  <c r="L36" i="16"/>
  <c r="F36" i="16"/>
  <c r="W36" i="16" s="1"/>
  <c r="X36" i="16" s="1"/>
  <c r="E36" i="16"/>
  <c r="L35" i="16"/>
  <c r="F35" i="16"/>
  <c r="W35" i="16" s="1"/>
  <c r="X35" i="16" s="1"/>
  <c r="E35" i="16"/>
  <c r="W34" i="16"/>
  <c r="X34" i="16" s="1"/>
  <c r="L34" i="16"/>
  <c r="E34" i="16"/>
  <c r="F34" i="16" s="1"/>
  <c r="W33" i="16"/>
  <c r="X33" i="16" s="1"/>
  <c r="L33" i="16"/>
  <c r="E33" i="16"/>
  <c r="L32" i="16"/>
  <c r="E32" i="16"/>
  <c r="F32" i="16" s="1"/>
  <c r="W32" i="16" s="1"/>
  <c r="X32" i="16" s="1"/>
  <c r="L31" i="16"/>
  <c r="E31" i="16"/>
  <c r="F31" i="16" s="1"/>
  <c r="W31" i="16" s="1"/>
  <c r="X31" i="16" s="1"/>
  <c r="X30" i="16"/>
  <c r="W30" i="16"/>
  <c r="L30" i="16"/>
  <c r="E30" i="16"/>
  <c r="X29" i="16"/>
  <c r="W29" i="16"/>
  <c r="L29" i="16"/>
  <c r="E29" i="16"/>
  <c r="L28" i="16"/>
  <c r="F28" i="16"/>
  <c r="W28" i="16" s="1"/>
  <c r="X28" i="16" s="1"/>
  <c r="E28" i="16"/>
  <c r="L27" i="16"/>
  <c r="F27" i="16"/>
  <c r="W27" i="16" s="1"/>
  <c r="X27" i="16" s="1"/>
  <c r="E27" i="16"/>
  <c r="X26" i="16"/>
  <c r="L26" i="16"/>
  <c r="E26" i="16"/>
  <c r="F26" i="16" s="1"/>
  <c r="W26" i="16" s="1"/>
  <c r="L25" i="16"/>
  <c r="E25" i="16"/>
  <c r="F25" i="16" s="1"/>
  <c r="W25" i="16" s="1"/>
  <c r="X25" i="16" s="1"/>
  <c r="L24" i="16"/>
  <c r="F24" i="16"/>
  <c r="W24" i="16" s="1"/>
  <c r="X24" i="16" s="1"/>
  <c r="E24" i="16"/>
  <c r="W23" i="16"/>
  <c r="X23" i="16" s="1"/>
  <c r="L23" i="16"/>
  <c r="E23" i="16"/>
  <c r="W22" i="16"/>
  <c r="X22" i="16" s="1"/>
  <c r="L22" i="16"/>
  <c r="E22" i="16"/>
  <c r="W21" i="16"/>
  <c r="X21" i="16" s="1"/>
  <c r="L21" i="16"/>
  <c r="E21" i="16"/>
  <c r="L20" i="16"/>
  <c r="F20" i="16"/>
  <c r="W20" i="16" s="1"/>
  <c r="X20" i="16" s="1"/>
  <c r="E20" i="16"/>
  <c r="W19" i="16"/>
  <c r="X19" i="16" s="1"/>
  <c r="L19" i="16"/>
  <c r="E19" i="16"/>
  <c r="F19" i="16" s="1"/>
  <c r="L18" i="16"/>
  <c r="E18" i="16"/>
  <c r="F18" i="16" s="1"/>
  <c r="W18" i="16" s="1"/>
  <c r="X18" i="16" s="1"/>
  <c r="L17" i="16"/>
  <c r="F17" i="16"/>
  <c r="W17" i="16" s="1"/>
  <c r="X17" i="16" s="1"/>
  <c r="E17" i="16"/>
  <c r="L16" i="16"/>
  <c r="E16" i="16"/>
  <c r="F16" i="16" s="1"/>
  <c r="W16" i="16" s="1"/>
  <c r="X16" i="16" s="1"/>
  <c r="L15" i="16"/>
  <c r="E15" i="16"/>
  <c r="F15" i="16" s="1"/>
  <c r="W15" i="16" s="1"/>
  <c r="X15" i="16" s="1"/>
  <c r="X14" i="16"/>
  <c r="W14" i="16"/>
  <c r="L14" i="16"/>
  <c r="E14" i="16"/>
  <c r="W13" i="16"/>
  <c r="X13" i="16" s="1"/>
  <c r="L13" i="16"/>
  <c r="E13" i="16"/>
  <c r="L12" i="16"/>
  <c r="E12" i="16"/>
  <c r="F12" i="16" s="1"/>
  <c r="W12" i="16" s="1"/>
  <c r="X12" i="16" s="1"/>
  <c r="L11" i="16"/>
  <c r="E11" i="16"/>
  <c r="F11" i="16" s="1"/>
  <c r="W10" i="16"/>
  <c r="X10" i="16" s="1"/>
  <c r="L10" i="16"/>
  <c r="W9" i="16"/>
  <c r="X9" i="16" s="1"/>
  <c r="L9" i="16"/>
  <c r="W8" i="16"/>
  <c r="X8" i="16" s="1"/>
  <c r="L8" i="16"/>
  <c r="W7" i="16"/>
  <c r="X7" i="16" s="1"/>
  <c r="L7" i="16"/>
  <c r="U6" i="16"/>
  <c r="T6" i="16"/>
  <c r="H29" i="33" s="1"/>
  <c r="S6" i="16"/>
  <c r="H28" i="33" s="1"/>
  <c r="R6" i="16"/>
  <c r="H27" i="33" s="1"/>
  <c r="Q6" i="16"/>
  <c r="H26" i="33" s="1"/>
  <c r="P6" i="16"/>
  <c r="H25" i="33" s="1"/>
  <c r="O6" i="16"/>
  <c r="N6" i="16"/>
  <c r="M6" i="16"/>
  <c r="H24" i="33" s="1"/>
  <c r="H23" i="33" s="1"/>
  <c r="J6" i="16"/>
  <c r="F305" i="15"/>
  <c r="G121" i="33" s="1"/>
  <c r="E305" i="15"/>
  <c r="F295" i="15"/>
  <c r="E295" i="15"/>
  <c r="F285" i="15"/>
  <c r="E285" i="15"/>
  <c r="F275" i="15"/>
  <c r="E275" i="15"/>
  <c r="F265" i="15"/>
  <c r="E265" i="15"/>
  <c r="F255" i="15"/>
  <c r="F254" i="15" s="1"/>
  <c r="E255" i="15"/>
  <c r="F244" i="15"/>
  <c r="E244" i="15"/>
  <c r="F234" i="15"/>
  <c r="E234" i="15"/>
  <c r="F224" i="15"/>
  <c r="E224" i="15"/>
  <c r="F214" i="15"/>
  <c r="E214" i="15"/>
  <c r="F204" i="15"/>
  <c r="E204" i="15"/>
  <c r="F175" i="15"/>
  <c r="E175" i="15"/>
  <c r="F169" i="15"/>
  <c r="E169" i="15"/>
  <c r="F163" i="15"/>
  <c r="E163" i="15"/>
  <c r="F157" i="15"/>
  <c r="E157" i="15"/>
  <c r="F151" i="15"/>
  <c r="E151" i="15"/>
  <c r="F145" i="15"/>
  <c r="F144" i="15" s="1"/>
  <c r="E145" i="15"/>
  <c r="E144" i="15" s="1"/>
  <c r="F134" i="15"/>
  <c r="E134" i="15"/>
  <c r="F118" i="15"/>
  <c r="E118" i="15"/>
  <c r="F112" i="15"/>
  <c r="F111" i="15" s="1"/>
  <c r="E112" i="15"/>
  <c r="E111" i="15"/>
  <c r="F107" i="15"/>
  <c r="F85" i="15" s="1"/>
  <c r="E107" i="15"/>
  <c r="F102" i="15"/>
  <c r="E102" i="15"/>
  <c r="F86" i="15"/>
  <c r="E86" i="15"/>
  <c r="F63" i="15"/>
  <c r="E63" i="15"/>
  <c r="F39" i="15"/>
  <c r="G66" i="33" s="1"/>
  <c r="G65" i="33" s="1"/>
  <c r="F38" i="15"/>
  <c r="E38" i="15"/>
  <c r="F35" i="15"/>
  <c r="G62" i="33" s="1"/>
  <c r="G61" i="33" s="1"/>
  <c r="E34" i="15"/>
  <c r="F16" i="15"/>
  <c r="E16" i="15"/>
  <c r="F6" i="15"/>
  <c r="E6" i="15"/>
  <c r="F186" i="14"/>
  <c r="F184" i="14"/>
  <c r="E184" i="14"/>
  <c r="F180" i="14"/>
  <c r="E180" i="14"/>
  <c r="F165" i="14"/>
  <c r="E165" i="14"/>
  <c r="F161" i="14"/>
  <c r="E161" i="14"/>
  <c r="F159" i="14"/>
  <c r="F157" i="14"/>
  <c r="F156" i="14"/>
  <c r="E156" i="14"/>
  <c r="F154" i="14"/>
  <c r="F152" i="14"/>
  <c r="F151" i="14"/>
  <c r="F150" i="14" s="1"/>
  <c r="E151" i="14"/>
  <c r="E150" i="14" s="1"/>
  <c r="F148" i="14"/>
  <c r="F146" i="14" s="1"/>
  <c r="E146" i="14"/>
  <c r="F144" i="14"/>
  <c r="F142" i="14"/>
  <c r="F139" i="14" s="1"/>
  <c r="F141" i="14"/>
  <c r="F140" i="14"/>
  <c r="E139" i="14"/>
  <c r="F134" i="14"/>
  <c r="E134" i="14"/>
  <c r="F133" i="14"/>
  <c r="F130" i="14"/>
  <c r="E130" i="14"/>
  <c r="F127" i="14"/>
  <c r="E127" i="14"/>
  <c r="E126" i="14" s="1"/>
  <c r="F126" i="14"/>
  <c r="W125" i="14"/>
  <c r="X125" i="14" s="1"/>
  <c r="L125" i="14"/>
  <c r="W124" i="14"/>
  <c r="X124" i="14" s="1"/>
  <c r="L124" i="14"/>
  <c r="X123" i="14"/>
  <c r="W123" i="14"/>
  <c r="L123" i="14"/>
  <c r="W122" i="14"/>
  <c r="X122" i="14" s="1"/>
  <c r="L122" i="14"/>
  <c r="W121" i="14"/>
  <c r="X121" i="14" s="1"/>
  <c r="L121" i="14"/>
  <c r="W120" i="14"/>
  <c r="X120" i="14" s="1"/>
  <c r="L120" i="14"/>
  <c r="X119" i="14"/>
  <c r="W119" i="14"/>
  <c r="L119" i="14"/>
  <c r="W118" i="14"/>
  <c r="X118" i="14" s="1"/>
  <c r="L118" i="14"/>
  <c r="W117" i="14"/>
  <c r="X117" i="14" s="1"/>
  <c r="L117" i="14"/>
  <c r="W116" i="14"/>
  <c r="X116" i="14" s="1"/>
  <c r="L116" i="14"/>
  <c r="X115" i="14"/>
  <c r="W115" i="14"/>
  <c r="L115" i="14"/>
  <c r="W114" i="14"/>
  <c r="X114" i="14" s="1"/>
  <c r="L114" i="14"/>
  <c r="W113" i="14"/>
  <c r="X113" i="14" s="1"/>
  <c r="L113" i="14"/>
  <c r="W112" i="14"/>
  <c r="X112" i="14" s="1"/>
  <c r="L112" i="14"/>
  <c r="X111" i="14"/>
  <c r="W111" i="14"/>
  <c r="L111" i="14"/>
  <c r="W110" i="14"/>
  <c r="X110" i="14" s="1"/>
  <c r="L110" i="14"/>
  <c r="W109" i="14"/>
  <c r="X109" i="14" s="1"/>
  <c r="L109" i="14"/>
  <c r="W108" i="14"/>
  <c r="X108" i="14" s="1"/>
  <c r="L108" i="14"/>
  <c r="X107" i="14"/>
  <c r="W107" i="14"/>
  <c r="L107" i="14"/>
  <c r="W106" i="14"/>
  <c r="X106" i="14" s="1"/>
  <c r="L106" i="14"/>
  <c r="M105" i="14"/>
  <c r="E105" i="14" s="1"/>
  <c r="F105" i="14" s="1"/>
  <c r="W105" i="14" s="1"/>
  <c r="X105" i="14" s="1"/>
  <c r="L105" i="14"/>
  <c r="L104" i="14"/>
  <c r="E104" i="14"/>
  <c r="F104" i="14" s="1"/>
  <c r="W104" i="14" s="1"/>
  <c r="X104" i="14" s="1"/>
  <c r="L103" i="14"/>
  <c r="F103" i="14"/>
  <c r="W103" i="14" s="1"/>
  <c r="X103" i="14" s="1"/>
  <c r="E103" i="14"/>
  <c r="L102" i="14"/>
  <c r="E102" i="14"/>
  <c r="F102" i="14" s="1"/>
  <c r="W102" i="14" s="1"/>
  <c r="X102" i="14" s="1"/>
  <c r="W101" i="14"/>
  <c r="X101" i="14" s="1"/>
  <c r="L101" i="14"/>
  <c r="E101" i="14"/>
  <c r="F101" i="14" s="1"/>
  <c r="X100" i="14"/>
  <c r="W100" i="14"/>
  <c r="L100" i="14"/>
  <c r="E100" i="14"/>
  <c r="X99" i="14"/>
  <c r="W99" i="14"/>
  <c r="L99" i="14"/>
  <c r="E99" i="14"/>
  <c r="X98" i="14"/>
  <c r="W98" i="14"/>
  <c r="L98" i="14"/>
  <c r="E98" i="14"/>
  <c r="L97" i="14"/>
  <c r="E97" i="14"/>
  <c r="F97" i="14" s="1"/>
  <c r="W97" i="14" s="1"/>
  <c r="X97" i="14" s="1"/>
  <c r="L96" i="14"/>
  <c r="F96" i="14"/>
  <c r="W96" i="14" s="1"/>
  <c r="X96" i="14" s="1"/>
  <c r="E96" i="14"/>
  <c r="W95" i="14"/>
  <c r="X95" i="14" s="1"/>
  <c r="L95" i="14"/>
  <c r="E95" i="14"/>
  <c r="L94" i="14"/>
  <c r="E94" i="14"/>
  <c r="F94" i="14" s="1"/>
  <c r="W94" i="14" s="1"/>
  <c r="X94" i="14" s="1"/>
  <c r="W93" i="14"/>
  <c r="X93" i="14" s="1"/>
  <c r="L93" i="14"/>
  <c r="E93" i="14"/>
  <c r="F93" i="14" s="1"/>
  <c r="L92" i="14"/>
  <c r="E92" i="14"/>
  <c r="F92" i="14" s="1"/>
  <c r="W92" i="14" s="1"/>
  <c r="X92" i="14" s="1"/>
  <c r="L91" i="14"/>
  <c r="F91" i="14"/>
  <c r="W91" i="14" s="1"/>
  <c r="X91" i="14" s="1"/>
  <c r="E91" i="14"/>
  <c r="L90" i="14"/>
  <c r="E90" i="14"/>
  <c r="F90" i="14" s="1"/>
  <c r="W90" i="14" s="1"/>
  <c r="X90" i="14" s="1"/>
  <c r="L89" i="14"/>
  <c r="F89" i="14"/>
  <c r="W89" i="14" s="1"/>
  <c r="X89" i="14" s="1"/>
  <c r="E89" i="14"/>
  <c r="L88" i="14"/>
  <c r="E88" i="14"/>
  <c r="F88" i="14" s="1"/>
  <c r="W88" i="14" s="1"/>
  <c r="X88" i="14" s="1"/>
  <c r="W87" i="14"/>
  <c r="X87" i="14" s="1"/>
  <c r="L87" i="14"/>
  <c r="F87" i="14"/>
  <c r="E87" i="14"/>
  <c r="X86" i="14"/>
  <c r="W86" i="14"/>
  <c r="L86" i="14"/>
  <c r="E86" i="14"/>
  <c r="L85" i="14"/>
  <c r="E85" i="14"/>
  <c r="F85" i="14" s="1"/>
  <c r="W85" i="14" s="1"/>
  <c r="X85" i="14" s="1"/>
  <c r="L84" i="14"/>
  <c r="F84" i="14"/>
  <c r="W84" i="14" s="1"/>
  <c r="X84" i="14" s="1"/>
  <c r="E84" i="14"/>
  <c r="L83" i="14"/>
  <c r="E83" i="14"/>
  <c r="F83" i="14" s="1"/>
  <c r="W83" i="14" s="1"/>
  <c r="X83" i="14" s="1"/>
  <c r="W82" i="14"/>
  <c r="X82" i="14" s="1"/>
  <c r="M82" i="14"/>
  <c r="L82" i="14"/>
  <c r="F82" i="14"/>
  <c r="E82" i="14"/>
  <c r="W81" i="14"/>
  <c r="X81" i="14" s="1"/>
  <c r="M81" i="14"/>
  <c r="L81" i="14"/>
  <c r="F81" i="14"/>
  <c r="E81" i="14"/>
  <c r="W80" i="14"/>
  <c r="X80" i="14" s="1"/>
  <c r="L80" i="14"/>
  <c r="F80" i="14"/>
  <c r="E80" i="14"/>
  <c r="L79" i="14"/>
  <c r="E79" i="14"/>
  <c r="F79" i="14" s="1"/>
  <c r="W79" i="14" s="1"/>
  <c r="X79" i="14" s="1"/>
  <c r="W78" i="14"/>
  <c r="X78" i="14" s="1"/>
  <c r="L78" i="14"/>
  <c r="F78" i="14"/>
  <c r="E78" i="14"/>
  <c r="L77" i="14"/>
  <c r="E77" i="14"/>
  <c r="F77" i="14" s="1"/>
  <c r="W77" i="14" s="1"/>
  <c r="X77" i="14" s="1"/>
  <c r="W76" i="14"/>
  <c r="X76" i="14" s="1"/>
  <c r="L76" i="14"/>
  <c r="E76" i="14"/>
  <c r="U75" i="14"/>
  <c r="P75" i="14"/>
  <c r="O75" i="14"/>
  <c r="N75" i="14"/>
  <c r="N6" i="14" s="1"/>
  <c r="M75" i="14"/>
  <c r="F75" i="14" s="1"/>
  <c r="W75" i="14" s="1"/>
  <c r="X75" i="14" s="1"/>
  <c r="L75" i="14"/>
  <c r="L74" i="14"/>
  <c r="E74" i="14"/>
  <c r="F74" i="14" s="1"/>
  <c r="W74" i="14" s="1"/>
  <c r="X74" i="14" s="1"/>
  <c r="L73" i="14"/>
  <c r="F73" i="14"/>
  <c r="W73" i="14" s="1"/>
  <c r="X73" i="14" s="1"/>
  <c r="E73" i="14"/>
  <c r="X72" i="14"/>
  <c r="W72" i="14"/>
  <c r="L72" i="14"/>
  <c r="E72" i="14"/>
  <c r="X71" i="14"/>
  <c r="W71" i="14"/>
  <c r="L71" i="14"/>
  <c r="E71" i="14"/>
  <c r="L70" i="14"/>
  <c r="E70" i="14"/>
  <c r="F70" i="14" s="1"/>
  <c r="W70" i="14" s="1"/>
  <c r="X70" i="14" s="1"/>
  <c r="W69" i="14"/>
  <c r="X69" i="14" s="1"/>
  <c r="L69" i="14"/>
  <c r="E69" i="14"/>
  <c r="W68" i="14"/>
  <c r="X68" i="14" s="1"/>
  <c r="L68" i="14"/>
  <c r="F68" i="14"/>
  <c r="E68" i="14"/>
  <c r="L67" i="14"/>
  <c r="E67" i="14"/>
  <c r="F67" i="14" s="1"/>
  <c r="W67" i="14" s="1"/>
  <c r="X67" i="14" s="1"/>
  <c r="W66" i="14"/>
  <c r="X66" i="14" s="1"/>
  <c r="L66" i="14"/>
  <c r="F66" i="14"/>
  <c r="E66" i="14"/>
  <c r="X65" i="14"/>
  <c r="W65" i="14"/>
  <c r="L65" i="14"/>
  <c r="E65" i="14"/>
  <c r="U64" i="14"/>
  <c r="P64" i="14"/>
  <c r="O64" i="14"/>
  <c r="N64" i="14"/>
  <c r="M64" i="14"/>
  <c r="F64" i="14" s="1"/>
  <c r="W64" i="14" s="1"/>
  <c r="X64" i="14" s="1"/>
  <c r="L64" i="14"/>
  <c r="W63" i="14"/>
  <c r="X63" i="14" s="1"/>
  <c r="L63" i="14"/>
  <c r="E63" i="14"/>
  <c r="W62" i="14"/>
  <c r="X62" i="14" s="1"/>
  <c r="L62" i="14"/>
  <c r="E62" i="14"/>
  <c r="W61" i="14"/>
  <c r="X61" i="14" s="1"/>
  <c r="L61" i="14"/>
  <c r="E61" i="14"/>
  <c r="L60" i="14"/>
  <c r="F60" i="14"/>
  <c r="W60" i="14" s="1"/>
  <c r="X60" i="14" s="1"/>
  <c r="E60" i="14"/>
  <c r="L59" i="14"/>
  <c r="E59" i="14"/>
  <c r="F59" i="14" s="1"/>
  <c r="W59" i="14" s="1"/>
  <c r="X59" i="14" s="1"/>
  <c r="L58" i="14"/>
  <c r="F58" i="14"/>
  <c r="W58" i="14" s="1"/>
  <c r="X58" i="14" s="1"/>
  <c r="E58" i="14"/>
  <c r="X57" i="14"/>
  <c r="W57" i="14"/>
  <c r="L57" i="14"/>
  <c r="E57" i="14"/>
  <c r="L56" i="14"/>
  <c r="E56" i="14"/>
  <c r="F56" i="14" s="1"/>
  <c r="W56" i="14" s="1"/>
  <c r="X56" i="14" s="1"/>
  <c r="L55" i="14"/>
  <c r="F55" i="14"/>
  <c r="W55" i="14" s="1"/>
  <c r="X55" i="14" s="1"/>
  <c r="E55" i="14"/>
  <c r="L54" i="14"/>
  <c r="E54" i="14"/>
  <c r="F54" i="14" s="1"/>
  <c r="W54" i="14" s="1"/>
  <c r="X54" i="14" s="1"/>
  <c r="P53" i="14"/>
  <c r="O53" i="14"/>
  <c r="N53" i="14"/>
  <c r="M53" i="14"/>
  <c r="L53" i="14"/>
  <c r="U52" i="14"/>
  <c r="S52" i="14"/>
  <c r="P52" i="14"/>
  <c r="O52" i="14"/>
  <c r="N52" i="14"/>
  <c r="M52" i="14"/>
  <c r="L52" i="14"/>
  <c r="F52" i="14"/>
  <c r="W52" i="14" s="1"/>
  <c r="X52" i="14" s="1"/>
  <c r="L51" i="14"/>
  <c r="F51" i="14"/>
  <c r="W51" i="14" s="1"/>
  <c r="X51" i="14" s="1"/>
  <c r="E51" i="14"/>
  <c r="L50" i="14"/>
  <c r="E50" i="14"/>
  <c r="F50" i="14" s="1"/>
  <c r="W50" i="14" s="1"/>
  <c r="X50" i="14" s="1"/>
  <c r="W49" i="14"/>
  <c r="X49" i="14" s="1"/>
  <c r="L49" i="14"/>
  <c r="E49" i="14"/>
  <c r="F49" i="14" s="1"/>
  <c r="L48" i="14"/>
  <c r="E48" i="14"/>
  <c r="F48" i="14" s="1"/>
  <c r="W48" i="14" s="1"/>
  <c r="X48" i="14" s="1"/>
  <c r="L47" i="14"/>
  <c r="F47" i="14"/>
  <c r="W47" i="14" s="1"/>
  <c r="X47" i="14" s="1"/>
  <c r="E47" i="14"/>
  <c r="L46" i="14"/>
  <c r="E46" i="14"/>
  <c r="F46" i="14" s="1"/>
  <c r="W46" i="14" s="1"/>
  <c r="X46" i="14" s="1"/>
  <c r="W45" i="14"/>
  <c r="X45" i="14" s="1"/>
  <c r="L45" i="14"/>
  <c r="E45" i="14"/>
  <c r="W44" i="14"/>
  <c r="X44" i="14" s="1"/>
  <c r="L44" i="14"/>
  <c r="E44" i="14"/>
  <c r="W43" i="14"/>
  <c r="X43" i="14" s="1"/>
  <c r="L43" i="14"/>
  <c r="E43" i="14"/>
  <c r="L42" i="14"/>
  <c r="F42" i="14"/>
  <c r="W42" i="14" s="1"/>
  <c r="X42" i="14" s="1"/>
  <c r="E42" i="14"/>
  <c r="L41" i="14"/>
  <c r="E41" i="14"/>
  <c r="F41" i="14" s="1"/>
  <c r="W41" i="14" s="1"/>
  <c r="X41" i="14" s="1"/>
  <c r="W40" i="14"/>
  <c r="X40" i="14" s="1"/>
  <c r="L40" i="14"/>
  <c r="F40" i="14"/>
  <c r="E40" i="14"/>
  <c r="L39" i="14"/>
  <c r="E39" i="14"/>
  <c r="F39" i="14" s="1"/>
  <c r="W39" i="14" s="1"/>
  <c r="X39" i="14" s="1"/>
  <c r="W38" i="14"/>
  <c r="X38" i="14" s="1"/>
  <c r="L38" i="14"/>
  <c r="F38" i="14"/>
  <c r="E38" i="14"/>
  <c r="M37" i="14"/>
  <c r="E37" i="14" s="1"/>
  <c r="L37" i="14"/>
  <c r="F37" i="14"/>
  <c r="W37" i="14" s="1"/>
  <c r="X37" i="14" s="1"/>
  <c r="L36" i="14"/>
  <c r="E36" i="14"/>
  <c r="F36" i="14" s="1"/>
  <c r="W36" i="14" s="1"/>
  <c r="X36" i="14" s="1"/>
  <c r="L35" i="14"/>
  <c r="F35" i="14"/>
  <c r="W35" i="14" s="1"/>
  <c r="X35" i="14" s="1"/>
  <c r="E35" i="14"/>
  <c r="L34" i="14"/>
  <c r="E34" i="14"/>
  <c r="F34" i="14" s="1"/>
  <c r="W34" i="14" s="1"/>
  <c r="X34" i="14" s="1"/>
  <c r="W33" i="14"/>
  <c r="X33" i="14" s="1"/>
  <c r="L33" i="14"/>
  <c r="F33" i="14"/>
  <c r="E33" i="14"/>
  <c r="X32" i="14"/>
  <c r="W32" i="14"/>
  <c r="L32" i="14"/>
  <c r="F32" i="14"/>
  <c r="M31" i="14"/>
  <c r="F31" i="14" s="1"/>
  <c r="W31" i="14" s="1"/>
  <c r="X31" i="14" s="1"/>
  <c r="L31" i="14"/>
  <c r="L30" i="14"/>
  <c r="F30" i="14"/>
  <c r="W30" i="14" s="1"/>
  <c r="X30" i="14" s="1"/>
  <c r="E30" i="14"/>
  <c r="L29" i="14"/>
  <c r="E29" i="14"/>
  <c r="F29" i="14" s="1"/>
  <c r="W29" i="14" s="1"/>
  <c r="X29" i="14" s="1"/>
  <c r="W28" i="14"/>
  <c r="X28" i="14" s="1"/>
  <c r="L28" i="14"/>
  <c r="F28" i="14"/>
  <c r="E28" i="14"/>
  <c r="L27" i="14"/>
  <c r="E27" i="14"/>
  <c r="F27" i="14" s="1"/>
  <c r="W27" i="14" s="1"/>
  <c r="X27" i="14" s="1"/>
  <c r="W26" i="14"/>
  <c r="X26" i="14" s="1"/>
  <c r="L26" i="14"/>
  <c r="F26" i="14"/>
  <c r="E26" i="14"/>
  <c r="X25" i="14"/>
  <c r="W25" i="14"/>
  <c r="L25" i="14"/>
  <c r="E25" i="14"/>
  <c r="X24" i="14"/>
  <c r="W24" i="14"/>
  <c r="L24" i="14"/>
  <c r="E24" i="14"/>
  <c r="X23" i="14"/>
  <c r="W23" i="14"/>
  <c r="L23" i="14"/>
  <c r="E23" i="14"/>
  <c r="L22" i="14"/>
  <c r="E22" i="14"/>
  <c r="F22" i="14" s="1"/>
  <c r="W22" i="14" s="1"/>
  <c r="X22" i="14" s="1"/>
  <c r="L21" i="14"/>
  <c r="F21" i="14"/>
  <c r="W21" i="14" s="1"/>
  <c r="X21" i="14" s="1"/>
  <c r="E21" i="14"/>
  <c r="L20" i="14"/>
  <c r="E20" i="14"/>
  <c r="F20" i="14" s="1"/>
  <c r="W20" i="14" s="1"/>
  <c r="X20" i="14" s="1"/>
  <c r="W19" i="14"/>
  <c r="X19" i="14" s="1"/>
  <c r="L19" i="14"/>
  <c r="E19" i="14"/>
  <c r="F19" i="14" s="1"/>
  <c r="L18" i="14"/>
  <c r="E18" i="14"/>
  <c r="F18" i="14" s="1"/>
  <c r="W18" i="14" s="1"/>
  <c r="X18" i="14" s="1"/>
  <c r="L17" i="14"/>
  <c r="F17" i="14"/>
  <c r="W17" i="14" s="1"/>
  <c r="X17" i="14" s="1"/>
  <c r="E17" i="14"/>
  <c r="W16" i="14"/>
  <c r="X16" i="14" s="1"/>
  <c r="L16" i="14"/>
  <c r="F16" i="14"/>
  <c r="U15" i="14"/>
  <c r="F15" i="14" s="1"/>
  <c r="W15" i="14" s="1"/>
  <c r="X15" i="14" s="1"/>
  <c r="N15" i="14"/>
  <c r="L15" i="14"/>
  <c r="L14" i="14"/>
  <c r="F14" i="14"/>
  <c r="W14" i="14" s="1"/>
  <c r="X14" i="14" s="1"/>
  <c r="M13" i="14"/>
  <c r="F13" i="14" s="1"/>
  <c r="W13" i="14" s="1"/>
  <c r="X13" i="14" s="1"/>
  <c r="L13" i="14"/>
  <c r="L12" i="14"/>
  <c r="F12" i="14"/>
  <c r="W12" i="14" s="1"/>
  <c r="X12" i="14" s="1"/>
  <c r="E12" i="14"/>
  <c r="L11" i="14"/>
  <c r="E11" i="14"/>
  <c r="W10" i="14"/>
  <c r="X10" i="14" s="1"/>
  <c r="L10" i="14"/>
  <c r="X9" i="14"/>
  <c r="W9" i="14"/>
  <c r="L9" i="14"/>
  <c r="W8" i="14"/>
  <c r="X8" i="14" s="1"/>
  <c r="L8" i="14"/>
  <c r="X7" i="14"/>
  <c r="W7" i="14"/>
  <c r="L7" i="14"/>
  <c r="L6" i="14" s="1"/>
  <c r="U6" i="14"/>
  <c r="T6" i="14"/>
  <c r="S6" i="14"/>
  <c r="R6" i="14"/>
  <c r="Q6" i="14"/>
  <c r="P6" i="14"/>
  <c r="O6" i="14"/>
  <c r="J6" i="14"/>
  <c r="F276" i="13"/>
  <c r="F121" i="33" s="1"/>
  <c r="E276" i="13"/>
  <c r="F266" i="13"/>
  <c r="E266" i="13"/>
  <c r="F256" i="13"/>
  <c r="E256" i="13"/>
  <c r="F246" i="13"/>
  <c r="E246" i="13"/>
  <c r="F236" i="13"/>
  <c r="E236" i="13"/>
  <c r="E235" i="13" s="1"/>
  <c r="F235" i="13"/>
  <c r="F225" i="13"/>
  <c r="E225" i="13"/>
  <c r="F215" i="13"/>
  <c r="E215" i="13"/>
  <c r="F205" i="13"/>
  <c r="E205" i="13"/>
  <c r="F195" i="13"/>
  <c r="E195" i="13"/>
  <c r="F185" i="13"/>
  <c r="E185" i="13"/>
  <c r="F179" i="13"/>
  <c r="E179" i="13"/>
  <c r="F173" i="13"/>
  <c r="E173" i="13"/>
  <c r="F167" i="13"/>
  <c r="E167" i="13"/>
  <c r="F161" i="13"/>
  <c r="E161" i="13"/>
  <c r="F155" i="13"/>
  <c r="E155" i="13"/>
  <c r="F147" i="13"/>
  <c r="E147" i="13"/>
  <c r="E146" i="13" s="1"/>
  <c r="F146" i="13"/>
  <c r="F136" i="13"/>
  <c r="E136" i="13"/>
  <c r="F126" i="13"/>
  <c r="E126" i="13"/>
  <c r="F120" i="13"/>
  <c r="F119" i="13" s="1"/>
  <c r="E120" i="13"/>
  <c r="E119" i="13"/>
  <c r="F115" i="13"/>
  <c r="E115" i="13"/>
  <c r="F110" i="13"/>
  <c r="F93" i="13" s="1"/>
  <c r="E110" i="13"/>
  <c r="F94" i="13"/>
  <c r="E94" i="13"/>
  <c r="E93" i="13" s="1"/>
  <c r="F63" i="13"/>
  <c r="E63" i="13"/>
  <c r="F38" i="13"/>
  <c r="E38" i="13"/>
  <c r="F35" i="13"/>
  <c r="F62" i="33" s="1"/>
  <c r="F61" i="33" s="1"/>
  <c r="E34" i="13"/>
  <c r="F31" i="13"/>
  <c r="F30" i="13"/>
  <c r="F57" i="33" s="1"/>
  <c r="E16" i="13"/>
  <c r="F6" i="13"/>
  <c r="E6" i="13"/>
  <c r="F181" i="12"/>
  <c r="F179" i="12"/>
  <c r="E179" i="12"/>
  <c r="F175" i="12"/>
  <c r="E175" i="12"/>
  <c r="F166" i="12"/>
  <c r="E166" i="12"/>
  <c r="F163" i="12"/>
  <c r="F162" i="12" s="1"/>
  <c r="E162" i="12"/>
  <c r="E151" i="12" s="1"/>
  <c r="F160" i="12"/>
  <c r="F157" i="12"/>
  <c r="E157" i="12"/>
  <c r="F155" i="12"/>
  <c r="F153" i="12"/>
  <c r="F152" i="12"/>
  <c r="F151" i="12" s="1"/>
  <c r="E152" i="12"/>
  <c r="F147" i="12"/>
  <c r="E147" i="12"/>
  <c r="F140" i="12"/>
  <c r="E140" i="12"/>
  <c r="F139" i="12"/>
  <c r="F138" i="12"/>
  <c r="F135" i="12"/>
  <c r="E135" i="12"/>
  <c r="F134" i="12"/>
  <c r="F131" i="12" s="1"/>
  <c r="E131" i="12"/>
  <c r="F128" i="12"/>
  <c r="E128" i="12"/>
  <c r="E127" i="12" s="1"/>
  <c r="W126" i="12"/>
  <c r="X126" i="12" s="1"/>
  <c r="W125" i="12"/>
  <c r="X125" i="12" s="1"/>
  <c r="L125" i="12"/>
  <c r="X124" i="12"/>
  <c r="W124" i="12"/>
  <c r="L124" i="12"/>
  <c r="W123" i="12"/>
  <c r="X123" i="12" s="1"/>
  <c r="L123" i="12"/>
  <c r="X122" i="12"/>
  <c r="W122" i="12"/>
  <c r="L122" i="12"/>
  <c r="W121" i="12"/>
  <c r="X121" i="12" s="1"/>
  <c r="L121" i="12"/>
  <c r="X120" i="12"/>
  <c r="W120" i="12"/>
  <c r="L120" i="12"/>
  <c r="W119" i="12"/>
  <c r="X119" i="12" s="1"/>
  <c r="L119" i="12"/>
  <c r="X118" i="12"/>
  <c r="W118" i="12"/>
  <c r="L118" i="12"/>
  <c r="W117" i="12"/>
  <c r="X117" i="12" s="1"/>
  <c r="L117" i="12"/>
  <c r="X116" i="12"/>
  <c r="W116" i="12"/>
  <c r="L116" i="12"/>
  <c r="W115" i="12"/>
  <c r="X115" i="12" s="1"/>
  <c r="L115" i="12"/>
  <c r="X114" i="12"/>
  <c r="W114" i="12"/>
  <c r="L114" i="12"/>
  <c r="W113" i="12"/>
  <c r="X113" i="12" s="1"/>
  <c r="L113" i="12"/>
  <c r="X112" i="12"/>
  <c r="W112" i="12"/>
  <c r="L112" i="12"/>
  <c r="W111" i="12"/>
  <c r="X111" i="12" s="1"/>
  <c r="L111" i="12"/>
  <c r="X110" i="12"/>
  <c r="W110" i="12"/>
  <c r="L110" i="12"/>
  <c r="W109" i="12"/>
  <c r="X109" i="12" s="1"/>
  <c r="L109" i="12"/>
  <c r="X108" i="12"/>
  <c r="W108" i="12"/>
  <c r="L108" i="12"/>
  <c r="W107" i="12"/>
  <c r="X107" i="12" s="1"/>
  <c r="L107" i="12"/>
  <c r="X106" i="12"/>
  <c r="W106" i="12"/>
  <c r="L106" i="12"/>
  <c r="W105" i="12"/>
  <c r="X105" i="12" s="1"/>
  <c r="L105" i="12"/>
  <c r="X104" i="12"/>
  <c r="L104" i="12"/>
  <c r="E104" i="12"/>
  <c r="F104" i="12" s="1"/>
  <c r="W104" i="12" s="1"/>
  <c r="W103" i="12"/>
  <c r="X103" i="12" s="1"/>
  <c r="L103" i="12"/>
  <c r="F103" i="12"/>
  <c r="E103" i="12"/>
  <c r="L102" i="12"/>
  <c r="E102" i="12"/>
  <c r="F102" i="12" s="1"/>
  <c r="W102" i="12" s="1"/>
  <c r="X102" i="12" s="1"/>
  <c r="W101" i="12"/>
  <c r="X101" i="12" s="1"/>
  <c r="L101" i="12"/>
  <c r="F101" i="12"/>
  <c r="E101" i="12"/>
  <c r="X100" i="12"/>
  <c r="W100" i="12"/>
  <c r="L100" i="12"/>
  <c r="E100" i="12"/>
  <c r="L99" i="12"/>
  <c r="E99" i="12"/>
  <c r="F99" i="12" s="1"/>
  <c r="W99" i="12" s="1"/>
  <c r="X99" i="12" s="1"/>
  <c r="W98" i="12"/>
  <c r="X98" i="12" s="1"/>
  <c r="L98" i="12"/>
  <c r="F98" i="12"/>
  <c r="E98" i="12"/>
  <c r="L97" i="12"/>
  <c r="E97" i="12"/>
  <c r="F97" i="12" s="1"/>
  <c r="W97" i="12" s="1"/>
  <c r="X97" i="12" s="1"/>
  <c r="W96" i="12"/>
  <c r="X96" i="12" s="1"/>
  <c r="L96" i="12"/>
  <c r="F96" i="12"/>
  <c r="E96" i="12"/>
  <c r="X95" i="12"/>
  <c r="W95" i="12"/>
  <c r="L95" i="12"/>
  <c r="E95" i="12"/>
  <c r="X94" i="12"/>
  <c r="L94" i="12"/>
  <c r="E94" i="12"/>
  <c r="F94" i="12" s="1"/>
  <c r="W94" i="12" s="1"/>
  <c r="W93" i="12"/>
  <c r="X93" i="12" s="1"/>
  <c r="L93" i="12"/>
  <c r="F93" i="12"/>
  <c r="E93" i="12"/>
  <c r="L92" i="12"/>
  <c r="E92" i="12"/>
  <c r="F92" i="12" s="1"/>
  <c r="W92" i="12" s="1"/>
  <c r="X92" i="12" s="1"/>
  <c r="W91" i="12"/>
  <c r="X91" i="12" s="1"/>
  <c r="L91" i="12"/>
  <c r="F91" i="12"/>
  <c r="E91" i="12"/>
  <c r="L90" i="12"/>
  <c r="E90" i="12"/>
  <c r="F90" i="12" s="1"/>
  <c r="W90" i="12" s="1"/>
  <c r="X90" i="12" s="1"/>
  <c r="L89" i="12"/>
  <c r="F89" i="12"/>
  <c r="W89" i="12" s="1"/>
  <c r="X89" i="12" s="1"/>
  <c r="E89" i="12"/>
  <c r="L88" i="12"/>
  <c r="E88" i="12"/>
  <c r="F88" i="12" s="1"/>
  <c r="W88" i="12" s="1"/>
  <c r="X88" i="12" s="1"/>
  <c r="W87" i="12"/>
  <c r="X87" i="12" s="1"/>
  <c r="L87" i="12"/>
  <c r="F87" i="12"/>
  <c r="E87" i="12"/>
  <c r="X86" i="12"/>
  <c r="W86" i="12"/>
  <c r="L86" i="12"/>
  <c r="E86" i="12"/>
  <c r="L85" i="12"/>
  <c r="E85" i="12"/>
  <c r="F85" i="12" s="1"/>
  <c r="W85" i="12" s="1"/>
  <c r="X85" i="12" s="1"/>
  <c r="L84" i="12"/>
  <c r="F84" i="12"/>
  <c r="W84" i="12" s="1"/>
  <c r="X84" i="12" s="1"/>
  <c r="E84" i="12"/>
  <c r="L83" i="12"/>
  <c r="E83" i="12"/>
  <c r="F83" i="12" s="1"/>
  <c r="W83" i="12" s="1"/>
  <c r="X83" i="12" s="1"/>
  <c r="W82" i="12"/>
  <c r="X82" i="12" s="1"/>
  <c r="L82" i="12"/>
  <c r="F82" i="12"/>
  <c r="E82" i="12"/>
  <c r="L81" i="12"/>
  <c r="E81" i="12"/>
  <c r="F81" i="12" s="1"/>
  <c r="W81" i="12" s="1"/>
  <c r="X81" i="12" s="1"/>
  <c r="L80" i="12"/>
  <c r="F80" i="12"/>
  <c r="W80" i="12" s="1"/>
  <c r="X80" i="12" s="1"/>
  <c r="E80" i="12"/>
  <c r="L79" i="12"/>
  <c r="E79" i="12"/>
  <c r="F79" i="12" s="1"/>
  <c r="W79" i="12" s="1"/>
  <c r="X79" i="12" s="1"/>
  <c r="L78" i="12"/>
  <c r="F78" i="12"/>
  <c r="W78" i="12" s="1"/>
  <c r="X78" i="12" s="1"/>
  <c r="E78" i="12"/>
  <c r="X77" i="12"/>
  <c r="L77" i="12"/>
  <c r="E77" i="12"/>
  <c r="F77" i="12" s="1"/>
  <c r="W77" i="12" s="1"/>
  <c r="W76" i="12"/>
  <c r="X76" i="12" s="1"/>
  <c r="L76" i="12"/>
  <c r="E76" i="12"/>
  <c r="W75" i="12"/>
  <c r="X75" i="12" s="1"/>
  <c r="L75" i="12"/>
  <c r="E75" i="12"/>
  <c r="L74" i="12"/>
  <c r="F74" i="12"/>
  <c r="W74" i="12" s="1"/>
  <c r="X74" i="12" s="1"/>
  <c r="E74" i="12"/>
  <c r="L73" i="12"/>
  <c r="E73" i="12"/>
  <c r="F73" i="12" s="1"/>
  <c r="W73" i="12" s="1"/>
  <c r="X73" i="12" s="1"/>
  <c r="W72" i="12"/>
  <c r="X72" i="12" s="1"/>
  <c r="L72" i="12"/>
  <c r="E72" i="12"/>
  <c r="W71" i="12"/>
  <c r="X71" i="12" s="1"/>
  <c r="L71" i="12"/>
  <c r="E71" i="12"/>
  <c r="L70" i="12"/>
  <c r="F70" i="12"/>
  <c r="W70" i="12" s="1"/>
  <c r="X70" i="12" s="1"/>
  <c r="E70" i="12"/>
  <c r="L69" i="12"/>
  <c r="E69" i="12"/>
  <c r="F69" i="12" s="1"/>
  <c r="W69" i="12" s="1"/>
  <c r="X69" i="12" s="1"/>
  <c r="W68" i="12"/>
  <c r="X68" i="12" s="1"/>
  <c r="M68" i="12"/>
  <c r="L68" i="12"/>
  <c r="F68" i="12"/>
  <c r="L67" i="12"/>
  <c r="E67" i="12"/>
  <c r="F67" i="12" s="1"/>
  <c r="W67" i="12" s="1"/>
  <c r="X67" i="12" s="1"/>
  <c r="W66" i="12"/>
  <c r="X66" i="12" s="1"/>
  <c r="L66" i="12"/>
  <c r="F66" i="12"/>
  <c r="E66" i="12"/>
  <c r="M65" i="12"/>
  <c r="L65" i="12"/>
  <c r="F65" i="12"/>
  <c r="W65" i="12" s="1"/>
  <c r="X65" i="12" s="1"/>
  <c r="W64" i="12"/>
  <c r="X64" i="12" s="1"/>
  <c r="L64" i="12"/>
  <c r="E64" i="12"/>
  <c r="W63" i="12"/>
  <c r="X63" i="12" s="1"/>
  <c r="L63" i="12"/>
  <c r="E63" i="12"/>
  <c r="W62" i="12"/>
  <c r="X62" i="12" s="1"/>
  <c r="L62" i="12"/>
  <c r="E62" i="12"/>
  <c r="W61" i="12"/>
  <c r="X61" i="12" s="1"/>
  <c r="L61" i="12"/>
  <c r="E61" i="12"/>
  <c r="W60" i="12"/>
  <c r="X60" i="12" s="1"/>
  <c r="L60" i="12"/>
  <c r="F60" i="12"/>
  <c r="E60" i="12"/>
  <c r="L59" i="12"/>
  <c r="E59" i="12"/>
  <c r="F59" i="12" s="1"/>
  <c r="W59" i="12" s="1"/>
  <c r="X59" i="12" s="1"/>
  <c r="W58" i="12"/>
  <c r="X58" i="12" s="1"/>
  <c r="L58" i="12"/>
  <c r="F58" i="12"/>
  <c r="E58" i="12"/>
  <c r="X57" i="12"/>
  <c r="W57" i="12"/>
  <c r="L57" i="12"/>
  <c r="E57" i="12"/>
  <c r="L56" i="12"/>
  <c r="E56" i="12"/>
  <c r="F56" i="12" s="1"/>
  <c r="W56" i="12" s="1"/>
  <c r="X56" i="12" s="1"/>
  <c r="W55" i="12"/>
  <c r="X55" i="12" s="1"/>
  <c r="L55" i="12"/>
  <c r="F55" i="12"/>
  <c r="E55" i="12"/>
  <c r="L54" i="12"/>
  <c r="E54" i="12"/>
  <c r="F54" i="12" s="1"/>
  <c r="W54" i="12" s="1"/>
  <c r="X54" i="12" s="1"/>
  <c r="W53" i="12"/>
  <c r="X53" i="12" s="1"/>
  <c r="L53" i="12"/>
  <c r="E53" i="12"/>
  <c r="W52" i="12"/>
  <c r="X52" i="12" s="1"/>
  <c r="L52" i="12"/>
  <c r="E52" i="12"/>
  <c r="W51" i="12"/>
  <c r="X51" i="12" s="1"/>
  <c r="L51" i="12"/>
  <c r="F51" i="12"/>
  <c r="E51" i="12"/>
  <c r="L50" i="12"/>
  <c r="E50" i="12"/>
  <c r="F50" i="12" s="1"/>
  <c r="W50" i="12" s="1"/>
  <c r="X50" i="12" s="1"/>
  <c r="L49" i="12"/>
  <c r="F49" i="12"/>
  <c r="W49" i="12" s="1"/>
  <c r="X49" i="12" s="1"/>
  <c r="E49" i="12"/>
  <c r="L48" i="12"/>
  <c r="E48" i="12"/>
  <c r="F48" i="12" s="1"/>
  <c r="W48" i="12" s="1"/>
  <c r="X48" i="12" s="1"/>
  <c r="L47" i="12"/>
  <c r="F47" i="12"/>
  <c r="W47" i="12" s="1"/>
  <c r="X47" i="12" s="1"/>
  <c r="E47" i="12"/>
  <c r="L46" i="12"/>
  <c r="E46" i="12"/>
  <c r="F46" i="12" s="1"/>
  <c r="W46" i="12" s="1"/>
  <c r="X46" i="12" s="1"/>
  <c r="W45" i="12"/>
  <c r="X45" i="12" s="1"/>
  <c r="L45" i="12"/>
  <c r="F45" i="12"/>
  <c r="E45" i="12"/>
  <c r="L44" i="12"/>
  <c r="E44" i="12"/>
  <c r="F44" i="12" s="1"/>
  <c r="W44" i="12" s="1"/>
  <c r="X44" i="12" s="1"/>
  <c r="S43" i="12"/>
  <c r="R43" i="12"/>
  <c r="R6" i="12" s="1"/>
  <c r="P43" i="12"/>
  <c r="O43" i="12"/>
  <c r="N43" i="12"/>
  <c r="M43" i="12"/>
  <c r="M6" i="12" s="1"/>
  <c r="L43" i="12"/>
  <c r="F43" i="12"/>
  <c r="W43" i="12" s="1"/>
  <c r="X43" i="12" s="1"/>
  <c r="L42" i="12"/>
  <c r="F42" i="12"/>
  <c r="W42" i="12" s="1"/>
  <c r="X42" i="12" s="1"/>
  <c r="E42" i="12"/>
  <c r="L41" i="12"/>
  <c r="F41" i="12"/>
  <c r="W41" i="12" s="1"/>
  <c r="X41" i="12" s="1"/>
  <c r="E41" i="12"/>
  <c r="W40" i="12"/>
  <c r="X40" i="12" s="1"/>
  <c r="L40" i="12"/>
  <c r="F40" i="12"/>
  <c r="E40" i="12"/>
  <c r="X39" i="12"/>
  <c r="W39" i="12"/>
  <c r="L39" i="12"/>
  <c r="F39" i="12"/>
  <c r="E39" i="12"/>
  <c r="L38" i="12"/>
  <c r="F38" i="12"/>
  <c r="W38" i="12" s="1"/>
  <c r="X38" i="12" s="1"/>
  <c r="E38" i="12"/>
  <c r="L37" i="12"/>
  <c r="E37" i="12"/>
  <c r="F37" i="12" s="1"/>
  <c r="W37" i="12" s="1"/>
  <c r="X37" i="12" s="1"/>
  <c r="L36" i="12"/>
  <c r="F36" i="12"/>
  <c r="W36" i="12" s="1"/>
  <c r="X36" i="12" s="1"/>
  <c r="E36" i="12"/>
  <c r="X35" i="12"/>
  <c r="W35" i="12"/>
  <c r="L35" i="12"/>
  <c r="E35" i="12"/>
  <c r="L34" i="12"/>
  <c r="E34" i="12"/>
  <c r="F34" i="12" s="1"/>
  <c r="W34" i="12" s="1"/>
  <c r="X34" i="12" s="1"/>
  <c r="L33" i="12"/>
  <c r="F33" i="12"/>
  <c r="W33" i="12" s="1"/>
  <c r="X33" i="12" s="1"/>
  <c r="E33" i="12"/>
  <c r="L32" i="12"/>
  <c r="E32" i="12"/>
  <c r="F32" i="12" s="1"/>
  <c r="W32" i="12" s="1"/>
  <c r="X32" i="12" s="1"/>
  <c r="L31" i="12"/>
  <c r="F31" i="12"/>
  <c r="W31" i="12" s="1"/>
  <c r="X31" i="12" s="1"/>
  <c r="E31" i="12"/>
  <c r="X30" i="12"/>
  <c r="L30" i="12"/>
  <c r="E30" i="12"/>
  <c r="F30" i="12" s="1"/>
  <c r="W30" i="12" s="1"/>
  <c r="W29" i="12"/>
  <c r="X29" i="12" s="1"/>
  <c r="L29" i="12"/>
  <c r="F29" i="12"/>
  <c r="E29" i="12"/>
  <c r="L28" i="12"/>
  <c r="E28" i="12"/>
  <c r="F28" i="12" s="1"/>
  <c r="W28" i="12" s="1"/>
  <c r="X28" i="12" s="1"/>
  <c r="W27" i="12"/>
  <c r="X27" i="12" s="1"/>
  <c r="L27" i="12"/>
  <c r="F27" i="12"/>
  <c r="E27" i="12"/>
  <c r="X26" i="12"/>
  <c r="W26" i="12"/>
  <c r="L26" i="12"/>
  <c r="E26" i="12"/>
  <c r="X25" i="12"/>
  <c r="L25" i="12"/>
  <c r="E25" i="12"/>
  <c r="F25" i="12" s="1"/>
  <c r="W25" i="12" s="1"/>
  <c r="W24" i="12"/>
  <c r="X24" i="12" s="1"/>
  <c r="L24" i="12"/>
  <c r="E24" i="12"/>
  <c r="W23" i="12"/>
  <c r="X23" i="12" s="1"/>
  <c r="L23" i="12"/>
  <c r="E23" i="12"/>
  <c r="L22" i="12"/>
  <c r="F22" i="12"/>
  <c r="W22" i="12" s="1"/>
  <c r="X22" i="12" s="1"/>
  <c r="E22" i="12"/>
  <c r="L21" i="12"/>
  <c r="E21" i="12"/>
  <c r="F21" i="12" s="1"/>
  <c r="W21" i="12" s="1"/>
  <c r="X21" i="12" s="1"/>
  <c r="W20" i="12"/>
  <c r="X20" i="12" s="1"/>
  <c r="L20" i="12"/>
  <c r="F20" i="12"/>
  <c r="E20" i="12"/>
  <c r="L19" i="12"/>
  <c r="E19" i="12"/>
  <c r="F19" i="12" s="1"/>
  <c r="W19" i="12" s="1"/>
  <c r="X19" i="12" s="1"/>
  <c r="L18" i="12"/>
  <c r="F18" i="12"/>
  <c r="W18" i="12" s="1"/>
  <c r="X18" i="12" s="1"/>
  <c r="E18" i="12"/>
  <c r="L17" i="12"/>
  <c r="E17" i="12"/>
  <c r="F17" i="12" s="1"/>
  <c r="W17" i="12" s="1"/>
  <c r="X17" i="12" s="1"/>
  <c r="L16" i="12"/>
  <c r="F16" i="12"/>
  <c r="W16" i="12" s="1"/>
  <c r="X16" i="12" s="1"/>
  <c r="W15" i="12"/>
  <c r="X15" i="12" s="1"/>
  <c r="M15" i="12"/>
  <c r="L15" i="12"/>
  <c r="F15" i="12"/>
  <c r="X14" i="12"/>
  <c r="W14" i="12"/>
  <c r="L14" i="12"/>
  <c r="E14" i="12"/>
  <c r="X13" i="12"/>
  <c r="W13" i="12"/>
  <c r="L13" i="12"/>
  <c r="E13" i="12"/>
  <c r="L12" i="12"/>
  <c r="E12" i="12"/>
  <c r="W11" i="12"/>
  <c r="X11" i="12" s="1"/>
  <c r="L11" i="12"/>
  <c r="F11" i="12"/>
  <c r="E11" i="12"/>
  <c r="X10" i="12"/>
  <c r="W10" i="12"/>
  <c r="L10" i="12"/>
  <c r="W9" i="12"/>
  <c r="X9" i="12" s="1"/>
  <c r="L9" i="12"/>
  <c r="X8" i="12"/>
  <c r="W8" i="12"/>
  <c r="L8" i="12"/>
  <c r="W7" i="12"/>
  <c r="X7" i="12" s="1"/>
  <c r="L7" i="12"/>
  <c r="U6" i="12"/>
  <c r="T6" i="12"/>
  <c r="S6" i="12"/>
  <c r="Q6" i="12"/>
  <c r="P6" i="12"/>
  <c r="O6" i="12"/>
  <c r="N6" i="12"/>
  <c r="J6" i="12"/>
  <c r="F277" i="11"/>
  <c r="E121" i="33" s="1"/>
  <c r="E277" i="11"/>
  <c r="F267" i="11"/>
  <c r="E267" i="11"/>
  <c r="F257" i="11"/>
  <c r="E257" i="11"/>
  <c r="F247" i="11"/>
  <c r="E247" i="11"/>
  <c r="F237" i="11"/>
  <c r="F236" i="11" s="1"/>
  <c r="E237" i="11"/>
  <c r="E236" i="11"/>
  <c r="F226" i="11"/>
  <c r="E226" i="11"/>
  <c r="F216" i="11"/>
  <c r="E216" i="11"/>
  <c r="F206" i="11"/>
  <c r="E206" i="11"/>
  <c r="F196" i="11"/>
  <c r="E196" i="11"/>
  <c r="F186" i="11"/>
  <c r="E186" i="11"/>
  <c r="F180" i="11"/>
  <c r="E180" i="11"/>
  <c r="F174" i="11"/>
  <c r="E174" i="11"/>
  <c r="F168" i="11"/>
  <c r="E168" i="11"/>
  <c r="F162" i="11"/>
  <c r="E162" i="11"/>
  <c r="F156" i="11"/>
  <c r="E156" i="11"/>
  <c r="F148" i="11"/>
  <c r="F147" i="11" s="1"/>
  <c r="E22" i="3" s="1"/>
  <c r="E148" i="11"/>
  <c r="E147" i="11"/>
  <c r="F137" i="11"/>
  <c r="E137" i="11"/>
  <c r="F126" i="11"/>
  <c r="F119" i="11" s="1"/>
  <c r="E126" i="11"/>
  <c r="F120" i="11"/>
  <c r="E120" i="11"/>
  <c r="E119" i="11"/>
  <c r="F115" i="11"/>
  <c r="E115" i="11"/>
  <c r="F110" i="11"/>
  <c r="E110" i="11"/>
  <c r="F94" i="11"/>
  <c r="E94" i="11"/>
  <c r="E93" i="11" s="1"/>
  <c r="F93" i="11"/>
  <c r="F63" i="11"/>
  <c r="E63" i="11"/>
  <c r="F49" i="11"/>
  <c r="E38" i="11"/>
  <c r="F34" i="11"/>
  <c r="E34" i="11"/>
  <c r="F16" i="11"/>
  <c r="E16" i="11"/>
  <c r="F6" i="11"/>
  <c r="E6" i="11"/>
  <c r="F173" i="10"/>
  <c r="E173" i="10"/>
  <c r="F169" i="10"/>
  <c r="E169" i="10"/>
  <c r="F166" i="10"/>
  <c r="F165" i="10"/>
  <c r="F164" i="10"/>
  <c r="F163" i="10"/>
  <c r="F162" i="10" s="1"/>
  <c r="E162" i="10"/>
  <c r="F158" i="10"/>
  <c r="E158" i="10"/>
  <c r="F156" i="10"/>
  <c r="F154" i="10"/>
  <c r="F153" i="10" s="1"/>
  <c r="E153" i="10"/>
  <c r="E147" i="10" s="1"/>
  <c r="F151" i="10"/>
  <c r="F149" i="10"/>
  <c r="F148" i="10" s="1"/>
  <c r="F147" i="10" s="1"/>
  <c r="E148" i="10"/>
  <c r="F145" i="10"/>
  <c r="F144" i="10"/>
  <c r="F143" i="10" s="1"/>
  <c r="E143" i="10"/>
  <c r="F140" i="10"/>
  <c r="F139" i="10"/>
  <c r="E139" i="10"/>
  <c r="F135" i="10"/>
  <c r="E135" i="10"/>
  <c r="F134" i="10"/>
  <c r="F131" i="10" s="1"/>
  <c r="F127" i="10" s="1"/>
  <c r="E131" i="10"/>
  <c r="F128" i="10"/>
  <c r="E128" i="10"/>
  <c r="E127" i="10"/>
  <c r="W126" i="10"/>
  <c r="X126" i="10" s="1"/>
  <c r="W125" i="10"/>
  <c r="X125" i="10" s="1"/>
  <c r="L125" i="10"/>
  <c r="X124" i="10"/>
  <c r="W124" i="10"/>
  <c r="L124" i="10"/>
  <c r="W123" i="10"/>
  <c r="X123" i="10" s="1"/>
  <c r="L123" i="10"/>
  <c r="X122" i="10"/>
  <c r="W122" i="10"/>
  <c r="L122" i="10"/>
  <c r="W121" i="10"/>
  <c r="X121" i="10" s="1"/>
  <c r="L121" i="10"/>
  <c r="X120" i="10"/>
  <c r="W120" i="10"/>
  <c r="L120" i="10"/>
  <c r="W119" i="10"/>
  <c r="X119" i="10" s="1"/>
  <c r="L119" i="10"/>
  <c r="X118" i="10"/>
  <c r="W118" i="10"/>
  <c r="L118" i="10"/>
  <c r="W117" i="10"/>
  <c r="X117" i="10" s="1"/>
  <c r="L117" i="10"/>
  <c r="X116" i="10"/>
  <c r="W116" i="10"/>
  <c r="L116" i="10"/>
  <c r="W115" i="10"/>
  <c r="X115" i="10" s="1"/>
  <c r="L115" i="10"/>
  <c r="X114" i="10"/>
  <c r="W114" i="10"/>
  <c r="L114" i="10"/>
  <c r="W113" i="10"/>
  <c r="X113" i="10" s="1"/>
  <c r="L113" i="10"/>
  <c r="X112" i="10"/>
  <c r="W112" i="10"/>
  <c r="L112" i="10"/>
  <c r="W111" i="10"/>
  <c r="X111" i="10" s="1"/>
  <c r="L111" i="10"/>
  <c r="X110" i="10"/>
  <c r="W110" i="10"/>
  <c r="L110" i="10"/>
  <c r="W109" i="10"/>
  <c r="X109" i="10" s="1"/>
  <c r="L109" i="10"/>
  <c r="X108" i="10"/>
  <c r="W108" i="10"/>
  <c r="L108" i="10"/>
  <c r="W107" i="10"/>
  <c r="X107" i="10" s="1"/>
  <c r="L107" i="10"/>
  <c r="X106" i="10"/>
  <c r="W106" i="10"/>
  <c r="L106" i="10"/>
  <c r="W105" i="10"/>
  <c r="X105" i="10" s="1"/>
  <c r="L105" i="10"/>
  <c r="X104" i="10"/>
  <c r="W104" i="10"/>
  <c r="L104" i="10"/>
  <c r="W103" i="10"/>
  <c r="X103" i="10" s="1"/>
  <c r="L103" i="10"/>
  <c r="L102" i="10"/>
  <c r="E102" i="10"/>
  <c r="F102" i="10" s="1"/>
  <c r="W102" i="10" s="1"/>
  <c r="X102" i="10" s="1"/>
  <c r="L101" i="10"/>
  <c r="F101" i="10"/>
  <c r="W101" i="10" s="1"/>
  <c r="X101" i="10" s="1"/>
  <c r="E101" i="10"/>
  <c r="X100" i="10"/>
  <c r="W100" i="10"/>
  <c r="L100" i="10"/>
  <c r="E100" i="10"/>
  <c r="L99" i="10"/>
  <c r="E99" i="10"/>
  <c r="F99" i="10" s="1"/>
  <c r="W99" i="10" s="1"/>
  <c r="X99" i="10" s="1"/>
  <c r="W98" i="10"/>
  <c r="X98" i="10" s="1"/>
  <c r="L98" i="10"/>
  <c r="F98" i="10"/>
  <c r="E98" i="10"/>
  <c r="U97" i="10"/>
  <c r="O97" i="10"/>
  <c r="N97" i="10"/>
  <c r="M97" i="10"/>
  <c r="L97" i="10"/>
  <c r="F97" i="10"/>
  <c r="X96" i="10"/>
  <c r="L96" i="10"/>
  <c r="E96" i="10"/>
  <c r="F96" i="10" s="1"/>
  <c r="W96" i="10" s="1"/>
  <c r="O95" i="10"/>
  <c r="N95" i="10"/>
  <c r="M95" i="10"/>
  <c r="F95" i="10" s="1"/>
  <c r="W95" i="10" s="1"/>
  <c r="X95" i="10" s="1"/>
  <c r="L95" i="10"/>
  <c r="X94" i="10"/>
  <c r="L94" i="10"/>
  <c r="E94" i="10"/>
  <c r="F94" i="10" s="1"/>
  <c r="W94" i="10" s="1"/>
  <c r="U93" i="10"/>
  <c r="O93" i="10"/>
  <c r="N93" i="10"/>
  <c r="M93" i="10"/>
  <c r="L93" i="10"/>
  <c r="F93" i="10"/>
  <c r="W93" i="10" s="1"/>
  <c r="X93" i="10" s="1"/>
  <c r="U92" i="10"/>
  <c r="S92" i="10"/>
  <c r="S6" i="10" s="1"/>
  <c r="Q92" i="10"/>
  <c r="P92" i="10"/>
  <c r="O92" i="10"/>
  <c r="N92" i="10"/>
  <c r="M92" i="10"/>
  <c r="F92" i="10" s="1"/>
  <c r="W92" i="10" s="1"/>
  <c r="X92" i="10" s="1"/>
  <c r="L92" i="10"/>
  <c r="L91" i="10"/>
  <c r="E91" i="10"/>
  <c r="F91" i="10" s="1"/>
  <c r="W91" i="10" s="1"/>
  <c r="X91" i="10" s="1"/>
  <c r="L90" i="10"/>
  <c r="F90" i="10"/>
  <c r="W90" i="10" s="1"/>
  <c r="X90" i="10" s="1"/>
  <c r="E90" i="10"/>
  <c r="X89" i="10"/>
  <c r="L89" i="10"/>
  <c r="E89" i="10"/>
  <c r="F89" i="10" s="1"/>
  <c r="W89" i="10" s="1"/>
  <c r="W88" i="10"/>
  <c r="X88" i="10" s="1"/>
  <c r="L88" i="10"/>
  <c r="F88" i="10"/>
  <c r="E88" i="10"/>
  <c r="L87" i="10"/>
  <c r="E87" i="10"/>
  <c r="F87" i="10" s="1"/>
  <c r="W87" i="10" s="1"/>
  <c r="X87" i="10" s="1"/>
  <c r="W86" i="10"/>
  <c r="X86" i="10" s="1"/>
  <c r="L86" i="10"/>
  <c r="E86" i="10"/>
  <c r="L85" i="10"/>
  <c r="F85" i="10"/>
  <c r="W85" i="10" s="1"/>
  <c r="X85" i="10" s="1"/>
  <c r="E85" i="10"/>
  <c r="L84" i="10"/>
  <c r="E84" i="10"/>
  <c r="F84" i="10" s="1"/>
  <c r="W84" i="10" s="1"/>
  <c r="X84" i="10" s="1"/>
  <c r="W83" i="10"/>
  <c r="X83" i="10" s="1"/>
  <c r="L83" i="10"/>
  <c r="E83" i="10"/>
  <c r="W82" i="10"/>
  <c r="X82" i="10" s="1"/>
  <c r="L82" i="10"/>
  <c r="F82" i="10"/>
  <c r="E82" i="10"/>
  <c r="X81" i="10"/>
  <c r="L81" i="10"/>
  <c r="E81" i="10"/>
  <c r="F81" i="10" s="1"/>
  <c r="W81" i="10" s="1"/>
  <c r="L80" i="10"/>
  <c r="F80" i="10"/>
  <c r="W80" i="10" s="1"/>
  <c r="X80" i="10" s="1"/>
  <c r="E80" i="10"/>
  <c r="X79" i="10"/>
  <c r="L79" i="10"/>
  <c r="E79" i="10"/>
  <c r="F79" i="10" s="1"/>
  <c r="W79" i="10" s="1"/>
  <c r="Q78" i="10"/>
  <c r="P78" i="10"/>
  <c r="O78" i="10"/>
  <c r="N78" i="10"/>
  <c r="M78" i="10"/>
  <c r="L78" i="10"/>
  <c r="Q77" i="10"/>
  <c r="P77" i="10"/>
  <c r="O77" i="10"/>
  <c r="N77" i="10"/>
  <c r="M77" i="10"/>
  <c r="L77" i="10"/>
  <c r="F77" i="10"/>
  <c r="W77" i="10" s="1"/>
  <c r="X77" i="10" s="1"/>
  <c r="W76" i="10"/>
  <c r="X76" i="10" s="1"/>
  <c r="L76" i="10"/>
  <c r="F76" i="10"/>
  <c r="E76" i="10"/>
  <c r="X75" i="10"/>
  <c r="W75" i="10"/>
  <c r="L75" i="10"/>
  <c r="E75" i="10"/>
  <c r="X74" i="10"/>
  <c r="L74" i="10"/>
  <c r="E74" i="10"/>
  <c r="F74" i="10" s="1"/>
  <c r="W74" i="10" s="1"/>
  <c r="W73" i="10"/>
  <c r="X73" i="10" s="1"/>
  <c r="L73" i="10"/>
  <c r="F73" i="10"/>
  <c r="E73" i="10"/>
  <c r="X72" i="10"/>
  <c r="W72" i="10"/>
  <c r="L72" i="10"/>
  <c r="E72" i="10"/>
  <c r="X71" i="10"/>
  <c r="W71" i="10"/>
  <c r="L71" i="10"/>
  <c r="E71" i="10"/>
  <c r="X70" i="10"/>
  <c r="L70" i="10"/>
  <c r="E70" i="10"/>
  <c r="F70" i="10" s="1"/>
  <c r="W70" i="10" s="1"/>
  <c r="L69" i="10"/>
  <c r="F69" i="10"/>
  <c r="W69" i="10" s="1"/>
  <c r="X69" i="10" s="1"/>
  <c r="E69" i="10"/>
  <c r="X68" i="10"/>
  <c r="L68" i="10"/>
  <c r="E68" i="10"/>
  <c r="F68" i="10" s="1"/>
  <c r="W68" i="10" s="1"/>
  <c r="L67" i="10"/>
  <c r="F67" i="10"/>
  <c r="W67" i="10" s="1"/>
  <c r="X67" i="10" s="1"/>
  <c r="E67" i="10"/>
  <c r="L66" i="10"/>
  <c r="E66" i="10"/>
  <c r="F66" i="10" s="1"/>
  <c r="W66" i="10" s="1"/>
  <c r="X66" i="10" s="1"/>
  <c r="W65" i="10"/>
  <c r="X65" i="10" s="1"/>
  <c r="L65" i="10"/>
  <c r="E65" i="10"/>
  <c r="W64" i="10"/>
  <c r="X64" i="10" s="1"/>
  <c r="L64" i="10"/>
  <c r="E64" i="10"/>
  <c r="W63" i="10"/>
  <c r="X63" i="10" s="1"/>
  <c r="L63" i="10"/>
  <c r="E63" i="10"/>
  <c r="W62" i="10"/>
  <c r="X62" i="10" s="1"/>
  <c r="L62" i="10"/>
  <c r="E62" i="10"/>
  <c r="W61" i="10"/>
  <c r="X61" i="10" s="1"/>
  <c r="L61" i="10"/>
  <c r="E61" i="10"/>
  <c r="W60" i="10"/>
  <c r="X60" i="10" s="1"/>
  <c r="L60" i="10"/>
  <c r="F60" i="10"/>
  <c r="E60" i="10"/>
  <c r="L59" i="10"/>
  <c r="E59" i="10"/>
  <c r="F59" i="10" s="1"/>
  <c r="W59" i="10" s="1"/>
  <c r="X59" i="10" s="1"/>
  <c r="L58" i="10"/>
  <c r="F58" i="10"/>
  <c r="W58" i="10" s="1"/>
  <c r="X58" i="10" s="1"/>
  <c r="E58" i="10"/>
  <c r="X57" i="10"/>
  <c r="M57" i="10"/>
  <c r="L57" i="10"/>
  <c r="F57" i="10"/>
  <c r="W57" i="10" s="1"/>
  <c r="L56" i="10"/>
  <c r="F56" i="10"/>
  <c r="W56" i="10" s="1"/>
  <c r="X56" i="10" s="1"/>
  <c r="E56" i="10"/>
  <c r="L55" i="10"/>
  <c r="E55" i="10"/>
  <c r="F55" i="10" s="1"/>
  <c r="W55" i="10" s="1"/>
  <c r="X55" i="10" s="1"/>
  <c r="L54" i="10"/>
  <c r="F54" i="10"/>
  <c r="W54" i="10" s="1"/>
  <c r="X54" i="10" s="1"/>
  <c r="E54" i="10"/>
  <c r="X53" i="10"/>
  <c r="L53" i="10"/>
  <c r="E53" i="10"/>
  <c r="F53" i="10" s="1"/>
  <c r="W53" i="10" s="1"/>
  <c r="L52" i="10"/>
  <c r="F52" i="10"/>
  <c r="W52" i="10" s="1"/>
  <c r="X52" i="10" s="1"/>
  <c r="E52" i="10"/>
  <c r="L51" i="10"/>
  <c r="F51" i="10"/>
  <c r="W51" i="10" s="1"/>
  <c r="X51" i="10" s="1"/>
  <c r="E51" i="10"/>
  <c r="W50" i="10"/>
  <c r="X50" i="10" s="1"/>
  <c r="L50" i="10"/>
  <c r="F50" i="10"/>
  <c r="E50" i="10"/>
  <c r="P49" i="10"/>
  <c r="P6" i="10" s="1"/>
  <c r="E7" i="3" s="1"/>
  <c r="O49" i="10"/>
  <c r="N49" i="10"/>
  <c r="M49" i="10"/>
  <c r="L49" i="10"/>
  <c r="U48" i="10"/>
  <c r="R48" i="10"/>
  <c r="Q48" i="10"/>
  <c r="Q6" i="10" s="1"/>
  <c r="E8" i="3" s="1"/>
  <c r="P48" i="10"/>
  <c r="O48" i="10"/>
  <c r="N48" i="10"/>
  <c r="M48" i="10"/>
  <c r="M6" i="10" s="1"/>
  <c r="L48" i="10"/>
  <c r="W47" i="10"/>
  <c r="X47" i="10" s="1"/>
  <c r="L47" i="10"/>
  <c r="F47" i="10"/>
  <c r="E47" i="10"/>
  <c r="X46" i="10"/>
  <c r="L46" i="10"/>
  <c r="E46" i="10"/>
  <c r="F46" i="10" s="1"/>
  <c r="W46" i="10" s="1"/>
  <c r="L45" i="10"/>
  <c r="F45" i="10"/>
  <c r="W45" i="10" s="1"/>
  <c r="X45" i="10" s="1"/>
  <c r="E45" i="10"/>
  <c r="L44" i="10"/>
  <c r="E44" i="10"/>
  <c r="F44" i="10" s="1"/>
  <c r="W44" i="10" s="1"/>
  <c r="X44" i="10" s="1"/>
  <c r="L43" i="10"/>
  <c r="F43" i="10"/>
  <c r="W43" i="10" s="1"/>
  <c r="X43" i="10" s="1"/>
  <c r="W42" i="10"/>
  <c r="X42" i="10" s="1"/>
  <c r="L42" i="10"/>
  <c r="F42" i="10"/>
  <c r="E42" i="10"/>
  <c r="L41" i="10"/>
  <c r="E41" i="10"/>
  <c r="F41" i="10" s="1"/>
  <c r="W41" i="10" s="1"/>
  <c r="X41" i="10" s="1"/>
  <c r="L40" i="10"/>
  <c r="F40" i="10"/>
  <c r="W40" i="10" s="1"/>
  <c r="X40" i="10" s="1"/>
  <c r="E40" i="10"/>
  <c r="L39" i="10"/>
  <c r="E39" i="10"/>
  <c r="F39" i="10" s="1"/>
  <c r="W39" i="10" s="1"/>
  <c r="X39" i="10" s="1"/>
  <c r="U38" i="10"/>
  <c r="U6" i="10" s="1"/>
  <c r="P38" i="10"/>
  <c r="O38" i="10"/>
  <c r="N38" i="10"/>
  <c r="N6" i="10" s="1"/>
  <c r="M38" i="10"/>
  <c r="L38" i="10"/>
  <c r="X37" i="10"/>
  <c r="W37" i="10"/>
  <c r="L37" i="10"/>
  <c r="E37" i="10"/>
  <c r="X36" i="10"/>
  <c r="L36" i="10"/>
  <c r="E36" i="10"/>
  <c r="F36" i="10" s="1"/>
  <c r="W36" i="10" s="1"/>
  <c r="O35" i="10"/>
  <c r="N35" i="10"/>
  <c r="M35" i="10"/>
  <c r="F35" i="10" s="1"/>
  <c r="W35" i="10" s="1"/>
  <c r="X35" i="10" s="1"/>
  <c r="L35" i="10"/>
  <c r="E35" i="10"/>
  <c r="L34" i="10"/>
  <c r="F34" i="10"/>
  <c r="W34" i="10" s="1"/>
  <c r="X34" i="10" s="1"/>
  <c r="E34" i="10"/>
  <c r="L33" i="10"/>
  <c r="E33" i="10"/>
  <c r="F33" i="10" s="1"/>
  <c r="W33" i="10" s="1"/>
  <c r="X33" i="10" s="1"/>
  <c r="T32" i="10"/>
  <c r="S32" i="10"/>
  <c r="Q32" i="10"/>
  <c r="P32" i="10"/>
  <c r="O32" i="10"/>
  <c r="N32" i="10"/>
  <c r="M32" i="10"/>
  <c r="L32" i="10"/>
  <c r="T31" i="10"/>
  <c r="T6" i="10" s="1"/>
  <c r="E11" i="3" s="1"/>
  <c r="S31" i="10"/>
  <c r="Q31" i="10"/>
  <c r="F31" i="10" s="1"/>
  <c r="W31" i="10" s="1"/>
  <c r="X31" i="10" s="1"/>
  <c r="P31" i="10"/>
  <c r="O31" i="10"/>
  <c r="N31" i="10"/>
  <c r="M31" i="10"/>
  <c r="L31" i="10"/>
  <c r="L30" i="10"/>
  <c r="F30" i="10"/>
  <c r="W30" i="10" s="1"/>
  <c r="X30" i="10" s="1"/>
  <c r="E30" i="10"/>
  <c r="X29" i="10"/>
  <c r="L29" i="10"/>
  <c r="E29" i="10"/>
  <c r="F29" i="10" s="1"/>
  <c r="W29" i="10" s="1"/>
  <c r="L28" i="10"/>
  <c r="F28" i="10"/>
  <c r="W28" i="10" s="1"/>
  <c r="X28" i="10" s="1"/>
  <c r="E28" i="10"/>
  <c r="L27" i="10"/>
  <c r="E27" i="10"/>
  <c r="F27" i="10" s="1"/>
  <c r="W27" i="10" s="1"/>
  <c r="X27" i="10" s="1"/>
  <c r="W26" i="10"/>
  <c r="X26" i="10" s="1"/>
  <c r="L26" i="10"/>
  <c r="E26" i="10"/>
  <c r="W25" i="10"/>
  <c r="X25" i="10" s="1"/>
  <c r="L25" i="10"/>
  <c r="F25" i="10"/>
  <c r="E25" i="10"/>
  <c r="X24" i="10"/>
  <c r="W24" i="10"/>
  <c r="L24" i="10"/>
  <c r="E24" i="10"/>
  <c r="X23" i="10"/>
  <c r="W23" i="10"/>
  <c r="L23" i="10"/>
  <c r="E23" i="10"/>
  <c r="X22" i="10"/>
  <c r="L22" i="10"/>
  <c r="E22" i="10"/>
  <c r="F22" i="10" s="1"/>
  <c r="W22" i="10" s="1"/>
  <c r="W21" i="10"/>
  <c r="X21" i="10" s="1"/>
  <c r="L21" i="10"/>
  <c r="F21" i="10"/>
  <c r="E21" i="10"/>
  <c r="L20" i="10"/>
  <c r="E20" i="10"/>
  <c r="F20" i="10" s="1"/>
  <c r="W20" i="10" s="1"/>
  <c r="X20" i="10" s="1"/>
  <c r="W19" i="10"/>
  <c r="X19" i="10" s="1"/>
  <c r="L19" i="10"/>
  <c r="F19" i="10"/>
  <c r="E19" i="10"/>
  <c r="L18" i="10"/>
  <c r="L6" i="10" s="1"/>
  <c r="E18" i="10"/>
  <c r="F18" i="10" s="1"/>
  <c r="W18" i="10" s="1"/>
  <c r="X18" i="10" s="1"/>
  <c r="L17" i="10"/>
  <c r="F17" i="10"/>
  <c r="W17" i="10" s="1"/>
  <c r="X17" i="10" s="1"/>
  <c r="E17" i="10"/>
  <c r="M16" i="10"/>
  <c r="L16" i="10"/>
  <c r="F16" i="10"/>
  <c r="W16" i="10" s="1"/>
  <c r="X16" i="10" s="1"/>
  <c r="L15" i="10"/>
  <c r="F15" i="10"/>
  <c r="W15" i="10" s="1"/>
  <c r="X15" i="10" s="1"/>
  <c r="X14" i="10"/>
  <c r="W14" i="10"/>
  <c r="L14" i="10"/>
  <c r="E14" i="10"/>
  <c r="W13" i="10"/>
  <c r="X13" i="10" s="1"/>
  <c r="L13" i="10"/>
  <c r="E13" i="10"/>
  <c r="L12" i="10"/>
  <c r="E12" i="10"/>
  <c r="F12" i="10" s="1"/>
  <c r="W12" i="10" s="1"/>
  <c r="X12" i="10" s="1"/>
  <c r="L11" i="10"/>
  <c r="E11" i="10"/>
  <c r="F11" i="10" s="1"/>
  <c r="W10" i="10"/>
  <c r="X10" i="10" s="1"/>
  <c r="L10" i="10"/>
  <c r="X9" i="10"/>
  <c r="W9" i="10"/>
  <c r="L9" i="10"/>
  <c r="X8" i="10"/>
  <c r="W8" i="10"/>
  <c r="L8" i="10"/>
  <c r="X7" i="10"/>
  <c r="W7" i="10"/>
  <c r="L7" i="10"/>
  <c r="R6" i="10"/>
  <c r="J6" i="10"/>
  <c r="F271" i="9"/>
  <c r="D121" i="33" s="1"/>
  <c r="C121" i="33" s="1"/>
  <c r="E271" i="9"/>
  <c r="F261" i="9"/>
  <c r="E261" i="9"/>
  <c r="F243" i="9"/>
  <c r="E243" i="9"/>
  <c r="F233" i="9"/>
  <c r="E233" i="9"/>
  <c r="F223" i="9"/>
  <c r="F222" i="9" s="1"/>
  <c r="E223" i="9"/>
  <c r="E222" i="9" s="1"/>
  <c r="F212" i="9"/>
  <c r="E212" i="9"/>
  <c r="F202" i="9"/>
  <c r="E202" i="9"/>
  <c r="F192" i="9"/>
  <c r="E192" i="9"/>
  <c r="F182" i="9"/>
  <c r="E182" i="9"/>
  <c r="F172" i="9"/>
  <c r="E172" i="9"/>
  <c r="F166" i="9"/>
  <c r="E166" i="9"/>
  <c r="F160" i="9"/>
  <c r="E160" i="9"/>
  <c r="F154" i="9"/>
  <c r="E154" i="9"/>
  <c r="F148" i="9"/>
  <c r="E148" i="9"/>
  <c r="F142" i="9"/>
  <c r="E142" i="9"/>
  <c r="F138" i="9"/>
  <c r="F137" i="9"/>
  <c r="F136" i="9" s="1"/>
  <c r="F135" i="9" s="1"/>
  <c r="D22" i="3" s="1"/>
  <c r="E136" i="9"/>
  <c r="E135" i="9" s="1"/>
  <c r="F125" i="9"/>
  <c r="D21" i="3" s="1"/>
  <c r="E125" i="9"/>
  <c r="F115" i="9"/>
  <c r="F108" i="9" s="1"/>
  <c r="E115" i="9"/>
  <c r="F109" i="9"/>
  <c r="E109" i="9"/>
  <c r="E108" i="9"/>
  <c r="F104" i="9"/>
  <c r="E104" i="9"/>
  <c r="F100" i="9"/>
  <c r="F93" i="9" s="1"/>
  <c r="D14" i="3" s="1"/>
  <c r="E100" i="9"/>
  <c r="F94" i="9"/>
  <c r="E94" i="9"/>
  <c r="E93" i="9" s="1"/>
  <c r="F63" i="9"/>
  <c r="E63" i="9"/>
  <c r="F38" i="9"/>
  <c r="E38" i="9"/>
  <c r="F34" i="9"/>
  <c r="E34" i="9"/>
  <c r="F30" i="9"/>
  <c r="D57" i="33" s="1"/>
  <c r="F25" i="9"/>
  <c r="F24" i="9"/>
  <c r="F23" i="9"/>
  <c r="F22" i="9"/>
  <c r="F16" i="9" s="1"/>
  <c r="E16" i="9"/>
  <c r="F6" i="9"/>
  <c r="E6" i="9"/>
  <c r="F174" i="8"/>
  <c r="F172" i="8"/>
  <c r="E172" i="8"/>
  <c r="F169" i="8"/>
  <c r="F168" i="8"/>
  <c r="E168" i="8"/>
  <c r="F167" i="8"/>
  <c r="F166" i="8"/>
  <c r="F164" i="8"/>
  <c r="F163" i="8"/>
  <c r="E163" i="8"/>
  <c r="F159" i="8"/>
  <c r="E159" i="8"/>
  <c r="E148" i="8" s="1"/>
  <c r="F157" i="8"/>
  <c r="F155" i="8"/>
  <c r="F154" i="8" s="1"/>
  <c r="E154" i="8"/>
  <c r="F152" i="8"/>
  <c r="F150" i="8"/>
  <c r="E149" i="8"/>
  <c r="F144" i="8"/>
  <c r="E144" i="8"/>
  <c r="F141" i="8"/>
  <c r="F140" i="8"/>
  <c r="E140" i="8"/>
  <c r="F139" i="8"/>
  <c r="F136" i="8"/>
  <c r="F138" i="8" s="1"/>
  <c r="D13" i="4" s="1"/>
  <c r="E135" i="8"/>
  <c r="F134" i="8"/>
  <c r="F132" i="8"/>
  <c r="F131" i="8" s="1"/>
  <c r="E131" i="8"/>
  <c r="F128" i="8"/>
  <c r="E128" i="8"/>
  <c r="E127" i="8"/>
  <c r="W126" i="8"/>
  <c r="X126" i="8" s="1"/>
  <c r="L126" i="8"/>
  <c r="X125" i="8"/>
  <c r="W125" i="8"/>
  <c r="L125" i="8"/>
  <c r="W124" i="8"/>
  <c r="X124" i="8" s="1"/>
  <c r="L124" i="8"/>
  <c r="W123" i="8"/>
  <c r="X123" i="8" s="1"/>
  <c r="L123" i="8"/>
  <c r="X122" i="8"/>
  <c r="W122" i="8"/>
  <c r="L122" i="8"/>
  <c r="X121" i="8"/>
  <c r="W121" i="8"/>
  <c r="L121" i="8"/>
  <c r="W120" i="8"/>
  <c r="X120" i="8" s="1"/>
  <c r="L120" i="8"/>
  <c r="W119" i="8"/>
  <c r="X119" i="8" s="1"/>
  <c r="L119" i="8"/>
  <c r="X118" i="8"/>
  <c r="W118" i="8"/>
  <c r="L118" i="8"/>
  <c r="X117" i="8"/>
  <c r="W117" i="8"/>
  <c r="L117" i="8"/>
  <c r="W116" i="8"/>
  <c r="X116" i="8" s="1"/>
  <c r="L116" i="8"/>
  <c r="W115" i="8"/>
  <c r="X115" i="8" s="1"/>
  <c r="L115" i="8"/>
  <c r="X114" i="8"/>
  <c r="W114" i="8"/>
  <c r="L114" i="8"/>
  <c r="X113" i="8"/>
  <c r="W113" i="8"/>
  <c r="L113" i="8"/>
  <c r="W112" i="8"/>
  <c r="X112" i="8" s="1"/>
  <c r="L112" i="8"/>
  <c r="W111" i="8"/>
  <c r="X111" i="8" s="1"/>
  <c r="L111" i="8"/>
  <c r="X110" i="8"/>
  <c r="W110" i="8"/>
  <c r="L110" i="8"/>
  <c r="X109" i="8"/>
  <c r="W109" i="8"/>
  <c r="L109" i="8"/>
  <c r="W108" i="8"/>
  <c r="X108" i="8" s="1"/>
  <c r="L108" i="8"/>
  <c r="W107" i="8"/>
  <c r="X107" i="8" s="1"/>
  <c r="L107" i="8"/>
  <c r="X106" i="8"/>
  <c r="W106" i="8"/>
  <c r="L106" i="8"/>
  <c r="X105" i="8"/>
  <c r="W105" i="8"/>
  <c r="L105" i="8"/>
  <c r="W104" i="8"/>
  <c r="X104" i="8" s="1"/>
  <c r="M104" i="8"/>
  <c r="L104" i="8"/>
  <c r="L103" i="8"/>
  <c r="E103" i="8"/>
  <c r="F103" i="8" s="1"/>
  <c r="W103" i="8" s="1"/>
  <c r="X103" i="8" s="1"/>
  <c r="X102" i="8"/>
  <c r="W102" i="8"/>
  <c r="L102" i="8"/>
  <c r="E102" i="8"/>
  <c r="L101" i="8"/>
  <c r="E101" i="8"/>
  <c r="F101" i="8" s="1"/>
  <c r="W101" i="8" s="1"/>
  <c r="X101" i="8" s="1"/>
  <c r="L100" i="8"/>
  <c r="F100" i="8"/>
  <c r="W100" i="8" s="1"/>
  <c r="X100" i="8" s="1"/>
  <c r="E100" i="8"/>
  <c r="W99" i="8"/>
  <c r="X99" i="8" s="1"/>
  <c r="L99" i="8"/>
  <c r="E99" i="8"/>
  <c r="L98" i="8"/>
  <c r="F98" i="8"/>
  <c r="W98" i="8" s="1"/>
  <c r="X98" i="8" s="1"/>
  <c r="E98" i="8"/>
  <c r="O97" i="8"/>
  <c r="N97" i="8"/>
  <c r="M97" i="8"/>
  <c r="F97" i="8" s="1"/>
  <c r="W97" i="8" s="1"/>
  <c r="X97" i="8" s="1"/>
  <c r="L97" i="8"/>
  <c r="L96" i="8"/>
  <c r="F96" i="8"/>
  <c r="W96" i="8" s="1"/>
  <c r="X96" i="8" s="1"/>
  <c r="E96" i="8"/>
  <c r="W95" i="8"/>
  <c r="X95" i="8" s="1"/>
  <c r="L95" i="8"/>
  <c r="E95" i="8"/>
  <c r="W94" i="8"/>
  <c r="X94" i="8" s="1"/>
  <c r="L94" i="8"/>
  <c r="E94" i="8"/>
  <c r="L93" i="8"/>
  <c r="E93" i="8"/>
  <c r="F93" i="8" s="1"/>
  <c r="W93" i="8" s="1"/>
  <c r="X93" i="8" s="1"/>
  <c r="L92" i="8"/>
  <c r="E92" i="8"/>
  <c r="F92" i="8" s="1"/>
  <c r="W92" i="8" s="1"/>
  <c r="X92" i="8" s="1"/>
  <c r="L91" i="8"/>
  <c r="E91" i="8"/>
  <c r="F91" i="8" s="1"/>
  <c r="W91" i="8" s="1"/>
  <c r="X91" i="8" s="1"/>
  <c r="L90" i="8"/>
  <c r="F90" i="8"/>
  <c r="W90" i="8" s="1"/>
  <c r="X90" i="8" s="1"/>
  <c r="E90" i="8"/>
  <c r="L89" i="8"/>
  <c r="E89" i="8"/>
  <c r="F89" i="8" s="1"/>
  <c r="W89" i="8" s="1"/>
  <c r="X89" i="8" s="1"/>
  <c r="W88" i="8"/>
  <c r="X88" i="8" s="1"/>
  <c r="L88" i="8"/>
  <c r="E88" i="8"/>
  <c r="L87" i="8"/>
  <c r="E87" i="8"/>
  <c r="F87" i="8" s="1"/>
  <c r="W87" i="8" s="1"/>
  <c r="X87" i="8" s="1"/>
  <c r="L86" i="8"/>
  <c r="E86" i="8"/>
  <c r="F86" i="8" s="1"/>
  <c r="W86" i="8" s="1"/>
  <c r="X86" i="8" s="1"/>
  <c r="L85" i="8"/>
  <c r="F85" i="8"/>
  <c r="W85" i="8" s="1"/>
  <c r="X85" i="8" s="1"/>
  <c r="E85" i="8"/>
  <c r="L84" i="8"/>
  <c r="E84" i="8"/>
  <c r="F84" i="8" s="1"/>
  <c r="W84" i="8" s="1"/>
  <c r="X84" i="8" s="1"/>
  <c r="L83" i="8"/>
  <c r="E83" i="8"/>
  <c r="F83" i="8" s="1"/>
  <c r="W83" i="8" s="1"/>
  <c r="X83" i="8" s="1"/>
  <c r="L82" i="8"/>
  <c r="F82" i="8"/>
  <c r="W82" i="8" s="1"/>
  <c r="X82" i="8" s="1"/>
  <c r="E82" i="8"/>
  <c r="L81" i="8"/>
  <c r="F81" i="8"/>
  <c r="W81" i="8" s="1"/>
  <c r="X81" i="8" s="1"/>
  <c r="E81" i="8"/>
  <c r="W80" i="8"/>
  <c r="X80" i="8" s="1"/>
  <c r="L80" i="8"/>
  <c r="E80" i="8"/>
  <c r="W79" i="8"/>
  <c r="X79" i="8" s="1"/>
  <c r="L79" i="8"/>
  <c r="E79" i="8"/>
  <c r="L78" i="8"/>
  <c r="E78" i="8"/>
  <c r="F78" i="8" s="1"/>
  <c r="W78" i="8" s="1"/>
  <c r="X78" i="8" s="1"/>
  <c r="X77" i="8"/>
  <c r="W77" i="8"/>
  <c r="L77" i="8"/>
  <c r="E77" i="8"/>
  <c r="L76" i="8"/>
  <c r="E76" i="8"/>
  <c r="F76" i="8" s="1"/>
  <c r="W76" i="8" s="1"/>
  <c r="X76" i="8" s="1"/>
  <c r="L75" i="8"/>
  <c r="F75" i="8"/>
  <c r="W75" i="8" s="1"/>
  <c r="X75" i="8" s="1"/>
  <c r="E75" i="8"/>
  <c r="W74" i="8"/>
  <c r="X74" i="8" s="1"/>
  <c r="L74" i="8"/>
  <c r="E74" i="8"/>
  <c r="W73" i="8"/>
  <c r="X73" i="8" s="1"/>
  <c r="L73" i="8"/>
  <c r="E73" i="8"/>
  <c r="L72" i="8"/>
  <c r="F72" i="8"/>
  <c r="W72" i="8" s="1"/>
  <c r="X72" i="8" s="1"/>
  <c r="E72" i="8"/>
  <c r="L71" i="8"/>
  <c r="E71" i="8"/>
  <c r="F71" i="8" s="1"/>
  <c r="W71" i="8" s="1"/>
  <c r="X71" i="8" s="1"/>
  <c r="L70" i="8"/>
  <c r="E70" i="8"/>
  <c r="F70" i="8" s="1"/>
  <c r="W70" i="8" s="1"/>
  <c r="X70" i="8" s="1"/>
  <c r="L69" i="8"/>
  <c r="F69" i="8"/>
  <c r="W69" i="8" s="1"/>
  <c r="X69" i="8" s="1"/>
  <c r="E69" i="8"/>
  <c r="L68" i="8"/>
  <c r="F68" i="8"/>
  <c r="W68" i="8" s="1"/>
  <c r="X68" i="8" s="1"/>
  <c r="E68" i="8"/>
  <c r="W67" i="8"/>
  <c r="X67" i="8" s="1"/>
  <c r="L67" i="8"/>
  <c r="E67" i="8"/>
  <c r="L66" i="8"/>
  <c r="E66" i="8"/>
  <c r="F66" i="8" s="1"/>
  <c r="W66" i="8" s="1"/>
  <c r="X66" i="8" s="1"/>
  <c r="L65" i="8"/>
  <c r="E65" i="8"/>
  <c r="F65" i="8" s="1"/>
  <c r="W65" i="8" s="1"/>
  <c r="X65" i="8" s="1"/>
  <c r="L64" i="8"/>
  <c r="F64" i="8"/>
  <c r="W64" i="8" s="1"/>
  <c r="X64" i="8" s="1"/>
  <c r="E64" i="8"/>
  <c r="W63" i="8"/>
  <c r="X63" i="8" s="1"/>
  <c r="L63" i="8"/>
  <c r="E63" i="8"/>
  <c r="W62" i="8"/>
  <c r="X62" i="8" s="1"/>
  <c r="L62" i="8"/>
  <c r="E62" i="8"/>
  <c r="M61" i="8"/>
  <c r="F61" i="8" s="1"/>
  <c r="L61" i="8"/>
  <c r="L60" i="8"/>
  <c r="E60" i="8"/>
  <c r="F60" i="8" s="1"/>
  <c r="W60" i="8" s="1"/>
  <c r="X60" i="8" s="1"/>
  <c r="L59" i="8"/>
  <c r="E59" i="8"/>
  <c r="F59" i="8" s="1"/>
  <c r="W59" i="8" s="1"/>
  <c r="X59" i="8" s="1"/>
  <c r="L58" i="8"/>
  <c r="E58" i="8"/>
  <c r="F58" i="8" s="1"/>
  <c r="W58" i="8" s="1"/>
  <c r="X58" i="8" s="1"/>
  <c r="M57" i="8"/>
  <c r="F57" i="8" s="1"/>
  <c r="W57" i="8" s="1"/>
  <c r="X57" i="8" s="1"/>
  <c r="L57" i="8"/>
  <c r="L56" i="8"/>
  <c r="E56" i="8"/>
  <c r="F56" i="8" s="1"/>
  <c r="W56" i="8" s="1"/>
  <c r="X56" i="8" s="1"/>
  <c r="L55" i="8"/>
  <c r="E55" i="8"/>
  <c r="F55" i="8" s="1"/>
  <c r="W55" i="8" s="1"/>
  <c r="X55" i="8" s="1"/>
  <c r="L54" i="8"/>
  <c r="F54" i="8"/>
  <c r="W54" i="8" s="1"/>
  <c r="X54" i="8" s="1"/>
  <c r="E54" i="8"/>
  <c r="L53" i="8"/>
  <c r="F53" i="8"/>
  <c r="W53" i="8" s="1"/>
  <c r="X53" i="8" s="1"/>
  <c r="E53" i="8"/>
  <c r="L52" i="8"/>
  <c r="E52" i="8"/>
  <c r="F52" i="8" s="1"/>
  <c r="W52" i="8" s="1"/>
  <c r="X52" i="8" s="1"/>
  <c r="L51" i="8"/>
  <c r="E51" i="8"/>
  <c r="F51" i="8" s="1"/>
  <c r="W51" i="8" s="1"/>
  <c r="X51" i="8" s="1"/>
  <c r="L50" i="8"/>
  <c r="F50" i="8"/>
  <c r="W50" i="8" s="1"/>
  <c r="X50" i="8" s="1"/>
  <c r="E50" i="8"/>
  <c r="W49" i="8"/>
  <c r="X49" i="8" s="1"/>
  <c r="L49" i="8"/>
  <c r="E49" i="8"/>
  <c r="W48" i="8"/>
  <c r="X48" i="8" s="1"/>
  <c r="L48" i="8"/>
  <c r="E48" i="8"/>
  <c r="L47" i="8"/>
  <c r="F47" i="8"/>
  <c r="W47" i="8" s="1"/>
  <c r="X47" i="8" s="1"/>
  <c r="E47" i="8"/>
  <c r="L46" i="8"/>
  <c r="E46" i="8"/>
  <c r="F46" i="8" s="1"/>
  <c r="W46" i="8" s="1"/>
  <c r="X46" i="8" s="1"/>
  <c r="L45" i="8"/>
  <c r="E45" i="8"/>
  <c r="F45" i="8" s="1"/>
  <c r="W45" i="8" s="1"/>
  <c r="X45" i="8" s="1"/>
  <c r="L44" i="8"/>
  <c r="F44" i="8"/>
  <c r="W44" i="8" s="1"/>
  <c r="X44" i="8" s="1"/>
  <c r="E44" i="8"/>
  <c r="W43" i="8"/>
  <c r="X43" i="8" s="1"/>
  <c r="L43" i="8"/>
  <c r="E43" i="8"/>
  <c r="L42" i="8"/>
  <c r="F42" i="8"/>
  <c r="W42" i="8" s="1"/>
  <c r="X42" i="8" s="1"/>
  <c r="E42" i="8"/>
  <c r="L41" i="8"/>
  <c r="E41" i="8"/>
  <c r="F41" i="8" s="1"/>
  <c r="W41" i="8" s="1"/>
  <c r="X41" i="8" s="1"/>
  <c r="L40" i="8"/>
  <c r="E40" i="8"/>
  <c r="F40" i="8" s="1"/>
  <c r="W40" i="8" s="1"/>
  <c r="X40" i="8" s="1"/>
  <c r="L39" i="8"/>
  <c r="F39" i="8"/>
  <c r="W39" i="8" s="1"/>
  <c r="X39" i="8" s="1"/>
  <c r="E39" i="8"/>
  <c r="W38" i="8"/>
  <c r="X38" i="8" s="1"/>
  <c r="L38" i="8"/>
  <c r="E38" i="8"/>
  <c r="W37" i="8"/>
  <c r="X37" i="8" s="1"/>
  <c r="L37" i="8"/>
  <c r="E37" i="8"/>
  <c r="L36" i="8"/>
  <c r="E36" i="8"/>
  <c r="F36" i="8" s="1"/>
  <c r="W36" i="8" s="1"/>
  <c r="X36" i="8" s="1"/>
  <c r="W35" i="8"/>
  <c r="X35" i="8" s="1"/>
  <c r="L35" i="8"/>
  <c r="E35" i="8"/>
  <c r="L34" i="8"/>
  <c r="E34" i="8"/>
  <c r="F34" i="8" s="1"/>
  <c r="W34" i="8" s="1"/>
  <c r="X34" i="8" s="1"/>
  <c r="L33" i="8"/>
  <c r="E33" i="8"/>
  <c r="F33" i="8" s="1"/>
  <c r="W33" i="8" s="1"/>
  <c r="X33" i="8" s="1"/>
  <c r="X32" i="8"/>
  <c r="W32" i="8"/>
  <c r="L32" i="8"/>
  <c r="E32" i="8"/>
  <c r="X31" i="8"/>
  <c r="W31" i="8"/>
  <c r="L31" i="8"/>
  <c r="E31" i="8"/>
  <c r="L30" i="8"/>
  <c r="E30" i="8"/>
  <c r="F30" i="8" s="1"/>
  <c r="W30" i="8" s="1"/>
  <c r="X30" i="8" s="1"/>
  <c r="L29" i="8"/>
  <c r="F29" i="8"/>
  <c r="W29" i="8" s="1"/>
  <c r="X29" i="8" s="1"/>
  <c r="E29" i="8"/>
  <c r="L28" i="8"/>
  <c r="E28" i="8"/>
  <c r="F28" i="8" s="1"/>
  <c r="W28" i="8" s="1"/>
  <c r="X28" i="8" s="1"/>
  <c r="L27" i="8"/>
  <c r="E27" i="8"/>
  <c r="F27" i="8" s="1"/>
  <c r="W27" i="8" s="1"/>
  <c r="X27" i="8" s="1"/>
  <c r="X26" i="8"/>
  <c r="W26" i="8"/>
  <c r="L26" i="8"/>
  <c r="E26" i="8"/>
  <c r="W25" i="8"/>
  <c r="X25" i="8" s="1"/>
  <c r="L25" i="8"/>
  <c r="E25" i="8"/>
  <c r="X24" i="8"/>
  <c r="W24" i="8"/>
  <c r="L24" i="8"/>
  <c r="E24" i="8"/>
  <c r="X23" i="8"/>
  <c r="W23" i="8"/>
  <c r="L23" i="8"/>
  <c r="E23" i="8"/>
  <c r="L22" i="8"/>
  <c r="E22" i="8"/>
  <c r="F22" i="8" s="1"/>
  <c r="W22" i="8" s="1"/>
  <c r="X22" i="8" s="1"/>
  <c r="L21" i="8"/>
  <c r="F21" i="8"/>
  <c r="W21" i="8" s="1"/>
  <c r="X21" i="8" s="1"/>
  <c r="E21" i="8"/>
  <c r="L20" i="8"/>
  <c r="E20" i="8"/>
  <c r="F20" i="8" s="1"/>
  <c r="W20" i="8" s="1"/>
  <c r="X20" i="8" s="1"/>
  <c r="L19" i="8"/>
  <c r="E19" i="8"/>
  <c r="F19" i="8" s="1"/>
  <c r="W19" i="8" s="1"/>
  <c r="X19" i="8" s="1"/>
  <c r="L18" i="8"/>
  <c r="F18" i="8"/>
  <c r="W18" i="8" s="1"/>
  <c r="X18" i="8" s="1"/>
  <c r="E18" i="8"/>
  <c r="L17" i="8"/>
  <c r="F17" i="8"/>
  <c r="W17" i="8" s="1"/>
  <c r="X17" i="8" s="1"/>
  <c r="E17" i="8"/>
  <c r="W16" i="8"/>
  <c r="X16" i="8" s="1"/>
  <c r="L16" i="8"/>
  <c r="E16" i="8"/>
  <c r="W15" i="8"/>
  <c r="X15" i="8" s="1"/>
  <c r="L15" i="8"/>
  <c r="E15" i="8"/>
  <c r="W14" i="8"/>
  <c r="X14" i="8" s="1"/>
  <c r="L14" i="8"/>
  <c r="E14" i="8"/>
  <c r="W13" i="8"/>
  <c r="X13" i="8" s="1"/>
  <c r="L13" i="8"/>
  <c r="E13" i="8"/>
  <c r="L12" i="8"/>
  <c r="E12" i="8"/>
  <c r="F12" i="8" s="1"/>
  <c r="W12" i="8" s="1"/>
  <c r="X12" i="8" s="1"/>
  <c r="L11" i="8"/>
  <c r="E11" i="8"/>
  <c r="F11" i="8" s="1"/>
  <c r="X10" i="8"/>
  <c r="W10" i="8"/>
  <c r="L10" i="8"/>
  <c r="E10" i="8"/>
  <c r="W9" i="8"/>
  <c r="X9" i="8" s="1"/>
  <c r="L9" i="8"/>
  <c r="L6" i="8" s="1"/>
  <c r="E9" i="8"/>
  <c r="X8" i="8"/>
  <c r="W8" i="8"/>
  <c r="L8" i="8"/>
  <c r="E8" i="8"/>
  <c r="E6" i="8" s="1"/>
  <c r="E4" i="8" s="1"/>
  <c r="X7" i="8"/>
  <c r="W7" i="8"/>
  <c r="L7" i="8"/>
  <c r="E7" i="8"/>
  <c r="U6" i="8"/>
  <c r="T6" i="8"/>
  <c r="S6" i="8"/>
  <c r="R6" i="8"/>
  <c r="Q6" i="8"/>
  <c r="P6" i="8"/>
  <c r="D7" i="3" s="1"/>
  <c r="C7" i="3" s="1"/>
  <c r="O6" i="8"/>
  <c r="N6" i="8"/>
  <c r="J6" i="8"/>
  <c r="F233" i="7"/>
  <c r="E233" i="7"/>
  <c r="F223" i="7"/>
  <c r="E223" i="7"/>
  <c r="F213" i="7"/>
  <c r="E213" i="7"/>
  <c r="F203" i="7"/>
  <c r="E203" i="7"/>
  <c r="F193" i="7"/>
  <c r="E193" i="7"/>
  <c r="E192" i="7" s="1"/>
  <c r="F192" i="7"/>
  <c r="F182" i="7"/>
  <c r="E182" i="7"/>
  <c r="F172" i="7"/>
  <c r="E172" i="7"/>
  <c r="F162" i="7"/>
  <c r="E162" i="7"/>
  <c r="F152" i="7"/>
  <c r="E152" i="7"/>
  <c r="F142" i="7"/>
  <c r="E142" i="7"/>
  <c r="F139" i="7"/>
  <c r="F138" i="7"/>
  <c r="F137" i="7"/>
  <c r="F136" i="7"/>
  <c r="E136" i="7"/>
  <c r="F130" i="7"/>
  <c r="E130" i="7"/>
  <c r="F124" i="7"/>
  <c r="E124" i="7"/>
  <c r="F118" i="7"/>
  <c r="E118" i="7"/>
  <c r="F112" i="7"/>
  <c r="E112" i="7"/>
  <c r="E105" i="7" s="1"/>
  <c r="F106" i="7"/>
  <c r="E106" i="7"/>
  <c r="F105" i="7"/>
  <c r="F95" i="7"/>
  <c r="E95" i="7"/>
  <c r="F85" i="7"/>
  <c r="E85" i="7"/>
  <c r="F75" i="7"/>
  <c r="E75" i="7"/>
  <c r="F66" i="7"/>
  <c r="F65" i="7"/>
  <c r="F58" i="7" s="1"/>
  <c r="E65" i="7"/>
  <c r="F59" i="7"/>
  <c r="E59" i="7"/>
  <c r="E58" i="7" s="1"/>
  <c r="F54" i="7"/>
  <c r="E54" i="7"/>
  <c r="F50" i="7"/>
  <c r="E50" i="7"/>
  <c r="F44" i="7"/>
  <c r="E44" i="7"/>
  <c r="E43" i="7" s="1"/>
  <c r="F43" i="7"/>
  <c r="F41" i="7"/>
  <c r="F40" i="7"/>
  <c r="F39" i="7"/>
  <c r="F38" i="7"/>
  <c r="F37" i="7" s="1"/>
  <c r="E37" i="7"/>
  <c r="F26" i="7"/>
  <c r="F24" i="7"/>
  <c r="E24" i="7"/>
  <c r="F20" i="7"/>
  <c r="E20" i="7"/>
  <c r="F16" i="7"/>
  <c r="F12" i="7" s="1"/>
  <c r="E12" i="7"/>
  <c r="F10" i="7"/>
  <c r="F7" i="7"/>
  <c r="F6" i="7" s="1"/>
  <c r="E6" i="7"/>
  <c r="F170" i="6"/>
  <c r="E170" i="6"/>
  <c r="F166" i="6"/>
  <c r="E166" i="6"/>
  <c r="F162" i="6"/>
  <c r="E162" i="6"/>
  <c r="F159" i="6"/>
  <c r="F158" i="6" s="1"/>
  <c r="E158" i="6"/>
  <c r="F154" i="6"/>
  <c r="F153" i="6" s="1"/>
  <c r="E153" i="6"/>
  <c r="F149" i="6"/>
  <c r="F148" i="6"/>
  <c r="F147" i="6" s="1"/>
  <c r="E148" i="6"/>
  <c r="E147" i="6" s="1"/>
  <c r="F143" i="6"/>
  <c r="E143" i="6"/>
  <c r="F139" i="6"/>
  <c r="E139" i="6"/>
  <c r="F135" i="6"/>
  <c r="E135" i="6"/>
  <c r="F132" i="6"/>
  <c r="F131" i="6"/>
  <c r="E131" i="6"/>
  <c r="F128" i="6"/>
  <c r="F127" i="6" s="1"/>
  <c r="E128" i="6"/>
  <c r="E127" i="6"/>
  <c r="W126" i="6"/>
  <c r="V126" i="6"/>
  <c r="F126" i="6"/>
  <c r="E126" i="6"/>
  <c r="F125" i="6"/>
  <c r="V125" i="6" s="1"/>
  <c r="W125" i="6" s="1"/>
  <c r="E125" i="6"/>
  <c r="W124" i="6"/>
  <c r="V124" i="6"/>
  <c r="F124" i="6"/>
  <c r="E124" i="6"/>
  <c r="W123" i="6"/>
  <c r="V123" i="6"/>
  <c r="F123" i="6"/>
  <c r="E123" i="6"/>
  <c r="F122" i="6"/>
  <c r="V122" i="6" s="1"/>
  <c r="W122" i="6" s="1"/>
  <c r="E122" i="6"/>
  <c r="W121" i="6"/>
  <c r="V121" i="6"/>
  <c r="F121" i="6"/>
  <c r="E121" i="6"/>
  <c r="W120" i="6"/>
  <c r="V120" i="6"/>
  <c r="F120" i="6"/>
  <c r="E120" i="6"/>
  <c r="F119" i="6"/>
  <c r="V119" i="6" s="1"/>
  <c r="W119" i="6" s="1"/>
  <c r="E119" i="6"/>
  <c r="W118" i="6"/>
  <c r="V118" i="6"/>
  <c r="F118" i="6"/>
  <c r="E118" i="6"/>
  <c r="W117" i="6"/>
  <c r="V117" i="6"/>
  <c r="F117" i="6"/>
  <c r="E117" i="6"/>
  <c r="F116" i="6"/>
  <c r="V116" i="6" s="1"/>
  <c r="W116" i="6" s="1"/>
  <c r="E116" i="6"/>
  <c r="W115" i="6"/>
  <c r="V115" i="6"/>
  <c r="F115" i="6"/>
  <c r="E115" i="6"/>
  <c r="W114" i="6"/>
  <c r="V114" i="6"/>
  <c r="F114" i="6"/>
  <c r="E114" i="6"/>
  <c r="F113" i="6"/>
  <c r="V113" i="6" s="1"/>
  <c r="W113" i="6" s="1"/>
  <c r="E113" i="6"/>
  <c r="W112" i="6"/>
  <c r="V112" i="6"/>
  <c r="F112" i="6"/>
  <c r="E112" i="6"/>
  <c r="W111" i="6"/>
  <c r="V111" i="6"/>
  <c r="F111" i="6"/>
  <c r="E111" i="6"/>
  <c r="F110" i="6"/>
  <c r="V110" i="6" s="1"/>
  <c r="W110" i="6" s="1"/>
  <c r="E110" i="6"/>
  <c r="W109" i="6"/>
  <c r="V109" i="6"/>
  <c r="F109" i="6"/>
  <c r="E109" i="6"/>
  <c r="W108" i="6"/>
  <c r="V108" i="6"/>
  <c r="F108" i="6"/>
  <c r="E108" i="6"/>
  <c r="F107" i="6"/>
  <c r="V107" i="6" s="1"/>
  <c r="W107" i="6" s="1"/>
  <c r="E107" i="6"/>
  <c r="W106" i="6"/>
  <c r="V106" i="6"/>
  <c r="F106" i="6"/>
  <c r="E106" i="6"/>
  <c r="E6" i="6" s="1"/>
  <c r="E4" i="6" s="1"/>
  <c r="W105" i="6"/>
  <c r="V105" i="6"/>
  <c r="F105" i="6"/>
  <c r="F104" i="6"/>
  <c r="V104" i="6" s="1"/>
  <c r="W104" i="6" s="1"/>
  <c r="F103" i="6"/>
  <c r="V103" i="6" s="1"/>
  <c r="W103" i="6" s="1"/>
  <c r="W102" i="6"/>
  <c r="V102" i="6"/>
  <c r="W101" i="6"/>
  <c r="V101" i="6"/>
  <c r="F101" i="6"/>
  <c r="V100" i="6"/>
  <c r="W100" i="6" s="1"/>
  <c r="F100" i="6"/>
  <c r="F99" i="6"/>
  <c r="V99" i="6" s="1"/>
  <c r="W99" i="6" s="1"/>
  <c r="W98" i="6"/>
  <c r="V98" i="6"/>
  <c r="F98" i="6"/>
  <c r="W97" i="6"/>
  <c r="V97" i="6"/>
  <c r="F96" i="6"/>
  <c r="V96" i="6" s="1"/>
  <c r="W96" i="6" s="1"/>
  <c r="F95" i="6"/>
  <c r="V95" i="6" s="1"/>
  <c r="W95" i="6" s="1"/>
  <c r="V94" i="6"/>
  <c r="W94" i="6" s="1"/>
  <c r="F93" i="6"/>
  <c r="V93" i="6" s="1"/>
  <c r="W93" i="6" s="1"/>
  <c r="W92" i="6"/>
  <c r="V92" i="6"/>
  <c r="F92" i="6"/>
  <c r="F91" i="6"/>
  <c r="V91" i="6" s="1"/>
  <c r="W91" i="6" s="1"/>
  <c r="F90" i="6"/>
  <c r="V90" i="6" s="1"/>
  <c r="W90" i="6" s="1"/>
  <c r="F89" i="6"/>
  <c r="V89" i="6" s="1"/>
  <c r="W89" i="6" s="1"/>
  <c r="W88" i="6"/>
  <c r="V88" i="6"/>
  <c r="F88" i="6"/>
  <c r="F87" i="6"/>
  <c r="V87" i="6" s="1"/>
  <c r="W87" i="6" s="1"/>
  <c r="F86" i="6"/>
  <c r="V86" i="6" s="1"/>
  <c r="W86" i="6" s="1"/>
  <c r="F85" i="6"/>
  <c r="V85" i="6" s="1"/>
  <c r="W85" i="6" s="1"/>
  <c r="W84" i="6"/>
  <c r="V84" i="6"/>
  <c r="F84" i="6"/>
  <c r="F83" i="6"/>
  <c r="V83" i="6" s="1"/>
  <c r="W83" i="6" s="1"/>
  <c r="F82" i="6"/>
  <c r="V82" i="6" s="1"/>
  <c r="W82" i="6" s="1"/>
  <c r="F81" i="6"/>
  <c r="V81" i="6" s="1"/>
  <c r="W81" i="6" s="1"/>
  <c r="W80" i="6"/>
  <c r="V80" i="6"/>
  <c r="F80" i="6"/>
  <c r="F79" i="6"/>
  <c r="V79" i="6" s="1"/>
  <c r="W79" i="6" s="1"/>
  <c r="F78" i="6"/>
  <c r="V78" i="6" s="1"/>
  <c r="W78" i="6" s="1"/>
  <c r="L77" i="6"/>
  <c r="V77" i="6" s="1"/>
  <c r="W77" i="6" s="1"/>
  <c r="W76" i="6"/>
  <c r="V76" i="6"/>
  <c r="L76" i="6"/>
  <c r="F75" i="6"/>
  <c r="V75" i="6" s="1"/>
  <c r="W75" i="6" s="1"/>
  <c r="F74" i="6"/>
  <c r="V74" i="6" s="1"/>
  <c r="W74" i="6" s="1"/>
  <c r="L73" i="6"/>
  <c r="F73" i="6"/>
  <c r="V73" i="6" s="1"/>
  <c r="W73" i="6" s="1"/>
  <c r="F72" i="6"/>
  <c r="V72" i="6" s="1"/>
  <c r="W72" i="6" s="1"/>
  <c r="F71" i="6"/>
  <c r="V71" i="6" s="1"/>
  <c r="W71" i="6" s="1"/>
  <c r="V70" i="6"/>
  <c r="W70" i="6" s="1"/>
  <c r="F70" i="6"/>
  <c r="V69" i="6"/>
  <c r="W69" i="6" s="1"/>
  <c r="L69" i="6"/>
  <c r="O68" i="6"/>
  <c r="N68" i="6"/>
  <c r="M68" i="6"/>
  <c r="L68" i="6"/>
  <c r="V68" i="6" s="1"/>
  <c r="W68" i="6" s="1"/>
  <c r="V67" i="6"/>
  <c r="W67" i="6" s="1"/>
  <c r="F67" i="6"/>
  <c r="V66" i="6"/>
  <c r="W66" i="6" s="1"/>
  <c r="F66" i="6"/>
  <c r="F65" i="6"/>
  <c r="V65" i="6" s="1"/>
  <c r="W65" i="6" s="1"/>
  <c r="L64" i="6"/>
  <c r="F64" i="6"/>
  <c r="V64" i="6" s="1"/>
  <c r="W64" i="6" s="1"/>
  <c r="W63" i="6"/>
  <c r="V63" i="6"/>
  <c r="L63" i="6"/>
  <c r="W62" i="6"/>
  <c r="V62" i="6"/>
  <c r="F62" i="6"/>
  <c r="V61" i="6"/>
  <c r="W61" i="6" s="1"/>
  <c r="F61" i="6"/>
  <c r="V60" i="6"/>
  <c r="W60" i="6" s="1"/>
  <c r="V59" i="6"/>
  <c r="W59" i="6" s="1"/>
  <c r="F59" i="6"/>
  <c r="V58" i="6"/>
  <c r="W58" i="6" s="1"/>
  <c r="F58" i="6"/>
  <c r="L57" i="6"/>
  <c r="V57" i="6" s="1"/>
  <c r="W57" i="6" s="1"/>
  <c r="L56" i="6"/>
  <c r="F56" i="6"/>
  <c r="V56" i="6" s="1"/>
  <c r="W56" i="6" s="1"/>
  <c r="L55" i="6"/>
  <c r="F55" i="6"/>
  <c r="V55" i="6" s="1"/>
  <c r="W55" i="6" s="1"/>
  <c r="W54" i="6"/>
  <c r="V54" i="6"/>
  <c r="F54" i="6"/>
  <c r="F53" i="6"/>
  <c r="V53" i="6" s="1"/>
  <c r="W53" i="6" s="1"/>
  <c r="F52" i="6"/>
  <c r="V52" i="6" s="1"/>
  <c r="W52" i="6" s="1"/>
  <c r="L51" i="6"/>
  <c r="F51" i="6"/>
  <c r="V51" i="6" s="1"/>
  <c r="W51" i="6" s="1"/>
  <c r="W50" i="6"/>
  <c r="V50" i="6"/>
  <c r="W49" i="6"/>
  <c r="V49" i="6"/>
  <c r="F48" i="6"/>
  <c r="V48" i="6" s="1"/>
  <c r="W48" i="6" s="1"/>
  <c r="W47" i="6"/>
  <c r="V47" i="6"/>
  <c r="F47" i="6"/>
  <c r="W46" i="6"/>
  <c r="V46" i="6"/>
  <c r="F46" i="6"/>
  <c r="V45" i="6"/>
  <c r="W45" i="6" s="1"/>
  <c r="F45" i="6"/>
  <c r="F44" i="6"/>
  <c r="V44" i="6" s="1"/>
  <c r="W44" i="6" s="1"/>
  <c r="W43" i="6"/>
  <c r="V43" i="6"/>
  <c r="F43" i="6"/>
  <c r="W42" i="6"/>
  <c r="V42" i="6"/>
  <c r="F42" i="6"/>
  <c r="V41" i="6"/>
  <c r="W41" i="6" s="1"/>
  <c r="F41" i="6"/>
  <c r="F40" i="6"/>
  <c r="V40" i="6" s="1"/>
  <c r="W40" i="6" s="1"/>
  <c r="L39" i="6"/>
  <c r="F39" i="6"/>
  <c r="V39" i="6" s="1"/>
  <c r="W39" i="6" s="1"/>
  <c r="W38" i="6"/>
  <c r="V38" i="6"/>
  <c r="L38" i="6"/>
  <c r="F38" i="6"/>
  <c r="F37" i="6"/>
  <c r="V37" i="6" s="1"/>
  <c r="W37" i="6" s="1"/>
  <c r="V36" i="6"/>
  <c r="W36" i="6" s="1"/>
  <c r="F36" i="6"/>
  <c r="V35" i="6"/>
  <c r="W35" i="6" s="1"/>
  <c r="F35" i="6"/>
  <c r="F34" i="6"/>
  <c r="V34" i="6" s="1"/>
  <c r="W34" i="6" s="1"/>
  <c r="V33" i="6"/>
  <c r="W33" i="6" s="1"/>
  <c r="V32" i="6"/>
  <c r="W32" i="6" s="1"/>
  <c r="W31" i="6"/>
  <c r="V31" i="6"/>
  <c r="F31" i="6"/>
  <c r="W30" i="6"/>
  <c r="V30" i="6"/>
  <c r="F30" i="6"/>
  <c r="L29" i="6"/>
  <c r="L28" i="6"/>
  <c r="V28" i="6" s="1"/>
  <c r="W28" i="6" s="1"/>
  <c r="F28" i="6"/>
  <c r="F29" i="6" s="1"/>
  <c r="V29" i="6" s="1"/>
  <c r="W29" i="6" s="1"/>
  <c r="V27" i="6"/>
  <c r="W27" i="6" s="1"/>
  <c r="L27" i="6"/>
  <c r="W26" i="6"/>
  <c r="V26" i="6"/>
  <c r="W25" i="6"/>
  <c r="V25" i="6"/>
  <c r="M24" i="6"/>
  <c r="M6" i="6" s="1"/>
  <c r="L24" i="6"/>
  <c r="V24" i="6" s="1"/>
  <c r="W24" i="6" s="1"/>
  <c r="F24" i="6"/>
  <c r="V23" i="6"/>
  <c r="W23" i="6" s="1"/>
  <c r="M23" i="6"/>
  <c r="L23" i="6"/>
  <c r="F23" i="6"/>
  <c r="F22" i="6"/>
  <c r="V22" i="6" s="1"/>
  <c r="W22" i="6" s="1"/>
  <c r="F21" i="6"/>
  <c r="V21" i="6" s="1"/>
  <c r="W21" i="6" s="1"/>
  <c r="F20" i="6"/>
  <c r="V20" i="6" s="1"/>
  <c r="W20" i="6" s="1"/>
  <c r="W19" i="6"/>
  <c r="V19" i="6"/>
  <c r="F19" i="6"/>
  <c r="F18" i="6"/>
  <c r="V18" i="6" s="1"/>
  <c r="W18" i="6" s="1"/>
  <c r="F17" i="6"/>
  <c r="V17" i="6" s="1"/>
  <c r="W17" i="6" s="1"/>
  <c r="L16" i="6"/>
  <c r="L6" i="6" s="1"/>
  <c r="F16" i="6"/>
  <c r="V16" i="6" s="1"/>
  <c r="W16" i="6" s="1"/>
  <c r="L15" i="6"/>
  <c r="V15" i="6" s="1"/>
  <c r="W15" i="6" s="1"/>
  <c r="F15" i="6"/>
  <c r="V14" i="6"/>
  <c r="W14" i="6" s="1"/>
  <c r="V13" i="6"/>
  <c r="W13" i="6" s="1"/>
  <c r="F12" i="6"/>
  <c r="V12" i="6" s="1"/>
  <c r="W12" i="6" s="1"/>
  <c r="W11" i="6"/>
  <c r="V11" i="6"/>
  <c r="F11" i="6"/>
  <c r="F10" i="6"/>
  <c r="V10" i="6" s="1"/>
  <c r="W10" i="6" s="1"/>
  <c r="F9" i="6"/>
  <c r="V9" i="6" s="1"/>
  <c r="W9" i="6" s="1"/>
  <c r="F8" i="6"/>
  <c r="V8" i="6" s="1"/>
  <c r="W8" i="6" s="1"/>
  <c r="W7" i="6"/>
  <c r="V7" i="6"/>
  <c r="F7" i="6"/>
  <c r="F6" i="6" s="1"/>
  <c r="T6" i="6"/>
  <c r="S6" i="6"/>
  <c r="R6" i="6"/>
  <c r="Q6" i="6"/>
  <c r="P6" i="6"/>
  <c r="O6" i="6"/>
  <c r="N6" i="6"/>
  <c r="J6" i="6"/>
  <c r="I13" i="5"/>
  <c r="I10" i="5" s="1"/>
  <c r="I4" i="5" s="1"/>
  <c r="E13" i="5"/>
  <c r="E10" i="5" s="1"/>
  <c r="E4" i="5" s="1"/>
  <c r="C13" i="5"/>
  <c r="C10" i="5" s="1"/>
  <c r="C4" i="5" s="1"/>
  <c r="H12" i="5"/>
  <c r="G12" i="5"/>
  <c r="F12" i="5"/>
  <c r="E12" i="5"/>
  <c r="D12" i="5"/>
  <c r="C12" i="5"/>
  <c r="N10" i="5"/>
  <c r="M10" i="5"/>
  <c r="M4" i="5" s="1"/>
  <c r="L10" i="5"/>
  <c r="L4" i="5" s="1"/>
  <c r="K10" i="5"/>
  <c r="K4" i="5" s="1"/>
  <c r="J10" i="5"/>
  <c r="J4" i="5" s="1"/>
  <c r="H10" i="5"/>
  <c r="H4" i="5" s="1"/>
  <c r="G10" i="5"/>
  <c r="F10" i="5"/>
  <c r="D10" i="5"/>
  <c r="H8" i="5"/>
  <c r="I6" i="5"/>
  <c r="H6" i="5"/>
  <c r="G6" i="5"/>
  <c r="G5" i="5" s="1"/>
  <c r="G4" i="5" s="1"/>
  <c r="F6" i="5"/>
  <c r="E6" i="5"/>
  <c r="D6" i="5"/>
  <c r="D5" i="5" s="1"/>
  <c r="D4" i="5" s="1"/>
  <c r="C6" i="5"/>
  <c r="N5" i="5"/>
  <c r="M5" i="5"/>
  <c r="L5" i="5"/>
  <c r="K5" i="5"/>
  <c r="J5" i="5"/>
  <c r="I5" i="5"/>
  <c r="H5" i="5"/>
  <c r="F5" i="5"/>
  <c r="E5" i="5"/>
  <c r="C5" i="5"/>
  <c r="N4" i="5"/>
  <c r="F4" i="5"/>
  <c r="G24" i="4"/>
  <c r="D19" i="4"/>
  <c r="D18" i="4"/>
  <c r="D16" i="4" s="1"/>
  <c r="D17" i="4"/>
  <c r="O16" i="4"/>
  <c r="N16" i="4"/>
  <c r="N4" i="4" s="1"/>
  <c r="M16" i="4"/>
  <c r="M4" i="4" s="1"/>
  <c r="L16" i="4"/>
  <c r="L4" i="4" s="1"/>
  <c r="K16" i="4"/>
  <c r="K4" i="4" s="1"/>
  <c r="K5" i="2" s="1"/>
  <c r="J16" i="4"/>
  <c r="I16" i="4"/>
  <c r="I4" i="4" s="1"/>
  <c r="H16" i="4"/>
  <c r="G16" i="4"/>
  <c r="F16" i="4"/>
  <c r="E16" i="4"/>
  <c r="D14" i="4"/>
  <c r="G13" i="4"/>
  <c r="F11" i="4"/>
  <c r="H10" i="4"/>
  <c r="F10" i="4"/>
  <c r="E10" i="4"/>
  <c r="D10" i="4"/>
  <c r="G9" i="4"/>
  <c r="F9" i="4"/>
  <c r="E9" i="4"/>
  <c r="D9" i="4"/>
  <c r="H8" i="4"/>
  <c r="F8" i="4"/>
  <c r="F5" i="4" s="1"/>
  <c r="F4" i="4" s="1"/>
  <c r="E8" i="4"/>
  <c r="E5" i="4" s="1"/>
  <c r="E4" i="4" s="1"/>
  <c r="D8" i="4"/>
  <c r="G7" i="4"/>
  <c r="E7" i="4"/>
  <c r="D7" i="4"/>
  <c r="D5" i="4" s="1"/>
  <c r="O5" i="4"/>
  <c r="N5" i="4"/>
  <c r="M5" i="4"/>
  <c r="L5" i="4"/>
  <c r="K5" i="4"/>
  <c r="J5" i="4"/>
  <c r="I5" i="4"/>
  <c r="H5" i="4"/>
  <c r="G5" i="4"/>
  <c r="O4" i="4"/>
  <c r="J4" i="4"/>
  <c r="H4" i="4"/>
  <c r="G4" i="4"/>
  <c r="N22" i="3"/>
  <c r="M22" i="3"/>
  <c r="L22" i="3"/>
  <c r="K22" i="3"/>
  <c r="J22" i="3"/>
  <c r="I22" i="3"/>
  <c r="G22" i="3"/>
  <c r="F22" i="3"/>
  <c r="O21" i="3"/>
  <c r="N21" i="3"/>
  <c r="M21" i="3"/>
  <c r="L21" i="3"/>
  <c r="K21" i="3"/>
  <c r="J21" i="3"/>
  <c r="I21" i="3"/>
  <c r="H21" i="3"/>
  <c r="G21" i="3"/>
  <c r="F21" i="3"/>
  <c r="E21" i="3"/>
  <c r="O20" i="3"/>
  <c r="N20" i="3"/>
  <c r="M20" i="3"/>
  <c r="L20" i="3"/>
  <c r="K20" i="3"/>
  <c r="J20" i="3"/>
  <c r="I20" i="3"/>
  <c r="H20" i="3"/>
  <c r="G20" i="3"/>
  <c r="F20" i="3"/>
  <c r="E20" i="3"/>
  <c r="D20" i="3"/>
  <c r="O19" i="3"/>
  <c r="N19" i="3"/>
  <c r="M19" i="3"/>
  <c r="L19" i="3"/>
  <c r="K19" i="3"/>
  <c r="I19" i="3"/>
  <c r="H19" i="3"/>
  <c r="G19" i="3"/>
  <c r="F19" i="3"/>
  <c r="E19" i="3"/>
  <c r="D19" i="3"/>
  <c r="O18" i="3"/>
  <c r="N18" i="3"/>
  <c r="M18" i="3"/>
  <c r="L18" i="3"/>
  <c r="K18" i="3"/>
  <c r="J18" i="3"/>
  <c r="I18" i="3"/>
  <c r="I13" i="3" s="1"/>
  <c r="H18" i="3"/>
  <c r="G18" i="3"/>
  <c r="F18" i="3"/>
  <c r="E18" i="3"/>
  <c r="D18" i="3"/>
  <c r="O17" i="3"/>
  <c r="N17" i="3"/>
  <c r="M17" i="3"/>
  <c r="L17" i="3"/>
  <c r="L13" i="3" s="1"/>
  <c r="K17" i="3"/>
  <c r="I17" i="3"/>
  <c r="H17" i="3"/>
  <c r="G17" i="3"/>
  <c r="F17" i="3"/>
  <c r="E17" i="3"/>
  <c r="D17" i="3"/>
  <c r="O16" i="3"/>
  <c r="N16" i="3"/>
  <c r="M16" i="3"/>
  <c r="L16" i="3"/>
  <c r="K16" i="3"/>
  <c r="J16" i="3"/>
  <c r="I16" i="3"/>
  <c r="H16" i="3"/>
  <c r="G16" i="3"/>
  <c r="F16" i="3"/>
  <c r="E16" i="3"/>
  <c r="D16" i="3"/>
  <c r="O15" i="3"/>
  <c r="N15" i="3"/>
  <c r="M15" i="3"/>
  <c r="L15" i="3"/>
  <c r="K15" i="3"/>
  <c r="J15" i="3"/>
  <c r="I15" i="3"/>
  <c r="H15" i="3"/>
  <c r="G15" i="3"/>
  <c r="F15" i="3"/>
  <c r="E15" i="3"/>
  <c r="D15" i="3"/>
  <c r="O14" i="3"/>
  <c r="N14" i="3"/>
  <c r="L14" i="3"/>
  <c r="K14" i="3"/>
  <c r="J14" i="3"/>
  <c r="I14" i="3"/>
  <c r="N13" i="3"/>
  <c r="K13" i="3"/>
  <c r="O11" i="3"/>
  <c r="N11" i="3"/>
  <c r="M11" i="3"/>
  <c r="L11" i="3"/>
  <c r="K11" i="3"/>
  <c r="J11" i="3"/>
  <c r="H11" i="3"/>
  <c r="G11" i="3"/>
  <c r="F11" i="3"/>
  <c r="D11" i="3"/>
  <c r="O10" i="3"/>
  <c r="N10" i="3"/>
  <c r="M10" i="3"/>
  <c r="L10" i="3"/>
  <c r="K10" i="3"/>
  <c r="J10" i="3"/>
  <c r="I10" i="3"/>
  <c r="H10" i="3"/>
  <c r="G10" i="3"/>
  <c r="F10" i="3"/>
  <c r="E10" i="3"/>
  <c r="D10" i="3"/>
  <c r="O9" i="3"/>
  <c r="N9" i="3"/>
  <c r="M9" i="3"/>
  <c r="L9" i="3"/>
  <c r="K9" i="3"/>
  <c r="J9" i="3"/>
  <c r="I9" i="3"/>
  <c r="H9" i="3"/>
  <c r="G9" i="3"/>
  <c r="F9" i="3"/>
  <c r="E9" i="3"/>
  <c r="D9" i="3"/>
  <c r="O8" i="3"/>
  <c r="N8" i="3"/>
  <c r="M8" i="3"/>
  <c r="L8" i="3"/>
  <c r="K8" i="3"/>
  <c r="J8" i="3"/>
  <c r="I8" i="3"/>
  <c r="H8" i="3"/>
  <c r="G8" i="3"/>
  <c r="F8" i="3"/>
  <c r="D8" i="3"/>
  <c r="O7" i="3"/>
  <c r="O5" i="3" s="1"/>
  <c r="N7" i="3"/>
  <c r="M7" i="3"/>
  <c r="L7" i="3"/>
  <c r="K7" i="3"/>
  <c r="J7" i="3"/>
  <c r="I7" i="3"/>
  <c r="H7" i="3"/>
  <c r="G7" i="3"/>
  <c r="F7" i="3"/>
  <c r="O6" i="3"/>
  <c r="N6" i="3"/>
  <c r="J6" i="3"/>
  <c r="N5" i="3"/>
  <c r="N4" i="3"/>
  <c r="K8" i="2"/>
  <c r="L8" i="2" s="1"/>
  <c r="M8" i="2" s="1"/>
  <c r="N8" i="2" s="1"/>
  <c r="O8" i="2" s="1"/>
  <c r="D8" i="2"/>
  <c r="E8" i="2" s="1"/>
  <c r="F8" i="2" s="1"/>
  <c r="G8" i="2" s="1"/>
  <c r="H8" i="2" s="1"/>
  <c r="I8" i="2" s="1"/>
  <c r="K7" i="2"/>
  <c r="L7" i="2" s="1"/>
  <c r="M7" i="2" s="1"/>
  <c r="N7" i="2" s="1"/>
  <c r="O7" i="2" s="1"/>
  <c r="K6" i="2"/>
  <c r="L6" i="2" s="1"/>
  <c r="M6" i="2" s="1"/>
  <c r="C6" i="2"/>
  <c r="J4" i="2"/>
  <c r="C4" i="2"/>
  <c r="N104" i="33" l="1"/>
  <c r="L36" i="33"/>
  <c r="E36" i="33"/>
  <c r="C71" i="33"/>
  <c r="J47" i="33"/>
  <c r="J23" i="33"/>
  <c r="C111" i="33"/>
  <c r="C49" i="33"/>
  <c r="K89" i="33"/>
  <c r="I30" i="33"/>
  <c r="J30" i="33"/>
  <c r="M23" i="33"/>
  <c r="E89" i="33"/>
  <c r="G53" i="33"/>
  <c r="L100" i="33"/>
  <c r="L116" i="33"/>
  <c r="I53" i="33"/>
  <c r="D104" i="33"/>
  <c r="L47" i="33"/>
  <c r="G116" i="33"/>
  <c r="D47" i="33"/>
  <c r="M47" i="33"/>
  <c r="D100" i="33"/>
  <c r="N47" i="33"/>
  <c r="F96" i="33"/>
  <c r="C103" i="33"/>
  <c r="N23" i="33"/>
  <c r="M30" i="33"/>
  <c r="J89" i="33"/>
  <c r="E30" i="33"/>
  <c r="F30" i="33"/>
  <c r="K47" i="33"/>
  <c r="K53" i="33"/>
  <c r="N89" i="33"/>
  <c r="E104" i="33"/>
  <c r="C50" i="33"/>
  <c r="L53" i="33"/>
  <c r="F104" i="33"/>
  <c r="K23" i="33"/>
  <c r="L30" i="33"/>
  <c r="J96" i="33"/>
  <c r="G104" i="33"/>
  <c r="L23" i="33"/>
  <c r="C95" i="33"/>
  <c r="F47" i="33"/>
  <c r="C110" i="33"/>
  <c r="K36" i="33"/>
  <c r="G89" i="33"/>
  <c r="I100" i="33"/>
  <c r="I116" i="33"/>
  <c r="E47" i="33"/>
  <c r="C35" i="33"/>
  <c r="F100" i="33"/>
  <c r="C106" i="33"/>
  <c r="C112" i="33"/>
  <c r="C52" i="33"/>
  <c r="M53" i="33"/>
  <c r="M96" i="33"/>
  <c r="G100" i="33"/>
  <c r="M116" i="33"/>
  <c r="K30" i="33"/>
  <c r="N96" i="33"/>
  <c r="N116" i="33"/>
  <c r="C107" i="33"/>
  <c r="C113" i="33"/>
  <c r="E23" i="33"/>
  <c r="E22" i="33" s="1"/>
  <c r="D6" i="33" s="1"/>
  <c r="L89" i="33"/>
  <c r="C94" i="33"/>
  <c r="C98" i="33"/>
  <c r="J100" i="33"/>
  <c r="G30" i="33"/>
  <c r="G22" i="33" s="1"/>
  <c r="D8" i="33" s="1"/>
  <c r="C58" i="33"/>
  <c r="E100" i="33"/>
  <c r="C25" i="33"/>
  <c r="I89" i="33"/>
  <c r="F36" i="33"/>
  <c r="M89" i="33"/>
  <c r="C108" i="33"/>
  <c r="N30" i="33"/>
  <c r="G47" i="33"/>
  <c r="G96" i="33"/>
  <c r="C102" i="33"/>
  <c r="I23" i="33"/>
  <c r="I36" i="33"/>
  <c r="C91" i="33"/>
  <c r="F89" i="33"/>
  <c r="M36" i="33"/>
  <c r="J53" i="33"/>
  <c r="N36" i="33"/>
  <c r="C55" i="33"/>
  <c r="C114" i="33"/>
  <c r="G36" i="33"/>
  <c r="I47" i="33"/>
  <c r="E53" i="33"/>
  <c r="K104" i="33"/>
  <c r="C109" i="33"/>
  <c r="C115" i="33"/>
  <c r="J36" i="33"/>
  <c r="I96" i="33"/>
  <c r="N100" i="33"/>
  <c r="F116" i="33"/>
  <c r="J13" i="3"/>
  <c r="C10" i="3"/>
  <c r="J5" i="3"/>
  <c r="C9" i="3"/>
  <c r="C8" i="3"/>
  <c r="F4" i="6"/>
  <c r="V6" i="6"/>
  <c r="E4" i="7"/>
  <c r="F4" i="9"/>
  <c r="F4" i="7"/>
  <c r="D13" i="3"/>
  <c r="W6" i="6"/>
  <c r="K6" i="6" s="1"/>
  <c r="K4" i="2"/>
  <c r="L5" i="2"/>
  <c r="D4" i="4"/>
  <c r="N6" i="2"/>
  <c r="O6" i="2" s="1"/>
  <c r="F6" i="8"/>
  <c r="W11" i="8"/>
  <c r="X11" i="8" s="1"/>
  <c r="X6" i="8" s="1"/>
  <c r="K6" i="8" s="1"/>
  <c r="D6" i="2"/>
  <c r="D7" i="2"/>
  <c r="E7" i="2" s="1"/>
  <c r="F7" i="2" s="1"/>
  <c r="G7" i="2" s="1"/>
  <c r="H7" i="2" s="1"/>
  <c r="I7" i="2" s="1"/>
  <c r="W61" i="8"/>
  <c r="X61" i="8" s="1"/>
  <c r="F127" i="12"/>
  <c r="F126" i="19"/>
  <c r="I11" i="3" s="1"/>
  <c r="C38" i="33"/>
  <c r="M6" i="8"/>
  <c r="E4" i="9"/>
  <c r="F32" i="10"/>
  <c r="W32" i="10" s="1"/>
  <c r="X32" i="10" s="1"/>
  <c r="F49" i="10"/>
  <c r="W49" i="10" s="1"/>
  <c r="X49" i="10" s="1"/>
  <c r="X6" i="10" s="1"/>
  <c r="K6" i="10" s="1"/>
  <c r="F78" i="10"/>
  <c r="W78" i="10" s="1"/>
  <c r="X78" i="10" s="1"/>
  <c r="E4" i="11"/>
  <c r="W11" i="16"/>
  <c r="X11" i="16" s="1"/>
  <c r="F6" i="16"/>
  <c r="W11" i="10"/>
  <c r="X11" i="10" s="1"/>
  <c r="F48" i="10"/>
  <c r="W48" i="10" s="1"/>
  <c r="X48" i="10" s="1"/>
  <c r="F4" i="11"/>
  <c r="L6" i="12"/>
  <c r="E6" i="12"/>
  <c r="E4" i="12" s="1"/>
  <c r="F12" i="12"/>
  <c r="F135" i="8"/>
  <c r="F127" i="8" s="1"/>
  <c r="F149" i="8"/>
  <c r="F148" i="8" s="1"/>
  <c r="F38" i="10"/>
  <c r="W38" i="10" s="1"/>
  <c r="X38" i="10" s="1"/>
  <c r="E4" i="13"/>
  <c r="F53" i="14"/>
  <c r="W53" i="14" s="1"/>
  <c r="X53" i="14" s="1"/>
  <c r="M6" i="14"/>
  <c r="W97" i="10"/>
  <c r="X97" i="10" s="1"/>
  <c r="E4" i="19"/>
  <c r="E6" i="10"/>
  <c r="E4" i="10" s="1"/>
  <c r="O6" i="10"/>
  <c r="E75" i="33"/>
  <c r="C75" i="33" s="1"/>
  <c r="F38" i="11"/>
  <c r="E14" i="3" s="1"/>
  <c r="E13" i="3" s="1"/>
  <c r="E6" i="14"/>
  <c r="E4" i="14" s="1"/>
  <c r="X6" i="16"/>
  <c r="E6" i="16"/>
  <c r="E4" i="17"/>
  <c r="L6" i="29"/>
  <c r="C57" i="33"/>
  <c r="D53" i="33"/>
  <c r="C97" i="33"/>
  <c r="E96" i="33"/>
  <c r="H38" i="33"/>
  <c r="F149" i="16"/>
  <c r="K85" i="18"/>
  <c r="K46" i="18" s="1"/>
  <c r="C12" i="18" s="1"/>
  <c r="E234" i="18"/>
  <c r="E46" i="18" s="1"/>
  <c r="C6" i="18" s="1"/>
  <c r="F14" i="19"/>
  <c r="W14" i="19" s="1"/>
  <c r="X14" i="19" s="1"/>
  <c r="E126" i="23"/>
  <c r="F23" i="33"/>
  <c r="C33" i="33"/>
  <c r="C42" i="33"/>
  <c r="C51" i="33"/>
  <c r="C67" i="33"/>
  <c r="C78" i="33"/>
  <c r="H100" i="18"/>
  <c r="F234" i="18"/>
  <c r="C235" i="18"/>
  <c r="M6" i="19"/>
  <c r="E149" i="20"/>
  <c r="F126" i="23"/>
  <c r="E115" i="26"/>
  <c r="C29" i="33"/>
  <c r="C56" i="33"/>
  <c r="C119" i="33"/>
  <c r="E254" i="15"/>
  <c r="E124" i="16"/>
  <c r="E113" i="17"/>
  <c r="X6" i="25"/>
  <c r="K6" i="25" s="1"/>
  <c r="E261" i="28"/>
  <c r="E4" i="28" s="1"/>
  <c r="E4" i="31"/>
  <c r="C32" i="33"/>
  <c r="C41" i="33"/>
  <c r="F11" i="14"/>
  <c r="F34" i="15"/>
  <c r="G14" i="3" s="1"/>
  <c r="G13" i="3" s="1"/>
  <c r="H30" i="33"/>
  <c r="H22" i="33" s="1"/>
  <c r="D9" i="33" s="1"/>
  <c r="E149" i="16"/>
  <c r="C101" i="33"/>
  <c r="H100" i="33"/>
  <c r="C36" i="18"/>
  <c r="C61" i="18"/>
  <c r="L46" i="18"/>
  <c r="C13" i="18" s="1"/>
  <c r="E13" i="18" s="1"/>
  <c r="F13" i="18" s="1"/>
  <c r="I147" i="18"/>
  <c r="I46" i="18" s="1"/>
  <c r="C10" i="18" s="1"/>
  <c r="E10" i="18" s="1"/>
  <c r="F10" i="18" s="1"/>
  <c r="F13" i="19"/>
  <c r="W13" i="19" s="1"/>
  <c r="X13" i="19" s="1"/>
  <c r="N6" i="19"/>
  <c r="C28" i="33"/>
  <c r="C87" i="33"/>
  <c r="C93" i="33"/>
  <c r="C118" i="33"/>
  <c r="H36" i="33"/>
  <c r="D22" i="18"/>
  <c r="D5" i="18" s="1"/>
  <c r="C23" i="18"/>
  <c r="C22" i="18" s="1"/>
  <c r="C204" i="18"/>
  <c r="C265" i="18"/>
  <c r="C275" i="18"/>
  <c r="F21" i="19"/>
  <c r="W21" i="19" s="1"/>
  <c r="X21" i="19" s="1"/>
  <c r="E154" i="30"/>
  <c r="E4" i="30" s="1"/>
  <c r="X6" i="31"/>
  <c r="K6" i="31" s="1"/>
  <c r="C31" i="33"/>
  <c r="C40" i="33"/>
  <c r="F53" i="33"/>
  <c r="O46" i="33"/>
  <c r="C16" i="33" s="1"/>
  <c r="E16" i="33" s="1"/>
  <c r="F16" i="33" s="1"/>
  <c r="C92" i="33"/>
  <c r="F16" i="13"/>
  <c r="F4" i="13" s="1"/>
  <c r="N46" i="18"/>
  <c r="C15" i="18" s="1"/>
  <c r="E15" i="18" s="1"/>
  <c r="F15" i="18" s="1"/>
  <c r="X6" i="23"/>
  <c r="K6" i="23" s="1"/>
  <c r="W6" i="29"/>
  <c r="C27" i="33"/>
  <c r="C117" i="33"/>
  <c r="M100" i="18"/>
  <c r="M46" i="18" s="1"/>
  <c r="C14" i="18" s="1"/>
  <c r="E14" i="18" s="1"/>
  <c r="F14" i="18" s="1"/>
  <c r="C26" i="33"/>
  <c r="C39" i="33"/>
  <c r="E65" i="33"/>
  <c r="C90" i="33"/>
  <c r="L104" i="33"/>
  <c r="L6" i="16"/>
  <c r="C194" i="18"/>
  <c r="L234" i="18"/>
  <c r="W11" i="19"/>
  <c r="X11" i="19" s="1"/>
  <c r="X6" i="19" s="1"/>
  <c r="K6" i="19" s="1"/>
  <c r="F95" i="19"/>
  <c r="W95" i="19" s="1"/>
  <c r="X95" i="19" s="1"/>
  <c r="E151" i="26"/>
  <c r="F126" i="27"/>
  <c r="C72" i="33"/>
  <c r="F34" i="13"/>
  <c r="F14" i="3" s="1"/>
  <c r="F13" i="3" s="1"/>
  <c r="F46" i="18"/>
  <c r="C7" i="18" s="1"/>
  <c r="E7" i="18" s="1"/>
  <c r="F7" i="18" s="1"/>
  <c r="H85" i="18"/>
  <c r="H46" i="18" s="1"/>
  <c r="C9" i="18" s="1"/>
  <c r="E9" i="18" s="1"/>
  <c r="F9" i="18" s="1"/>
  <c r="F152" i="19"/>
  <c r="E126" i="25"/>
  <c r="E4" i="25" s="1"/>
  <c r="C81" i="33"/>
  <c r="F158" i="17"/>
  <c r="H22" i="3" s="1"/>
  <c r="E11" i="18"/>
  <c r="F11" i="18" s="1"/>
  <c r="G46" i="18"/>
  <c r="C8" i="18" s="1"/>
  <c r="E8" i="18" s="1"/>
  <c r="F8" i="18" s="1"/>
  <c r="O234" i="18"/>
  <c r="O46" i="18" s="1"/>
  <c r="C16" i="18" s="1"/>
  <c r="E16" i="18" s="1"/>
  <c r="F16" i="18" s="1"/>
  <c r="U6" i="19"/>
  <c r="E154" i="23"/>
  <c r="E151" i="24"/>
  <c r="E4" i="24" s="1"/>
  <c r="F126" i="25"/>
  <c r="L6" i="31"/>
  <c r="F264" i="32"/>
  <c r="C24" i="33"/>
  <c r="C34" i="33"/>
  <c r="C37" i="33"/>
  <c r="D36" i="33"/>
  <c r="C62" i="33"/>
  <c r="C61" i="33" s="1"/>
  <c r="C69" i="33"/>
  <c r="E85" i="15"/>
  <c r="K22" i="18"/>
  <c r="D12" i="18" s="1"/>
  <c r="C117" i="18"/>
  <c r="C100" i="18" s="1"/>
  <c r="C224" i="18"/>
  <c r="E259" i="20"/>
  <c r="F154" i="23"/>
  <c r="F4" i="24"/>
  <c r="W6" i="25"/>
  <c r="X6" i="27"/>
  <c r="K6" i="27" s="1"/>
  <c r="H47" i="33"/>
  <c r="C99" i="33"/>
  <c r="K116" i="33"/>
  <c r="C120" i="33"/>
  <c r="F113" i="17"/>
  <c r="H14" i="3" s="1"/>
  <c r="H13" i="3" s="1"/>
  <c r="C54" i="33"/>
  <c r="H105" i="33"/>
  <c r="D23" i="33"/>
  <c r="D89" i="33"/>
  <c r="H117" i="33"/>
  <c r="H116" i="33" s="1"/>
  <c r="D30" i="33"/>
  <c r="C48" i="33"/>
  <c r="D65" i="33"/>
  <c r="C66" i="33"/>
  <c r="F124" i="16"/>
  <c r="F115" i="28"/>
  <c r="M14" i="3" s="1"/>
  <c r="M13" i="3" s="1"/>
  <c r="D116" i="33"/>
  <c r="D61" i="33"/>
  <c r="J46" i="33" l="1"/>
  <c r="C11" i="33" s="1"/>
  <c r="L22" i="33"/>
  <c r="D13" i="33" s="1"/>
  <c r="M22" i="33"/>
  <c r="D14" i="33" s="1"/>
  <c r="F46" i="33"/>
  <c r="C7" i="33" s="1"/>
  <c r="J22" i="33"/>
  <c r="D11" i="33" s="1"/>
  <c r="E11" i="33"/>
  <c r="F11" i="33" s="1"/>
  <c r="I46" i="33"/>
  <c r="C10" i="33" s="1"/>
  <c r="M46" i="33"/>
  <c r="C14" i="33" s="1"/>
  <c r="E14" i="33" s="1"/>
  <c r="F14" i="33" s="1"/>
  <c r="F22" i="33"/>
  <c r="D7" i="33" s="1"/>
  <c r="G46" i="33"/>
  <c r="C8" i="33" s="1"/>
  <c r="E8" i="33" s="1"/>
  <c r="N46" i="33"/>
  <c r="C15" i="33" s="1"/>
  <c r="N22" i="33"/>
  <c r="D15" i="33" s="1"/>
  <c r="E15" i="33" s="1"/>
  <c r="F15" i="33" s="1"/>
  <c r="K22" i="33"/>
  <c r="D12" i="33" s="1"/>
  <c r="C47" i="33"/>
  <c r="L46" i="33"/>
  <c r="C13" i="33" s="1"/>
  <c r="K46" i="33"/>
  <c r="C12" i="33" s="1"/>
  <c r="C100" i="33"/>
  <c r="C116" i="33"/>
  <c r="C36" i="33"/>
  <c r="I22" i="33"/>
  <c r="D10" i="33" s="1"/>
  <c r="E10" i="33" s="1"/>
  <c r="E46" i="33"/>
  <c r="C6" i="33" s="1"/>
  <c r="E6" i="33" s="1"/>
  <c r="E7" i="33"/>
  <c r="J4" i="3"/>
  <c r="E9" i="33"/>
  <c r="C18" i="18"/>
  <c r="E6" i="18"/>
  <c r="F6" i="18" s="1"/>
  <c r="C234" i="18"/>
  <c r="C46" i="18" s="1"/>
  <c r="D22" i="33"/>
  <c r="D5" i="33" s="1"/>
  <c r="C105" i="33"/>
  <c r="C104" i="33" s="1"/>
  <c r="H104" i="33"/>
  <c r="H46" i="33" s="1"/>
  <c r="C9" i="33" s="1"/>
  <c r="F4" i="27"/>
  <c r="M6" i="3"/>
  <c r="M5" i="3" s="1"/>
  <c r="M4" i="3" s="1"/>
  <c r="F6" i="14"/>
  <c r="W11" i="14"/>
  <c r="X11" i="14" s="1"/>
  <c r="X6" i="14" s="1"/>
  <c r="K6" i="14" s="1"/>
  <c r="M5" i="2"/>
  <c r="L4" i="2"/>
  <c r="C53" i="33"/>
  <c r="E4" i="26"/>
  <c r="D46" i="33"/>
  <c r="C5" i="33" s="1"/>
  <c r="E6" i="2"/>
  <c r="F6" i="2" s="1"/>
  <c r="G6" i="2" s="1"/>
  <c r="H6" i="2" s="1"/>
  <c r="I6" i="2" s="1"/>
  <c r="W12" i="12"/>
  <c r="X12" i="12" s="1"/>
  <c r="X6" i="12" s="1"/>
  <c r="K6" i="12" s="1"/>
  <c r="F6" i="12"/>
  <c r="C65" i="33"/>
  <c r="E4" i="16"/>
  <c r="F4" i="8"/>
  <c r="D6" i="3"/>
  <c r="W6" i="8"/>
  <c r="F4" i="17"/>
  <c r="F6" i="19"/>
  <c r="E5" i="18"/>
  <c r="F5" i="18" s="1"/>
  <c r="D18" i="18"/>
  <c r="C23" i="33"/>
  <c r="F4" i="32"/>
  <c r="O22" i="3"/>
  <c r="O13" i="3" s="1"/>
  <c r="O4" i="3" s="1"/>
  <c r="C30" i="33"/>
  <c r="K6" i="16"/>
  <c r="F4" i="15"/>
  <c r="E12" i="18"/>
  <c r="F12" i="18" s="1"/>
  <c r="F4" i="25"/>
  <c r="L6" i="3"/>
  <c r="L5" i="3" s="1"/>
  <c r="L4" i="3" s="1"/>
  <c r="F4" i="23"/>
  <c r="K6" i="3"/>
  <c r="K5" i="3" s="1"/>
  <c r="K4" i="3" s="1"/>
  <c r="E4" i="23"/>
  <c r="C96" i="33"/>
  <c r="F6" i="10"/>
  <c r="E4" i="15"/>
  <c r="E4" i="20"/>
  <c r="C89" i="33"/>
  <c r="F4" i="28"/>
  <c r="Y6" i="16"/>
  <c r="W6" i="16"/>
  <c r="F4" i="16"/>
  <c r="H6" i="3"/>
  <c r="H5" i="3" s="1"/>
  <c r="H4" i="3" s="1"/>
  <c r="C4" i="4"/>
  <c r="D5" i="2"/>
  <c r="E13" i="33" l="1"/>
  <c r="F13" i="33" s="1"/>
  <c r="E12" i="33"/>
  <c r="F12" i="33" s="1"/>
  <c r="C22" i="33"/>
  <c r="C18" i="33"/>
  <c r="F4" i="19"/>
  <c r="W6" i="19"/>
  <c r="Y6" i="19"/>
  <c r="I6" i="3"/>
  <c r="I5" i="3" s="1"/>
  <c r="I4" i="3" s="1"/>
  <c r="C46" i="33"/>
  <c r="D18" i="33"/>
  <c r="E5" i="33"/>
  <c r="F5" i="33" s="1"/>
  <c r="F6" i="33" s="1"/>
  <c r="F7" i="33" s="1"/>
  <c r="F8" i="33" s="1"/>
  <c r="F9" i="33" s="1"/>
  <c r="F10" i="33" s="1"/>
  <c r="N5" i="2"/>
  <c r="M4" i="2"/>
  <c r="E5" i="2"/>
  <c r="D4" i="2"/>
  <c r="D5" i="3"/>
  <c r="D4" i="3" s="1"/>
  <c r="W6" i="14"/>
  <c r="Y6" i="14"/>
  <c r="G6" i="3"/>
  <c r="G5" i="3" s="1"/>
  <c r="G4" i="3" s="1"/>
  <c r="F4" i="14"/>
  <c r="C11" i="3"/>
  <c r="F4" i="10"/>
  <c r="W6" i="10"/>
  <c r="E6" i="3"/>
  <c r="E5" i="3" s="1"/>
  <c r="E4" i="3" s="1"/>
  <c r="W6" i="12"/>
  <c r="F6" i="3"/>
  <c r="F5" i="3" s="1"/>
  <c r="F4" i="3" s="1"/>
  <c r="F4" i="12"/>
  <c r="O5" i="2" l="1"/>
  <c r="O4" i="2" s="1"/>
  <c r="N4" i="2"/>
  <c r="C6" i="3"/>
  <c r="C4" i="3" s="1"/>
  <c r="F5" i="2"/>
  <c r="E4" i="2"/>
  <c r="F4" i="2" l="1"/>
  <c r="G5" i="2"/>
  <c r="H5" i="2" l="1"/>
  <c r="G4" i="2"/>
  <c r="I5" i="2" l="1"/>
  <c r="I4" i="2" s="1"/>
  <c r="H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<sst xmlns="http://schemas.openxmlformats.org/spreadsheetml/2006/main" count="12768" uniqueCount="1998">
  <si>
    <t>ABAIXO É EXPLICADO O QUE CONSTA EM CADA ABA DA PLANILHA:</t>
  </si>
  <si>
    <t>CAIXA</t>
  </si>
  <si>
    <t>Nesta aba é exibido o valor que consta em cada caixa do Núcleo no último dia do mês, ou seja, o valor em espécie e o valor em cada conta bancária, mês a mês.</t>
  </si>
  <si>
    <t>DISTRIB. VALORES</t>
  </si>
  <si>
    <t>Nesta aba mostra como o dinheiro do Núcleo está distribuído, mês a mês, considerando o valor operacional para uso da Tesouraria, Beneficência, Novo Encanto, Plantio, Fundo de Reserva de Bilhete Aéreo e Fundo de Reserva para Construções.
É possível visualizar quanto tivemos de receita e despesa para cada linha, bem como o saldo atual.</t>
  </si>
  <si>
    <t>DINHEIRO</t>
  </si>
  <si>
    <t>Nesta aba consta a movimentação em dinheiro, mês a mês.
Observação:
- Quando há um depósito em dinheiro cujo valor sai do caixa em espécie e entra para uma conta bancária do núcleo, irá constar uma despesa nessa aba e uma receita na aba "TRANSF. ENTRE CONTAS".
- Quando há um saque de dinheiro de alguma conta bancária do núcleo, irá constar uma receita nessa aba e uma despesa na aba "TRANSF. ENTRE CONTAS".</t>
  </si>
  <si>
    <t>TRANSF. ENTRE CONTAS</t>
  </si>
  <si>
    <t>Nesta aba consta a movimentação entre contas bancárias do núcleo, mês a mês.
Observação:
- Quando há um depósito em dinheiro cujo valor sai do caixa em espécie e entra para uma conta do núcleo, irá constar uma despesa nessa aba e uma receita na aba "TRANSF. ENTRE CONTAS".
- Quando há um saque de dinheiro de alguma conta bancária do núcleo, irá constar uma receita nessa aba e uma despesa na aba "TRANSF. ENTRE CONTAS".</t>
  </si>
  <si>
    <t>ANO-MÊS-RECEITAS</t>
  </si>
  <si>
    <t>Nesta aba constam todas as receitas do Núcleo no referido mês, indicando a data da receita, se a receita foi efetivada ou não e em qual caixa a receita "entrou".
Haverá uma aba desta para cada mês.</t>
  </si>
  <si>
    <t>ANO-MÊS-DESPESAS</t>
  </si>
  <si>
    <t>Nesta aba constam todas as despesas do Núcleo no referido mês, indicando a data da despesa, se a receita foi efetivada ou não, a partir de qual caixa a despesa foi paga e o link para acesso ao comprovante.
Haverá uma aba desta para cada mês.</t>
  </si>
  <si>
    <t>INADIMPLÊNCIA</t>
  </si>
  <si>
    <t>Nesta aba consta a relação dos sócios inadimplentes no momento, bem como os respectivos valores.</t>
  </si>
  <si>
    <t>ANO-PREVISTO</t>
  </si>
  <si>
    <t>Nesta aba consta uma visão consolidada de todas as receitas e despesas previstas para o ano, mês a mês, possibilitando obter uma projeção financeira para o Núcleo ao longo do ano.</t>
  </si>
  <si>
    <t>ANO-REALIZADO</t>
  </si>
  <si>
    <t>Nesta aba consta uma visão consolidada de todas as receitas e despesas realizadas no ano, mês a mês, possibilitando obter uma visão gerencial da saúde financeira do Núcleo ao longo do ano.</t>
  </si>
  <si>
    <t>REUNIÃO DE DIRETORIA</t>
  </si>
  <si>
    <t>Nesta aba consta o material a ser apresentado na reunião de diretoria.</t>
  </si>
  <si>
    <t>CAIXAS</t>
  </si>
  <si>
    <t>SALDO FINAL
NOV/23</t>
  </si>
  <si>
    <t>JAN</t>
  </si>
  <si>
    <t>FEV</t>
  </si>
  <si>
    <t>MAR</t>
  </si>
  <si>
    <t>ABR</t>
  </si>
  <si>
    <t>MAI</t>
  </si>
  <si>
    <t>JUN</t>
  </si>
  <si>
    <t>JUL</t>
  </si>
  <si>
    <t>AGO</t>
  </si>
  <si>
    <t>SET</t>
  </si>
  <si>
    <t>OUT</t>
  </si>
  <si>
    <t>NOV</t>
  </si>
  <si>
    <t>DEZ</t>
  </si>
  <si>
    <t>Tesouraria</t>
  </si>
  <si>
    <t>Dinheiro em espécie</t>
  </si>
  <si>
    <t>Banco - Cora</t>
  </si>
  <si>
    <t>Banco - Pagbank</t>
  </si>
  <si>
    <t>Banco - Stone</t>
  </si>
  <si>
    <t>SALDO ATUAL</t>
  </si>
  <si>
    <t>SALDO</t>
  </si>
  <si>
    <t>Receita</t>
  </si>
  <si>
    <t>-</t>
  </si>
  <si>
    <t>Operacional Tesouraria</t>
  </si>
  <si>
    <t>Beneficência NLT</t>
  </si>
  <si>
    <t>Novo Encanto NLT</t>
  </si>
  <si>
    <t>Plantio NLT</t>
  </si>
  <si>
    <t>Fundo de Reserva Bilhete Aéreo</t>
  </si>
  <si>
    <t>Fundo de Reserva Construção</t>
  </si>
  <si>
    <t>Despesa</t>
  </si>
  <si>
    <t>Repasse Novo encanto</t>
  </si>
  <si>
    <t>Repasse Flor Divina</t>
  </si>
  <si>
    <t>Repasse Memorial José Gabriel da Costa</t>
  </si>
  <si>
    <t xml:space="preserve">Observação: </t>
  </si>
  <si>
    <t>MOV. EM DINHEIRO</t>
  </si>
  <si>
    <t>Recebimento Mensalidade</t>
  </si>
  <si>
    <t>1a Escala - Caixa jantar</t>
  </si>
  <si>
    <t>2a Escala - Caixa jantar</t>
  </si>
  <si>
    <t>1a Escala - Caixa da boa vontade</t>
  </si>
  <si>
    <t>2a Escala - Caixa da boa vontade</t>
  </si>
  <si>
    <t>Outras receitas</t>
  </si>
  <si>
    <t>Promoção</t>
  </si>
  <si>
    <t>Doação</t>
  </si>
  <si>
    <t>Cantina SANA</t>
  </si>
  <si>
    <t>Outras despesas</t>
  </si>
  <si>
    <t>Depósito</t>
  </si>
  <si>
    <r>
      <rPr>
        <b/>
        <sz val="10"/>
        <color theme="1"/>
        <rFont val="Calibri"/>
      </rPr>
      <t>Observações do mês:</t>
    </r>
    <r>
      <rPr>
        <sz val="10"/>
        <color theme="1"/>
        <rFont val="Calibri"/>
      </rPr>
      <t xml:space="preserve"> </t>
    </r>
  </si>
  <si>
    <t>MOVIM. ENTRE CONTAS</t>
  </si>
  <si>
    <t>Entrada</t>
  </si>
  <si>
    <t>Saída</t>
  </si>
  <si>
    <r>
      <rPr>
        <b/>
        <sz val="10"/>
        <color theme="1"/>
        <rFont val="Calibri"/>
      </rPr>
      <t>Observações do mês:</t>
    </r>
    <r>
      <rPr>
        <sz val="10"/>
        <color theme="1"/>
        <rFont val="Calibri"/>
      </rPr>
      <t xml:space="preserve"> </t>
    </r>
  </si>
  <si>
    <t>RECEITAS</t>
  </si>
  <si>
    <t>TOTAL</t>
  </si>
  <si>
    <t>PLANO DE CONTAS DG</t>
  </si>
  <si>
    <t>Data</t>
  </si>
  <si>
    <t>Efetivado</t>
  </si>
  <si>
    <t>Valor Previsto</t>
  </si>
  <si>
    <t>Valor Recebido</t>
  </si>
  <si>
    <t>Observação</t>
  </si>
  <si>
    <t>Inadimp. (qtd)</t>
  </si>
  <si>
    <t>Inadimp. (R$)</t>
  </si>
  <si>
    <t>Núcleo</t>
  </si>
  <si>
    <t>Repasse DG</t>
  </si>
  <si>
    <t>Repasse 11a R</t>
  </si>
  <si>
    <t>Benef. NLT</t>
  </si>
  <si>
    <t>NE NLT</t>
  </si>
  <si>
    <t>FR Bilhete Aéreo</t>
  </si>
  <si>
    <t>FR Construção</t>
  </si>
  <si>
    <t>Taxa Extra</t>
  </si>
  <si>
    <t>Detalhamento Taxa Extra</t>
  </si>
  <si>
    <t>A receber:</t>
  </si>
  <si>
    <t>Mensalidade</t>
  </si>
  <si>
    <t>Elpídio Gomes de Moura Neto</t>
  </si>
  <si>
    <t>OK</t>
  </si>
  <si>
    <t>Pagamento único de R$ 445,81</t>
  </si>
  <si>
    <t/>
  </si>
  <si>
    <t>Juliana Collyer Arruda de Moura</t>
  </si>
  <si>
    <t>Silvéria Lopes Vasconcelos Arruda</t>
  </si>
  <si>
    <t>Francisco de Assis Vasconcelos Arruda</t>
  </si>
  <si>
    <t>Antônio Gonçalves de Lima Filho</t>
  </si>
  <si>
    <t>Pagamento único de R$ 312,34</t>
  </si>
  <si>
    <t>Sandra Borges Gonçalves de Lima</t>
  </si>
  <si>
    <t>Marcelo de Castro Brasil</t>
  </si>
  <si>
    <t>Pendente</t>
  </si>
  <si>
    <t>Flora Borges Gonçalves Lima Brasil</t>
  </si>
  <si>
    <t>Cássio Pereira Costa Sousa</t>
  </si>
  <si>
    <t>Pagamento único de R$ 564,26 descontado da despesa de alimentação paga pela C. Mônica referente à confraternização. Desta forma, não há essa entrada no extrato do banco.</t>
  </si>
  <si>
    <t>Mônica de Araújo Campos Costa Sousa</t>
  </si>
  <si>
    <t>José Maurício Guimarães Gomes</t>
  </si>
  <si>
    <t>Pagamento único de R$ 324,18</t>
  </si>
  <si>
    <t>Ticiane Aragão da Silveira Gomes</t>
  </si>
  <si>
    <t>Sérvulo Sidney Gladius Paiva Pimentel</t>
  </si>
  <si>
    <t>Pagamento único de R$ 858,58</t>
  </si>
  <si>
    <t>Maria Danielly Rios da Silva Paiva</t>
  </si>
  <si>
    <t>Régis Bezerra Gomes</t>
  </si>
  <si>
    <t>Pagamento único de R$ 315,58</t>
  </si>
  <si>
    <t>Ana Carolina de Oliveira Martins Gomes</t>
  </si>
  <si>
    <t>Lindayana de Souza Florêncio</t>
  </si>
  <si>
    <t>Não consta a entrada destes valores no banco pois foram utilizados para compensar a despesa do auto de natal no valor de R$ 445,56. Esta despesa compensa a mensalidade de dezembro/23 e janeiro/24.</t>
  </si>
  <si>
    <t>Confraternização dezembro/23 (antecipado de janeiro).</t>
  </si>
  <si>
    <t>Davi Florêncio de Sousa</t>
  </si>
  <si>
    <t>Joaquim Garcez de Lima Rocha</t>
  </si>
  <si>
    <t>Emília Mesquita Salgueiro Garcez</t>
  </si>
  <si>
    <t>Francisco Saulo Studart Albuquerque</t>
  </si>
  <si>
    <t>R$ 645 referente a agosto, setembro, outubro e novembro</t>
  </si>
  <si>
    <t>Franco Costa e Silva</t>
  </si>
  <si>
    <t>Pagamento único de R$ 264,58. O valor foi a menor que o padrão da mensalidade pois no mês anterior foi realizado um pagamento a maior, gerando crédito para a mensalidade de dezembro.</t>
  </si>
  <si>
    <t>Juliana Soares Monteiro</t>
  </si>
  <si>
    <t>Parcial</t>
  </si>
  <si>
    <t>Hugo Uchôa Passos Alencar</t>
  </si>
  <si>
    <t>Pagamento único de R$ 364,38</t>
  </si>
  <si>
    <t>Mairi Alencar de Lacerda Ferraz Uchôa</t>
  </si>
  <si>
    <t>João Carlos Studart Antero</t>
  </si>
  <si>
    <t>Janaina Silva Leitão Studart Antero</t>
  </si>
  <si>
    <t>Janaina de Pádua Carneiro Vasconcelos Giffoni</t>
  </si>
  <si>
    <t>Pagamento único de R$ 403,53</t>
  </si>
  <si>
    <t>Vicente Alves Giffoni</t>
  </si>
  <si>
    <t>Raphael Bruno Dantas Moreira</t>
  </si>
  <si>
    <t>Davi Silvino Moraes</t>
  </si>
  <si>
    <t>Dimaranje José Moraes</t>
  </si>
  <si>
    <t>Pagamento único de R$ 271,00 referente a novembro.
Pagamento único de R$ 221,62 referente a dezembro.</t>
  </si>
  <si>
    <t>Silvane da Silva Gonçalves</t>
  </si>
  <si>
    <t>Vicente de Paula Giffoni Filho</t>
  </si>
  <si>
    <t>Pagamento único de R$ 428,36</t>
  </si>
  <si>
    <t>Francinete Alves de Oliveira Giffoni</t>
  </si>
  <si>
    <t>Emanuel Alves Giffoni</t>
  </si>
  <si>
    <t>Flora Alves Giffoni</t>
  </si>
  <si>
    <t>Jonatas Cavalcante Brauna</t>
  </si>
  <si>
    <t>Lia Barroso Simonetti Gomes</t>
  </si>
  <si>
    <t>Pagamento único de R$ 510,44</t>
  </si>
  <si>
    <t>Henrique Silva Nicolau</t>
  </si>
  <si>
    <t>Lucas Maia Dantas</t>
  </si>
  <si>
    <t>Pagamento único de R$ 447,33</t>
  </si>
  <si>
    <t>Emanuela Cristine Pereira Félix</t>
  </si>
  <si>
    <t>Lucas Caldas Oliveira</t>
  </si>
  <si>
    <t>Pago em novembro/23.</t>
  </si>
  <si>
    <t>Gabriela Araújo Holanda Pinto</t>
  </si>
  <si>
    <t>Valterlir Pereira de Lima</t>
  </si>
  <si>
    <t>Pagamento único de R$ 331,73 referente a novembro
Pagamento único de R$ 271,73 referente a dezembro</t>
  </si>
  <si>
    <t>Maria Lúcia Ferreira da Silva Lima</t>
  </si>
  <si>
    <t>Salomão José Marques Maciel</t>
  </si>
  <si>
    <t>Pagamento único de R$ 214,09</t>
  </si>
  <si>
    <t>Ana Clara Simonetti Gomes Maciel</t>
  </si>
  <si>
    <t>Rafael Luna Honório</t>
  </si>
  <si>
    <t>Pagamento único de R$ 79,02 referente a novembro (11/12).
Pagamento único de R$ 79,02 referente a dezembro (11/12).</t>
  </si>
  <si>
    <t>Júlia Rogério Fiore Cheuen</t>
  </si>
  <si>
    <t>Isabela Clareana Pereira Félix</t>
  </si>
  <si>
    <t>Msg do Lucas Caldas:
A da clareana a C Maria José comprou uma mangueira e ficou assim:
Desp mangueiras 539,70
Mensalidade setembro 177,94
Mensalidade outubro 157,94
Mensalidade novembro 135,44
Parte da mensalidade de dezembro 68,38</t>
  </si>
  <si>
    <t>Pedro Klecius Farias Cardoso</t>
  </si>
  <si>
    <t>Pagamento único de R$ 388,58</t>
  </si>
  <si>
    <t>Genilda da Silva Cardoso</t>
  </si>
  <si>
    <t>Manoel Messias do Nascimento Neto</t>
  </si>
  <si>
    <t>Branda de Pádua Carneiro Vasconcelos Lessa</t>
  </si>
  <si>
    <t>Pagamento único de R$ 211,23</t>
  </si>
  <si>
    <t>Mateus Chaves Lessa de Castro</t>
  </si>
  <si>
    <t>Rossyane Maria Oliveira da Costa</t>
  </si>
  <si>
    <t>Aline Miranda de Oliveira Germano</t>
  </si>
  <si>
    <t>Pagamento único de R$ 55,37 referente a novembro (18/12).
O valor de R$ 55,37 referente a dezembro foi descontado do valor de R$ 220,00 referente a despesa do bolo para a confraternização. Com isso, não há entrada do valor de R$ 55,37 no banco referente a mensalidade de dezembro/23.</t>
  </si>
  <si>
    <t>Antônio Ramon da Silva Maia</t>
  </si>
  <si>
    <t>Rafaely Maia Sombra Cordeiro</t>
  </si>
  <si>
    <t>Francisco Hilton dos Santos Junior</t>
  </si>
  <si>
    <t>Manoel Edini de Aguiar</t>
  </si>
  <si>
    <t>Mensalidade de janeiro e fevereiro/24.
Dezembro já havia sido pago em novembro.</t>
  </si>
  <si>
    <t>Cecilia Maria Cunha</t>
  </si>
  <si>
    <t>Ianna Darc Gomes Martins</t>
  </si>
  <si>
    <t>Márcio Wallace Evangelista Teixeira</t>
  </si>
  <si>
    <t>Pagamento único de R$ 373,64.</t>
  </si>
  <si>
    <t>Juliana Dias Perdigão Teixeira</t>
  </si>
  <si>
    <t>Mateus de Miranda Dino</t>
  </si>
  <si>
    <t>R$ 166,54 referente a novembro.
R$ 141,54 referente a dezembro.</t>
  </si>
  <si>
    <t>Vitor Santos de Oliveira</t>
  </si>
  <si>
    <t>Carmem Silvia de Carvalho Rego</t>
  </si>
  <si>
    <t>Antonio Gilardo Xavier de Oliveira</t>
  </si>
  <si>
    <t>Pagamento único de R$ 400,00 referente a mensalidades de agosto a novembro.</t>
  </si>
  <si>
    <t>Maria Euzanira Barbosa Oliveira</t>
  </si>
  <si>
    <t>Thamires Caldas Oliveira</t>
  </si>
  <si>
    <t>Maria Josilene Bezerra</t>
  </si>
  <si>
    <t>Wllysses José Marques Maciel</t>
  </si>
  <si>
    <t>Dailane de Souza Florêncio</t>
  </si>
  <si>
    <t>Samuel Dantas Moreira</t>
  </si>
  <si>
    <t>Pagamento único de R$ 114,14</t>
  </si>
  <si>
    <t>Lorena Rodrigues Sales Dantas</t>
  </si>
  <si>
    <t>David Nascimento Alexandrino</t>
  </si>
  <si>
    <t>Pagamento único de R$ 189,00</t>
  </si>
  <si>
    <t>Maryna Rios Paiva</t>
  </si>
  <si>
    <t>Francilene Alves de Oliveira Braga</t>
  </si>
  <si>
    <t>Pagamento único de R$ 382,62</t>
  </si>
  <si>
    <t>Ana Alves Braga</t>
  </si>
  <si>
    <t>Luiza Alves Braga</t>
  </si>
  <si>
    <t>Vitor Hugo Paiva de Sousa</t>
  </si>
  <si>
    <t>Rafael Barbosa de Souza</t>
  </si>
  <si>
    <t>Pagamento único de R$ 300,00</t>
  </si>
  <si>
    <t>Sarah Gomes Pinheiro</t>
  </si>
  <si>
    <t>Valmir Pereira Júnior</t>
  </si>
  <si>
    <t>Bruno Bezerra Gomes</t>
  </si>
  <si>
    <t>Yara Freitas de Carvalho de Aguiar</t>
  </si>
  <si>
    <t>Pollyanna Aparecida Batista Viana</t>
  </si>
  <si>
    <t>Pagamento único de R$ 264,00</t>
  </si>
  <si>
    <t>João Viana Filho</t>
  </si>
  <si>
    <t>Francisca Sonia Costa</t>
  </si>
  <si>
    <t>Raquel da Silva Maia</t>
  </si>
  <si>
    <t>Pagamento único de R$ 130,00</t>
  </si>
  <si>
    <t>Francisco Eleilton Mendonça do Nascimento</t>
  </si>
  <si>
    <t>Lucas Pinto Assunção</t>
  </si>
  <si>
    <t>Maria Rosinele Felix do Nascimento</t>
  </si>
  <si>
    <t>Geane Batista Chaves</t>
  </si>
  <si>
    <t>Fabio de Farias Feitosa</t>
  </si>
  <si>
    <t>Jalsey</t>
  </si>
  <si>
    <t>Suzana</t>
  </si>
  <si>
    <t>Sua nota tem valor</t>
  </si>
  <si>
    <t>Receita da promoção</t>
  </si>
  <si>
    <t>Cantina Núcleo</t>
  </si>
  <si>
    <t>1 a 7
16 a 19
21 a 26</t>
  </si>
  <si>
    <t>Banco - Prosperar Bank</t>
  </si>
  <si>
    <t>Oratório N. Jardim Florando</t>
  </si>
  <si>
    <t>Recebimento do repasse referente à venda dos Oratórios</t>
  </si>
  <si>
    <t>Promoção 2</t>
  </si>
  <si>
    <t>Promoção 3</t>
  </si>
  <si>
    <t>Receitas diversas</t>
  </si>
  <si>
    <t>Caixa da boa vontade</t>
  </si>
  <si>
    <t>1a Escala - Pix</t>
  </si>
  <si>
    <t>1a Escala - Espécie</t>
  </si>
  <si>
    <t>2a Escala - Pix</t>
  </si>
  <si>
    <t>2a Escala - Espécie</t>
  </si>
  <si>
    <t>Caixa do jantar</t>
  </si>
  <si>
    <t>Festividades</t>
  </si>
  <si>
    <t>Confraternização fim de ano (pix)</t>
  </si>
  <si>
    <t>13
15</t>
  </si>
  <si>
    <t>13/12: Edini (R$ 20)
15/12: Diversos irmãos (R$ 430)</t>
  </si>
  <si>
    <t>Confraternização fim de ano (dinheriro)</t>
  </si>
  <si>
    <t>13/12: Gilardo (R$ 50)</t>
  </si>
  <si>
    <t>Confraternização 3</t>
  </si>
  <si>
    <t>Receita 1</t>
  </si>
  <si>
    <t>Receita 2</t>
  </si>
  <si>
    <t>Receita 3</t>
  </si>
  <si>
    <t>Doação 1</t>
  </si>
  <si>
    <t>Doação 2</t>
  </si>
  <si>
    <t>Doação 3</t>
  </si>
  <si>
    <t>Rendimento financeiro</t>
  </si>
  <si>
    <t>Cora</t>
  </si>
  <si>
    <t>Pagbank</t>
  </si>
  <si>
    <t>3 a 23</t>
  </si>
  <si>
    <t>Prosperar Bank</t>
  </si>
  <si>
    <t>Itaú</t>
  </si>
  <si>
    <t>Banco - Itaú</t>
  </si>
  <si>
    <t>Aplicação financeira 1</t>
  </si>
  <si>
    <t>Aplicação financeira 2</t>
  </si>
  <si>
    <t>Aplicação financeira 3</t>
  </si>
  <si>
    <t>DESPESAS</t>
  </si>
  <si>
    <t>COMPROVANTE</t>
  </si>
  <si>
    <t>Valor Pago</t>
  </si>
  <si>
    <t>NCL - Funcionários</t>
  </si>
  <si>
    <t>Salário</t>
  </si>
  <si>
    <t>1
29</t>
  </si>
  <si>
    <t>01/12: Competência novembro, pago em dezembro.
29/12: Competência dezembro, pago em dezembro.</t>
  </si>
  <si>
    <t>https://drive.google.com/file/d/1hy0gmUuDzO0Y1v2o5JeNrihBy4VZhOXk/view?usp=drive_link
https://drive.google.com/file/d/1lH1HF_Pjg1fP995oUndkHiEUbdCEk4Lt/view?usp=drive_link</t>
  </si>
  <si>
    <t>13° salário</t>
  </si>
  <si>
    <t>2a parcela 13° salário</t>
  </si>
  <si>
    <t>https://drive.google.com/file/d/1HxfPZMes6T4DpkfQ9SN_bQakL0wH2ONT/view?usp=drive_link</t>
  </si>
  <si>
    <t>Férias</t>
  </si>
  <si>
    <t>Encargos sociais</t>
  </si>
  <si>
    <t>6
6
6
6
11</t>
  </si>
  <si>
    <t>06/12: Darf previdenciário (R$ 263,06)
06/12: Darf previdenciário complementar (R$ 40,12)
06/12: FGTS (R$ 92,04)
06/12: PIS (R$ 11,51)
11/12: Darf previdenciário 13° salário (R$ 263,06)</t>
  </si>
  <si>
    <t>https://drive.google.com/file/d/1K6wk-3aiUDrSIcQpIg07SrxvPGrFP-DY/view?usp=drive_link</t>
  </si>
  <si>
    <t>22/12: Duas cestas básicas para o Wesley. Dezembro/23 e janeiro/24.</t>
  </si>
  <si>
    <t>https://drive.google.com/file/d/1armK0m59uAYu4CUS54qTVAiGc4D58WRv/view?usp=drive_link</t>
  </si>
  <si>
    <t>NCL - Repasses</t>
  </si>
  <si>
    <t>Diretoria Geral</t>
  </si>
  <si>
    <t>https://drive.google.com/file/d/1cArE6avLBdLZ_P5rT3rm_SHq9NEZyHHr/view?usp=drive_link</t>
  </si>
  <si>
    <t>11a Região</t>
  </si>
  <si>
    <t>https://drive.google.com/file/d/16meczPDHPc1QEuGSscL4d7D707LYwmfm/view?usp=drive_link</t>
  </si>
  <si>
    <t>Novo Encanto</t>
  </si>
  <si>
    <t>https://drive.google.com/file/d/1cHkb8Yo3pPerc3nasiot9hJr4l1NKzRr/view?usp=drive_link</t>
  </si>
  <si>
    <t>Flor Divina</t>
  </si>
  <si>
    <t>Realizada uma transferência única de R$ 1.134,87, tendo R$ 1.089,73 saído do caixa da tesouraria e R$ 45,14 saído do caixa do Plantio (este valor está registrado nas despesas do plantio).</t>
  </si>
  <si>
    <t>https://drive.google.com/file/d/1Ze8pvPmSyC-jJebtaDGmWRAVg1EjtwxZ/view?usp=drive_link</t>
  </si>
  <si>
    <t>Outro repasse (1)</t>
  </si>
  <si>
    <t>Outro repasse (2)</t>
  </si>
  <si>
    <t>Outro repasse (3)</t>
  </si>
  <si>
    <t>NCL - Tarifas bancárias</t>
  </si>
  <si>
    <t>Tarifa Itaú</t>
  </si>
  <si>
    <t>https://drive.google.com/file/d/1Lrvz77hCs-9Ap-_hYtGDYxki1G3ANRlg/view?usp=drive_link</t>
  </si>
  <si>
    <t>IR do rendimento bruto do Pagbank</t>
  </si>
  <si>
    <t>https://drive.google.com/file/d/11LttsR061P4v40YjP52xj6kuSFCfOTYi/view?usp=drive_link</t>
  </si>
  <si>
    <t>Tarifa 3</t>
  </si>
  <si>
    <t>NCL - Despesas gerais</t>
  </si>
  <si>
    <t>Energia Elétrica</t>
  </si>
  <si>
    <t>https://drive.google.com/file/d/19M0xZrZjCQjoBB2X8KbSUNgdb2ElEME8/view?usp=sharing</t>
  </si>
  <si>
    <t>Vigilância - Banco</t>
  </si>
  <si>
    <t>17/12: R$ 590 referente a 2a escala.</t>
  </si>
  <si>
    <t>https://drive.google.com/file/d/1-wYPjr9-RuWpx8mwPbBKgbEW_-ao1nJ2/view?usp=drive_link</t>
  </si>
  <si>
    <t>Contabilidade</t>
  </si>
  <si>
    <t>https://drive.google.com/file/d/1upTOtwJrjO-9QEwX0pEf6Xu4dDw0VTRX/view?usp=drive_link</t>
  </si>
  <si>
    <t>Internet</t>
  </si>
  <si>
    <t>https://drive.google.com/file/d/154fyTE2hE2-eF-mYvbl4PsFrIA4CvEBh/view?usp=drive_link</t>
  </si>
  <si>
    <t>Som</t>
  </si>
  <si>
    <t>Jardim</t>
  </si>
  <si>
    <t>Aluguel cadeiras 2a escala e sessão extra M. Herculano</t>
  </si>
  <si>
    <t>https://drive.google.com/file/d/1XNnx8OvJv3e9g5t7kDyG_22UT3Gy9hE9/view?usp=drive_link</t>
  </si>
  <si>
    <t>Compra de calças brancas e amarelas M. Herculano</t>
  </si>
  <si>
    <t>https://drive.google.com/file/d/1I6z53UUGdn_2WHC0Wbf8Uboov-m0h4Gh/view?usp=drive_link</t>
  </si>
  <si>
    <t>Homenagem M. Herculano</t>
  </si>
  <si>
    <t>https://drive.google.com/file/d/1jqskAC3ezP8yULTHgRoYQmbM6N641kMA/view?usp=drive_link</t>
  </si>
  <si>
    <t>Vigilância - Espécie</t>
  </si>
  <si>
    <t>31/12: R$ 800 referente a sessão de ano novo.</t>
  </si>
  <si>
    <t>https://drive.google.com/file/d/1P-zr1Ezy8pcmrVnt_qoETRI434kGz9Bv/view?usp=drive_link</t>
  </si>
  <si>
    <t>Despesa 5</t>
  </si>
  <si>
    <t>Despesa 6</t>
  </si>
  <si>
    <t>NCL - Organ</t>
  </si>
  <si>
    <t>Mercado</t>
  </si>
  <si>
    <t>2
15
17
17
17
22</t>
  </si>
  <si>
    <t>02/12: Despesa lanche compras realizadas pela C. Ticiane (R$ 194,36)
15/12: Despesa lanche compras realizadas pela C. Mônica (R$ 323,77)
17/12: Despesa sucos realizadas pela C. Mônica (R$ 99,00)
17/12: Despesa pães realizadas pela C. Mônica (R$ 51,76)
17/12: Despesa lanche pós sessão realizadas pela C. Mônica (R$ 195,87)
22/12: Despesa milhos realizada pela Genilda (R$ 60,00). Valor compensado em gasolina.</t>
  </si>
  <si>
    <t>https://drive.google.com/file/d/1qohA5ZqkXdAGAMBL9jPLCmu8490VWIKK/view?usp=drive_link
https://drive.google.com/file/d/1FimwTgXc5cQaAAXqpNbxTZQ5KHiZTdnC/view?usp=drive_link
https://drive.google.com/file/d/1UxUwTwLslc6eMcGDWQDeEAC7cY_apPPj/view?usp=drive_link
https://drive.google.com/file/d/1FVP9SX6TRCPgAC27SHwM1qTxya69rkaN/view?usp=drive_link
https://drive.google.com/file/d/1vbz-0wRkX3s6zyqn-g6Mu60pchC2vKN3/view?usp=drive_link
https://drive.google.com/file/d/1NpttEIh0DeYQy-fFYDCiY2BOfVJw1uMu/view?usp=drive_link</t>
  </si>
  <si>
    <t>Água mineral</t>
  </si>
  <si>
    <t>06/12: Compra de água mineral realizada pela C. Mônica (R$ 176,00)</t>
  </si>
  <si>
    <t>https://drive.google.com/file/d/1_jNZMYCrAGGWzhMBq9-LhIw9GpW9Czv-/view?usp=drive_link</t>
  </si>
  <si>
    <t>Jantar</t>
  </si>
  <si>
    <t>1
2
15</t>
  </si>
  <si>
    <t>01/12: Despesa jantar compras realizadas pela Janaina (R$ 344,38)
02/12: Despesa jantar compras realizadas pela Janaina (R$ 54,52)
15/12: Despesa jantar compras realizadas pela C. Mônica (R$ 471,89)
18/12: Despesa jantar compras realizadas pela C. Mônica (R$ 35,94)</t>
  </si>
  <si>
    <t>https://drive.google.com/file/d/1nPgegJSuqnwuk-iYFRhXYHo8wTC8aEz9/view?usp=drive_link
https://drive.google.com/file/d/1sRWeeKtrGlKQTITRH-yqV0m_hkcXNgii/view?usp=drive_link
https://drive.google.com/file/d/1x9MFphbftZkHDMhlobbkfb6HuGUDHzNt/view?usp=drive_link
https://drive.google.com/file/d/1zRm9goP6Ggpm_QObPvcdrIUpZEEYidEP/view?usp=drive_link</t>
  </si>
  <si>
    <t>Material de limpeza</t>
  </si>
  <si>
    <t>3
5
15
30</t>
  </si>
  <si>
    <t>03/12: Material de limpeza compras realizadas pelo Didi (R$ 40,00)
05/12: Material de limpeza compras realizadas pela C. Mônica (R$ 345,80)
15/12: Material de limpeza compras realizadas pela C. Mônica (R$ 173,44)
30/12: Material de limpeza compras realizadas pela C. Mônica (R$ 243,60 + R$ 9,99)</t>
  </si>
  <si>
    <t>https://drive.google.com/file/d/1xJLqU67vj9QoDtu5M4sDg3TwvPlUd5Sp/view?usp=drive_link
https://drive.google.com/file/d/12kj-Bqazy502velNLugU1ASuF7W7G2mr/view?usp=drive_link
https://drive.google.com/file/d/1puaDbpAwNB8jJhxFDy9XPv-19RGucxbz/view?usp=drive_link
https://drive.google.com/file/d/1XJXpsoBSrRqg7Yb5ZjlIUeaILjYtuxrx/view?usp=drive_link</t>
  </si>
  <si>
    <t>Outra despesa (3)</t>
  </si>
  <si>
    <t>31/12: Despesa castanhas pós sessão realizada pela C. Mônica (R$ 35,00)</t>
  </si>
  <si>
    <t>https://drive.google.com/file/d/1-8_zDpcbXg1Q9ElAhbCwiAwIGBZzl8r3/view?usp=drive_link</t>
  </si>
  <si>
    <t>NCL - Preparo</t>
  </si>
  <si>
    <t>Organ</t>
  </si>
  <si>
    <t>Outra despesa (1)</t>
  </si>
  <si>
    <t>Outra despesa (2)</t>
  </si>
  <si>
    <t>Materiais</t>
  </si>
  <si>
    <t>Despesa 1</t>
  </si>
  <si>
    <t>Despesa 2</t>
  </si>
  <si>
    <t>Despesa 3</t>
  </si>
  <si>
    <t>Colheita</t>
  </si>
  <si>
    <t>NCL - Festividades</t>
  </si>
  <si>
    <t>Sessão de casal</t>
  </si>
  <si>
    <t>Lembrancinhas</t>
  </si>
  <si>
    <t>Disco de vinil</t>
  </si>
  <si>
    <t>Confraternização final do ano</t>
  </si>
  <si>
    <t>Alimentação</t>
  </si>
  <si>
    <t>15
19</t>
  </si>
  <si>
    <t>15/12: Despesa R$ 142,22
15/12: Despesa R$ 163,53
19/12: Despesa R$ 1053,91. Deste valor foi descontado o valor de R$ 564,26 referente a mensalidade de dezembro do M. Cassio e C. Mônica. Assim, a saída que consta no extrato bancário é de R$ 489,65.</t>
  </si>
  <si>
    <t>https://drive.google.com/file/d/1fJ5MoDApYbuZ0-i08Ve74EUfw5HxXMgj/view?usp=drive_link
https://drive.google.com/file/d/19lDNPlUGVTADLU58r4994kd3o-tuJv-z/view?usp=drive_link</t>
  </si>
  <si>
    <t>Bolo</t>
  </si>
  <si>
    <t>No extrato do banco constará apenas uma transferêncian no valor de R$ 164,63, pois do valor de R$ 220,00 foi descontada a mensalidade de dezembro no valor de R$ 55,37. Com isso, a saída que consta no extrato do banco é de R$ 164,63.</t>
  </si>
  <si>
    <t>https://drive.google.com/file/d/1qLpnSY08jJAk3CFmmsoIEDw0Xywt6fEt/view?usp=drive_link</t>
  </si>
  <si>
    <t>Despesa 4</t>
  </si>
  <si>
    <t>Despesa 7</t>
  </si>
  <si>
    <t>Despesa 8</t>
  </si>
  <si>
    <t>Despesa 9</t>
  </si>
  <si>
    <t>Auto de Natal</t>
  </si>
  <si>
    <t>Aluguel de roupas, decoração e outros</t>
  </si>
  <si>
    <t>Não consta esta saída no extrato bancário pois este valor foi descontado da mensalidade do Davi Florência e Lindayana, referente às mensalidades de dezembro/23 e janeiro/24.</t>
  </si>
  <si>
    <t>https://drive.google.com/file/d/1xc_buoMPmLg1YUP_RRXDtoeCLwFWHc__/view?usp=drive_link</t>
  </si>
  <si>
    <t>Evento 3</t>
  </si>
  <si>
    <t>Bilhete Aéreo Gerusa</t>
  </si>
  <si>
    <t>Casa de Preparo</t>
  </si>
  <si>
    <t>Cozinha</t>
  </si>
  <si>
    <t>Casa das crianças</t>
  </si>
  <si>
    <t>Ampliação berçário</t>
  </si>
  <si>
    <t>DPTO - Patrimônio</t>
  </si>
  <si>
    <t>DPTO - Manutenção e reformas</t>
  </si>
  <si>
    <t>Material / tubulação para bebedouro e máq. lavar copos</t>
  </si>
  <si>
    <t>11
11</t>
  </si>
  <si>
    <t>11/12: Compra de tubulação para bebedouro e máquina de lavar copos (R$ 57,50)
11/12: Compra de tubulação para bebedouro e máquina de lavar copos (R$ 150,00)</t>
  </si>
  <si>
    <t>https://drive.google.com/file/d/14GXJ6l-u09oCuF119NWNx2N96av2d5Hk/view?usp=drive_link
https://drive.google.com/file/d/1UjHSZ4ab9Gl2eFXnjQ8FSVNRNOeZXk9W/view?usp=drive_link</t>
  </si>
  <si>
    <t>Frete cadeiras de macarrão</t>
  </si>
  <si>
    <t>12/12: Frete (gasolina) para levar as novas cadeiras de macarrao para o nucleo (R$ 200,00)</t>
  </si>
  <si>
    <t>https://drive.google.com/file/d/1NpPDi-qwRq7R9JU-bSLfTNE7-zPHKuta/view?usp=drive_link</t>
  </si>
  <si>
    <t>Compra de 10 conjuntos de mesas com cadeiras</t>
  </si>
  <si>
    <t>https://drive.google.com/file/d/1srsaHG1w9NW11nyUj7jCVo-s_R4ZAOOd/view?usp=drive_link</t>
  </si>
  <si>
    <t>DPTO - Beneficência</t>
  </si>
  <si>
    <t>Auxílio financeiro para pagamento de consulta e colírio</t>
  </si>
  <si>
    <t>https://drive.google.com/file/d/17ofvNPYapCSBzRT6DJjG04Tbx3xZDdXt/view?usp=drive_link</t>
  </si>
  <si>
    <t>Auxílio financeiro M. Sinval</t>
  </si>
  <si>
    <t>https://drive.google.com/file/d/1ACoLhqqu2ElpFbC_vXT07BchQjtIdoa8/view?usp=drive_link</t>
  </si>
  <si>
    <t>Chás M Herculano e C Ritinha</t>
  </si>
  <si>
    <t>https://drive.google.com/file/d/1PbaU7Fv5HFwiIWV5lBe7dhPBw8zMXLNt/view?usp=drive_link</t>
  </si>
  <si>
    <t>DPTO - OE</t>
  </si>
  <si>
    <t>DPTO - DEMEC</t>
  </si>
  <si>
    <t>DPTO - Plantio</t>
  </si>
  <si>
    <t>https://drive.google.com/file/d/1sKbLifz-t9XpX7_pDmbLDjWrFRa9m-r7/view?usp=drive_link</t>
  </si>
  <si>
    <t>DPTO - Novo Encanto</t>
  </si>
  <si>
    <t>Auxílio gasolina</t>
  </si>
  <si>
    <t>https://drive.google.com/file/d/1HSMhjl4rdP3_LjHIPlrOR2YMkMDpJEQn/view?usp=drive_link</t>
  </si>
  <si>
    <t>FT - Promoção</t>
  </si>
  <si>
    <t>Promoção da decoração</t>
  </si>
  <si>
    <t>Mandala São Cosmo e São Damião</t>
  </si>
  <si>
    <t>FT - Decoração</t>
  </si>
  <si>
    <t>6 de Janeiro - Sessão de Reis</t>
  </si>
  <si>
    <t>10 de Fevereiro - Aniv. Mestre</t>
  </si>
  <si>
    <t>27 de Março - Ressur. Mestre</t>
  </si>
  <si>
    <t>1 de Maio - Aniv. Núcleo</t>
  </si>
  <si>
    <t>23 de Junho - São João</t>
  </si>
  <si>
    <t>22 de Julho - Aniv. UDV</t>
  </si>
  <si>
    <t>27 de Setembro - S. Cosmo e S. Damião</t>
  </si>
  <si>
    <t>1 de Novembro - Confirmação</t>
  </si>
  <si>
    <t>24 de Dezembro - Natal</t>
  </si>
  <si>
    <t>% Atraso</t>
  </si>
  <si>
    <t>ELPÍDIO GOMES DE MOURA NETO</t>
  </si>
  <si>
    <t>TAXA CONFRATERNIZAÇÃO 2024 R$ 5,00; TAXA DE PREPARO 1/2 R$ 13,00</t>
  </si>
  <si>
    <t>JULIANA COLLYER ARRUDA DE MOURA</t>
  </si>
  <si>
    <t>SILVERIA LOPES VASCONCELOS ARRUDA</t>
  </si>
  <si>
    <t>FRANCISCO DE ASSIS VASCONCELOS ARRUDA</t>
  </si>
  <si>
    <t>ANTÔNIO GONÇALVES DE LIMA FILHO</t>
  </si>
  <si>
    <t>SANDRA BORGES GONÇALVES DE LIMA</t>
  </si>
  <si>
    <t>MARCELO DE CASTRO BRASIL</t>
  </si>
  <si>
    <t>COMPRA DE ARCONDICIONADO 7/10 R$ 50,00; TAXA CONFRATERNIZAÇÃO 2024 R$ 5,00; TAXA DE PREPARO 1/2 R$ 13,00</t>
  </si>
  <si>
    <t>FLORA BORGES GONÇALVES LIMA BRASIL</t>
  </si>
  <si>
    <t>CÁSSIO PEREIRA COSTA SOUSA</t>
  </si>
  <si>
    <t>MÔNICA DE ARAUJO CAMPOS COSTA SOUSA</t>
  </si>
  <si>
    <t>JOSÉ MAURÍCIO GUIMARÃES GOMES</t>
  </si>
  <si>
    <t>TICIANE ARAGAO DA SILVEIRA GOMES</t>
  </si>
  <si>
    <t>SERVULO SIDNEY GLADIUS PAIVA PIMENTEL</t>
  </si>
  <si>
    <t>MARIA DANIELLY RIOS DA SILVA PAIVA</t>
  </si>
  <si>
    <t>RÉGIS BEZERRA GOMES</t>
  </si>
  <si>
    <t>ANA CAROLINA DE OLIVEIRA MARTINS GOMES</t>
  </si>
  <si>
    <t>LINDAYANA DE SOUZA FLORÊNCIO</t>
  </si>
  <si>
    <t>DAVI FLORENCIO DE SOUSA</t>
  </si>
  <si>
    <t>JOAQUIM GARCEZ DE LIMA ROCHA</t>
  </si>
  <si>
    <t>FRANCISCO SAULO STUDART ALBUQUERQUE</t>
  </si>
  <si>
    <t>FRANCO COSTA E SILVA</t>
  </si>
  <si>
    <t>COMPRA DE ARCONDICIONADO 7/10 R$ 50,00; TAXA AÇÃO ENTRE AMIGOS 2/2 R$ 300,00; TAXA CONFRATERNIZAÇÃO 2024 R$ 5,00; TAXA DE PREPARO 1/2 R$ 13,00</t>
  </si>
  <si>
    <t>JULIANA SOARES MONTEIRO</t>
  </si>
  <si>
    <t>HUGO UCHOA PASSOS ALENCAR</t>
  </si>
  <si>
    <t>MAIRI ALENCAR DE LACERDA FERRAZ UCHÔA</t>
  </si>
  <si>
    <t>JOÃO CARLOS STUDART ANTERO</t>
  </si>
  <si>
    <t>JANAÍNA SILVA LEITÃO STUDART ANTERO</t>
  </si>
  <si>
    <t>JANAINA DE PÁDUA CARNEIRO VASCONCELOS GIFFONI</t>
  </si>
  <si>
    <t>VICENTE ALVES GIFFONI</t>
  </si>
  <si>
    <t>RAPHAEL BRUNO DANTAS MOREIRA</t>
  </si>
  <si>
    <t>DAVI SILVINO MORAES</t>
  </si>
  <si>
    <t>DIMARANJE JOSÉ MORAES</t>
  </si>
  <si>
    <t>SILVANE DA SILVA GONÇALVES</t>
  </si>
  <si>
    <t>VICENTE DE PAULA GIFFONI FILHO</t>
  </si>
  <si>
    <t>FRANCINETE ALVES DE OLIVEIRA GIFFONI</t>
  </si>
  <si>
    <t>EMANUEL ALVES GIFFONI</t>
  </si>
  <si>
    <t>FLORA ALVES GIFFONI</t>
  </si>
  <si>
    <t>JÔNATAS CAVALCANTE BRAÚNA</t>
  </si>
  <si>
    <t>LUCAS MAIA DANTAS</t>
  </si>
  <si>
    <t>EMANUELA CRISTINE PEREIRA FELIX DANTAS</t>
  </si>
  <si>
    <t>LUCAS CALDAS OLIVEIRA</t>
  </si>
  <si>
    <t>GABRIELA ARAUJO HOLANDA PINTO</t>
  </si>
  <si>
    <t>VALTERLIR PEREIRA DE LIMA</t>
  </si>
  <si>
    <t>MARIA LUCIA FERREIRA DA SILVA LIMA</t>
  </si>
  <si>
    <t>SALOMÃO JOSÉ MARQUES MACIEL</t>
  </si>
  <si>
    <t>ANA CLARA SIMONETTI GOMES MACIEL</t>
  </si>
  <si>
    <t>RAFAEL LUNA HONÓRIO</t>
  </si>
  <si>
    <t>COMPRA DE ARCONDICIONADO 7/10 R$ 50,00; TAXA AÇÃO ENTRE AMIGOS 2/2 R$ 200,00; TAXA CONFRATERNIZAÇÃO 2024 R$ 5,00; TAXA DE PREPARO 1/2 R$ 13,00</t>
  </si>
  <si>
    <t>JULIA ROGERIO FIORE CHEUEN</t>
  </si>
  <si>
    <t>ISABELA CLAREANA PEREIRA FELIX</t>
  </si>
  <si>
    <t>PEDRO KLECIUS FARIAS CARDOSO</t>
  </si>
  <si>
    <t>DOAÇÃO COZINHA 4/4 R$ 400,00; TAXA CONFRATERNIZAÇÃO 2024 R$ 5,00; TAXA DE PREPARO 1/2 R$ 13,00</t>
  </si>
  <si>
    <t>GENILDA DA SILVA CARDOSO</t>
  </si>
  <si>
    <t>MANOEL MESSIAS DO NASCIMENTO NETO</t>
  </si>
  <si>
    <t>BRANDA DE PÁDUA CARNEIRO VASCONCELOS LESSA</t>
  </si>
  <si>
    <t>MATEUS CHAVES LESSA DE CASTRO</t>
  </si>
  <si>
    <t>ROSSYANE MARIA OLIVEIRA DA COSTA</t>
  </si>
  <si>
    <t>ALINE MIRANDA DE OLIVEIRA</t>
  </si>
  <si>
    <t>ANTÔNIO RAMON DA SILVA MAIA</t>
  </si>
  <si>
    <t>RAFAELY MAIA SOMBRA CORDEIRO</t>
  </si>
  <si>
    <t>FRANCISCO HILTON DOS SANTOS JÚNIOR</t>
  </si>
  <si>
    <t>TAXA AÇÃO ENTRE AMIGOS 2/4 R$ 50,00; TAXA CONFRATERNIZAÇÃO 2024 R$ 5,00; TAXA DE PREPARO 1/2 R$ 13,00</t>
  </si>
  <si>
    <t>MANOEL EDINI DE AGUIAR</t>
  </si>
  <si>
    <t>FÁBIO DE FÁRIAS FEITOSA</t>
  </si>
  <si>
    <t>IANNA DARC GOMES MARTINS</t>
  </si>
  <si>
    <t>MARCIO WALLACE EVANGELISTA TEIXEIRA</t>
  </si>
  <si>
    <t>JULIANA DIAS PERDIGÃO TEIXEIRA</t>
  </si>
  <si>
    <t>MATEUS DE MIRANDA DINO</t>
  </si>
  <si>
    <t>VITOR SANTOS DE OLIVEIRA</t>
  </si>
  <si>
    <t>CARMEM SILVIA DE CARVALHO RÊGO</t>
  </si>
  <si>
    <t>ANTONIO GILARDO XAVIER DE OLIVEIRA</t>
  </si>
  <si>
    <t>MARIA EUZANIRA BARBOSA OLIVEIRA</t>
  </si>
  <si>
    <t>THAMIRES CALDAS OLIVEIRA</t>
  </si>
  <si>
    <t>MARIA JOSILENE BEZERRA</t>
  </si>
  <si>
    <t>WLLYSSES JOSE MARQUES MACIEL</t>
  </si>
  <si>
    <t>DAILANE DE SOUZA FLORÊNCIO</t>
  </si>
  <si>
    <t>SAMUEL DANTAS MOREIRA</t>
  </si>
  <si>
    <t>LORENA RODRIGUES SALES DANTAS</t>
  </si>
  <si>
    <t>DAVID NASCIMENTO ALEXANDRINO</t>
  </si>
  <si>
    <t>MARYNA RIOS PAIVA</t>
  </si>
  <si>
    <t>FRANCILENE ALVES DE OLIVEIRA BRAGA</t>
  </si>
  <si>
    <t>TAXA AÇÃO ENTRE AMIGOS 2/2 R$ 150,00; TAXA CONFRATERNIZAÇÃO 2024 R$ 5,00; TAXA DE PREPARO 1/2 R$ 13,00</t>
  </si>
  <si>
    <t>ANA ALVES BRAGA</t>
  </si>
  <si>
    <t>RAFAEL CASTELO BRANCO MOURAO DE ANDRADE</t>
  </si>
  <si>
    <t>RAFAEL BARBOSA DE SOUZA</t>
  </si>
  <si>
    <t>SARAH GOMES PINHEIRO</t>
  </si>
  <si>
    <t>YARA FREITAS DE CARVALHO DE AGUIAR</t>
  </si>
  <si>
    <t>ACORDO MENSALIDADE 5/10 R$ 40,23; TAXA CONFRATERNIZAÇÃO 2024 R$ 5,00; TAXA DE PREPARO 1/2 R$ 13,00</t>
  </si>
  <si>
    <t>POLLYANNA APARECIDA BATISTA VIANA</t>
  </si>
  <si>
    <t>JOÃO VIANA FILHO</t>
  </si>
  <si>
    <t>FRANCISCA SONIA COSTA</t>
  </si>
  <si>
    <t>RAQUEL DA SILVA MAIA</t>
  </si>
  <si>
    <t>FRANCISCO ELEILTON MENDONÇA DO NASCIMENTO</t>
  </si>
  <si>
    <t>MARIA ROSINELE FELIX DO NASCIMENTO</t>
  </si>
  <si>
    <t>RARISNEIDE DA SILVA MAIA</t>
  </si>
  <si>
    <t>VITOR BISPO BRAÚNA</t>
  </si>
  <si>
    <t>WESLEY ALESSANDRO RIBEIRO SILVA</t>
  </si>
  <si>
    <t>Pendente R$ 24 de novembro e R$ 24 de janeiro. O valor de R$ 48 pago foi referente a outubro.</t>
  </si>
  <si>
    <t>ANA GEORGINA OLIVEIRA PONTES COSTA</t>
  </si>
  <si>
    <t>MARCOS FELIPE DA SILVA MAIA</t>
  </si>
  <si>
    <t>JALSEY PEREIRA DE NAZARENO</t>
  </si>
  <si>
    <t>SUZANA PAIVA BEZERRA DE NAZARENO</t>
  </si>
  <si>
    <t>PEDRO VICTOR MIRANDA DE OLIVEIRA SALVIANO</t>
  </si>
  <si>
    <t>FRANCISCO RIBEIRO PINTO JÚNIOR</t>
  </si>
  <si>
    <t>MARIA EDUARDA</t>
  </si>
  <si>
    <t>Vendas - Stone</t>
  </si>
  <si>
    <t>6, 28</t>
  </si>
  <si>
    <t>Vendas - Banco Cora</t>
  </si>
  <si>
    <t>Vendas - Pagbank</t>
  </si>
  <si>
    <t>Receita da promoção - Banco</t>
  </si>
  <si>
    <t>24 a 26</t>
  </si>
  <si>
    <t>Receita da promoção - Espécie</t>
  </si>
  <si>
    <t>17 a xxx</t>
  </si>
  <si>
    <t>Camisas</t>
  </si>
  <si>
    <t>5 a ...</t>
  </si>
  <si>
    <t>Até Valdemar</t>
  </si>
  <si>
    <t>Inscrição Expedição Fazenda Bom Conselho</t>
  </si>
  <si>
    <t>2, 22</t>
  </si>
  <si>
    <t>Emanuel (650), M. Vicente (650). Pendente: Francinete (325).</t>
  </si>
  <si>
    <t>Devolução de Pix Obra Cozinha e Refeitório</t>
  </si>
  <si>
    <t>Compra adquirida em dezembro.</t>
  </si>
  <si>
    <t>Bananas do Plantio</t>
  </si>
  <si>
    <t>18 e 19</t>
  </si>
  <si>
    <t>Construção Cozinha e Refeitório</t>
  </si>
  <si>
    <t>2, 11</t>
  </si>
  <si>
    <t>Sérvulo (5000), Fábio (1000)</t>
  </si>
  <si>
    <t>Doação para o núcleo</t>
  </si>
  <si>
    <t>Stone</t>
  </si>
  <si>
    <t>Pagamento realizado em duplicidade considerando que já havia sido pago em 28/12/2024. Solicitada a devolução do pix ao Wesley que informou que já havia gasto o dinheiro. O valor de R$ 709,82 será descontado no pagamento dos salários de fevereiro e março.</t>
  </si>
  <si>
    <t>https://drive.google.com/open?id=1mdcGvPCJ-b56kQcTTnv0NHR9lz6bhKaS&amp;usp=drive_fs</t>
  </si>
  <si>
    <t>20 dias de férias + 10 dias comprados pelo núcleo.</t>
  </si>
  <si>
    <t>https://drive.google.com/open?id=1yfj64PilsAhg2ps6P13cPj6FSWgIed3F&amp;usp=drive_fs</t>
  </si>
  <si>
    <t>https://drive.google.com/open?id=1gRnlDb8DmOVHUU_-CiM9efxoSRDOjTjU&amp;usp=drive_fs</t>
  </si>
  <si>
    <t>https://drive.google.com/open?id=1gVthgjd-xQLy4bzTITepW9-LSo7JZLV9&amp;usp=drive_fs</t>
  </si>
  <si>
    <t>https://drive.google.com/open?id=1gNhVwxUFoN7ZOYPVqARL9Bb276j9U7PY&amp;usp=drive_fs</t>
  </si>
  <si>
    <t>Cesta básica</t>
  </si>
  <si>
    <t>https://drive.google.com/open?id=1IfoI9Iif_r_WmewDu7PzFevppvyzTPGY&amp;usp=drive_fs</t>
  </si>
  <si>
    <t>Diretoria Geral - FP</t>
  </si>
  <si>
    <t>https://drive.google.com/open?id=1qyuapgNjKzGYut8sjI4isL4ao-Dil0W5&amp;usp=drive_fs</t>
  </si>
  <si>
    <t>Diretoria Geral - FS</t>
  </si>
  <si>
    <t>Diretoria Geral - FA</t>
  </si>
  <si>
    <t>Diretoria Geral - FB</t>
  </si>
  <si>
    <t>Diretoria Geral - SUC</t>
  </si>
  <si>
    <t>11a Região - Fundo Regional</t>
  </si>
  <si>
    <t>Pagamento único de R$ 1.176,00</t>
  </si>
  <si>
    <t>https://drive.google.com/open?id=1me6oMu0QuwSOf0672D1h16itpT7CXm8W&amp;usp=drive_fs</t>
  </si>
  <si>
    <t>11a Região - Plantio</t>
  </si>
  <si>
    <t>11a Região - Fundo de Beneficência</t>
  </si>
  <si>
    <t>11a Região - Fundo de Reserva</t>
  </si>
  <si>
    <t>11a Região - Servidor Vreal</t>
  </si>
  <si>
    <t>11a Região - Sala da Região</t>
  </si>
  <si>
    <t>11a Região - Extra</t>
  </si>
  <si>
    <t>https://drive.google.com/open?id=1fneKxS8fcSCEk6941q_y4bYQB-3y2aNp&amp;usp=drive_fs</t>
  </si>
  <si>
    <t>Repasse de dezembro: R$ 2.343,27 realizada em 03/01, sendo R$ 80 referente a lanche do Plantio.</t>
  </si>
  <si>
    <t>https://drive.google.com/open?id=1XlVADbZtcXWzEBTIqPWShhKUtzx-AXoK&amp;usp=drive_fs</t>
  </si>
  <si>
    <t>Memorial José Gabriel da Costa</t>
  </si>
  <si>
    <t>Repasse de janeiro: R$ 1.463,48, sendo R$ 1.383,48 pago pela tesouraria e R$ 80 pelo plantio.</t>
  </si>
  <si>
    <t>https://drive.google.com/open?id=1yEGIa44JRzSyB9hsDq2v5wHpRZ_ExjoJ&amp;usp=drive_fs</t>
  </si>
  <si>
    <t>Outro repasse</t>
  </si>
  <si>
    <t>IR Rendimento Pagbank</t>
  </si>
  <si>
    <t>https://drive.google.com/open?id=1jHVfJCXu0-ZoBNffO1AqvlkvOq2K4JJP&amp;usp=drive_fs</t>
  </si>
  <si>
    <t>Encerramento conta itaú</t>
  </si>
  <si>
    <t>https://drive.google.com/open?id=1ma8w6Q6gU7pvYjO6f4zoUEVNUEMJ0uEg&amp;usp=drive_fs</t>
  </si>
  <si>
    <t>Vigilância - 1a escala</t>
  </si>
  <si>
    <t>https://drive.google.com/open?id=1nYs5-oiWryI6gqMDbVz2yIXNsS9wlpfW&amp;usp=drive_fs</t>
  </si>
  <si>
    <t>Vigilância - 2a escala</t>
  </si>
  <si>
    <t>https://drive.google.com/open?id=1TFH-yvYsU0O4H-HXjX5jxifCZ1CRuV5i&amp;usp=drive_fs</t>
  </si>
  <si>
    <t>https://drive.google.com/open?id=1JiL4IMQV5qgjJVyaHpjfjyHxSF8AtRx5&amp;usp=drive_fs</t>
  </si>
  <si>
    <t>Ar Condicionado Berçário</t>
  </si>
  <si>
    <t>Parcela 7 de 10</t>
  </si>
  <si>
    <t>https://drive.google.com/open?id=1DPX6Bl60DmNnWtEFQvRXFl9BbLOJk8gP&amp;usp=drive_fs</t>
  </si>
  <si>
    <t>Mesa de som</t>
  </si>
  <si>
    <t>Parcela 6 de 10</t>
  </si>
  <si>
    <t>https://drive.google.com/open?id=1kTqwFs699bV9KwPZoXSmRktkBrO9pzuU&amp;usp=drive_fs</t>
  </si>
  <si>
    <t>50% de 3 inscrições + 100% de 1 inscrição</t>
  </si>
  <si>
    <t>https://drive.google.com/open?id=1mpUqEgxj0ZB73Y__9pdBZeufFcqznfb8&amp;usp=drive_fs</t>
  </si>
  <si>
    <t>Compra de geladeira para cantina</t>
  </si>
  <si>
    <t>https://drive.google.com/open?id=1kDFmKoVNN0aixKjQHsg4n42tlMbm3_W3&amp;usp=drive_fs</t>
  </si>
  <si>
    <t>Lanche 1a escala</t>
  </si>
  <si>
    <t>https://drive.google.com/open?id=1hFSIHwRwuaQiYwWsWQxE8pSyVgKFTuLZ&amp;usp=drive_fs</t>
  </si>
  <si>
    <t>https://drive.google.com/open?id=1hJdc66d6kGI8Rp3MXD8dxoc-6x3uS3Vg&amp;usp=drive_fs</t>
  </si>
  <si>
    <t>Água de coco</t>
  </si>
  <si>
    <t>https://drive.google.com/open?id=1Y6W2yJNEpxHpXnLCX9sMGYNQ1oQjsRJR&amp;usp=drive_fs</t>
  </si>
  <si>
    <t>https://drive.google.com/open?id=1hfgQ-3NbxUZ47dvLGHUXcz6AdKYhXVs2&amp;usp=drive_fs</t>
  </si>
  <si>
    <t>https://drive.google.com/open?id=1nGrgfNljyrGW_1JiwA98QtZaCEVme198&amp;usp=drive_fs</t>
  </si>
  <si>
    <t>https://drive.google.com/open?id=1n5Sig2je9s_93XrjjUNd4tGcIoglHbTJ&amp;usp=drive_fs</t>
  </si>
  <si>
    <t>https://drive.google.com/open?id=1_YWVUPgvM0gwIOxfYsT1KfHs92QgjxHH&amp;usp=drive_fs</t>
  </si>
  <si>
    <t>https://drive.google.com/open?id=1nRM5lAsZ2shANLHnOZCz6YEiS8DusuX7&amp;usp=drive_fs</t>
  </si>
  <si>
    <t>Lanche 2a escala</t>
  </si>
  <si>
    <t>Sucos</t>
  </si>
  <si>
    <t>https://drive.google.com/open?id=1mDGly3g1G-oIK4Z7r4AbKZKPss2un1JF&amp;usp=drive_fs</t>
  </si>
  <si>
    <t>https://drive.google.com/open?id=1lc-jV3MDu9Pt6VNBLSE32ETg1AvCE8zW&amp;usp=drive_fs</t>
  </si>
  <si>
    <t>Pix único de R$ 867,42 para a C. Sandra.</t>
  </si>
  <si>
    <t>https://drive.google.com/open?id=1m8TSvmL1_wmdN1UY5ImRRMfsPN415Beu&amp;usp=drive_fs</t>
  </si>
  <si>
    <t>https://drive.google.com/open?id=1lrtlxjHHABv_0lSzyuQdEv0MUg-DHK_B&amp;usp=drive_fs</t>
  </si>
  <si>
    <t>Lanche 2a escala e Mercado</t>
  </si>
  <si>
    <t>https://drive.google.com/open?id=1loYwaTNByUvK_K_8wluh6PeqwuE-Aggz&amp;usp=drive_fs</t>
  </si>
  <si>
    <t>https://drive.google.com/open?id=1hFi3kqDg5CmQZr_L5FGbK_r2kstkObQd&amp;usp=drive_fs</t>
  </si>
  <si>
    <t>https://drive.google.com/open?id=1n8ST-46Lp7fm5G579i1O8uVfNhkLs-cU&amp;usp=drive_fs</t>
  </si>
  <si>
    <t>https://drive.google.com/open?id=1V_yMQKaE-8HrCzyTw6m1CUmmSMgk0Pvq&amp;usp=drive_fs</t>
  </si>
  <si>
    <t>https://drive.google.com/open?id=1lkx6NraSyx_G_Yzr3sATDslJtVm8JaXD&amp;usp=drive_fs</t>
  </si>
  <si>
    <t>https://drive.google.com/open?id=1twIVgKAhncKi0Zxz9x_9R7frN1L99vBe&amp;usp=drive_fs</t>
  </si>
  <si>
    <t>https://drive.google.com/open?id=1fmdjNaVxzj-GwXzVEc7xNRm7tR53xoyu&amp;usp=drive_fs</t>
  </si>
  <si>
    <t>Jantar 1a escala</t>
  </si>
  <si>
    <t>https://drive.google.com/open?id=1nP-aw1axAorqtxZkqW0I4CQUtKTon4Am&amp;usp=drive_fs</t>
  </si>
  <si>
    <t>Jantar 2a escala</t>
  </si>
  <si>
    <t>https://drive.google.com/open?id=1lqlQT10luc3ZSVa28ZmEQpVazP5bSNZr&amp;usp=drive_fs</t>
  </si>
  <si>
    <t>Outra despesa</t>
  </si>
  <si>
    <t>Outras confraternizações</t>
  </si>
  <si>
    <t>Sessão no novo - Vigilância</t>
  </si>
  <si>
    <t>https://drive.google.com/open?id=1gwBeZ6H1nLVGLwiukJEcg3jE-aREBIMl&amp;usp=drive_fs</t>
  </si>
  <si>
    <t>Sessão 6 de janeiro - Lanche</t>
  </si>
  <si>
    <t>https://drive.google.com/open?id=1hMwMj1gPVzaAn6Eb0d_7OIVv74IrNpRL&amp;usp=drive_fs</t>
  </si>
  <si>
    <t>https://drive.google.com/open?id=1hOLW8aRys29Dz7D_krTSIPwkKbWxN2rf&amp;usp=drive_fs</t>
  </si>
  <si>
    <t>https://drive.google.com/open?id=1nACkBiXNK65b8tBh_LWg5ALxCACYpvtR&amp;usp=drive_fs</t>
  </si>
  <si>
    <t>M. Soter</t>
  </si>
  <si>
    <t>Consolidado - Despesas da obra</t>
  </si>
  <si>
    <t>1 a 31</t>
  </si>
  <si>
    <t>https://drive.google.com/open?id=1Ba0O1_G0GcO8prm7BuB2-NyEkjBZUq2J&amp;usp=drive_fs</t>
  </si>
  <si>
    <t>Casa de preparo</t>
  </si>
  <si>
    <t>Fisioterapia C. Fátima Camurça</t>
  </si>
  <si>
    <t>Cestas básicas para comunidade</t>
  </si>
  <si>
    <t>Tampas para vasilhame do Vegetal</t>
  </si>
  <si>
    <t>https://drive.google.com/open?id=1fgWEY9rV9cmFpVN-52CIpkfpQg7cCtAl&amp;usp=drive_fs</t>
  </si>
  <si>
    <t>Repasse Flor Divina - Lanche</t>
  </si>
  <si>
    <t>Açai</t>
  </si>
  <si>
    <t>https://drive.google.com/open?id=1xGfYtmbYoEjCNrh20oKAJs7Mj9xDzqXH&amp;usp=drive_fs</t>
  </si>
  <si>
    <t>Cantina Preparo</t>
  </si>
  <si>
    <t>Cantina do SANA</t>
  </si>
  <si>
    <t>Locação de Estufa para salgados</t>
  </si>
  <si>
    <t>https://drive.google.com/open?id=1piCwfBSe8iLmfdSN_dqU813HQEF4cQjW&amp;usp=drive_fs</t>
  </si>
  <si>
    <t>Salgados Francina (50% de entrada)</t>
  </si>
  <si>
    <t>https://drive.google.com/open?id=1mWgTGAK_PAItjfDSCNCjOYkJ1Nwk8B9i&amp;usp=drive_fs</t>
  </si>
  <si>
    <t>Salgados Francina (50% final)</t>
  </si>
  <si>
    <t>https://drive.google.com/open?id=1pnRl6FYlvq2PtVwCc68JgrFiG5Hbxx6o&amp;usp=drive_fs</t>
  </si>
  <si>
    <t>Salgados Celli</t>
  </si>
  <si>
    <t>Pedido inicial (1850 salgados)</t>
  </si>
  <si>
    <t>https://drive.google.com/open?id=1pmLoKOhchJF02ERjcydVFzpT1gJ80_v7&amp;usp=drive_fs</t>
  </si>
  <si>
    <t>Pedido complementar (150 salgados)</t>
  </si>
  <si>
    <t>https://drive.google.com/open?id=1lalNvA19Elxahysse10_3K8qDIzidrk6&amp;usp=drive_fs</t>
  </si>
  <si>
    <t>https://drive.google.com/open?id=1g9J-n1ezrgL74FdGeAWzG4ps8beql_R3&amp;usp=drive_fs</t>
  </si>
  <si>
    <t>Descartáveis</t>
  </si>
  <si>
    <t>https://drive.google.com/open?id=1pLOHQt3TvyK1_3UlIhYJ9Qo_qoGj7TwU&amp;usp=drive_fs</t>
  </si>
  <si>
    <t>Descartáveis - Potes de açai</t>
  </si>
  <si>
    <t>https://drive.google.com/open?id=1pJxIDTOCZvGAGjMypWsabulU2xbx2Zyo&amp;usp=drive_fs</t>
  </si>
  <si>
    <t>Granola</t>
  </si>
  <si>
    <t>https://drive.google.com/open?id=1pT8oj9iIK8QDJuUILv2IImjBVfugYSOH&amp;usp=drive_fs</t>
  </si>
  <si>
    <t>Bolos Mari Mari</t>
  </si>
  <si>
    <t>5 bolos</t>
  </si>
  <si>
    <t>https://drive.google.com/open?id=1_-QXwdDVIJyladXFPHZIopiaKUOK8wKo&amp;usp=drive_fs</t>
  </si>
  <si>
    <t>Fita adesiva e pincel</t>
  </si>
  <si>
    <t>Pix único de R$ 52,77.</t>
  </si>
  <si>
    <t>https://drive.google.com/open?id=1pTZbtSz7JYI6s4gAOfRmLJzLaSE52Lnj&amp;usp=drive_fs</t>
  </si>
  <si>
    <t>Lona</t>
  </si>
  <si>
    <t>https://drive.google.com/open?id=1pZoXKIvNFzE6oajBsKIee0TZ-_HZZcFu&amp;usp=drive_fs</t>
  </si>
  <si>
    <t>Leite em pó, pão de forma e papel alumínio</t>
  </si>
  <si>
    <t>https://drive.google.com/open?id=1pgOu6736vf6oQYFM-5OvFJe78jvqDqVl&amp;usp=drive_fs</t>
  </si>
  <si>
    <t>Brownies</t>
  </si>
  <si>
    <t>https://drive.google.com/open?id=1rdzI9yYRZa5ScdBgHjZyAC9I4uwyjhIZ&amp;usp=drive_fs</t>
  </si>
  <si>
    <t>Gráfica</t>
  </si>
  <si>
    <t>https://drive.google.com/open?id=1pwjilVpur0GjYfwe_WYd5MsZpcPNFx_4&amp;usp=drive_fs</t>
  </si>
  <si>
    <t>https://drive.google.com/open?id=1uQRGi02CzvSrPfwnP9jvLua9Y-5zSDEf&amp;usp=drive_fs</t>
  </si>
  <si>
    <t>Queijo e presunto</t>
  </si>
  <si>
    <t>Joao Carlos ficou com 2kg de queijo e Francilene com 1kg de queijo</t>
  </si>
  <si>
    <t>https://drive.google.com/open?id=1GC_AV_zi37Tn_YP3ksD8PAFHjWB18M4E&amp;usp=drive_fs</t>
  </si>
  <si>
    <t>Outras promoções</t>
  </si>
  <si>
    <t>Inauguração Cozinha - Material gráfico</t>
  </si>
  <si>
    <t>https://drive.google.com/open?id=1hVk4DWqVmKcg7dmK7YWz6tlRfIkbolkI&amp;usp=drive_fs</t>
  </si>
  <si>
    <t>Inauguração Cozinha - Alimentação</t>
  </si>
  <si>
    <t>https://drive.google.com/open?id=1hP_LEXzyzw0kPQxSQK6Jl_eaQDG10TxE&amp;usp=drive_fs</t>
  </si>
  <si>
    <t>https://drive.google.com/open?id=1hP1CNZnfLiGktgCD62HFqG3j9ps86Lk-&amp;usp=drive_fs</t>
  </si>
  <si>
    <t>https://drive.google.com/open?id=1D_8jc8oxRRyar3_wztfKm046aMM6r-LD&amp;usp=drive_fs</t>
  </si>
  <si>
    <r>
      <rPr>
        <b/>
        <sz val="10"/>
        <color theme="1"/>
        <rFont val="Calibri"/>
      </rPr>
      <t xml:space="preserve">Observação 1: </t>
    </r>
    <r>
      <rPr>
        <sz val="10"/>
        <color theme="1"/>
        <rFont val="Calibri"/>
      </rPr>
      <t xml:space="preserve">Foi realizado um pagamento de R$ 100 no dia 11/01 referente ao repasse mensal do valor do aluguel à Casa da União Coração de Maria. No entanto, esse valor foi devolvido no dia 14/01 pois o repasse de janeiro já havia sido realizado em dezembro/24.
</t>
    </r>
    <r>
      <rPr>
        <b/>
        <sz val="10"/>
        <color theme="1"/>
        <rFont val="Calibri"/>
      </rPr>
      <t xml:space="preserve">Observação 2: </t>
    </r>
    <r>
      <rPr>
        <sz val="10"/>
        <color theme="1"/>
        <rFont val="Calibri"/>
      </rPr>
      <t>Foi realizado um pagamento de R$ 975 no dia 14/01 referente a 1a parcela da inscrição de 3 irmãos do núcleo para a expedição à Fazenda Bom Conselho. No entanto, este boleto já havia sido pago em dezembro. Dessa forma, a devolução do pix foi realizada no dia 15/01.</t>
    </r>
  </si>
  <si>
    <t>TAXA DE PREPARO 2/2 R$ 13,00</t>
  </si>
  <si>
    <t>COMPRA DE ARCONDICIONADO 8/10 R$ 50,00; TAXA DE PREPARO 2/2 R$ 13,00</t>
  </si>
  <si>
    <t>Este valor está lançado, porém não houve transação bancária. A C. Mônica solicitou que 4 compras da Organ realizadas por ela fossem abatidas do valor da mensalidade de janeiro. As 4 compras totalizam R$ 449,41, enquanto o valor da mensalidade é R$ 472,13. Dessa forma, foi lançado o valor de R$ 449,41 como receita de mensalidade para equiparar esta despesa.
Resta ainda R$ 22,72 da mensalidade de janeiro e R$ 462,13  da mensalidade de fevereiro.</t>
  </si>
  <si>
    <t>COMPRA DE ARCONDICIONADO 8/10 R$ 50,00; TAXA DE PREPARO 2/2 R$ 13,00; DOAÇÃO CANTINA SANA R$ 100,00</t>
  </si>
  <si>
    <t>Realizado o pagamento das mensalidades de dezembro e janeiro.
Permane pendente fevereiro.</t>
  </si>
  <si>
    <t>TAXA DE PREPARO 2/2 R$ 13,00; JANTAR 1 ESCALA FEV R$ 20,00</t>
  </si>
  <si>
    <t>TAXA DE PREPARO 2/2 R$ 13,00; 2 Parcela Expedição Bom Conselho R$ 325,00; DOAÇÃO CANTINA SANA R$ 100,00</t>
  </si>
  <si>
    <t>Pagamento em 01/02 referente a mensalidade de novembro.
Fevereiro ainda está pendente.</t>
  </si>
  <si>
    <t>Realizado o pagamento das mensalidades de janeiro e fevereiro.</t>
  </si>
  <si>
    <t>TAXA AÇÃO ENTRE AMIGOS 3/4 R$ 50,00; TAXA DE PREPARO 2/2 R$ 13,00</t>
  </si>
  <si>
    <t>TAXA DE PREPARO 2/2 R$ 13,00; DOAÇÃO CANTINA SANA R$ 50,00</t>
  </si>
  <si>
    <t>Pagamento das mensalidades de janeiro e fevereiro</t>
  </si>
  <si>
    <t>TAXA DOAÇÃO CONSTRUÇÃO R$ 150,00; TAXA DE PREPARO 2/2 R$ 13,00</t>
  </si>
  <si>
    <t>ACORDO MENSALIDADE 6/10 R$ 40,23; TAXA DE PREPARO 2/2 R$ 13,00</t>
  </si>
  <si>
    <t>TAXA DE PREPARO 2/2 R$ 13,00; DOAÇÃO CANTINA SANA R$ 30,00</t>
  </si>
  <si>
    <t>MARIA EDUARDA ARAUJO HOLANDA PINTO</t>
  </si>
  <si>
    <t>1 a 30</t>
  </si>
  <si>
    <t>M. Vicente (40)</t>
  </si>
  <si>
    <t>Vendas - Espécie</t>
  </si>
  <si>
    <t>Venda de queijo mussarela</t>
  </si>
  <si>
    <t>C. Francilene (46,00)</t>
  </si>
  <si>
    <t>M. Cassio (65), Flora (130)</t>
  </si>
  <si>
    <t>15 e 20</t>
  </si>
  <si>
    <t>Taxa Direção Encontro de Casais</t>
  </si>
  <si>
    <t>Lindayana (60)</t>
  </si>
  <si>
    <t>Contribuição para sobremesa - 10 de fevereiro</t>
  </si>
  <si>
    <t>Rose (50)</t>
  </si>
  <si>
    <t>Almoço mutirão para 10 de fevereiro</t>
  </si>
  <si>
    <t>9 a 12</t>
  </si>
  <si>
    <t>Rafael H. (40), Raquel (20), Wallace (40), M. Cassio (50), Tony (10), Pollyana (30), Rose (10), Vicente (40), Rarisneide (10), Emanuel (10), Lucas Caldas (30), Hugo (10), Salomão (20), Ana Georgina (30), M. Vicente (30), João Carlos, Gilardo (30), Rafael CB (10), Jalsey (20)</t>
  </si>
  <si>
    <t>Jantar 10 de fevereiro</t>
  </si>
  <si>
    <t>12 a 15</t>
  </si>
  <si>
    <t>Hugo (30), Ramon (20), Salomão (20), Marcelo B. (30), M. Vicente (30), Rose (10), Rafael CB (10), Thamires (10), M. Cassio (50), Mateus Lessa (20), Ana Alves (30)</t>
  </si>
  <si>
    <t>Devolução de pix</t>
  </si>
  <si>
    <t>Devolução referente a um pagamento realizado a maior para a conta da Aline.</t>
  </si>
  <si>
    <t>Reembolso - Compra de lembrancinha M. Cassio</t>
  </si>
  <si>
    <t>Contribuição para compra da talha</t>
  </si>
  <si>
    <t>Doação dos irmãos holandeses</t>
  </si>
  <si>
    <t>Doação para ressarcimento da cesta básica (Beneficência)</t>
  </si>
  <si>
    <t>https://drive.google.com/open?id=1O6wt_FJqQeu9sRaLffH-7f8S0G1oTxGT&amp;usp=drive_fs</t>
  </si>
  <si>
    <t>FGTS</t>
  </si>
  <si>
    <t>https://drive.google.com/open?id=1_6Fp_ExyTvjqF1-M_cFw6x_XHF5SBwfd&amp;usp=drive_fs</t>
  </si>
  <si>
    <t>INSS e PIS</t>
  </si>
  <si>
    <t>https://drive.google.com/open?id=1PRSSbRhljf-e9cOSeCLfcLlcya7A-WGn&amp;usp=drive_fs</t>
  </si>
  <si>
    <t>Darf Previdenciário Complementar</t>
  </si>
  <si>
    <t>https://drive.google.com/open?id=1C0yr4ScNd5mr0j4PNPd0eYK7pwse8o-v&amp;usp=drive_fs</t>
  </si>
  <si>
    <t>https://drive.google.com/open?id=1hHruZaR6cC30sU6q-7R-YHFyKmrXFSAy&amp;usp=drive_fs</t>
  </si>
  <si>
    <t>Pagmento único de R$ 2.742,72</t>
  </si>
  <si>
    <t>https://drive.google.com/open?id=1BV1TM7EJJOxGzv3O6dWUL6FCUk_S1IqE&amp;usp=drive_fs</t>
  </si>
  <si>
    <t>Pagamento único de R$ 1.152,00</t>
  </si>
  <si>
    <t>https://drive.google.com/open?id=1Qev215rRAFtb-WX8wlSxfiZmjf01B-uq&amp;usp=drive_fs</t>
  </si>
  <si>
    <t>https://drive.google.com/open?id=1a5hTa8y0XMozRz-dSa0UfTNgd1TXVSNN&amp;usp=drive_fs</t>
  </si>
  <si>
    <t>11a Região - Taxa Extra - Fazenda Bom Conselho</t>
  </si>
  <si>
    <t>Parcela 1 de 5</t>
  </si>
  <si>
    <t>https://drive.google.com/open?id=1yMIEbscznedImJATd1aMtLmE74IOR5Pc&amp;usp=drive_fs</t>
  </si>
  <si>
    <t>https://drive.google.com/open?id=1EZKxuF5v6r4e1MWObNeB-OSTAhOjh2so&amp;usp=drive_fs</t>
  </si>
  <si>
    <t>Tarifa 2</t>
  </si>
  <si>
    <t>https://drive.google.com/open?id=1lkLy44LTEH8bIakW8xjzsl2Dvq7Pj4nw&amp;usp=drive_fs</t>
  </si>
  <si>
    <t>https://drive.google.com/open?id=1DkfAoPGLAksRJx39XhQZ5I7U-PW2DCPH&amp;usp=drive_fs</t>
  </si>
  <si>
    <t>Vigilância - Extra</t>
  </si>
  <si>
    <t>https://drive.google.com/open?id=1zcTOhjziZmZOazHr9soDf0vj6t6FzluS&amp;usp=drive_fs</t>
  </si>
  <si>
    <t>Parcela 8 de 10</t>
  </si>
  <si>
    <t>https://drive.google.com/open?id=1qM0bmoZb2tRtYR_dkQ9EOIt2CY2QrEgp&amp;usp=drive_fs</t>
  </si>
  <si>
    <t>https://drive.google.com/open?id=1fv7DPHWgAJ90vz5Z9Nz1vYkK6QuHHFIC&amp;usp=drive_fs</t>
  </si>
  <si>
    <t>Cafeteira para cozinha</t>
  </si>
  <si>
    <t>https://drive.google.com/open?id=1SWRPL_XQ4U3I_el6ODCAtdMV9hiBqS0C&amp;usp=drive_fs</t>
  </si>
  <si>
    <t>Almoço mutirão 10 de fevereiro</t>
  </si>
  <si>
    <t>https://drive.google.com/open?id=1RERbl7w2UXAn8Ac0mJoHHC54Q4ufAls7&amp;usp=drive_fs</t>
  </si>
  <si>
    <t>https://drive.google.com/open?id=1UcpZH2PTAFgTZ04X04oZikW8sWlTBVHr&amp;usp=drive_fs</t>
  </si>
  <si>
    <t>Conserto bicicietas recebidas de doação</t>
  </si>
  <si>
    <t>Marcelo</t>
  </si>
  <si>
    <t>https://drive.google.com/open?id=1yPQau5DqlkuT8rzI-LREwJYI2W27Wi0X&amp;usp=drive_fs</t>
  </si>
  <si>
    <t>https://drive.google.com/open?id=1AaH7sYx4Us13jdMCTKjkWbtzMP-EAgqB&amp;usp=drive_fs</t>
  </si>
  <si>
    <t>Lembrancinha Aniv. M. Cassio</t>
  </si>
  <si>
    <t>Gabi</t>
  </si>
  <si>
    <t>https://drive.google.com/open?id=1ixgRGpDpS0EhZzTfMdQBWWsyol3anVpR&amp;usp=drive_fs</t>
  </si>
  <si>
    <t>Frete de doações recebidas da receita federal</t>
  </si>
  <si>
    <t>https://drive.google.com/open?id=1vrjrq3eoP7iM4XdbTcyIheWhbMVvzfiD&amp;usp=drive_fs</t>
  </si>
  <si>
    <t>Conserto de 3 celulares recebidos de doação</t>
  </si>
  <si>
    <t>https://drive.google.com/open?id=1QtmrmcrHAkMPqWUwvUavu2A0tPnRZ9Vo&amp;usp=drive_fs</t>
  </si>
  <si>
    <t>https://drive.google.com/open?id=1XSPaxZsHs2ETNkZoubdK1KuQGDslR2YT&amp;usp=drive_fs</t>
  </si>
  <si>
    <t>Bolos</t>
  </si>
  <si>
    <t>https://drive.google.com/open?id=1wxOUDpvD9hlGn7MskIi_K76SpL1YDx_2&amp;usp=drive_fs</t>
  </si>
  <si>
    <t>https://drive.google.com/open?id=14jgG_XXs40B0Jlmq5Yxj--UPkQR2N7Na&amp;usp=drive_fs</t>
  </si>
  <si>
    <t>Este valor está lançado, porém não houve transação bancária. A C. Mônica solicitou que 4 compras da Organ realizadas por ela fossem abatidas do valor da mensalidade de janeiro. As 4 compras totalizam R$ 449,41, enquanto o valor da mensalidade é R$ 472,13. Dessa forma, foi lançado o valor de R$ 449,41 como receita de mensalidade para equiparar esta despesa.</t>
  </si>
  <si>
    <t>https://drive.google.com/open?id=1vN2OKmi72TDB89I6IjHdlHYd4Z1gYPqY&amp;usp=drive_fs</t>
  </si>
  <si>
    <t>https://drive.google.com/open?id=1XFikbqKy32SczPI25V1bLCLRh10mhQrw&amp;usp=drive_fs</t>
  </si>
  <si>
    <t>https://drive.google.com/open?id=12uTj9_HSjfZGk17GE1L7DM8xHNgbjwjm&amp;usp=drive_fs</t>
  </si>
  <si>
    <t>https://drive.google.com/open?id=1QAB4baNTSUL2lGZqyEa8DpuraAYJ5o6G&amp;usp=drive_fs</t>
  </si>
  <si>
    <t>https://drive.google.com/open?id=1hmXMNMTl1tTJibMrNkII57pzEc9QhNLq&amp;usp=drive_fs</t>
  </si>
  <si>
    <t>Euzanira</t>
  </si>
  <si>
    <t>Lanche 1a escala de março + feriado</t>
  </si>
  <si>
    <t>Sucos. Desse valor, temos R$ 90 referente a sessão de escala e R$ 245 referente ao feriado.</t>
  </si>
  <si>
    <t>https://drive.google.com/open?id=1Mngk9E_Ns0wD52FbMvIKCsvUQGplnmZk&amp;usp=drive_fs</t>
  </si>
  <si>
    <t>https://drive.google.com/open?id=1aoGS2cof2HrfgBlzqg1FKHIxtXyOSVP-&amp;usp=drive_fs</t>
  </si>
  <si>
    <t>https://drive.google.com/open?id=1GkzUtyqCyzEFSaSKpa1622qQTh5RlHTg&amp;usp=drive_fs</t>
  </si>
  <si>
    <t>Lanche reunião de diretoria e tira gosto</t>
  </si>
  <si>
    <t>https://drive.google.com/open?id=1bKloDsyijPDLPydlWzB_LxxuX_EuElZV&amp;usp=drive_fs</t>
  </si>
  <si>
    <t>Sacos de lixo</t>
  </si>
  <si>
    <t>https://drive.google.com/open?id=1OT9YzvdI1mWv1rx0oVZ4jJLktVxkSDdK&amp;usp=drive_fs</t>
  </si>
  <si>
    <t>https://drive.google.com/open?id=1pB6eTF_KtxS_i5oNsKg3N36kF7mtycv2&amp;usp=drive_fs</t>
  </si>
  <si>
    <t>https://drive.google.com/open?id=1O8g7NtH-cgVJu5t9f-0d8ZdEkyEIYQmH&amp;usp=drive_fs</t>
  </si>
  <si>
    <t>https://drive.google.com/open?id=1ALkyGby2dS61gylsutVZ8UFpExH25KBF&amp;usp=drive_fs</t>
  </si>
  <si>
    <t>https://drive.google.com/open?id=1snO2Uwa30PnDb8AlJxmSmHoolqxnp2Lf&amp;usp=drive_fs</t>
  </si>
  <si>
    <t>https://drive.google.com/open?id=1bfkKkev6CsRLnMhwPksk3ZmEBVsrgOOE&amp;usp=drive_fs</t>
  </si>
  <si>
    <t>https://drive.google.com/open?id=1PColXYGRBBEw6Ey2f2UV0Tcb5uDUB4Yc&amp;usp=drive_fs</t>
  </si>
  <si>
    <t>1 Botijão de gás</t>
  </si>
  <si>
    <t>https://drive.google.com/open?id=1mfOvRjwW3fWcb9QDBEjTSfh9L2jIGf24&amp;usp=drive_fs</t>
  </si>
  <si>
    <t>Mercado - Sucos</t>
  </si>
  <si>
    <t>Mercado - Alimentação</t>
  </si>
  <si>
    <t>Mercado - Jantar sexta-feira</t>
  </si>
  <si>
    <t>Mercado - Café da manhã</t>
  </si>
  <si>
    <t>Mercado - Almoço sábado</t>
  </si>
  <si>
    <t>Mercado - Jantar sábado</t>
  </si>
  <si>
    <t>Gás de cozinha</t>
  </si>
  <si>
    <t>DEMEC - Materiais para higienização dos frascos</t>
  </si>
  <si>
    <t>DEMEC - Impressão de etiquetas para vidros de Vegetal</t>
  </si>
  <si>
    <t>DEMEC - Capacetes</t>
  </si>
  <si>
    <t>Repasse FD - Tampas, Luvas e Limpeza pós preparo</t>
  </si>
  <si>
    <t>10 de Fevereiro</t>
  </si>
  <si>
    <t>Segurança</t>
  </si>
  <si>
    <t>Lanche - Salgados</t>
  </si>
  <si>
    <t>C. Sandra</t>
  </si>
  <si>
    <t>https://drive.google.com/open?id=1RaRLgBJ0MZ6pTZRpu5eFBQclsKnLWDny&amp;usp=drive_fs</t>
  </si>
  <si>
    <t>Lanche - Empadas</t>
  </si>
  <si>
    <t>C. Mônica</t>
  </si>
  <si>
    <t>https://drive.google.com/open?id=1ju2VdDn5dYFTK9ikvfIioHPvI5UvzkRE&amp;usp=drive_fs</t>
  </si>
  <si>
    <t>Lanche - Iogurte</t>
  </si>
  <si>
    <t>Aline. A compra foi de R$ 29,72, porém foi realizado o pix com o valor errado de R$ 45,51. Desta forma, a diferença de R$ 15,79 foi devolvida para a conta do núcleo no dia 20/02/2025.</t>
  </si>
  <si>
    <t>https://drive.google.com/open?id=1_TWPCUVzLwWKHlX-88PTaaeEBZ_ujD-5&amp;usp=drive_fs</t>
  </si>
  <si>
    <t>Lanche - Supermercado</t>
  </si>
  <si>
    <t>Juliana Teixeira</t>
  </si>
  <si>
    <t>https://drive.google.com/open?id=1LOpjoV75K40D3b6N1YDOnCKt30AC0tZA&amp;usp=drive_fs</t>
  </si>
  <si>
    <t>https://drive.google.com/open?id=1Jg6q5ZIPIJd2UFg9KWyCPz2kQeqS_BmL&amp;usp=drive_fs</t>
  </si>
  <si>
    <t>Lanche - Sucos</t>
  </si>
  <si>
    <t>Carol</t>
  </si>
  <si>
    <t>https://drive.google.com/open?id=1d7-T7EdJDqrYYholeAwwMsolyxHWvcGC&amp;usp=drive_fs</t>
  </si>
  <si>
    <t>https://drive.google.com/open?id=12N3VS1kyj0K-JZ15H6D8Q-Dc3vmKHE83&amp;usp=drive_fs</t>
  </si>
  <si>
    <t>Lanche - Bananas</t>
  </si>
  <si>
    <t>https://drive.google.com/open?id=1nxjkDBVWYQE2DunT3pK3jW0FJ3AJP_t_&amp;usp=drive_fs</t>
  </si>
  <si>
    <t>Lanche - Água de coco e mel</t>
  </si>
  <si>
    <t>C. Gilardo</t>
  </si>
  <si>
    <t>Getúlio</t>
  </si>
  <si>
    <t>Parcela 1 de 4</t>
  </si>
  <si>
    <t>https://drive.google.com/open?id=1GK5pxJVo6nBsCc-qqDyMmiBWE_av7GvX&amp;usp=drive_fs</t>
  </si>
  <si>
    <t>Lixas</t>
  </si>
  <si>
    <t>https://drive.google.com/open?id=105G3h7ysijD6VtOreWfw2TXY8x5NAIgF&amp;usp=drive_fs</t>
  </si>
  <si>
    <t>Madeira para guarda corpo</t>
  </si>
  <si>
    <t>Parcela 1 de 10 - Cartão Wallace</t>
  </si>
  <si>
    <t>https://drive.google.com/open?id=1mFbBXTGg2N9BsiYV4iBqvHD0YVlVDECs&amp;usp=drive_fs</t>
  </si>
  <si>
    <t>Manta impermeabilizante</t>
  </si>
  <si>
    <t>Parcela 4 de 5 - Cartão Salomão</t>
  </si>
  <si>
    <t>https://drive.google.com/open?id=1Evsb34W9f55DQQ_PplvtHzv9WqsdsFjZ&amp;usp=drive_fs</t>
  </si>
  <si>
    <t>Portas e madeiras da escada</t>
  </si>
  <si>
    <t>Parcela 2 de 7 - Cartão Salomão</t>
  </si>
  <si>
    <t>https://drive.google.com/open?id=1iMuv3-WaovSp2-_OfKHDR8AB3aOIpfFn&amp;usp=drive_fs</t>
  </si>
  <si>
    <t>Material elétrico</t>
  </si>
  <si>
    <t>Parcela 3 de 3 - Cartão Marcelo</t>
  </si>
  <si>
    <t>https://drive.google.com/open?id=1TxffYxWhye3P4I3Nvk3RkuONabNYvNPn&amp;usp=drive_fs</t>
  </si>
  <si>
    <t>Granito</t>
  </si>
  <si>
    <t>Parcela 2 de 4 - Cheque Marcelo</t>
  </si>
  <si>
    <t>https://drive.google.com/open?id=1zr2oV5_ndmu6HWU2hIdTM-Vv8-RDfa4l&amp;usp=drive_fs</t>
  </si>
  <si>
    <t>Depósito Itaitinga</t>
  </si>
  <si>
    <t>Parcela 1 de 2 - Depósito itaitinga. Constam 2 notas fiscais, uma de R$ 1.933,10 e outra de R$ 163,00 que somadas dá R$ 2.096,10.</t>
  </si>
  <si>
    <t>https://drive.google.com/open?id=1H-Zwh5q9hnnzWG6yszV-6s-jsPljVrgW&amp;usp=drive_fs</t>
  </si>
  <si>
    <t>Produto para limpeza cadeiras verdes</t>
  </si>
  <si>
    <t>https://drive.google.com/open?id=1I7L4jAF_omtn4RinazhSocnFgKHTW8sE&amp;usp=drive_fs</t>
  </si>
  <si>
    <t>Combustível para roçadeira</t>
  </si>
  <si>
    <t>https://drive.google.com/open?id=122i0I7wm6O6-epUyDacT0Jj4KqI9rU0y&amp;usp=drive_fs</t>
  </si>
  <si>
    <t>Aluguel espaço Caracanga</t>
  </si>
  <si>
    <t>https://drive.google.com/open?id=1_oZcJkqSTGdAnZ9xtOtEGy_jqIpctnPW&amp;usp=drive_fs</t>
  </si>
  <si>
    <t>Alimentação para feriado do carnaval</t>
  </si>
  <si>
    <t>Contratação de cozinheira para período do carnaval</t>
  </si>
  <si>
    <t>Sucos para feriado do carnaval</t>
  </si>
  <si>
    <t>Impressões OE cartões apadrinhamento</t>
  </si>
  <si>
    <t>Camisas Aniv. - Envio para Salvador</t>
  </si>
  <si>
    <t>Envio por correios, não possui nota fiscal, apenas o comprovante emitido pelo Correios.</t>
  </si>
  <si>
    <t>https://drive.google.com/open?id=1idwxXUenUSIBIw_F3q624K83GqrLqRx0&amp;usp=drive_fs</t>
  </si>
  <si>
    <t>Camisas Igrejinha - Confecção</t>
  </si>
  <si>
    <t>https://drive.google.com/open?id=1PsoTTDdrvVABgPMQYjPKx3uW-SKUNGbI&amp;usp=drive_fs</t>
  </si>
  <si>
    <t>Camisas Igrejinha - Estampagem</t>
  </si>
  <si>
    <t>Régis</t>
  </si>
  <si>
    <t>https://drive.google.com/open?id=1KdCqwEoeLcVmY5ubxWHf_ztPnsvSOfaB&amp;usp=drive_fs</t>
  </si>
  <si>
    <t>https://drive.google.com/open?id=1OBzidJYfKfV2VLztIIVPpIpErUW60QEZ&amp;usp=drive_fs</t>
  </si>
  <si>
    <t>10 DE FEVEREIRO R$ 18,00; TAXA PREPARO 1/2 R$ 25,00; TAXA ENCONTRO CASAL DIREÇÃO R$ 30,00</t>
  </si>
  <si>
    <t>10 DE FEVEREIRO R$ 18,00; TAXA PREPARO 1/2 R$ 25,00</t>
  </si>
  <si>
    <t>10 DE FEVEREIRO R$ 18,00; TAXA PREPARO 1/2 R$ 25,00; TAXA ENCONTRO CASAL DIREÇÃO R$ 15,00</t>
  </si>
  <si>
    <t>COMPRA DE ARCONDICIONADO 9/10 R$ 50,00; 10 DE FEVEREIRO R$ 18,00; TAXA PREPARO 1/2 R$ 25,00; TAXA ENCONTRO CASAL DIREÇÃO R$ 30,00</t>
  </si>
  <si>
    <t>Mensalidades de janeiro a março totaliza R$ 1.036,98, adicionando R$ 170 da taxa do feriado do carnaval dá R$ 1.206,98. Deste valor, foi abatido R$ 866,29 de compras da Organ realizadas pela C. Mônica, restando um saldo a pagar de R$ 340,69.</t>
  </si>
  <si>
    <t>COMPRA DE ARCONDICIONADO 9/10 R$ 50,00; 10 DE FEVEREIRO R$ 18,00; TAXA PREPARO 1/2 R$ 25,00; TAXA ENCONTRO CASAL DIREÇÃO R$ 15,00</t>
  </si>
  <si>
    <t>DOAÇÃO CANTINA SANA R$ 92,00; 10 DE FEVEREIRO R$ 18,00; TAXA PREPARO 1/2 R$ 25,00</t>
  </si>
  <si>
    <t>ACORDO 2/4 R$ 396,40</t>
  </si>
  <si>
    <t>COMPRA DE ARCONDICIONADO 9/10 R$ 50,00; 10 DE FEVEREIRO R$ 18,00; TAXA PREPARO 1/2 R$ 25,00</t>
  </si>
  <si>
    <t>10 DE FEVEREIRO R$ 18,00; TAXA PREPARO 1/2 R$ 25,00; DOAÇÃO R$ 400,00</t>
  </si>
  <si>
    <t>TAXA AÇÃO ENTRE AMIGOS 4/4 R$ 50,00; 10 DE FEVEREIRO R$ 18,00; TAXA PREPARO 1/2 R$ 25,00</t>
  </si>
  <si>
    <t>Pagamento referente a Dezembro. Março ainda pendente.</t>
  </si>
  <si>
    <t>10 DE FEVEREIRO R$ 18,00; TAXA PREPARO 1/2 R$ 25,00; CANTINA SANA R$ 50,00</t>
  </si>
  <si>
    <t>ACORDO MENSALIDADE 7/10 R$ 40,23</t>
  </si>
  <si>
    <t>RAMIDE MIRANDA DINO</t>
  </si>
  <si>
    <t>PÉROLLA ALVES SOUZA FELIX DINO</t>
  </si>
  <si>
    <t>Vendas - Maquinetas</t>
  </si>
  <si>
    <t>15 a 31</t>
  </si>
  <si>
    <t>4 a 10</t>
  </si>
  <si>
    <t>Doações e vendas</t>
  </si>
  <si>
    <t>Feira de Novos e Usados</t>
  </si>
  <si>
    <t>Vendas antecipadas - Stone</t>
  </si>
  <si>
    <t>1 a 21</t>
  </si>
  <si>
    <t>Vendas antecipadas - Pagbank</t>
  </si>
  <si>
    <t>Vendas na feira - Pagbank</t>
  </si>
  <si>
    <t>Vendas na feira - Dinheiro em espécie</t>
  </si>
  <si>
    <t>Doação - Cora</t>
  </si>
  <si>
    <t>Doação - Pagbank</t>
  </si>
  <si>
    <t>15 a 18</t>
  </si>
  <si>
    <t>Cota feriado carnaval</t>
  </si>
  <si>
    <t>2 a 15</t>
  </si>
  <si>
    <t>Até M. Régis</t>
  </si>
  <si>
    <t>Devolução de pagamento a maior</t>
  </si>
  <si>
    <t>Devolução de R$ 1 pago a mais pela tesouraria na compra de lembrancinha do dia da mulher.</t>
  </si>
  <si>
    <t>Rafael Honório (50)</t>
  </si>
  <si>
    <t>Aplicação financeira</t>
  </si>
  <si>
    <t>https://drive.google.com/open?id=1fmOa5s2GyDuKg45561JpFUSxt65QzzOb&amp;usp=drive_fs</t>
  </si>
  <si>
    <t>https://drive.google.com/open?id=1ujI8a_oqLUc7rBoVDx2ID3eC7bRUnfiA&amp;usp=drive_fs</t>
  </si>
  <si>
    <t>Previdenciário</t>
  </si>
  <si>
    <t>https://drive.google.com/open?id=1h8bEikVp70kfoP7PSGh-yFuZOL5F9XL2&amp;usp=drive_fs</t>
  </si>
  <si>
    <t>https://drive.google.com/open?id=1RjGAo_VKAbbsi5CPsU_l7wiuv07SFlId&amp;usp=drive_fs</t>
  </si>
  <si>
    <t>https://drive.google.com/open?id=1HZeT-0vjuUnvsLH1BVHF24c9WWwKRCMN&amp;usp=drive_fs</t>
  </si>
  <si>
    <t>Pagamento único de R$ 2.799,86</t>
  </si>
  <si>
    <t>https://drive.google.com/open?id=1H7R8gAec_-3_KmmdeGkNCXwj7r1Ool6Z&amp;usp=drive_fs</t>
  </si>
  <si>
    <t>https://drive.google.com/open?id=1_w3yvOraYiL9W74LOHJAwwS1SUtF0bvu&amp;usp=drive_fs</t>
  </si>
  <si>
    <t>60% do valor arrecadado em fevereiro.</t>
  </si>
  <si>
    <t>https://drive.google.com/open?id=1ZA8Eu3RD1CVG-OALm-lLaz8oRin4YY-h&amp;usp=drive_fs</t>
  </si>
  <si>
    <t>Repasse de fevereiro. Pagamento de R$ 2.128, sendo R$ 2.048 da tesouraria e R$ 80 do plantio.</t>
  </si>
  <si>
    <t>https://drive.google.com/open?id=1V6WBjREGSD7_ubezViKIoWUVeQCYJVEW&amp;usp=drive_fs</t>
  </si>
  <si>
    <t>Repasse de março. Pagamento de R$ 2.641,82, sendo R$ 1.921,82 da tesouraria e R$ 720 do plantio.</t>
  </si>
  <si>
    <t>https://drive.google.com/open?id=1yyelNGxZjCmazl_yfQhTwTuW8lQ8fvKc&amp;usp=drive_fs</t>
  </si>
  <si>
    <t>11a Região - Taxa Extra - Encontro de Casais</t>
  </si>
  <si>
    <t>Parcela 1 de 2</t>
  </si>
  <si>
    <t>https://drive.google.com/open?id=1Gc8-Qpk12tJJ_wmZPKelNBjv30Ab7bBi&amp;usp=drive_fs</t>
  </si>
  <si>
    <t>Parcela 2 de 5</t>
  </si>
  <si>
    <t>https://drive.google.com/open?id=1VRZP7gs3U0fw_iGlSf54lAyYvdmCSMc_&amp;usp=drive_fs</t>
  </si>
  <si>
    <t>https://drive.google.com/open?id=1oy9tBo7fUsPW6jDP0L6i6vCJc21DHrxm&amp;usp=drive_fs</t>
  </si>
  <si>
    <t>https://drive.google.com/open?id=1sEhktvxUnQlyX6DU1arvU_nUpKPO_HYa&amp;usp=drive_fs</t>
  </si>
  <si>
    <t>https://drive.google.com/open?id=1sOMlr0Qp62v23MFr9Ze4sJPNGGB2VW_H&amp;usp=drive_fs</t>
  </si>
  <si>
    <t>https://drive.google.com/open?id=1Or3Q7XhqjMYfiOfmMAIDggZaQN9hNSf3&amp;usp=drive_fs</t>
  </si>
  <si>
    <t>Parcela 9 de 10</t>
  </si>
  <si>
    <t>https://drive.google.com/open?id=17hEaooT4ucV9iKNYornCBHsuoWscC0pT&amp;usp=drive_fs</t>
  </si>
  <si>
    <t>https://drive.google.com/open?id=1d_bbK1dhE9Eai7Yk2CjZ84ksB092AqlO&amp;usp=drive_fs</t>
  </si>
  <si>
    <t>Lembrancinhas dia da mulher</t>
  </si>
  <si>
    <t>Foi realizado o pix de R$ 66,95, porém o cupom e recibo é de R$ 65,95. Foi realizada a devolução de R$ 1 em dinheiro.</t>
  </si>
  <si>
    <t>https://drive.google.com/open?id=1xOKm4Ot2q3UTCvRZuoMSd8uGlxj0K37E&amp;usp=drive_fs</t>
  </si>
  <si>
    <t>https://drive.google.com/open?id=1Sq_xNV3din5fFxqX4lH0caI6L3PTCcO-&amp;usp=drive_fs</t>
  </si>
  <si>
    <t>https://drive.google.com/open?id=1y-p9-lG1XFZ7aF3EvQcBgbO4F1gk0qfc&amp;usp=drive_fs</t>
  </si>
  <si>
    <t>Valor descontado das mensalidades de janeiro, fevereiro e março do M. Cassio.</t>
  </si>
  <si>
    <t>https://drive.google.com/open?id=1_JHnJJk7UBPOl3fGLzVvbdlom0eze2di&amp;usp=drive_fs</t>
  </si>
  <si>
    <t>https://drive.google.com/open?id=1kiGnYxitYMqkzIOoCSGIZQUnTCJqqTBr&amp;usp=drive_fs</t>
  </si>
  <si>
    <t>https://drive.google.com/open?id=1uCkrRpjS3H0ytof71IfnD5oItG2Km5ch&amp;usp=drive_fs</t>
  </si>
  <si>
    <t>Mix</t>
  </si>
  <si>
    <t>https://drive.google.com/open?id=1ntGxVOIQkvHJHSp48qxqP2GZLM18XQnp&amp;usp=drive_fs</t>
  </si>
  <si>
    <t>https://drive.google.com/open?id=1oM3KLcnd8tq9RDMA5nJpUM5OatHGqR6j&amp;usp=drive_fs</t>
  </si>
  <si>
    <t>Lanche reunião de diretoria</t>
  </si>
  <si>
    <t>https://drive.google.com/open?id=14pZceNRMOPJo9VyTXvH1MjP8oO5tR5ei&amp;usp=drive_fs</t>
  </si>
  <si>
    <t>https://drive.google.com/open?id=19OCpZtKoc2-fXBrLLzS2K8DvDA7irdV8&amp;usp=drive_fs</t>
  </si>
  <si>
    <t>https://drive.google.com/open?id=1ijJUdGpbtHb5OimNrr_Z_TGHvpyJzHqS&amp;usp=drive_fs</t>
  </si>
  <si>
    <t>https://drive.google.com/open?id=1VCpDae0NkLBpWAkga8_wv_8DMlMCHfu3&amp;usp=drive_fs</t>
  </si>
  <si>
    <t>https://drive.google.com/open?id=1MVn5m26XBsy-rCtBpXHPgRQNx6A5cH8n&amp;usp=drive_fs</t>
  </si>
  <si>
    <t>https://drive.google.com/open?id=1Hi9MLyopnibbCMvW7cQTgLet-OR4mjre&amp;usp=drive_fs</t>
  </si>
  <si>
    <t>https://drive.google.com/open?id=1o0GErQ6OLMu7dLCG_4bZFoPdnK-0oP_h&amp;usp=drive_fs</t>
  </si>
  <si>
    <t>https://drive.google.com/open?id=1FTRc57VnPh0jK2TKTGP9hPekh6D0sdv4&amp;usp=drive_fs</t>
  </si>
  <si>
    <t>https://drive.google.com/open?id=1RlkGl09sAsY1zYNlNRE04aWmL_azr_zx&amp;usp=drive_fs</t>
  </si>
  <si>
    <t>https://drive.google.com/open?id=1l_RnGkvrrKfDvbjPJCF34TTvYQS2ozIT&amp;usp=drive_fs</t>
  </si>
  <si>
    <t>https://drive.google.com/open?id=1qRZPy3tRa86OWLWSbJtRIlHAbVKEjlJK&amp;usp=drive_fs</t>
  </si>
  <si>
    <t>Almoço de domingo</t>
  </si>
  <si>
    <t>https://drive.google.com/open?id=1kRsnOIIcYjfqZUpr1Lcvo-IPm9980pKo&amp;usp=drive_fs</t>
  </si>
  <si>
    <t>Diárias da cozinheira</t>
  </si>
  <si>
    <t>https://drive.google.com/open?id=1vtfGThki1D96lsNtD_4heypUL_dyAwpB&amp;usp=drive_fs</t>
  </si>
  <si>
    <t>https://drive.google.com/open?id=10JUSSJKeNHq86EJmHsobMYgj9e-zP6m1&amp;usp=drive_fs</t>
  </si>
  <si>
    <t>https://drive.google.com/open?id=1yPzkqx1vP1KrZO1mr0rm2axlEi7xqk0W&amp;usp=drive_fs</t>
  </si>
  <si>
    <t>https://drive.google.com/open?id=12C3nswHQ4kNxkAtze4u2EXvzqgXrgHWu&amp;usp=drive_fs</t>
  </si>
  <si>
    <t>Pães</t>
  </si>
  <si>
    <t>https://drive.google.com/open?id=1c03QkjV-6fT9VC6qe9L1FplNIBZPAh5k&amp;usp=drive_fs</t>
  </si>
  <si>
    <t>Materiais e serviços</t>
  </si>
  <si>
    <t>Materiais do DEMEC</t>
  </si>
  <si>
    <t>https://drive.google.com/open?id=1YKCcSiOdWUNKunuWtMUhNbcc_W8DU2XO&amp;usp=drive_fs</t>
  </si>
  <si>
    <t>Lenha</t>
  </si>
  <si>
    <t>https://drive.google.com/open?id=1Y-hAVItXEI66dUIXv0B6c4USWqH6WKd8&amp;usp=drive_fs</t>
  </si>
  <si>
    <t>Diária de limpeza da casa de preparo</t>
  </si>
  <si>
    <t>Organização e limpeza da casa de preparo e materiais</t>
  </si>
  <si>
    <t>https://drive.google.com/open?id=1mHICL6uiYMQuPIzxm53PUjiawaxkPV8m&amp;usp=drive_fs</t>
  </si>
  <si>
    <t>https://drive.google.com/open?id=1Y4O9wGLxmUEmYmvmYFnzRBPckRNxKIco&amp;usp=drive_fs</t>
  </si>
  <si>
    <t>Lanche</t>
  </si>
  <si>
    <t>https://drive.google.com/open?id=1TvYSXT2wcVdYFxors7ow2TucmE8fIY5w&amp;usp=drive_fs</t>
  </si>
  <si>
    <t>Pães e torta</t>
  </si>
  <si>
    <t>https://drive.google.com/open?id=1m1hKSntVlzotRRX9xAUh0RrWedSlxfpR&amp;usp=drive_fs</t>
  </si>
  <si>
    <t>https://drive.google.com/open?id=1hF3zelfEsnLBZCaCP6NLiHrcmWgFpd5W&amp;usp=drive_fs</t>
  </si>
  <si>
    <t>https://drive.google.com/open?id=1nJ35Kbkv8FNi8m6KxCWKc0hZNbihAiw2&amp;usp=drive_fs</t>
  </si>
  <si>
    <t>Feriado do carnaval - Cozinheira</t>
  </si>
  <si>
    <t>Diária de cozinheira</t>
  </si>
  <si>
    <t>Feriado do carnaval - Alimentação</t>
  </si>
  <si>
    <t>https://drive.google.com/open?id=1m5vmAlh97_Y7zQEp3ntVygez_Cn8gZBU&amp;usp=drive_fs</t>
  </si>
  <si>
    <t>https://drive.google.com/open?id=12TYc6zFLipcq97ZsAxzkkXiTx8lsWUZX&amp;usp=drive_fs</t>
  </si>
  <si>
    <t>https://drive.google.com/open?id=1tWUb-AaDrteFcf9SmDTWQTAAUmcxouQ3&amp;usp=drive_fs</t>
  </si>
  <si>
    <t>https://drive.google.com/open?id=1yurchXUoD7f2_ZI1-ORy17peozU-e-zg&amp;usp=drive_fs</t>
  </si>
  <si>
    <t>https://drive.google.com/open?id=15a6t3mMUwwsUCq8aD2LxkDUx6Y_9Cz_6&amp;usp=drive_fs</t>
  </si>
  <si>
    <t>https://drive.google.com/open?id=1V-yjGBi62eIWDSDWi9pRRAaKRSHIkbQI&amp;usp=drive_fs</t>
  </si>
  <si>
    <t>https://drive.google.com/open?id=1Y5bTo2B2PUcaI3yKUkyAoy_m33-rMlPi&amp;usp=drive_fs</t>
  </si>
  <si>
    <t>Parcela 2 de 4</t>
  </si>
  <si>
    <t>https://drive.google.com/open?id=1PyQ9_b4Uu_pEqMDCwk_xGfibhibHSyue&amp;usp=drive_fs</t>
  </si>
  <si>
    <t>Parcela 2 de 10 - Cartão Wallace</t>
  </si>
  <si>
    <t>https://drive.google.com/open?id=1Kr9DNbBRkzlkOc0QaJvPf_S2pRbKOP5V&amp;usp=drive_fs</t>
  </si>
  <si>
    <t>Parcela 5 de 5 - Cartão Salomão</t>
  </si>
  <si>
    <t>https://drive.google.com/open?id=1Jr8uYzRwRQ-oI8yB9FTSWHB1BL5x0iRY&amp;usp=drive_fs</t>
  </si>
  <si>
    <t>Parcela 3 de 7 - Cartão Salomão</t>
  </si>
  <si>
    <t>https://drive.google.com/open?id=1nKvdcRb9teOUIqe0IwSf72KyIw4-R4mo&amp;usp=drive_fs</t>
  </si>
  <si>
    <t>Parcela 3 de 4 - Cheque Marcelo</t>
  </si>
  <si>
    <t>https://drive.google.com/open?id=118c-PovRQANfnBTIOc7xFIDg8B_roEn6&amp;usp=drive_fs</t>
  </si>
  <si>
    <t>Parcela 2 de 2 - Depósito itaitinga. Constam 2 notas fiscais, uma de R$ 1.933,10 e outra de R$ 163,00 que somadas dá R$ 2.096,10.</t>
  </si>
  <si>
    <t>https://drive.google.com/open?id=1QQSujWV9WD-xp_RpnZrJ9hSglfCFxAdg&amp;usp=drive_fs</t>
  </si>
  <si>
    <t>Compra de materiais para colocação de plaquetas</t>
  </si>
  <si>
    <t>Materiais diversos de manutenção</t>
  </si>
  <si>
    <t>https://drive.google.com/open?id=1wvjfgdRbMG8xFuk5rVkhd6fjg7w8SaAE&amp;usp=drive_fs</t>
  </si>
  <si>
    <t>https://drive.google.com/open?id=1fuvlSOX2yCOS5OCJ-p2hnDPW-5w8cqBs&amp;usp=drive_fs</t>
  </si>
  <si>
    <t>Diária de eletricista</t>
  </si>
  <si>
    <t>https://drive.google.com/open?id=1tS73BhX93PvfljCmvOfLhL6CHe2En50Q&amp;usp=drive_fs</t>
  </si>
  <si>
    <t>https://drive.google.com/open?id=1K5mFp7A3FVxcYMHbb3k8zNur6m80cR8F&amp;usp=drive_fs</t>
  </si>
  <si>
    <t>Repasse mensal NFD - Café da manhã</t>
  </si>
  <si>
    <t>Repasse mensal NFD - Limpeza terreno</t>
  </si>
  <si>
    <t>Porta copos de alumínio</t>
  </si>
  <si>
    <t>Feira de novos e usados</t>
  </si>
  <si>
    <t>Ovos de páscoa</t>
  </si>
  <si>
    <t>TAXA PREPARO 2/2 R$ 35,00</t>
  </si>
  <si>
    <t>TAXA PREPARO 2/2 R$ 35,00; SESSÃO DE CASAL MARÇO R$ 41,00</t>
  </si>
  <si>
    <t>COMPRA DE ARCONDICIONADO 10/10 R$ 50,00; TAXA PREPARO 2/2 R$ 35,00; SESSÃO DE CASAL MARÇO R$ 41,00</t>
  </si>
  <si>
    <t>23, 30</t>
  </si>
  <si>
    <t>COMPRA DE ARCONDICIONADO 10/10 R$ 50,00; TAXA PREPARO 2/2 R$ 35,00</t>
  </si>
  <si>
    <t>ACORODO 3/4 R$ 396,40</t>
  </si>
  <si>
    <t>TAXA PREPARO 2/2 R$ 5,00</t>
  </si>
  <si>
    <t>ACORDO MENSALIDADE 8/10 R$ 40,23; TAXA PREPARO 2/2 R$ 35,00</t>
  </si>
  <si>
    <t>JOSÉ CARLOS</t>
  </si>
  <si>
    <t>20 a 30</t>
  </si>
  <si>
    <t>Vendas antecipadas - Cora</t>
  </si>
  <si>
    <t>Sarah (50)</t>
  </si>
  <si>
    <t>1 a 11</t>
  </si>
  <si>
    <t>12 a 16</t>
  </si>
  <si>
    <t>Vendas na feira - Cora</t>
  </si>
  <si>
    <t>Vendas na feira - Espécie</t>
  </si>
  <si>
    <t>Vendas de materiais recebidos de doação</t>
  </si>
  <si>
    <t>Thamires (celular) - Parcela 1 de 3</t>
  </si>
  <si>
    <t>5, 7 e 17</t>
  </si>
  <si>
    <t>5 e 17</t>
  </si>
  <si>
    <t>Doação para pagamento da obra da cozinha e refeitório</t>
  </si>
  <si>
    <t>17, 19 e 20</t>
  </si>
  <si>
    <t>https://drive.google.com/open?id=1RvkO-7c-uW6wZ2Sfo6MNuVGD6mbkkHv_&amp;usp=drive_fs</t>
  </si>
  <si>
    <t>https://drive.google.com/open?id=1u4KazLleMGK0KpPDssEd2p1O2DHlKfa2&amp;usp=drive_fs</t>
  </si>
  <si>
    <t>https://drive.google.com/open?id=1TJOUmYE9fiQcjUVMAkNGiedb2jmHEnru&amp;usp=drive_fs</t>
  </si>
  <si>
    <t>https://drive.google.com/open?id=17M5gDsHLW2Q71pP8rDrwXOiWgc4hLcL_&amp;usp=drive_fs</t>
  </si>
  <si>
    <t>Solicitação de adiantamento (vale)</t>
  </si>
  <si>
    <t>https://drive.google.com/open?id=1WgavmHoEFi7uen8N09_rqzlaqsLjFcfA&amp;usp=drive_fs</t>
  </si>
  <si>
    <t>Pagamento único de R$ 2.828,43</t>
  </si>
  <si>
    <t>https://drive.google.com/open?id=1hbzosf11pZcG_etLi_nUtMaXzIKHahdK&amp;usp=drive_fs</t>
  </si>
  <si>
    <t>Pagamento único de R$ 1.188,00</t>
  </si>
  <si>
    <t>https://drive.google.com/open?id=1v7H994GbiHZXaRLt0mczP6YxnXlTmc4e&amp;usp=drive_fs</t>
  </si>
  <si>
    <t>https://drive.google.com/open?id=1odUmahm6zRdMS4_eARcyAyfprwHwDRiz&amp;usp=drive_fs</t>
  </si>
  <si>
    <t>Pagamento toal de R$ 3.335,30, sendo R$ 2.095,30 pago do caixa da Tesouraria e R$ 1.240,00 pago pelo caixa do Plantio.</t>
  </si>
  <si>
    <t>https://drive.google.com/open?id=1HVo3w40oFp4NP-X1IgXPwzwIJuVasjD5&amp;usp=drive_fs</t>
  </si>
  <si>
    <t>Parcela 2 de 2</t>
  </si>
  <si>
    <t>https://drive.google.com/open?id=11p0-Ck2K51_c6H1aXAptZ6Nu1lDXxm0L&amp;usp=drive_fs</t>
  </si>
  <si>
    <t>Parcela 3 de 5</t>
  </si>
  <si>
    <t>https://drive.google.com/open?id=1obcjfohXSZasuQzF7NgduORTLP4SSS8-&amp;usp=drive_fs</t>
  </si>
  <si>
    <t>https://drive.google.com/open?id=1g7ZmxkgE-Pcpp_CWD4JIpxowTnut1SLv&amp;usp=drive_fs</t>
  </si>
  <si>
    <t>23 e 29</t>
  </si>
  <si>
    <t>Obs: Pagamento em duplicidade no dia 29/04.</t>
  </si>
  <si>
    <t>https://drive.google.com/open?id=1xTBBjmys9W-C6DjjozMqC614xzPRLOPi&amp;usp=drive_fs</t>
  </si>
  <si>
    <t>https://drive.google.com/open?id=1j_1DlCU0Idtq9FhitWgmur-g-56Fb8pH&amp;usp=drive_fs</t>
  </si>
  <si>
    <t>https://drive.google.com/open?id=1UCiFvx3MILIl11HQFXFnnWYKfLEj7Nhb&amp;usp=drive_fs</t>
  </si>
  <si>
    <t>Parcela 10 de 10</t>
  </si>
  <si>
    <t>https://drive.google.com/open?id=1W_ulAYrr4sSWbuKur_qIoQPmDbxSnJdw&amp;usp=drive_fs</t>
  </si>
  <si>
    <t>https://drive.google.com/open?id=1RmAfwN3_oT2KTr59TgjbbNa0mLIKLDwl&amp;usp=drive_fs</t>
  </si>
  <si>
    <t>Conserto Bicicleta</t>
  </si>
  <si>
    <t>Conserto de bicicleta para venda</t>
  </si>
  <si>
    <t>https://drive.google.com/open?id=1IXFCZxIRFbhi4rsl4krBykiNXYSwN3rR&amp;usp=drive_fs</t>
  </si>
  <si>
    <t>https://drive.google.com/open?id=1u-8PlcHX1ol-0bbGfIGW9za3vMgKYOl3&amp;usp=drive_fs</t>
  </si>
  <si>
    <t>Câmeras de segurança - Fonte</t>
  </si>
  <si>
    <t>https://drive.google.com/open?id=1n4NRzF61foviqEhL_J-pLm9YZHnKgKtY&amp;usp=drive_fs</t>
  </si>
  <si>
    <t>Câmeras de segurança - Serviço de instalação</t>
  </si>
  <si>
    <t>https://drive.google.com/open?id=15nTbCiyJWzBoMmMRCI6kphwxcdWmoIoF&amp;usp=drive_fs</t>
  </si>
  <si>
    <t>Alimentação M. Anchieta e C. Aurenita</t>
  </si>
  <si>
    <t>Almoço no dia em que chegaram em Fortaleza</t>
  </si>
  <si>
    <t>https://drive.google.com/open?id=1sWCArhTeuzaNcQBvm8dZdszN38DzwZrD&amp;usp=drive_fs</t>
  </si>
  <si>
    <t>Alimentação - Lanche - 1a escala</t>
  </si>
  <si>
    <t>https://drive.google.com/open?id=1rbE6c1RO3Pq9veoFYM4hw19M7m_w-k1w&amp;usp=drive_fs</t>
  </si>
  <si>
    <t>https://drive.google.com/open?id=1cI56F2xxZ6tEK-Qnn_xWH8mrpwW019yp&amp;usp=drive_fs</t>
  </si>
  <si>
    <t>Alimentação - Lanche - 2a escala</t>
  </si>
  <si>
    <t>https://drive.google.com/open?id=1KepkIkMmjuXwTcsYaYaeHWbgzl8Wnq46&amp;usp=drive_fs</t>
  </si>
  <si>
    <t>NF de R$ 200. Boleto foi pago com atraso, gerando R$ 2,40 de juros.</t>
  </si>
  <si>
    <t>https://drive.google.com/open?id=1_AP_KFcoiE0fuXwmNi38eZXszSgArqe5&amp;usp=drive_fs</t>
  </si>
  <si>
    <t>https://drive.google.com/open?id=1lXcuXaz9K1yV4R_G4Rq4rRIcg9ERyxnm&amp;usp=drive_fs</t>
  </si>
  <si>
    <t>https://drive.google.com/open?id=1nA_GZf-ly8DSKk71z8jMuobC9U4pjOVo&amp;usp=drive_fs</t>
  </si>
  <si>
    <t>https://drive.google.com/open?id=1g-1buuvp7XQPLiuA90tYXArSZYNk_rau&amp;usp=drive_fs</t>
  </si>
  <si>
    <t>Gás de cozinha e Lanche Mutirão</t>
  </si>
  <si>
    <t>https://drive.google.com/open?id=1MHuaVt3ecki1CZf1SW2uwfUZ0WxjxJ9J&amp;usp=drive_fs</t>
  </si>
  <si>
    <t>Lanche Sessão 27 de março</t>
  </si>
  <si>
    <t>https://drive.google.com/open?id=1myHBvgDWheNE2gZ2z5WKazLQm48VKwTG&amp;usp=drive_fs</t>
  </si>
  <si>
    <t>https://drive.google.com/open?id=1S2JmM1y44O142VVM-JblzkSNl9PrzrQ6&amp;usp=drive_fs</t>
  </si>
  <si>
    <t>Lanche Aniversário do Núcleo</t>
  </si>
  <si>
    <t>https://drive.google.com/open?id=1rH4iyYokSOy3J3hWXyVSq-YR9hguOT_Y&amp;usp=drive_fs</t>
  </si>
  <si>
    <t>Lembrancinha M. Anchieta</t>
  </si>
  <si>
    <t>https://drive.google.com/open?id=1nyqywGT9C9tsE8v9a-YnjpT5A7Rwu0kB&amp;usp=drive_fs</t>
  </si>
  <si>
    <t>Despesas CONACE</t>
  </si>
  <si>
    <t>https://drive.google.com/open?id=1cxCkqEjlUWStp2-T-iOV8BSpqc0NQTp0&amp;usp=drive_fs</t>
  </si>
  <si>
    <t>https://drive.google.com/open?id=1jh0XzEWfNzrQfL-pYfQBpKP2pgB30-Z8&amp;usp=drive_fs</t>
  </si>
  <si>
    <t>Vigilância (Lucas Caldas)</t>
  </si>
  <si>
    <t>https://drive.google.com/open?id=1GLSEjfAEqn873Bg5dvBwtbNUqhGBZu-H&amp;usp=drive_fs</t>
  </si>
  <si>
    <t>Parcela 3 de 4</t>
  </si>
  <si>
    <t>https://drive.google.com/open?id=1wvA0i1ND5MokCUuxZaRSyDegpf20pyoR&amp;usp=drive_fs</t>
  </si>
  <si>
    <t>Parcela 3 de 10 - Cartão Wallace</t>
  </si>
  <si>
    <t>https://drive.google.com/open?id=1cANSGmgXQvn9V6ooLOSZP4zqCL8cwTLY&amp;usp=drive_fs</t>
  </si>
  <si>
    <t>Parcela 4 de 7 - Cartão Salomão</t>
  </si>
  <si>
    <t>https://drive.google.com/open?id=1o44aHFcEaPHOPXlTReK4nPLjoUG1ZSEa&amp;usp=drive_fs</t>
  </si>
  <si>
    <t>Parcela 4 de 4 - Cheque Marcelo</t>
  </si>
  <si>
    <t>https://drive.google.com/open?id=1CXBCMoY-ZdqPNPptgDmtjS3EByr5AiS8&amp;usp=drive_fs</t>
  </si>
  <si>
    <t>Pagamento de empréstimo</t>
  </si>
  <si>
    <t>50% do empréstimo de R$ 10.000 - C. Hugo (Parcela 1 de 2)</t>
  </si>
  <si>
    <t>https://drive.google.com/open?id=19UwExT1TGIGGIvcoUpthcnqn6BvNcBv1&amp;usp=drive_fs</t>
  </si>
  <si>
    <t>50% do empréstimo de R$ 10.000 - C. Hugo (Parcela 2 de 2)</t>
  </si>
  <si>
    <t>Foi realizado o pix de R$ 60, porém o cupom é de R$ 64. R$ 4 ficou de doação para o núcleo.</t>
  </si>
  <si>
    <t>https://drive.google.com/open?id=1w9eV6LGck8yq52XUAp0MXjBTsB6O6Ty5&amp;usp=drive_fs</t>
  </si>
  <si>
    <t>Conserto dos ventiladores</t>
  </si>
  <si>
    <t>https://drive.google.com/open?id=1QbeXO2DoFcgWNeXmtTXQYEDGOj1fq6zt&amp;usp=drive_fs</t>
  </si>
  <si>
    <t>Serviço Eletricista</t>
  </si>
  <si>
    <t>https://drive.google.com/open?id=17aiOmdLypcdI-2_amEn2UFk5pl4LtJhM&amp;usp=drive_fs</t>
  </si>
  <si>
    <t>https://drive.google.com/open?id=14dxKdBrO8M-O-YqHAu4pGyylunhXLUEY&amp;usp=drive_fs</t>
  </si>
  <si>
    <t>Manutenção para o aniversário do núcleo</t>
  </si>
  <si>
    <t>Tintas</t>
  </si>
  <si>
    <t>https://drive.google.com/open?id=1eH2tWzB0Q5HmY66H8c1T_lnJTlPxx3iZ&amp;usp=drive_fs</t>
  </si>
  <si>
    <t>Casa Soares</t>
  </si>
  <si>
    <t>https://drive.google.com/open?id=1AHtHlx_Gj2rA2EBcFJnH6dMdy8ZrTXNw&amp;usp=drive_fs</t>
  </si>
  <si>
    <t>Adiantamento Pintores</t>
  </si>
  <si>
    <t>https://drive.google.com/open?id=1COGmuFXIdDHPWGi_pmfA98cAZHYm5402&amp;usp=drive_fs</t>
  </si>
  <si>
    <t>Pintores</t>
  </si>
  <si>
    <t>Almoço pintores</t>
  </si>
  <si>
    <t>Materiais diversos</t>
  </si>
  <si>
    <t>https://drive.google.com/open?id=1B6k8UMUEpOWkDZ7lM53UkDBSdNdzr1vI&amp;usp=drive_fs</t>
  </si>
  <si>
    <t>Materiais de iluminação (contém duas notas fiscais que somadas dá esse valor)</t>
  </si>
  <si>
    <t>https://drive.google.com/open?id=1JL92FJ8RQ1zqW-_Bi1YKwFm7t1SGDBjL&amp;usp=drive_fs</t>
  </si>
  <si>
    <t>https://drive.google.com/open?id=1iPLSJChTWm-7F8dG0b1iuf8j0LtG6DRu&amp;usp=drive_fs</t>
  </si>
  <si>
    <t>https://drive.google.com/open?id=1_9Dkd1vUD6BjqUDD4tr2LLVQstHWm5jC&amp;usp=drive_fs</t>
  </si>
  <si>
    <t>Aluguel Espaço Caracanga</t>
  </si>
  <si>
    <t>https://drive.google.com/open?id=19x6_RXsVYiE_nhchICRpScAnAM__PLkS&amp;usp=drive_fs</t>
  </si>
  <si>
    <t>Locação Ônibus Viagem dos Jovens ao Cariri</t>
  </si>
  <si>
    <t>Alimentação - Viagem dos Jovens ao Cariri</t>
  </si>
  <si>
    <t>Limpeza do terreno</t>
  </si>
  <si>
    <t>Café da manhã</t>
  </si>
  <si>
    <t>Aluguel do espaço para cantina</t>
  </si>
  <si>
    <t>Camisas Aniversário do Núcleo</t>
  </si>
  <si>
    <t>https://drive.google.com/open?id=1a5MPHrO60u173kF8IR2BPWtoVhD-u_bB&amp;usp=drive_fs</t>
  </si>
  <si>
    <t>https://drive.google.com/open?id=1bT3kyFPnL2X6_LTHyiudGLsMGcWTeJ4x&amp;usp=drive_fs</t>
  </si>
  <si>
    <t>8 ano do NLT R$ 30,00; CONACE ABR 25 R$ 25,00</t>
  </si>
  <si>
    <t>8 ano do NLT R$ 30,00</t>
  </si>
  <si>
    <t>ACORODO 4/4 R$ 396,40; 8 ano do NLT R$ 30,00</t>
  </si>
  <si>
    <t>9 e 26</t>
  </si>
  <si>
    <t>EMILIANA</t>
  </si>
  <si>
    <t>Pagamento referente a abril</t>
  </si>
  <si>
    <t>EDINI</t>
  </si>
  <si>
    <t>TOMAZ</t>
  </si>
  <si>
    <t>Vendas - Cora</t>
  </si>
  <si>
    <t>Bazar no núcleo</t>
  </si>
  <si>
    <t>Vendas de itens recebidos de doação</t>
  </si>
  <si>
    <t>Parcela 2 de 3 - Celular Thamires</t>
  </si>
  <si>
    <t>17 e 19</t>
  </si>
  <si>
    <t>Ressarcimento despesas CONACE</t>
  </si>
  <si>
    <t>Inscrição Encontro de Pais 11a Região Setor 2</t>
  </si>
  <si>
    <t>M. Vicente</t>
  </si>
  <si>
    <t>Cozinha e refeitório</t>
  </si>
  <si>
    <t>Klecius (400)</t>
  </si>
  <si>
    <t>https://drive.google.com/open?id=1Tyoflpzuo4KRqt6sFef6d6ntELBZmvSf&amp;usp=drive_fs</t>
  </si>
  <si>
    <t>INSS.PIS</t>
  </si>
  <si>
    <t>https://drive.google.com/open?id=1LwVn2N7-GWCVvIY_P2U17Ja3_uboW2JN&amp;usp=drive_fs</t>
  </si>
  <si>
    <t>https://drive.google.com/open?id=1cJKwZbrPHxJdlem5Vhs68R6Fn5X9L6ME&amp;usp=drive_fs</t>
  </si>
  <si>
    <t>https://drive.google.com/open?id=1_2jwUWDh4AkTxh5L3LxKxM8LvyLniSPh&amp;usp=drive_fs</t>
  </si>
  <si>
    <t>2 cestas básicas (abril e maio)</t>
  </si>
  <si>
    <t>https://drive.google.com/open?id=1uNhwZLmKk7CkQbTE00zixPQNN8D9LO4C&amp;usp=drive_fs</t>
  </si>
  <si>
    <t>Adiantamento de salário de maio</t>
  </si>
  <si>
    <t>https://drive.google.com/open?id=1BinfwRC6010n7GICWQOAQPYKlFiIv2Dm&amp;usp=drive_fs</t>
  </si>
  <si>
    <t>Pagamento único de R$ 2.857,00</t>
  </si>
  <si>
    <t>https://drive.google.com/open?id=1jh70J8_VZhhxU80PH3orbkiJeq_8uITc&amp;usp=drive_fs</t>
  </si>
  <si>
    <t>Pagamento único de R$ 1.300,00</t>
  </si>
  <si>
    <t>https://drive.google.com/open?id=1KxN4YaW8Rfi54sbnGkWv231gdSCL3koF&amp;usp=drive_fs</t>
  </si>
  <si>
    <t>11a Região - Extra (taxa Conace)</t>
  </si>
  <si>
    <t>https://drive.google.com/open?id=1nKdwA3GzdAQcOA5xx2enpRuYaaEQ6GBt&amp;usp=drive_fs</t>
  </si>
  <si>
    <t>https://drive.google.com/open?id=1aDs9IiE48SOv82KTfBwRzOesXE7n2Se7&amp;usp=drive_fs</t>
  </si>
  <si>
    <t>Parcela 4 de 5</t>
  </si>
  <si>
    <t>https://drive.google.com/open?id=1D92hYoFoefGb-TAZUP8micYulmkAcUnC&amp;usp=drive_fs</t>
  </si>
  <si>
    <t>https://drive.google.com/open?id=1yQm9X4KwxzwcqvP-F6d46f8wsfCE-ZG_&amp;usp=drive_fs</t>
  </si>
  <si>
    <t>https://drive.google.com/open?id=1yYQmXmlSJAorAIJ5_gsi8lOZk2OtxPT5&amp;usp=drive_fs</t>
  </si>
  <si>
    <t>https://drive.google.com/open?id=1ZfeZXLZeIFG7q1UOE36KE0xGjX34cELE&amp;usp=drive_fs</t>
  </si>
  <si>
    <t>https://drive.google.com/open?id=1dzlxGS2gPpsicSwaLD2xnNpBGUYM6YTF&amp;usp=drive_fs</t>
  </si>
  <si>
    <t>Câmeras de segurança</t>
  </si>
  <si>
    <t>Parcela 1 de 10</t>
  </si>
  <si>
    <t>https://drive.google.com/open?id=1fhkNtw-cxSZQdC7i06BLYemn_ms2-60f&amp;usp=drive_fs</t>
  </si>
  <si>
    <t>Bebedouro</t>
  </si>
  <si>
    <t>Pacela 1 de 6</t>
  </si>
  <si>
    <t>https://drive.google.com/open?id=1bIL526VpKXfLw8VLMz8lnqpu0_-PE_vx&amp;usp=drive_fs</t>
  </si>
  <si>
    <t>Lanche - 1a escala</t>
  </si>
  <si>
    <t>Lanche, Jantar e Reunião de Diretoria - 2a escala</t>
  </si>
  <si>
    <t>https://drive.google.com/open?id=10W-gj7i_0VI2RqLLTHEMjoUKWDECGcBB&amp;usp=drive_fs</t>
  </si>
  <si>
    <t>Lanche - 2a escala</t>
  </si>
  <si>
    <t>https://drive.google.com/open?id=1nNG0sa8OpAkLDm4Y3gUvl3o6TCjPFzYS&amp;usp=drive_fs</t>
  </si>
  <si>
    <t>Mercado - 2a escala</t>
  </si>
  <si>
    <t>https://drive.google.com/open?id=1Ob0SxModW5pm-JTnoChr2-8x8yjHFYxu&amp;usp=drive_fs</t>
  </si>
  <si>
    <t>https://drive.google.com/open?id=16JMxKe1HBNimxzQDuQqf1OHgUtO-K-di&amp;usp=drive_fs</t>
  </si>
  <si>
    <t>https://drive.google.com/open?id=13lIKcXKFmwy17RNEZbxClY3nEdBoohNX&amp;usp=drive_fs</t>
  </si>
  <si>
    <t>Material para a cozinha</t>
  </si>
  <si>
    <t>https://drive.google.com/open?id=1FVQX6oq1Tgkbzp0Q2rWcdPboQV7bQhxu&amp;usp=drive_fs</t>
  </si>
  <si>
    <t>https://drive.google.com/open?id=1uEXywt0ep61mTqwRQ0II9dezhAAWl_Nl&amp;usp=drive_fs</t>
  </si>
  <si>
    <t>Pix único de R$ 525,80.</t>
  </si>
  <si>
    <t>https://drive.google.com/open?id=1n2tN5fn4mH2B3kD6cxntBAbAtzlfACTB&amp;usp=drive_fs</t>
  </si>
  <si>
    <t>https://drive.google.com/open?id=1Og2vJDqzXn4P3ETGiYbaffHgPy83HaD8&amp;usp=drive_fs</t>
  </si>
  <si>
    <t>https://drive.google.com/open?id=1fcbgaBw-N68YvcHRafNKpm4rPvV4z7CQ&amp;usp=drive_fs</t>
  </si>
  <si>
    <t>Lembrancinha</t>
  </si>
  <si>
    <t>https://drive.google.com/open?id=1TSv6SHD3tUmjSYBMi-_J5uRLc4uY9U2u&amp;usp=drive_fs</t>
  </si>
  <si>
    <t>Vigilância - Aniversário do Núcleo</t>
  </si>
  <si>
    <t>https://drive.google.com/open?id=195oDXBnZuTb4a4onOXzBFTRjVQsOiA3N&amp;usp=drive_fs</t>
  </si>
  <si>
    <t>Lanche - Aniversário do Núcleo</t>
  </si>
  <si>
    <t>Pães e tortas</t>
  </si>
  <si>
    <t>https://drive.google.com/open?id=1wz9N8E-K6H7u2qvRXfHeJMVxAyM_9kuk&amp;usp=drive_fs</t>
  </si>
  <si>
    <t>https://drive.google.com/open?id=1EvhbQts6Rc83okD-SmT5XSM2rQMgs4-n&amp;usp=drive_fs</t>
  </si>
  <si>
    <t>https://drive.google.com/open?id=1EfOizv-k3nJ4Y_R9P2OXNPmyBjsdKhcb&amp;usp=drive_fs</t>
  </si>
  <si>
    <t>https://drive.google.com/open?id=1koCJI_hn8RQ5Fs9LgWqjxLCYu9KsPbii&amp;usp=drive_fs</t>
  </si>
  <si>
    <t>https://drive.google.com/open?id=1E6syI8In2O1--voIfa7e4Vy2LcThKLI8&amp;usp=drive_fs</t>
  </si>
  <si>
    <t>Aluguel de cadeiras - Aniversário do Núcleo</t>
  </si>
  <si>
    <t>M. Rogério</t>
  </si>
  <si>
    <t>https://drive.google.com/open?id=1c5uKuKbx7IpnQOTplaCOGJ1qIC4-ly1k&amp;usp=drive_fs</t>
  </si>
  <si>
    <t>Auxílio combustível - Aniversário do Núcleo</t>
  </si>
  <si>
    <t>https://drive.google.com/open?id=1L_fbzPgXDv_sqTu5xQ4epB4rC7jbPSfZ&amp;usp=drive_fs</t>
  </si>
  <si>
    <t>https://drive.google.com/open?id=1V7mjHzZ3sFcBJaKzM_mT1Ax0I4UbOMcU&amp;usp=drive_fs</t>
  </si>
  <si>
    <t>https://drive.google.com/open?id=1MvRJVqnaFV_UkGDyEj5HHLaBrfdcppyj&amp;usp=drive_fs</t>
  </si>
  <si>
    <t>Lanche - Sessão dia das Mães</t>
  </si>
  <si>
    <t>https://drive.google.com/open?id=1RLC3Tn7k43Uze9jhcKMsqyFM12qPgKTk&amp;usp=drive_fs</t>
  </si>
  <si>
    <t>https://drive.google.com/open?id=1bLTz5YEHr6kAXEUn-VQ_HQ9VBi5Y0oAq&amp;usp=drive_fs</t>
  </si>
  <si>
    <t>Lembrancinha - Sessão dia das Mães</t>
  </si>
  <si>
    <t>Chocolates</t>
  </si>
  <si>
    <t>https://drive.google.com/open?id=1GZPLtfH-1_uvlwXEPz8cmuDRhPXHhaMx&amp;usp=drive_fs</t>
  </si>
  <si>
    <t>https://drive.google.com/open?id=1bK8fgTiJr0arK2XFJY6Ff2FrtiWAPy4r&amp;usp=drive_fs</t>
  </si>
  <si>
    <t>https://drive.google.com/open?id=17_Bw0Apvdx_b11hOYczq_SpgJlZSvJCN&amp;usp=drive_fs</t>
  </si>
  <si>
    <t>Lanche - Sessão CONACE</t>
  </si>
  <si>
    <t>https://drive.google.com/open?id=1_3Jw1-czQRAhXauGTgqZZW2JorrQEN2F&amp;usp=drive_fs</t>
  </si>
  <si>
    <t>https://drive.google.com/open?id=1R3BEAQW6YI89k5nbQz_pSxuh6h0J6oxN&amp;usp=drive_fs</t>
  </si>
  <si>
    <t>https://drive.google.com/open?id=1IAbH9A3Zw9PBVzpTc9temdTJGLC9BIJv&amp;usp=drive_fs</t>
  </si>
  <si>
    <t>https://drive.google.com/open?id=1IOdbA81qbIHofE3ZoIdz-8MbxtLmrviT&amp;usp=drive_fs</t>
  </si>
  <si>
    <t>https://drive.google.com/open?id=16c792T_aDUgpu1iaVLfd1MS5UxOEoVC1&amp;usp=drive_fs</t>
  </si>
  <si>
    <t>https://drive.google.com/open?id=1CeQdTMcu6cDtLdBPkT0z2U1sSefEZQXb&amp;usp=drive_fs</t>
  </si>
  <si>
    <t>https://drive.google.com/open?id=1FcW4As_P2nq4F5T_vobZcwZbLlArY9FJ&amp;usp=drive_fs</t>
  </si>
  <si>
    <t>https://drive.google.com/open?id=12K3qIa89LoitTUYIi-uYc2yJwOOYkXST&amp;usp=drive_fs</t>
  </si>
  <si>
    <t>https://drive.google.com/open?id=10JlNE5LCNAeV6R3vGziTwdC5MAuj603g&amp;usp=drive_fs</t>
  </si>
  <si>
    <t>Bilhete Getúlio</t>
  </si>
  <si>
    <t>Parcela 4 de 4</t>
  </si>
  <si>
    <t>https://drive.google.com/open?id=1MM11De9kWB8i2twqWmJErj3oct0-jD-6&amp;usp=drive_fs</t>
  </si>
  <si>
    <t>Parcela 4 de 10 - Cartão Wallace</t>
  </si>
  <si>
    <t>https://drive.google.com/open?id=1ekFu8WQNboSA6sD6bSW6M4SSzRLtEdE_&amp;usp=drive_fs</t>
  </si>
  <si>
    <t>Parcela 5 de 7 - Cartão Salomão</t>
  </si>
  <si>
    <t>https://drive.google.com/open?id=1iEQ1EHDPJs4K5JcD6bDzo4XQx7YV8A1X&amp;usp=drive_fs</t>
  </si>
  <si>
    <t>Insumos máquina de lavar copos</t>
  </si>
  <si>
    <t>https://drive.google.com/open?id=1TROqm3K5o6TgxbHzWqcYKrn7bgr6vX5F&amp;usp=drive_fs</t>
  </si>
  <si>
    <t>Aluguel mensal do espaço</t>
  </si>
  <si>
    <t>https://drive.google.com/open?id=1RK1ztO5kn3PRWhtHf3aDMEaCgmPPcJc5&amp;usp=drive_fs</t>
  </si>
  <si>
    <t>Chocolates - Atividade OE</t>
  </si>
  <si>
    <t>Placa de PVC</t>
  </si>
  <si>
    <t>Alimentação para cantina</t>
  </si>
  <si>
    <t>https://drive.google.com/open?id=1EXsnt67Mh6gYJfFjQsGQYNhUJWypa5GT&amp;usp=drive_fs</t>
  </si>
  <si>
    <t xml:space="preserve">Promoção </t>
  </si>
  <si>
    <t>https://drive.google.com/open?id=177nY7pxSx_a_8fhpKJpZEr3tushQ1iF9&amp;usp=drive_fs</t>
  </si>
  <si>
    <t>GERAL</t>
  </si>
  <si>
    <t>DESPESA</t>
  </si>
  <si>
    <t>RECEITA</t>
  </si>
  <si>
    <t>SALDO MENSAL</t>
  </si>
  <si>
    <t>SALDO AO FINAL DO MÊS</t>
  </si>
  <si>
    <t>SALDO INICIAL</t>
  </si>
  <si>
    <t>JANEIRO</t>
  </si>
  <si>
    <t>FEVEREIRO</t>
  </si>
  <si>
    <t>MARÇO</t>
  </si>
  <si>
    <t>ABRIL</t>
  </si>
  <si>
    <t>MAIO</t>
  </si>
  <si>
    <t>JUNHO</t>
  </si>
  <si>
    <t>JULHO</t>
  </si>
  <si>
    <t>AGOSTO</t>
  </si>
  <si>
    <t>SETEMBRO</t>
  </si>
  <si>
    <t>OUTUBRO</t>
  </si>
  <si>
    <t>NOVEMBRO</t>
  </si>
  <si>
    <t>DEZEMBRO</t>
  </si>
  <si>
    <t>TOTAL
2024</t>
  </si>
  <si>
    <t>Promoção 1</t>
  </si>
  <si>
    <t>Tarifa 1</t>
  </si>
  <si>
    <t>Vigilância</t>
  </si>
  <si>
    <t>Bilhete aéreo</t>
  </si>
  <si>
    <t>Outra despesa (4)</t>
  </si>
  <si>
    <t>Outra despesa (5)</t>
  </si>
  <si>
    <t>Outra despesa (6)</t>
  </si>
  <si>
    <t>Evento 1</t>
  </si>
  <si>
    <t>Evento 2</t>
  </si>
  <si>
    <t>Outras datas</t>
  </si>
  <si>
    <t>8 ano do NLT R$ 15,00</t>
  </si>
  <si>
    <t>8 ano do NLT R$ 15,00; Sessão de Casal Maio R$ 57,00</t>
  </si>
  <si>
    <t>Sessão de Casal Maio R$ 28,50; Sessão Dia das Mães R$ 55,00</t>
  </si>
  <si>
    <t>8 ano do NLT R$ 15,00; Sessão de Casal Maio R$ 57,00; Sessão Dia das Mães R$ 65,00</t>
  </si>
  <si>
    <t>3, 23</t>
  </si>
  <si>
    <t>8 ano do NLT R$ 15,00; Sessão de Casal Maio R$ 57,00; Sessão Dia das Mães R$ 95,00</t>
  </si>
  <si>
    <t>10, 16</t>
  </si>
  <si>
    <t>8 ano do NLT R$ 15,00; Sessão Dia das Mães R$ 8,00</t>
  </si>
  <si>
    <t>8 ano do NLT R$ 15,00; Sessão de Casal Maio R$ 57,00; Sessão Dia das Mães R$ 80,00</t>
  </si>
  <si>
    <t>8 ano do NLT R$ 15,00; Sessão de Casal Maio R$ 57,00; Sessão Dia das Mães R$ 50,00</t>
  </si>
  <si>
    <t>8 ano do NLT R$ 15,00; Sessão Dia das Mães R$ 65,00</t>
  </si>
  <si>
    <t>8 ano do NLT R$ 15,00; Sessão Dia das Mães R$ 25,00</t>
  </si>
  <si>
    <t>Pagou a mensalidade de maio, ainda pendente a de junho.</t>
  </si>
  <si>
    <t>8 ano do NLT R$ 15,00; Sessão Dia das Mães R$ 95,00</t>
  </si>
  <si>
    <t>8 ano do NLT R$ 15,00; Sessão de Casal Maio R$ 57,00; Sessão Dia das Mães R$ 25,00</t>
  </si>
  <si>
    <t>8 ano do NLT R$ 15,00; Sessão Dia das Mães R$ 40,00</t>
  </si>
  <si>
    <t>2 e 10</t>
  </si>
  <si>
    <t>Pago os meses de maio e junho.</t>
  </si>
  <si>
    <t>8 ano do NLT R$ 15,00; Sessão Dia das Mães R$ 50,00</t>
  </si>
  <si>
    <t>JOSÉ CARLOS CALDAS DE MIRANDA NETO</t>
  </si>
  <si>
    <t>8 ano do NLT R$ 45,00</t>
  </si>
  <si>
    <t>TOMÁS NOGUEIRA FAÇANHA</t>
  </si>
  <si>
    <t>Sarah (160)</t>
  </si>
  <si>
    <t>Camisas - Aniversário do Núcleo - Cora</t>
  </si>
  <si>
    <t>Camisas - Aniversário do Núcleo - Pagbank</t>
  </si>
  <si>
    <t>Camisas - Aniversário do Núcleo - Espécie</t>
  </si>
  <si>
    <t>Ação entre amigos - Pagbank</t>
  </si>
  <si>
    <t>Ação entre amigos - Cora</t>
  </si>
  <si>
    <t>22, 23</t>
  </si>
  <si>
    <t>21, 23</t>
  </si>
  <si>
    <t>Taxa Encontro de Pais da Região</t>
  </si>
  <si>
    <t>9, 10, 15</t>
  </si>
  <si>
    <t xml:space="preserve">Rafael Honório (150), Rafael Castelo (80), M. Mauricio (80), Hilton Jr (75), </t>
  </si>
  <si>
    <t>Camisa Encontro Plantio</t>
  </si>
  <si>
    <t>Junior (55)</t>
  </si>
  <si>
    <t>https://drive.google.com/open?id=1E80IgLB_wgbtrbAWBRtL0b76U3NM22yS&amp;usp=drive_fs</t>
  </si>
  <si>
    <t>https://drive.google.com/open?id=1GK9rA3Y1N2QuWmjbr8Z2aQVOIDUbT7bx&amp;usp=drive_fs</t>
  </si>
  <si>
    <t>https://drive.google.com/open?id=17_fRHWQksGmiepl3aj-x_m6cBT5F0eCb&amp;usp=drive_fs</t>
  </si>
  <si>
    <t>DARF Previdenciário complementar</t>
  </si>
  <si>
    <t>https://drive.google.com/open?id=1tXyS2wdGZ8QEA34Ki7f1yZq3yYPY35e0&amp;usp=drive_fs</t>
  </si>
  <si>
    <t>https://drive.google.com/open?id=1HWvnsusiZfTSRxlwQepCNsCdW4DjE2xl&amp;usp=drive_fs</t>
  </si>
  <si>
    <t>Adiantamento de salário</t>
  </si>
  <si>
    <t>https://drive.google.com/open?id=1Mpch8dBkoCf5cmY8KZnkm8wDGkvLVGMV&amp;usp=drive_fs</t>
  </si>
  <si>
    <t>Pagamento único de R$ 2.742,72</t>
  </si>
  <si>
    <t>https://drive.google.com/open?id=1r-wsC7ZpTyapKu9aOx9TXVw-pwOYgFAn&amp;usp=drive_fs</t>
  </si>
  <si>
    <t>https://drive.google.com/open?id=1NzSgNP2R-fQkx1_TK-va3OYeVixZz67v&amp;usp=drive_fs</t>
  </si>
  <si>
    <t>https://drive.google.com/open?id=15TLCQRv2jqCRVt9aF3ATYpiW38RTGKCj&amp;usp=drive_fs</t>
  </si>
  <si>
    <t>Parcela 5 de 5</t>
  </si>
  <si>
    <t>https://drive.google.com/open?id=1B-1ZnRi6sCw8Ugjpi6mKy4mKh2e3cFdR&amp;usp=drive_fs</t>
  </si>
  <si>
    <t>https://drive.google.com/open?id=1JNtkajY3kFmHmnaT8C2hQBNluUWS0f3c&amp;usp=drive_fs</t>
  </si>
  <si>
    <t>https://drive.google.com/open?id=1F5ECpxTUGsgancrbnA1u0oIRJI4DbGEq&amp;usp=drive_fs</t>
  </si>
  <si>
    <t>https://drive.google.com/open?id=12WxnqtBPF8PXCnLcU_7HNkf5-nbNQeTp&amp;usp=drive_fs</t>
  </si>
  <si>
    <t>Parcela 2 de 10</t>
  </si>
  <si>
    <t>https://drive.google.com/open?id=1SfFkvnX-TrcuzUDlpWEn62vMc8avyU3o&amp;usp=drive_fs</t>
  </si>
  <si>
    <t>Pacela 2 de 6</t>
  </si>
  <si>
    <t>https://drive.google.com/open?id=1lrldO1eU1KGhQ5RQsXWjO4cAWws1uyQs&amp;usp=drive_fs</t>
  </si>
  <si>
    <t>Renovação certificado digital</t>
  </si>
  <si>
    <t>https://drive.google.com/open?id=1M6MXdrIDHSE9vFbYIZTF87jVWEYBav-f&amp;usp=drive_fs</t>
  </si>
  <si>
    <t>Conserto notebook</t>
  </si>
  <si>
    <t>https://drive.google.com/open?id=1BL5bI2vOj8u-8WYHhloqgGBx_hdNcinW&amp;usp=drive_fs</t>
  </si>
  <si>
    <t>Expositor para sala do Vegetal</t>
  </si>
  <si>
    <t>https://drive.google.com/open?id=16OKL-y9BqSuuvk703lVEEV-JXQyVNQy7&amp;usp=drive_fs</t>
  </si>
  <si>
    <t>Frete expositor</t>
  </si>
  <si>
    <t>https://drive.google.com/open?id=15JccZoDLWzsuE2MqLtQq2yoPW95AcdCg&amp;usp=drive_fs</t>
  </si>
  <si>
    <t>https://drive.google.com/open?id=1Cvp6709fvi8Byjn7d7JYGWarCRjRMYq5&amp;usp=drive_fs</t>
  </si>
  <si>
    <t>https://drive.google.com/open?id=1h5WRCOLW4Q-YAf83vXLFOqT1_nFlSdcW&amp;usp=drive_fs</t>
  </si>
  <si>
    <t>https://drive.google.com/open?id=1zRIzp_Cd_yWKzcCngZLeQig8U-x2zEjC&amp;usp=drive_fs</t>
  </si>
  <si>
    <t>https://drive.google.com/open?id=12mCPkK2W23-GB0wXV6u9PQI4ZSJRV1UQ&amp;usp=drive_fs</t>
  </si>
  <si>
    <t>https://drive.google.com/open?id=10mgxjb9E5XlocaZTxIFYEqB6ztyOQN-z&amp;usp=drive_fs</t>
  </si>
  <si>
    <t>Tira gosto</t>
  </si>
  <si>
    <t>https://drive.google.com/open?id=1z06JUPq5lJ3ovVRb6BZuT4gc8GSbFNsW&amp;usp=drive_fs</t>
  </si>
  <si>
    <t>https://drive.google.com/open?id=1-JbCmvgKQcxgirPggOhXYiO7dZtYi5aZ&amp;usp=drive_fs</t>
  </si>
  <si>
    <t>https://drive.google.com/open?id=1HIlG_KEAtNJlCSoLaEuIZ2i5I-6OtLA3&amp;usp=drive_fs</t>
  </si>
  <si>
    <t>Pix único de R$ 504,14</t>
  </si>
  <si>
    <t>https://drive.google.com/open?id=1haXZk2sP_QbWy4c4Vs-_o7LsiL70SlSv&amp;usp=drive_fs</t>
  </si>
  <si>
    <t>https://drive.google.com/open?id=1M30Q0HgbThZYCViRnKEzolHYryjNt8NW&amp;usp=drive_fs</t>
  </si>
  <si>
    <t>Auxílio combustível - Colheita de Mariri</t>
  </si>
  <si>
    <t>Diária de limpeza NFD pós preparo</t>
  </si>
  <si>
    <t>Parcela 5 de 10 - Cartão Wallace</t>
  </si>
  <si>
    <t>https://drive.google.com/open?id=1SNMvmG3eEmU3bA28Nf7LpNpOL34euGfZ&amp;usp=drive_fs</t>
  </si>
  <si>
    <t>Parcela 6 de 7 - Cartão Salomão</t>
  </si>
  <si>
    <t>https://drive.google.com/open?id=1fqPR71GOVo0G73akYepcQPazRphIFb-M&amp;usp=drive_fs</t>
  </si>
  <si>
    <t>https://drive.google.com/open?id=1CL9bVw5vxIa4qJpNmgUghe-9SrJi9621&amp;usp=drive_fs</t>
  </si>
  <si>
    <t>Laje</t>
  </si>
  <si>
    <t>Pago R$ 3.000 de um total de R$ 9.000</t>
  </si>
  <si>
    <t>https://drive.google.com/open?id=1Oyw0_oTTWNlmjTtXhV459lT4V04CX85X&amp;usp=drive_fs</t>
  </si>
  <si>
    <t>Compra de materiais para tombamento</t>
  </si>
  <si>
    <t>https://drive.google.com/open?id=1lgT-vturcgzf4V1aLzQfli4w411onkme&amp;usp=drive_fs</t>
  </si>
  <si>
    <t>Wesley</t>
  </si>
  <si>
    <t>https://drive.google.com/open?id=1GE3lmOPexQMpRqNbk-vx_sGma8ORKwPm&amp;usp=drive_fs</t>
  </si>
  <si>
    <t>Diária eletricista</t>
  </si>
  <si>
    <t>Balanceamento de carga - instalações elétricas</t>
  </si>
  <si>
    <t>https://drive.google.com/open?id=1X-FseHH5sExZofhqjXqaQSFMxyVayBFV&amp;usp=drive_fs</t>
  </si>
  <si>
    <t>Materiais para casa do motor</t>
  </si>
  <si>
    <t>https://drive.google.com/open?id=1C8XjTOHg-ik8H9_FGMPC_g3j6q-zUUJi&amp;usp=drive_fs</t>
  </si>
  <si>
    <t>Cestas básicas para o são joão da comunidade</t>
  </si>
  <si>
    <t>https://drive.google.com/open?id=19rxLXUzLIRJYmj4Yu8NMSBEcTIAq8bzy&amp;usp=drive_fs</t>
  </si>
  <si>
    <t>https://drive.google.com/open?id=1vraC1XMb-SrWkCJvT3r2wk-kyAP0qHx4&amp;usp=drive_fs</t>
  </si>
  <si>
    <t>Serviço de capinagem</t>
  </si>
  <si>
    <t>https://drive.google.com/open?id=1WxvChJ6fGSAqMbNGVD6yettVeuU8_D7W&amp;usp=drive_fs</t>
  </si>
  <si>
    <t>Material para Preparo</t>
  </si>
  <si>
    <t>Frete Mudas de Sabiá</t>
  </si>
  <si>
    <t>Davi Silvino</t>
  </si>
  <si>
    <t>https://drive.google.com/open?id=1CqW1SrktV4RVWz-sRYRJyIb9WcVGgHyJ&amp;usp=drive_fs</t>
  </si>
  <si>
    <t>Ação entre amigos</t>
  </si>
  <si>
    <t>Maquinetas de cartão de crédito</t>
  </si>
  <si>
    <t>https://drive.google.com/open?id=1vUcjzZ5v_0JqcoUqNtFMDU-MrQT5D9gD&amp;usp=drive_fs</t>
  </si>
  <si>
    <t>Diferente</t>
  </si>
  <si>
    <t>1 a 22</t>
  </si>
  <si>
    <t>Lorena (24), Sarah (80), M. Cassio (300)</t>
  </si>
  <si>
    <t>Grupo Desapego</t>
  </si>
  <si>
    <t>23 a 30</t>
  </si>
  <si>
    <t>19, 20</t>
  </si>
  <si>
    <t>Venda de itens recebidos de doação</t>
  </si>
  <si>
    <t>Caixas de som</t>
  </si>
  <si>
    <t>Cota sobremessa almoço 22 de julho</t>
  </si>
  <si>
    <t>22 a 23</t>
  </si>
  <si>
    <t>Rafael Souza (100), Wallace (100)</t>
  </si>
  <si>
    <t>Doação para o Jardim</t>
  </si>
  <si>
    <t>M. Mauricio</t>
  </si>
  <si>
    <t>Auxílio Combustível M. Alexandre</t>
  </si>
  <si>
    <t>6, 13</t>
  </si>
  <si>
    <t>Wallace (100), M. Marcelo (100), C. Vicente (200), C. Hugo (70), M. Mauricio (50), M. Elpidio (100), C. Franco (100), M. Cassio (70), M. Régis (50)</t>
  </si>
  <si>
    <t>Devolução de valores para o núcleo</t>
  </si>
  <si>
    <t>1 item de supermercado para uso próprio comprado junto com coisas do núcleo.</t>
  </si>
  <si>
    <t>https://drive.google.com/open?id=1i3DPAjnlahffP6q7DAOfBDogmI58sNxO&amp;usp=drive_fs</t>
  </si>
  <si>
    <t>https://drive.google.com/open?id=1dZR1CH0gDhBP7LcP6UganfJUY_7xZd-u&amp;usp=drive_fs</t>
  </si>
  <si>
    <t>https://drive.google.com/open?id=1tBJShTh12P7twa3I0iJ0uW8Sbbvd9NYl&amp;usp=drive_fs</t>
  </si>
  <si>
    <t>https://drive.google.com/open?id=1zCeeyP7sO_vrw1-ezM1xCztrsEIdcAe5&amp;usp=drive_fs</t>
  </si>
  <si>
    <t>https://drive.google.com/open?id=1qHnjPyzHlIOcZs84P30tBYYGdBgz9XkE&amp;usp=drive_fs</t>
  </si>
  <si>
    <t>https://drive.google.com/open?id=1OzRuA7UJgi-P1h8K9RDr-q5qYhxhcVSA&amp;usp=drive_fs</t>
  </si>
  <si>
    <t>https://drive.google.com/open?id=1SbXZnVPcMmncvmAb6tylDoIB0XZoH0dR&amp;usp=drive_fs</t>
  </si>
  <si>
    <t>https://drive.google.com/open?id=1CXj_K_xdPHqc0w1XlUum0JmIBQbE8MaV&amp;usp=drive_fs</t>
  </si>
  <si>
    <t>Repasse de junho</t>
  </si>
  <si>
    <t>https://drive.google.com/open?id=11nw4wqPYsZlrfq5HTh3jt3hWkvtyj1mC&amp;usp=drive_fs</t>
  </si>
  <si>
    <t>Repasse de julho</t>
  </si>
  <si>
    <t>https://drive.google.com/open?id=1QIORIiQphabQtHZJM9vBv5MgrZGjHTSx&amp;usp=drive_fs</t>
  </si>
  <si>
    <t>https://drive.google.com/open?id=1wnN9zYI_4ktZD50dIV-wUv6W1_aVfWfT&amp;usp=drive_fs</t>
  </si>
  <si>
    <t>https://drive.google.com/open?id=1iVjMWDstTK7JNaeNheOTVwdG4_82JDCT&amp;usp=drive_fs</t>
  </si>
  <si>
    <t>https://drive.google.com/open?id=15DLQwNKkeQ0KUCS01IcWWYJMrTu5XqhA&amp;usp=drive_fs</t>
  </si>
  <si>
    <t>https://drive.google.com/open?id=1Y1jGSOzRPWq_BUndPG88v6hvd4kJ52Xe&amp;usp=drive_fs</t>
  </si>
  <si>
    <t>NF única de R$ 397,00.</t>
  </si>
  <si>
    <t>https://drive.google.com/open?id=1s_bZ5iGJjlaVsDVQExlElFarm3HUNZG3&amp;usp=drive_fs</t>
  </si>
  <si>
    <t>Parcela 3 de 10</t>
  </si>
  <si>
    <t>https://drive.google.com/open?id=1Is-kyAPZ-ACRo82Qt6-XLQndqUAMY5Qd&amp;usp=drive_fs</t>
  </si>
  <si>
    <t>Pacela 3 de 6</t>
  </si>
  <si>
    <t>https://drive.google.com/open?id=1wPnqgplqpzK_A59W5A1yWgA5Ys3dBoqW&amp;usp=drive_fs</t>
  </si>
  <si>
    <t>4 cupons</t>
  </si>
  <si>
    <t>https://drive.google.com/open?id=1Z3FH87fixSEbS0vvyQ58o6iaIKSfiCbQ&amp;usp=drive_fs</t>
  </si>
  <si>
    <t>https://drive.google.com/open?id=1MS20EQl0eTi4UTpO7hwbB59_YAH5WqRA&amp;usp=drive_fs</t>
  </si>
  <si>
    <t>https://drive.google.com/open?id=1AhHoKi7Q6G23rEN71YRkdS2xnMleJBn_&amp;usp=drive_fs</t>
  </si>
  <si>
    <t>https://drive.google.com/open?id=1tdpYrNpN6r8ZCWxYPaVQQ6OlGn_7f3qh&amp;usp=drive_fs</t>
  </si>
  <si>
    <t>Bolos Maninha</t>
  </si>
  <si>
    <t>https://drive.google.com/open?id=1c9l-YNt59Vx6Or9R2btlByD7P1nqMXiC&amp;usp=drive_fs</t>
  </si>
  <si>
    <t>Castanha</t>
  </si>
  <si>
    <t>https://drive.google.com/open?id=1ilroCuC9C8rv9lhOyBTpu68tuVeNhDFc&amp;usp=drive_fs</t>
  </si>
  <si>
    <t>https://drive.google.com/open?id=1o27sULfsFHq8k2geGDoHLDWiWi8ll5ET&amp;usp=drive_fs</t>
  </si>
  <si>
    <t>https://drive.google.com/open?id=1HnBWVYRzVFskiaOUl4KEKZG0Elo1CXGu&amp;usp=drive_fs</t>
  </si>
  <si>
    <t>Iogurte</t>
  </si>
  <si>
    <t>https://drive.google.com/open?id=1EmjSXKdzlGlv6JQGBwE5m2KxfwZy3bPS&amp;usp=drive_fs</t>
  </si>
  <si>
    <t>https://drive.google.com/open?id=1PCs7M_9eBqvGcv7LyHrN2nyk0yqLQpMQ&amp;usp=drive_fs</t>
  </si>
  <si>
    <t>https://drive.google.com/open?id=1aLzGO_KjDQc6zlW4zQMa18mvk-pDhZkD&amp;usp=drive_fs</t>
  </si>
  <si>
    <t>https://drive.google.com/open?id=1soHXZZxZILoVG7qbcrEw3ACjGmOZDW-l&amp;usp=drive_fs</t>
  </si>
  <si>
    <t>https://drive.google.com/open?id=1M9teVU09qFH_diIRN2cajTmZW0csaYtK&amp;usp=drive_fs</t>
  </si>
  <si>
    <t>https://drive.google.com/open?id=1Ge8GTKtcCwWDldEvEL57fr9CEiHloqWP&amp;usp=drive_fs</t>
  </si>
  <si>
    <t>https://drive.google.com/open?id=1iwMGBiU_0LcPe80KVYYpWm5gSEe8nKZa&amp;usp=drive_fs</t>
  </si>
  <si>
    <t>https://drive.google.com/open?id=1YtadT9LkjJJxvt8of2ZlxPw7MELK_yha&amp;usp=drive_fs</t>
  </si>
  <si>
    <t>https://drive.google.com/open?id=1hBaKQkh39uF20rAqmdOOXLCev4wFN_8l&amp;usp=drive_fs</t>
  </si>
  <si>
    <t>https://drive.google.com/open?id=1SoPOJ_yYA1m3dUL7HxwRu25N_yp2HHvo&amp;usp=drive_fs</t>
  </si>
  <si>
    <t>Lanche 22 de julho</t>
  </si>
  <si>
    <t>https://drive.google.com/open?id=1bXY8-Jk2WcwO3ONMMmR4Cr81I8tx5z52&amp;usp=drive_fs</t>
  </si>
  <si>
    <t>Bolo 22 de julho</t>
  </si>
  <si>
    <t>https://drive.google.com/open?id=1fmRb2yesCpUMtRXcgnEyxspW_d8lKiih&amp;usp=drive_fs</t>
  </si>
  <si>
    <t>Sobremesa almoço 22 de julho</t>
  </si>
  <si>
    <t>https://drive.google.com/open?id=1bY6Y83nlB1drlfKN45rqPtyLS76KchaQ&amp;usp=drive_fs</t>
  </si>
  <si>
    <t>https://drive.google.com/open?id=1Zh-pCayg6r3nboG1LqKZeEM8E7SSdpQo&amp;usp=drive_fs</t>
  </si>
  <si>
    <t>https://drive.google.com/open?id=1JnFMcaV2wGUCL2d5C3FCxEnLTYSh1IhZ&amp;usp=drive_fs</t>
  </si>
  <si>
    <t>https://drive.google.com/open?id=120EZacOjNqjxZRV1eSJwZo3MsRfRv5Yv&amp;usp=drive_fs</t>
  </si>
  <si>
    <t>https://drive.google.com/open?id=1u7zDVbZu9XPLdhKFyHrPDXRVJmtXO-Ju&amp;usp=drive_fs</t>
  </si>
  <si>
    <t>Auxílio combusível M. Alexandre</t>
  </si>
  <si>
    <t>https://drive.google.com/open?id=1cLqm1CSNVOkLa7KhXDaV5mn2OD5n8kuT&amp;usp=drive_fs</t>
  </si>
  <si>
    <t>Parcela 6 de 10 - Cartão Wallace</t>
  </si>
  <si>
    <t>https://drive.google.com/open?id=1Rp1Xm3iorOkUjSxawgN1vMrBdEo22zbi&amp;usp=drive_fs</t>
  </si>
  <si>
    <t>Parcela 7 de 7</t>
  </si>
  <si>
    <t>https://drive.google.com/open?id=17B3_qNEQftZ9Z3BIHuktwqgF5tI0rK3u&amp;usp=drive_fs</t>
  </si>
  <si>
    <t>https://drive.google.com/open?id=1sBm9uMpPqunXv_L8ClgIGeJu-KsDOvSz&amp;usp=drive_fs</t>
  </si>
  <si>
    <t>Foi realizado o pagamento de R$ 6.000, porém foi devolvido via pix no dia 28 o valor de R$ 317,00. Com isso, a nota fiscal foi emitida apenas com o valor da diferença (R$ 5.683,00)</t>
  </si>
  <si>
    <t>https://drive.google.com/open?id=1ypnQDHDArPxCrdr5G6wHuKhnJWr77OOQ&amp;usp=drive_fs</t>
  </si>
  <si>
    <t>Materiais diversos de manuntenção</t>
  </si>
  <si>
    <t>https://drive.google.com/open?id=1jY0cM25q_KLDgdcp-saaIc4in_ZgYkFz&amp;usp=drive_fs</t>
  </si>
  <si>
    <t>Diárias de pedreiro</t>
  </si>
  <si>
    <t>Jonas</t>
  </si>
  <si>
    <t>https://drive.google.com/open?id=1zpnUq4xydbq4uH4vzDQPtxFTCPvT7odu&amp;usp=drive_fs</t>
  </si>
  <si>
    <t>Diárias de servente</t>
  </si>
  <si>
    <t>Italo lessa</t>
  </si>
  <si>
    <t>Realizado um pix de R$ 60 e outro pix de R$ 1,87</t>
  </si>
  <si>
    <t>https://drive.google.com/open?id=1m_54gx5klPgdJ3poTCgU4_MGTG6qZLuP&amp;usp=drive_fs</t>
  </si>
  <si>
    <t>Diárias roço do terreno</t>
  </si>
  <si>
    <t>https://drive.google.com/open?id=1Em9zcQ1RtA34gvs6hywJfngr_8QgwRdP&amp;usp=drive_fs</t>
  </si>
  <si>
    <t>https://drive.google.com/open?id=1GfGCTc788qq8-peu_hRRocasandSN8wj&amp;usp=drive_fs</t>
  </si>
  <si>
    <t>Compra da bomba dagua</t>
  </si>
  <si>
    <t>https://drive.google.com/open?id=1vOEaJY-pZCaNev5SFn4wTDja1noNLGRN&amp;usp=drive_fs</t>
  </si>
  <si>
    <t>Compra da bomba dagua (acessórios)</t>
  </si>
  <si>
    <t>https://drive.google.com/open?id=1VmEQUugMjeFd_GXbvNRHHoUtjXLjZBNf&amp;usp=drive_fs</t>
  </si>
  <si>
    <t>https://drive.google.com/open?id=1yqda_SXTPBjBO2eyQaSwDqzIMTtQylqr&amp;usp=drive_fs</t>
  </si>
  <si>
    <t>https://drive.google.com/open?id=1EeElcToUxJSWO3RKIuPW5A4Dm0Lw51GF&amp;usp=drive_fs</t>
  </si>
  <si>
    <t>Compra de areia grossa</t>
  </si>
  <si>
    <t>https://drive.google.com/open?id=14SzMAhZALJKz5sbVEBjeqEVdaqB_AdBY&amp;usp=drive_fs</t>
  </si>
  <si>
    <t>https://drive.google.com/open?id=1aa6siCGhQjjeUFbc3n9rJGbtE-YBZJ8q&amp;usp=drive_fs</t>
  </si>
  <si>
    <t>Café da manhã - Dias de mutirão</t>
  </si>
  <si>
    <t>https://drive.google.com/open?id=1RAD7JC0d_hFXvGXtOKOcjgNvLYxh-Dkk&amp;usp=drive_fs</t>
  </si>
  <si>
    <t>Salgados</t>
  </si>
  <si>
    <t>https://drive.google.com/open?id=1R8-8Ebl5hVr7Jf3A2BoGeVEDQeMIZZCD&amp;usp=drive_fs</t>
  </si>
  <si>
    <t>Ação entre amigos - Ingressos Beach Park</t>
  </si>
  <si>
    <t>Solicitado à C. Mônica</t>
  </si>
  <si>
    <t>https://drive.google.com/open?id=1SvcAUGA-rW3nxrpD52wbwMLIa5fSoR9F&amp;usp=drive_fs</t>
  </si>
  <si>
    <t>CECILIA MARIA CUNHA</t>
  </si>
  <si>
    <t>VITOR HUGO PAIVA DE SOUSA</t>
  </si>
  <si>
    <t>BRUNO BEZERRA GOMES</t>
  </si>
  <si>
    <t>WESLEY</t>
  </si>
  <si>
    <t>Ação entre amigos - Stone</t>
  </si>
  <si>
    <t>Confraternização M. Soter</t>
  </si>
  <si>
    <t>Caixa Plantio - Venda de Frutas (PIX) - Cora</t>
  </si>
  <si>
    <t>Caixa Plantio - Venda de Frutas (PIX) - Pagbank</t>
  </si>
  <si>
    <t>Caixa Plantio - Venda de Frutas (Dinheiro)</t>
  </si>
  <si>
    <t>Inscrições curso DPMA - Cora</t>
  </si>
  <si>
    <t>Inscrições curso DPMA - Pagbank</t>
  </si>
  <si>
    <t>Pagbank (conta encerrada em agosto/24)</t>
  </si>
  <si>
    <t>11a Região - Extra (taxa encontro plantio)</t>
  </si>
  <si>
    <t>IR Rendimento Pagbank (conta encerrada em agosto/24)</t>
  </si>
  <si>
    <t>Desconto Maquina Conta Pagbank</t>
  </si>
  <si>
    <t>Fechadura digital</t>
  </si>
  <si>
    <t>Ar Condicionado Berçário - Aquisição</t>
  </si>
  <si>
    <t>Capa da máquina de lavar copos</t>
  </si>
  <si>
    <t>Auxílio combustível</t>
  </si>
  <si>
    <t>Alimentação Sessão 22 de Julho</t>
  </si>
  <si>
    <t>Bolo aniversário</t>
  </si>
  <si>
    <t>Água de coco e coco</t>
  </si>
  <si>
    <t>Diária mestre de obras</t>
  </si>
  <si>
    <t>Serviço de corte da "barreira"</t>
  </si>
  <si>
    <t>Frete material de construção</t>
  </si>
  <si>
    <t>Madeireira</t>
  </si>
  <si>
    <t>Lâmpadas</t>
  </si>
  <si>
    <t>Serviço manutenção elétrica</t>
  </si>
  <si>
    <t>Boia para bomba d'agua</t>
  </si>
  <si>
    <t>Conserto Roçadeira</t>
  </si>
  <si>
    <t>Melhoria de segurança nas fechaduras digitais</t>
  </si>
  <si>
    <t>Locação de máquina para nivelamento da pista</t>
  </si>
  <si>
    <t>Serviço de recuperação dos pés das mesas de ferro</t>
  </si>
  <si>
    <t>Compra de materiais para reforma do novo espaço</t>
  </si>
  <si>
    <t>Despesa 10</t>
  </si>
  <si>
    <t>Despesa 11</t>
  </si>
  <si>
    <t>Despesa 12</t>
  </si>
  <si>
    <t>Despesa 13</t>
  </si>
  <si>
    <t>Despesa 14</t>
  </si>
  <si>
    <t>Despesa 15</t>
  </si>
  <si>
    <t>Despesa 16</t>
  </si>
  <si>
    <t>Despesa 17</t>
  </si>
  <si>
    <t>Despesa 18</t>
  </si>
  <si>
    <t>Despesa 19</t>
  </si>
  <si>
    <t>Despesa 20</t>
  </si>
  <si>
    <t>Despesa 21</t>
  </si>
  <si>
    <t>Devolução de material da obra da cozinha</t>
  </si>
  <si>
    <t>Contribuição Almoço dia da Beneficência</t>
  </si>
  <si>
    <t>Contribuição Encontro de Pais</t>
  </si>
  <si>
    <t>Doação para construção da cozinha</t>
  </si>
  <si>
    <t>11a Região - Extra (taxa encontro CONACE)</t>
  </si>
  <si>
    <t>Lanche - Adventícios</t>
  </si>
  <si>
    <t>Lanche sessão de casal</t>
  </si>
  <si>
    <t>Sessão Cosme e Damião - Lanche</t>
  </si>
  <si>
    <t>Almoço funcionários da obra</t>
  </si>
  <si>
    <t>Reposição de peças para o banheiro feminino</t>
  </si>
  <si>
    <t>Pagamento mensal CDUCM - Rateio aluguel</t>
  </si>
  <si>
    <t>Dia da Beneficência - Almoço</t>
  </si>
  <si>
    <t>Dia da Beneficência - Gráfica</t>
  </si>
  <si>
    <t>Dia da Beneficência - Diária Cozinheira</t>
  </si>
  <si>
    <t>Encontro de pais - Impressão</t>
  </si>
  <si>
    <t>Encontro de pais - Cozinheira</t>
  </si>
  <si>
    <t>Encontro de pais - Lanche</t>
  </si>
  <si>
    <t>Observação:</t>
  </si>
  <si>
    <t>Contribuição Almoço 01 de Novembro</t>
  </si>
  <si>
    <t>Ingressos Beach Park Beneficência</t>
  </si>
  <si>
    <t>Troco em espécie Despesa Decoração</t>
  </si>
  <si>
    <t>Auxílio combustível materiais doados para o núcleo</t>
  </si>
  <si>
    <t>Lanche - Sessão Extra</t>
  </si>
  <si>
    <t>Repasse Núcleo Fortaleza</t>
  </si>
  <si>
    <t>Sessão de Casal</t>
  </si>
  <si>
    <t>Lanche Sessão 1 de novembro</t>
  </si>
  <si>
    <t>Material da obra</t>
  </si>
  <si>
    <t>Material para pia</t>
  </si>
  <si>
    <t>Materiais elétricos para estacionamento</t>
  </si>
  <si>
    <t>Escada</t>
  </si>
  <si>
    <t>Retirada de árvores do estacionamento</t>
  </si>
  <si>
    <t>Serviço de eletricista</t>
  </si>
  <si>
    <t>Adesivos para copos</t>
  </si>
  <si>
    <t>Compra de copos de alumínio</t>
  </si>
  <si>
    <t>Contribuição Jantar 01 de Novembro</t>
  </si>
  <si>
    <t>Empréstimo para obra - Cozinha e Refeitório</t>
  </si>
  <si>
    <t>13° Salário</t>
  </si>
  <si>
    <t>Diárias de serviço - Limpeza Estacionamento</t>
  </si>
  <si>
    <t>Aluguel de mesas e cadeiras de plástico</t>
  </si>
  <si>
    <t>Escala Anual</t>
  </si>
  <si>
    <t>Confraternização Getúlio</t>
  </si>
  <si>
    <t>Sessão de Casal - Lembrancinhas</t>
  </si>
  <si>
    <t>Sessã de Casal - Lanche</t>
  </si>
  <si>
    <t>Sessã de Casal - Mercado</t>
  </si>
  <si>
    <t>Diárias Mestre de Obras Raimundo Nonato</t>
  </si>
  <si>
    <t>Galvanização de material</t>
  </si>
  <si>
    <t>Serviço de manutenção elétrica</t>
  </si>
  <si>
    <t>Brinquedos para dia das crianças na comunidade</t>
  </si>
  <si>
    <t>Alimentação dia das crianças</t>
  </si>
  <si>
    <t>Camisas - compra da camisa básica</t>
  </si>
  <si>
    <r>
      <rPr>
        <b/>
        <sz val="10"/>
        <color theme="1"/>
        <rFont val="Calibri"/>
      </rPr>
      <t xml:space="preserve">Observação: </t>
    </r>
    <r>
      <rPr>
        <sz val="10"/>
        <color theme="1"/>
        <rFont val="Calibri"/>
      </rPr>
      <t xml:space="preserve">
</t>
    </r>
  </si>
  <si>
    <t>Inauguração Cozinha - Ingressos</t>
  </si>
  <si>
    <t>Inauguração Cozinha - Doação para Cantina</t>
  </si>
  <si>
    <t>Inauguração Cozinha - Bazar</t>
  </si>
  <si>
    <t>Venda de Bananas do Plantio - Cora</t>
  </si>
  <si>
    <t>Venda de Bananas do Plantio - Pagbank</t>
  </si>
  <si>
    <t>11a Região - Expedição Fazenda Bom Conselho</t>
  </si>
  <si>
    <t>Materiais para ampliação da internet</t>
  </si>
  <si>
    <t>Frete</t>
  </si>
  <si>
    <t>Compras lembrancinhas de Natal Wesley e Família</t>
  </si>
  <si>
    <t>Pagamento do empréstimo</t>
  </si>
  <si>
    <t>Torneira da pia da cozinha</t>
  </si>
  <si>
    <t>Peça para roçadeira</t>
  </si>
  <si>
    <t>Materiais diversos para manutenção</t>
  </si>
  <si>
    <t>Alimentação para atividade na comunidade</t>
  </si>
  <si>
    <t>Cantina Núcleo (Inauguração)</t>
  </si>
  <si>
    <t>Inauguração da Cozinha</t>
  </si>
  <si>
    <t>Locação do espaço</t>
  </si>
  <si>
    <t>Estampagem camisas</t>
  </si>
  <si>
    <t>Ação entre amigos - Prêmio</t>
  </si>
  <si>
    <r>
      <rPr>
        <b/>
        <sz val="10"/>
        <color theme="1"/>
        <rFont val="Calibri"/>
      </rPr>
      <t xml:space="preserve">Observação: </t>
    </r>
    <r>
      <rPr>
        <sz val="10"/>
        <color theme="1"/>
        <rFont val="Calibri"/>
      </rPr>
      <t xml:space="preserve">
</t>
    </r>
  </si>
  <si>
    <t>TOTAL
2025</t>
  </si>
  <si>
    <t>Cantina núcleo</t>
  </si>
  <si>
    <t>Cantina preparo</t>
  </si>
  <si>
    <t>IR Pagbank</t>
  </si>
  <si>
    <t>Desconto maquininhas Pagbank</t>
  </si>
  <si>
    <t>Lanche após a sessão</t>
  </si>
  <si>
    <t>APRESENTAÇÃO DO BALANCETE
NÚCLEO LINHA DE TUCUNACÁ</t>
  </si>
  <si>
    <t>SALDO INICIAL:</t>
  </si>
  <si>
    <t>MENSALIDADES</t>
  </si>
  <si>
    <t>PROMOÇÃO</t>
  </si>
  <si>
    <t>Mensalidade líquida........................................................................................</t>
  </si>
  <si>
    <t>Repasse Diretoria Geral........................................................................................</t>
  </si>
  <si>
    <t>OUTRAS RECEITAS</t>
  </si>
  <si>
    <t>Repasse 11a Região........................................................................................</t>
  </si>
  <si>
    <t>Caixa da boa vontade........................................................................................</t>
  </si>
  <si>
    <t>Contribuintes Beneficência........................................................................................</t>
  </si>
  <si>
    <t>Caixa do jantar........................................................................................</t>
  </si>
  <si>
    <t>Contribuintes Novo Encanto........................................................................................</t>
  </si>
  <si>
    <t>Contribuintes Plantio........................................................................................</t>
  </si>
  <si>
    <t>Fundo de Reserva - Bilhete Aéreo........................................................................................</t>
  </si>
  <si>
    <t>Fundo de Reserva - Construção........................................................................................</t>
  </si>
  <si>
    <t>Taxas extras........................................................................................</t>
  </si>
  <si>
    <t>RENDIMENTO FINANCEIRO</t>
  </si>
  <si>
    <t>DOAÇÃO</t>
  </si>
  <si>
    <t>TOTAL DE ENTRADAS:</t>
  </si>
  <si>
    <t>ADMINISTRATIVAS</t>
  </si>
  <si>
    <t>ORGAN</t>
  </si>
  <si>
    <t>Salário Zelador........................................................................................</t>
  </si>
  <si>
    <t>Mercado........................................................................................</t>
  </si>
  <si>
    <t>Encargos sociais........................................................................................</t>
  </si>
  <si>
    <t>Cesta básica........................................................................................</t>
  </si>
  <si>
    <t>Jantar........................................................................................</t>
  </si>
  <si>
    <t>Água mineral........................................................................................</t>
  </si>
  <si>
    <t>Vigilância........................................................................................</t>
  </si>
  <si>
    <t>REPASSES</t>
  </si>
  <si>
    <t>Diretoria Geral........................................................................................</t>
  </si>
  <si>
    <t>Internet........................................................................................</t>
  </si>
  <si>
    <t>11a Região........................................................................................</t>
  </si>
  <si>
    <t>Novo Encanto........................................................................................</t>
  </si>
  <si>
    <t>AQUISIÇÕES</t>
  </si>
  <si>
    <t>DEPARTAMENTOS</t>
  </si>
  <si>
    <t>Beneficência........................................................................................</t>
  </si>
  <si>
    <t>Plantio........................................................</t>
  </si>
  <si>
    <t>MANUTENÇÃO</t>
  </si>
  <si>
    <t>Decoração....................................................</t>
  </si>
  <si>
    <t>CONSTRUÇÃO</t>
  </si>
  <si>
    <t>TOTAL DE SAÍDAS:</t>
  </si>
  <si>
    <t>SALDO FINANCEIRO</t>
  </si>
  <si>
    <t>Saldo Inicial........................................................................................</t>
  </si>
  <si>
    <t>Receitas........................................................................................</t>
  </si>
  <si>
    <t>Despesas........................................................................................</t>
  </si>
  <si>
    <t>CAIXAS - TESOURARIA / DEPARTAMENTOS</t>
  </si>
  <si>
    <t>Taxa de inadimplência no mês........................................................................................</t>
  </si>
  <si>
    <t>Operacional Tesouraria........................................................................................</t>
  </si>
  <si>
    <t>Taxa de inadimplência atual........................................................................................</t>
  </si>
  <si>
    <t>Taxa de atrasos no mês........................................................................................</t>
  </si>
  <si>
    <t>Plantio........................................................................................</t>
  </si>
  <si>
    <t>Fundo de Reserva - Construções........................................................................................</t>
  </si>
  <si>
    <t>Caixa</t>
  </si>
  <si>
    <t>Comprovante</t>
  </si>
  <si>
    <t>Plano de contas DG</t>
  </si>
  <si>
    <t>CONTAS DE RECEITAS</t>
  </si>
  <si>
    <t>1.1</t>
  </si>
  <si>
    <t>1.1.2001</t>
  </si>
  <si>
    <t>RECEITAS OPERACIONAIS</t>
  </si>
  <si>
    <t>1.1.1.01</t>
  </si>
  <si>
    <t>RECEITAS DE ASSOCIADOS</t>
  </si>
  <si>
    <t>1.1.1.01.0001</t>
  </si>
  <si>
    <t>Mensalidades</t>
  </si>
  <si>
    <t>1.1.1.01.0002</t>
  </si>
  <si>
    <t>Doações</t>
  </si>
  <si>
    <t>1.1.1.01.0003</t>
  </si>
  <si>
    <t>Dízimos</t>
  </si>
  <si>
    <t>1.1.1.01.0004</t>
  </si>
  <si>
    <t>Contribuição Plantio</t>
  </si>
  <si>
    <t>1.1.1.01.0005</t>
  </si>
  <si>
    <t>Contribuição Festividades</t>
  </si>
  <si>
    <t>1.1.1.01.0006</t>
  </si>
  <si>
    <t>Contribuição Alimentação</t>
  </si>
  <si>
    <t>1.1.1.01.0007</t>
  </si>
  <si>
    <t>Contribuição Preparo</t>
  </si>
  <si>
    <t>1.1.1.01.0008</t>
  </si>
  <si>
    <t>Contribuição Segurança</t>
  </si>
  <si>
    <t>1.1.1.01.0009</t>
  </si>
  <si>
    <t>Outras Receitas de Associados</t>
  </si>
  <si>
    <t>1.1.1.02</t>
  </si>
  <si>
    <t>RECEITAS DE CONTRIBUIÇÕES</t>
  </si>
  <si>
    <t>1.1.1.02.0001</t>
  </si>
  <si>
    <t>Fundo Participação</t>
  </si>
  <si>
    <t>1.1.1.02.0002</t>
  </si>
  <si>
    <t>Fundo de Saúde</t>
  </si>
  <si>
    <t>1.1.1.02.0003</t>
  </si>
  <si>
    <t>Fundo Ambiental</t>
  </si>
  <si>
    <t>1.1.1.02.0004</t>
  </si>
  <si>
    <t>Fundo Beneficente</t>
  </si>
  <si>
    <t>1.1.1.02.0005</t>
  </si>
  <si>
    <t>Fundo Regional</t>
  </si>
  <si>
    <t>1.1.1.02.0006</t>
  </si>
  <si>
    <t>Mensalidades Novo Encanto</t>
  </si>
  <si>
    <t>1.1.1.02.0007</t>
  </si>
  <si>
    <t>Mensalidades Casa da União</t>
  </si>
  <si>
    <t>1.1.1.02.0008</t>
  </si>
  <si>
    <t>Contribuição Eventos/Encontros</t>
  </si>
  <si>
    <t>1.1.1.03</t>
  </si>
  <si>
    <t>RECEITAS ADMINITRATIVAS</t>
  </si>
  <si>
    <t>1.1.1.03.0001</t>
  </si>
  <si>
    <t>Bazar</t>
  </si>
  <si>
    <t>1.1.1.03.0002</t>
  </si>
  <si>
    <t>Alugueis</t>
  </si>
  <si>
    <t>1.1.1.03.0003</t>
  </si>
  <si>
    <t>Encontros</t>
  </si>
  <si>
    <t>1.1.1.03.0004</t>
  </si>
  <si>
    <t>Promoções</t>
  </si>
  <si>
    <t>1.1.1.03.0005</t>
  </si>
  <si>
    <t>Cantina</t>
  </si>
  <si>
    <t>1.1.1.03.0006</t>
  </si>
  <si>
    <t>Outras Receitas Administrativas</t>
  </si>
  <si>
    <t>1.1.1.04</t>
  </si>
  <si>
    <t>RECUPERAÇÕES DE DESPESAS</t>
  </si>
  <si>
    <t>1.1.1.04.0001</t>
  </si>
  <si>
    <t>Reembolso de Funcionários</t>
  </si>
  <si>
    <t>1.1.1.04.0002</t>
  </si>
  <si>
    <t>Desconto de Faltas</t>
  </si>
  <si>
    <t>1.1.1.04.0003</t>
  </si>
  <si>
    <t>Desconto de Aviso Prévio</t>
  </si>
  <si>
    <t>1.1.1.05</t>
  </si>
  <si>
    <t>RECEITAS FINANCEIRAS</t>
  </si>
  <si>
    <t>1.1.1.05.0001</t>
  </si>
  <si>
    <t>Rendimentos de Poupança</t>
  </si>
  <si>
    <t>1.1.1.05.0002</t>
  </si>
  <si>
    <t>Rendimentos de Aplicações</t>
  </si>
  <si>
    <t>1.1.1.06</t>
  </si>
  <si>
    <t>1.1.1.06.0001</t>
  </si>
  <si>
    <t>Empréstimos</t>
  </si>
  <si>
    <t>CONTAS DE DESPESAS</t>
  </si>
  <si>
    <t>2.1</t>
  </si>
  <si>
    <t>2.1.2001</t>
  </si>
  <si>
    <t>DESPESAS OPERACIONAIS</t>
  </si>
  <si>
    <t>2.1.1.01</t>
  </si>
  <si>
    <t>DESPESAS COM PESSOAL</t>
  </si>
  <si>
    <t>2.1.1.01.0001</t>
  </si>
  <si>
    <t>Salários e Ordenados</t>
  </si>
  <si>
    <t>2.1.1.01.0002</t>
  </si>
  <si>
    <t>2.1.1.01.0003</t>
  </si>
  <si>
    <t>2.1.1.01.0004</t>
  </si>
  <si>
    <t>PIS sobre Folha</t>
  </si>
  <si>
    <t>2.1.1.01.0005</t>
  </si>
  <si>
    <t>Indenizações e Aviso Prévio</t>
  </si>
  <si>
    <t>2.1.1.01.0006</t>
  </si>
  <si>
    <t>Plano de Saúde</t>
  </si>
  <si>
    <t>2.1.1.01.0007</t>
  </si>
  <si>
    <t>Plano Odontológico</t>
  </si>
  <si>
    <t>2.1.1.01.0008</t>
  </si>
  <si>
    <t>Seguro de Vida</t>
  </si>
  <si>
    <t>2.1.1.01.0009</t>
  </si>
  <si>
    <t>2.1.1.01.0010</t>
  </si>
  <si>
    <t>INSS</t>
  </si>
  <si>
    <t>2.1.1.01.0011</t>
  </si>
  <si>
    <t>FGTS Rescisório</t>
  </si>
  <si>
    <t>2.1.1.01.0012</t>
  </si>
  <si>
    <t>INSS Patronal</t>
  </si>
  <si>
    <t>2.1.1.01.0013</t>
  </si>
  <si>
    <t>FGTS s/ Férias</t>
  </si>
  <si>
    <t>2.1.1.01.0014</t>
  </si>
  <si>
    <t>INSS s/ Férias</t>
  </si>
  <si>
    <t>2.1.1.01.0015</t>
  </si>
  <si>
    <t>FGTS s/ 13° Salário</t>
  </si>
  <si>
    <t>2.1.1.01.0016</t>
  </si>
  <si>
    <t>INSS s/ 13° Salário</t>
  </si>
  <si>
    <t>2.1.1.01.0017</t>
  </si>
  <si>
    <t>Vale Alimentação</t>
  </si>
  <si>
    <t>2.1.1.01.0018</t>
  </si>
  <si>
    <t>Vale Transporte</t>
  </si>
  <si>
    <t>2.1.1.01.0019</t>
  </si>
  <si>
    <t>Contribuição Sindical</t>
  </si>
  <si>
    <t>2.1.1.01.0020</t>
  </si>
  <si>
    <t>Prêmios e Gratificações</t>
  </si>
  <si>
    <t>2.1.1.01.0021</t>
  </si>
  <si>
    <t>Bolsa Auxílio</t>
  </si>
  <si>
    <t>2.1.1.01.0022</t>
  </si>
  <si>
    <t>IRRF</t>
  </si>
  <si>
    <t>2.1.1.02</t>
  </si>
  <si>
    <t>DESPESAS COM CONTRIBUIÇÕES</t>
  </si>
  <si>
    <t>2.1.1.02.0001</t>
  </si>
  <si>
    <t>2.1.1.02.0002</t>
  </si>
  <si>
    <t>2.1.1.02.0003</t>
  </si>
  <si>
    <t>2.1.1.02.0004</t>
  </si>
  <si>
    <t>2.1.1.02.0005</t>
  </si>
  <si>
    <t>2.1.1.02.0006</t>
  </si>
  <si>
    <t>2.1.1.02.0007</t>
  </si>
  <si>
    <t>2.1.1.02.0008</t>
  </si>
  <si>
    <t>2.1.1.02.0009</t>
  </si>
  <si>
    <t>Repasses</t>
  </si>
  <si>
    <t>2.1.1.02.0010</t>
  </si>
  <si>
    <t>Associação Prosperar</t>
  </si>
  <si>
    <t>2.1.1.02.0011</t>
  </si>
  <si>
    <t>Eventos/Encontros</t>
  </si>
  <si>
    <t>2.1.1.02.0012</t>
  </si>
  <si>
    <t>Departamentos</t>
  </si>
  <si>
    <t>2.1.1.03</t>
  </si>
  <si>
    <t>DESPESAS ADMINISTRATIVAS</t>
  </si>
  <si>
    <t>2.1.1.03.0001</t>
  </si>
  <si>
    <t>2.1.1.03.0002</t>
  </si>
  <si>
    <t>Água</t>
  </si>
  <si>
    <t>2.1.1.03.0003</t>
  </si>
  <si>
    <t>Telefone</t>
  </si>
  <si>
    <t>2.1.1.03.0004</t>
  </si>
  <si>
    <t>Celular</t>
  </si>
  <si>
    <t>2.1.1.03.0005</t>
  </si>
  <si>
    <t>2.1.1.03.0006</t>
  </si>
  <si>
    <t>Combustíveis e Lubrificantes</t>
  </si>
  <si>
    <t>2.1.1.03.0007</t>
  </si>
  <si>
    <t>Material de Expediente</t>
  </si>
  <si>
    <t>2.1.1.03.0008</t>
  </si>
  <si>
    <t>Despesas Postais</t>
  </si>
  <si>
    <t>2.1.1.03.0009</t>
  </si>
  <si>
    <t>Despesas c/Cartório</t>
  </si>
  <si>
    <t>2.1.1.03.0010</t>
  </si>
  <si>
    <t>Despesas Gráficas</t>
  </si>
  <si>
    <t>2.1.1.03.0011</t>
  </si>
  <si>
    <t>Fretes</t>
  </si>
  <si>
    <t>2.1.1.03.0012</t>
  </si>
  <si>
    <t>2.1.1.03.0013</t>
  </si>
  <si>
    <t>Aluguel ou Arrendamento</t>
  </si>
  <si>
    <t>2.1.1.03.0014</t>
  </si>
  <si>
    <t>Honorários Contábeis</t>
  </si>
  <si>
    <t>2.1.1.03.0015</t>
  </si>
  <si>
    <t>Serviços Prestados PJ</t>
  </si>
  <si>
    <t>2.1.1.03.0016</t>
  </si>
  <si>
    <t>Serviços Prestados PF</t>
  </si>
  <si>
    <t>2.1.1.03.0017</t>
  </si>
  <si>
    <t>ISS Autônomos</t>
  </si>
  <si>
    <t>2.1.1.03.0018</t>
  </si>
  <si>
    <t>Manutenção Predial</t>
  </si>
  <si>
    <t>2.1.1.03.0019</t>
  </si>
  <si>
    <t>Manutenção de Sistemas</t>
  </si>
  <si>
    <t>2.1.1.03.0020</t>
  </si>
  <si>
    <t>Manuntenção de Máq e Equipamentos</t>
  </si>
  <si>
    <t>2.1.1.03.0021</t>
  </si>
  <si>
    <t>Equipamento de Informática</t>
  </si>
  <si>
    <t>2.1.1.03.0022</t>
  </si>
  <si>
    <t>Material Uso e Consumo</t>
  </si>
  <si>
    <t>2.1.1.03.0023</t>
  </si>
  <si>
    <t>Material de Limpeza e Conservação</t>
  </si>
  <si>
    <t>2.1.1.03.0024</t>
  </si>
  <si>
    <t>2.1.1.03.0025</t>
  </si>
  <si>
    <t>Viagens e Estadias</t>
  </si>
  <si>
    <t>2.1.1.03.0026</t>
  </si>
  <si>
    <t>Plantio</t>
  </si>
  <si>
    <t>2.1.1.03.0027</t>
  </si>
  <si>
    <t>Preparo</t>
  </si>
  <si>
    <t>2.1.1.03.0028</t>
  </si>
  <si>
    <t>Consórcios</t>
  </si>
  <si>
    <t>2.1.1.03.0029</t>
  </si>
  <si>
    <t>2.1.1.03.0030</t>
  </si>
  <si>
    <t>2.1.1.03.0031</t>
  </si>
  <si>
    <t>Depreciação</t>
  </si>
  <si>
    <t>2.1.1.03.0032</t>
  </si>
  <si>
    <t>Amortização</t>
  </si>
  <si>
    <t>2.1.1.03.0033</t>
  </si>
  <si>
    <t>Custas Processuais</t>
  </si>
  <si>
    <t>2.1.1.03.0034</t>
  </si>
  <si>
    <t>Acordo Judicial</t>
  </si>
  <si>
    <t>2.1.1.03.0035</t>
  </si>
  <si>
    <t>TLF Alvará</t>
  </si>
  <si>
    <t>2.1.1.03.0036</t>
  </si>
  <si>
    <t>Gás de Cozinha</t>
  </si>
  <si>
    <t>2.1.1.03.0037</t>
  </si>
  <si>
    <t>Alimentação Preparo</t>
  </si>
  <si>
    <t>2.1.1.03.0038</t>
  </si>
  <si>
    <t>Bens de Pequeno Valor</t>
  </si>
  <si>
    <t>2.1.1.03.0039</t>
  </si>
  <si>
    <t>Outras Despesas Administrativas</t>
  </si>
  <si>
    <t>2.1.1.04</t>
  </si>
  <si>
    <t>DESPESAS FINANCEIRAS</t>
  </si>
  <si>
    <t>2.1.1.04.0001</t>
  </si>
  <si>
    <t>Taxas Diversas</t>
  </si>
  <si>
    <t>2.1.1.04.0002</t>
  </si>
  <si>
    <t>Tarifas Bancárias</t>
  </si>
  <si>
    <t>2.1.1.04.0003</t>
  </si>
  <si>
    <t>Taxas Municipais</t>
  </si>
  <si>
    <t>2.1.1.04.0004</t>
  </si>
  <si>
    <t>Multa/Juros Diversos</t>
  </si>
  <si>
    <t>2.1.1.04.0005</t>
  </si>
  <si>
    <t>Multa/Juros s/ Empréstimos</t>
  </si>
  <si>
    <t>2.1.1.04.0006</t>
  </si>
  <si>
    <t>IR s/ Aplicação Financeira</t>
  </si>
  <si>
    <t>2.1.1.04.0007</t>
  </si>
  <si>
    <t>IOF s/ Aplicação Financeira</t>
  </si>
  <si>
    <t>2.1.1.05</t>
  </si>
  <si>
    <t>ADIANTAMENTOS</t>
  </si>
  <si>
    <t>2.1.1.05.0001</t>
  </si>
  <si>
    <t>Adiantamento a Terceiros</t>
  </si>
  <si>
    <t>2.1.1.05.0002</t>
  </si>
  <si>
    <t>Adiantamento Presidente</t>
  </si>
  <si>
    <t>2.1.1.05.0003</t>
  </si>
  <si>
    <t>Adiantamento Organ</t>
  </si>
  <si>
    <t>2.1.1.05.0004</t>
  </si>
  <si>
    <t>Adiantamento aos Departamentos</t>
  </si>
  <si>
    <t>2.1.1.05.0005</t>
  </si>
  <si>
    <t>Adiantamento a Empregados</t>
  </si>
  <si>
    <t>2.1.1.05.0006</t>
  </si>
  <si>
    <t>Adiantamento a Fornecedores</t>
  </si>
  <si>
    <t>2.1.1.06</t>
  </si>
  <si>
    <t>IMOBILIZADO: BENS MÓVEIS</t>
  </si>
  <si>
    <t>2.1.1.06.0001</t>
  </si>
  <si>
    <t>Móveis e Utensílios</t>
  </si>
  <si>
    <t>2.1.1.06.0002</t>
  </si>
  <si>
    <t>Máquinas e Equipamentos</t>
  </si>
  <si>
    <t>2.1.1.06.0003</t>
  </si>
  <si>
    <t>Aparelhos Eletrônicos</t>
  </si>
  <si>
    <t>2.1.1.06.0004</t>
  </si>
  <si>
    <t>Ferramentas</t>
  </si>
  <si>
    <t>2.1.1.06.0005</t>
  </si>
  <si>
    <t>Sistemas</t>
  </si>
  <si>
    <t>2.1.1.06.0006</t>
  </si>
  <si>
    <t>Agrícola</t>
  </si>
  <si>
    <t>2.1.1.06.0007</t>
  </si>
  <si>
    <t>Outros</t>
  </si>
  <si>
    <t>2.1.1.07</t>
  </si>
  <si>
    <t>IMOBILIZADO: BENS IMÓVEIS</t>
  </si>
  <si>
    <t>2.1.1.07.0001</t>
  </si>
  <si>
    <t>Construções em Andamento</t>
  </si>
  <si>
    <t>2.1.1.07.0002</t>
  </si>
  <si>
    <t>Benfeitoria em Imóveis de Terceiro</t>
  </si>
  <si>
    <t>2.1.1.07.0003</t>
  </si>
  <si>
    <t>Edificações</t>
  </si>
  <si>
    <t>2.1.1.07.0004</t>
  </si>
  <si>
    <t>Terrenos</t>
  </si>
  <si>
    <t>Sua nota tem valor....................................................</t>
  </si>
  <si>
    <t>Cantina do núcleo....................................................</t>
  </si>
  <si>
    <t>Ação entre amigos....................................................</t>
  </si>
  <si>
    <t>Lanche sessões de escala........................................................................................</t>
  </si>
  <si>
    <t>Energia elétrica........................................................................................</t>
  </si>
  <si>
    <t>Pagamento de empréstimo........................................................................................</t>
  </si>
  <si>
    <t>DISPONIBILIDADE DOS RECURSOS</t>
  </si>
  <si>
    <t>Dinheiro em banco........................................................................................</t>
  </si>
  <si>
    <t>Dinheiro em espécie........................................................................................</t>
  </si>
  <si>
    <t>Resultado mensal...................................................</t>
  </si>
  <si>
    <t>Saldo em 30/06/2025........................................................................................</t>
  </si>
  <si>
    <t>JULHO DE 2025</t>
  </si>
  <si>
    <t>Grupo Desapego....................................................</t>
  </si>
  <si>
    <t>Venda de itens recebidos de doação........................................................................................</t>
  </si>
  <si>
    <t>Cota sobremesa almoço 22 de julho........................................................................................</t>
  </si>
  <si>
    <t>Rendimento conta Pagbank........................................................................................</t>
  </si>
  <si>
    <t>Doação para compra de itens para o Jardim........................................................................................</t>
  </si>
  <si>
    <t>Auxílio combustível M. Alexandre....................</t>
  </si>
  <si>
    <t>Restituição de valores ao núcleo........................................................................................</t>
  </si>
  <si>
    <t>Flor Divina (Junho)........................................................................................</t>
  </si>
  <si>
    <t>Flor Divina (Julho)........................................................................................</t>
  </si>
  <si>
    <t>Imposto de renda rendimento Pagbank........................................................................................</t>
  </si>
  <si>
    <t>Jardim...........................................................</t>
  </si>
  <si>
    <t>Bebedouro (parcela 3 de 6).............................................</t>
  </si>
  <si>
    <t>Câmeras de segurança (parcela 3 de 10).........................</t>
  </si>
  <si>
    <t>Lanche 22 de Julho........................................................................................</t>
  </si>
  <si>
    <t>Combustível M. Alexandre........................................................................................</t>
  </si>
  <si>
    <t>Madeira do guarda corpo (parcela 6 de 10)........................................................................................</t>
  </si>
  <si>
    <t>Porta e madeiras da escada (parcela 7 de 7)........................................................................................</t>
  </si>
  <si>
    <t>Laje (parcela 2 de 2)........................................................................................</t>
  </si>
  <si>
    <t>Promoção (Cantina)....................................................</t>
  </si>
  <si>
    <t>Promoção (Prêmio da ação entre amigos)....................................................</t>
  </si>
  <si>
    <t>Diárias de serviço (pedreiro e servente)........................................</t>
  </si>
  <si>
    <t>Materiais diversos de manutenção................................</t>
  </si>
  <si>
    <t>Bomba d'agua e acessórios................................</t>
  </si>
  <si>
    <t>Diárias de serviço (roço do terreno)........................................</t>
  </si>
  <si>
    <t>Areia...................................................................</t>
  </si>
  <si>
    <t>Combustível para roçadeira....................................</t>
  </si>
  <si>
    <t>Diárias de serviço (eletricista)........................................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</si>
</sst>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R$&quot;\ #,##0;[Red]\-&quot;R$&quot;\ #,##0"/>
    <numFmt numFmtId="164" formatCode="_-&quot;R$&quot;\ * #,##0.00_-;\-&quot;R$&quot;\ * #,##0.00_-;_-&quot;R$&quot;\ * &quot;-&quot;??_-;_-@"/>
    <numFmt numFmtId="165" formatCode="0.0%"/>
    <numFmt numFmtId="166" formatCode="&quot;R$&quot;\ #,##0.00"/>
  </numFmts>
  <fonts count="57" x14ac:knownFonts="1">
    <font>
      <sz val="11"/>
      <color theme="1"/>
      <name val="Calibri"/>
      <scheme val="minor"/>
    </font>
    <font>
      <sz val="11"/>
      <color theme="1"/>
      <name val="Calibri"/>
    </font>
    <font>
      <b/>
      <sz val="14"/>
      <color theme="1"/>
      <name val="Calibri"/>
    </font>
    <font>
      <b/>
      <sz val="14"/>
      <color theme="0"/>
      <name val="Calibri"/>
    </font>
    <font>
      <sz val="11"/>
      <name val="Calibri"/>
    </font>
    <font>
      <sz val="10"/>
      <color theme="1"/>
      <name val="Calibri"/>
    </font>
    <font>
      <b/>
      <sz val="22"/>
      <color theme="1"/>
      <name val="Bahnschrift"/>
    </font>
    <font>
      <b/>
      <sz val="10"/>
      <color theme="0"/>
      <name val="Calibri"/>
    </font>
    <font>
      <b/>
      <sz val="10"/>
      <color rgb="FFFFFFFF"/>
      <name val="Calibri"/>
    </font>
    <font>
      <b/>
      <sz val="16"/>
      <color theme="1"/>
      <name val="Bahnschrift"/>
    </font>
    <font>
      <b/>
      <sz val="9"/>
      <color theme="1"/>
      <name val="Calibri"/>
    </font>
    <font>
      <b/>
      <sz val="10"/>
      <color theme="1"/>
      <name val="Calibri"/>
    </font>
    <font>
      <sz val="9"/>
      <color theme="1"/>
      <name val="Calibri"/>
    </font>
    <font>
      <sz val="9"/>
      <color theme="0"/>
      <name val="Calibri"/>
    </font>
    <font>
      <b/>
      <sz val="11"/>
      <color theme="1"/>
      <name val="Calibri"/>
    </font>
    <font>
      <sz val="11"/>
      <color rgb="FFFF0000"/>
      <name val="Calibri"/>
    </font>
    <font>
      <b/>
      <sz val="16"/>
      <color rgb="FFFFFF00"/>
      <name val="Bahnschrift"/>
    </font>
    <font>
      <b/>
      <sz val="9"/>
      <color rgb="FFFFFF00"/>
      <name val="Calibri"/>
    </font>
    <font>
      <b/>
      <sz val="9"/>
      <color rgb="FFF7CAAC"/>
      <name val="Calibri"/>
    </font>
    <font>
      <b/>
      <sz val="9"/>
      <color rgb="FFDEEAF6"/>
      <name val="Calibri"/>
    </font>
    <font>
      <b/>
      <sz val="18"/>
      <color theme="1"/>
      <name val="Bahnschrift"/>
    </font>
    <font>
      <sz val="10"/>
      <color rgb="FFFF0000"/>
      <name val="Calibri"/>
    </font>
    <font>
      <b/>
      <sz val="10"/>
      <color rgb="FFFFFF00"/>
      <name val="Bahnschrift"/>
    </font>
    <font>
      <b/>
      <sz val="12"/>
      <color theme="1"/>
      <name val="Bahnschrift"/>
    </font>
    <font>
      <u/>
      <sz val="9"/>
      <color theme="1"/>
      <name val="Calibri"/>
    </font>
    <font>
      <u/>
      <sz val="9"/>
      <color theme="1"/>
      <name val="Calibri"/>
    </font>
    <font>
      <sz val="9"/>
      <color rgb="FFFF0000"/>
      <name val="Calibri"/>
    </font>
    <font>
      <u/>
      <sz val="11"/>
      <color theme="10"/>
      <name val="Calibri"/>
    </font>
    <font>
      <u/>
      <sz val="11"/>
      <color theme="10"/>
      <name val="Calibri"/>
    </font>
    <font>
      <b/>
      <sz val="9"/>
      <color theme="0"/>
      <name val="Calibri"/>
    </font>
    <font>
      <u/>
      <sz val="11"/>
      <color theme="10"/>
      <name val="Calibri"/>
    </font>
    <font>
      <u/>
      <sz val="11"/>
      <color theme="10"/>
      <name val="Calibri"/>
    </font>
    <font>
      <b/>
      <sz val="22"/>
      <color theme="0"/>
      <name val="Bahnschrift"/>
    </font>
    <font>
      <b/>
      <sz val="11"/>
      <color theme="0"/>
      <name val="Calibri"/>
    </font>
    <font>
      <b/>
      <sz val="11"/>
      <color rgb="FF7F7F7F"/>
      <name val="Calibri"/>
    </font>
    <font>
      <u/>
      <sz val="11"/>
      <color theme="10"/>
      <name val="Calibri"/>
    </font>
    <font>
      <u/>
      <sz val="11"/>
      <color theme="10"/>
      <name val="Calibri"/>
    </font>
    <font>
      <u/>
      <sz val="9"/>
      <color theme="10"/>
      <name val="Calibri"/>
    </font>
    <font>
      <sz val="9"/>
      <color theme="10"/>
      <name val="Calibri"/>
    </font>
    <font>
      <u/>
      <sz val="9"/>
      <color theme="10"/>
      <name val="Calibri"/>
    </font>
    <font>
      <sz val="11"/>
      <color theme="1"/>
      <name val="Roboto"/>
    </font>
    <font>
      <b/>
      <sz val="48"/>
      <color rgb="FFFFD965"/>
      <name val="Roboto"/>
    </font>
    <font>
      <b/>
      <sz val="36"/>
      <color rgb="FFFEF2CB"/>
      <name val="Roboto"/>
    </font>
    <font>
      <b/>
      <sz val="20"/>
      <color rgb="FFFFD44B"/>
      <name val="Roboto"/>
    </font>
    <font>
      <b/>
      <sz val="26"/>
      <color theme="0"/>
      <name val="Roboto"/>
    </font>
    <font>
      <b/>
      <sz val="20"/>
      <color theme="1"/>
      <name val="Roboto"/>
    </font>
    <font>
      <sz val="20"/>
      <color theme="1"/>
      <name val="Roboto"/>
    </font>
    <font>
      <b/>
      <sz val="20"/>
      <color rgb="FFFFD965"/>
      <name val="Roboto"/>
    </font>
    <font>
      <b/>
      <sz val="18"/>
      <color rgb="FFFFD965"/>
      <name val="Roboto"/>
    </font>
    <font>
      <sz val="18"/>
      <color theme="1"/>
      <name val="Roboto"/>
    </font>
    <font>
      <b/>
      <sz val="18"/>
      <color theme="0"/>
      <name val="Roboto"/>
    </font>
    <font>
      <b/>
      <sz val="17"/>
      <color theme="0"/>
      <name val="Roboto"/>
    </font>
    <font>
      <b/>
      <sz val="28"/>
      <color theme="0"/>
      <name val="Roboto"/>
    </font>
    <font>
      <b/>
      <sz val="18"/>
      <color rgb="FFFFD44B"/>
      <name val="Roboto"/>
    </font>
    <font>
      <sz val="10"/>
      <color theme="0"/>
      <name val="Roboto"/>
    </font>
    <font>
      <b/>
      <sz val="18"/>
      <color theme="5" tint="0.59999389629810485"/>
      <name val="Roboto"/>
    </font>
    <font>
      <sz val="11"/>
      <color theme="5" tint="0.59999389629810485"/>
      <name val="Calibri"/>
      <family val="2"/>
    </font>
  </fonts>
  <fills count="24">
    <fill>
      <patternFill patternType="none"/>
    </fill>
    <fill>
      <patternFill patternType="gray125"/>
    </fill>
    <fill>
      <patternFill patternType="solid">
        <fgColor rgb="FF44546A"/>
        <bgColor rgb="FF44546A"/>
      </patternFill>
    </fill>
    <fill>
      <patternFill patternType="solid">
        <fgColor theme="7"/>
        <bgColor theme="7"/>
      </patternFill>
    </fill>
    <fill>
      <patternFill patternType="solid">
        <fgColor theme="9"/>
        <bgColor theme="9"/>
      </patternFill>
    </fill>
    <fill>
      <patternFill patternType="solid">
        <fgColor theme="5"/>
        <bgColor theme="5"/>
      </patternFill>
    </fill>
    <fill>
      <patternFill patternType="solid">
        <fgColor rgb="FFFF0000"/>
        <bgColor rgb="FFFF0000"/>
      </patternFill>
    </fill>
    <fill>
      <patternFill patternType="solid">
        <fgColor theme="6"/>
        <bgColor theme="6"/>
      </patternFill>
    </fill>
    <fill>
      <patternFill patternType="solid">
        <fgColor theme="8"/>
        <bgColor theme="8"/>
      </patternFill>
    </fill>
    <fill>
      <patternFill patternType="solid">
        <fgColor rgb="FF595959"/>
        <bgColor rgb="FF595959"/>
      </patternFill>
    </fill>
    <fill>
      <patternFill patternType="solid">
        <fgColor rgb="FFFFE598"/>
        <bgColor rgb="FFFFE598"/>
      </patternFill>
    </fill>
    <fill>
      <patternFill patternType="solid">
        <fgColor rgb="FFF2F2F2"/>
        <bgColor rgb="FFF2F2F2"/>
      </patternFill>
    </fill>
    <fill>
      <patternFill patternType="solid">
        <fgColor theme="0"/>
        <bgColor theme="0"/>
      </patternFill>
    </fill>
    <fill>
      <patternFill patternType="solid">
        <fgColor rgb="FFFF9C85"/>
        <bgColor rgb="FFFF9C85"/>
      </patternFill>
    </fill>
    <fill>
      <patternFill patternType="solid">
        <fgColor rgb="FFA8D08D"/>
        <bgColor rgb="FFA8D08D"/>
      </patternFill>
    </fill>
    <fill>
      <patternFill patternType="solid">
        <fgColor rgb="FFD8D8D8"/>
        <bgColor rgb="FFD8D8D8"/>
      </patternFill>
    </fill>
    <fill>
      <patternFill patternType="solid">
        <fgColor rgb="FFD0CECE"/>
        <bgColor rgb="FFD0CECE"/>
      </patternFill>
    </fill>
    <fill>
      <patternFill patternType="solid">
        <fgColor rgb="FFC5E0B3"/>
        <bgColor rgb="FFC5E0B3"/>
      </patternFill>
    </fill>
    <fill>
      <patternFill patternType="solid">
        <fgColor rgb="FFF7CAAC"/>
        <bgColor rgb="FFF7CAAC"/>
      </patternFill>
    </fill>
    <fill>
      <patternFill patternType="solid">
        <fgColor rgb="FFFBE4D5"/>
        <bgColor rgb="FFFBE4D5"/>
      </patternFill>
    </fill>
    <fill>
      <patternFill patternType="solid">
        <fgColor theme="4"/>
        <bgColor theme="4"/>
      </patternFill>
    </fill>
    <fill>
      <patternFill patternType="solid">
        <fgColor rgb="FF7F7F7F"/>
        <bgColor rgb="FF7F7F7F"/>
      </patternFill>
    </fill>
    <fill>
      <patternFill patternType="solid">
        <fgColor rgb="FFFFFF00"/>
        <bgColor rgb="FFFFFF00"/>
      </patternFill>
    </fill>
    <fill>
      <patternFill patternType="solid">
        <fgColor rgb="FF328ECC"/>
        <bgColor rgb="FF328ECC"/>
      </patternFill>
    </fill>
  </fills>
  <borders count="82">
    <border>
      <left/>
      <right/>
      <top/>
      <bottom/>
      <diagonal/>
    </border>
    <border>
      <left/>
      <right/>
      <top/>
      <bottom/>
      <diagonal/>
    </border>
    <border>
      <left/>
      <right/>
      <top/>
      <bottom/>
      <diagonal/>
    </border>
    <border>
      <left style="thin">
        <color rgb="FF595959"/>
      </left>
      <right style="thin">
        <color theme="0"/>
      </right>
      <top style="thin">
        <color rgb="FF595959"/>
      </top>
      <bottom/>
      <diagonal/>
    </border>
    <border>
      <left style="thin">
        <color theme="0"/>
      </left>
      <right style="thin">
        <color theme="0"/>
      </right>
      <top style="thin">
        <color rgb="FF595959"/>
      </top>
      <bottom/>
      <diagonal/>
    </border>
    <border>
      <left style="thin">
        <color theme="0"/>
      </left>
      <right/>
      <top/>
      <bottom style="thin">
        <color theme="0"/>
      </bottom>
      <diagonal/>
    </border>
    <border>
      <left/>
      <right/>
      <top/>
      <bottom style="thin">
        <color theme="0"/>
      </bottom>
      <diagonal/>
    </border>
    <border>
      <left/>
      <right/>
      <top/>
      <bottom style="thin">
        <color theme="0"/>
      </bottom>
      <diagonal/>
    </border>
    <border>
      <left style="thin">
        <color rgb="FF595959"/>
      </left>
      <right style="thin">
        <color theme="0"/>
      </right>
      <top/>
      <bottom style="medium">
        <color theme="0"/>
      </bottom>
      <diagonal/>
    </border>
    <border>
      <left style="thin">
        <color theme="0"/>
      </left>
      <right style="thin">
        <color theme="0"/>
      </right>
      <top/>
      <bottom style="medium">
        <color theme="0"/>
      </bottom>
      <diagonal/>
    </border>
    <border>
      <left/>
      <right style="thin">
        <color theme="0"/>
      </right>
      <top style="thin">
        <color theme="0"/>
      </top>
      <bottom style="medium">
        <color theme="0"/>
      </bottom>
      <diagonal/>
    </border>
    <border>
      <left/>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rgb="FF595959"/>
      </left>
      <right style="thin">
        <color rgb="FF595959"/>
      </right>
      <top style="thin">
        <color rgb="FF595959"/>
      </top>
      <bottom style="thin">
        <color rgb="FF595959"/>
      </bottom>
      <diagonal/>
    </border>
    <border>
      <left/>
      <right style="thin">
        <color rgb="FF595959"/>
      </right>
      <top style="medium">
        <color theme="0"/>
      </top>
      <bottom style="medium">
        <color theme="0"/>
      </bottom>
      <diagonal/>
    </border>
    <border>
      <left style="thin">
        <color rgb="FF595959"/>
      </left>
      <right style="thin">
        <color rgb="FF595959"/>
      </right>
      <top style="medium">
        <color theme="0"/>
      </top>
      <bottom style="medium">
        <color theme="0"/>
      </bottom>
      <diagonal/>
    </border>
    <border>
      <left style="thin">
        <color rgb="FF595959"/>
      </left>
      <right style="thin">
        <color rgb="FF595959"/>
      </right>
      <top/>
      <bottom style="thin">
        <color rgb="FF595959"/>
      </bottom>
      <diagonal/>
    </border>
    <border>
      <left style="thin">
        <color rgb="FF595959"/>
      </left>
      <right style="thin">
        <color rgb="FF595959"/>
      </right>
      <top style="thin">
        <color rgb="FF595959"/>
      </top>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595959"/>
      </right>
      <top style="thin">
        <color theme="0"/>
      </top>
      <bottom style="medium">
        <color theme="0"/>
      </bottom>
      <diagonal/>
    </border>
    <border>
      <left style="thin">
        <color theme="0"/>
      </left>
      <right/>
      <top/>
      <bottom/>
      <diagonal/>
    </border>
    <border>
      <left/>
      <right/>
      <top/>
      <bottom/>
      <diagonal/>
    </border>
    <border>
      <left style="thin">
        <color theme="0"/>
      </left>
      <right/>
      <top/>
      <bottom style="medium">
        <color theme="0"/>
      </bottom>
      <diagonal/>
    </border>
    <border>
      <left/>
      <right/>
      <top/>
      <bottom style="medium">
        <color theme="0"/>
      </bottom>
      <diagonal/>
    </border>
    <border>
      <left/>
      <right/>
      <top style="medium">
        <color theme="0"/>
      </top>
      <bottom/>
      <diagonal/>
    </border>
    <border>
      <left style="thin">
        <color rgb="FF595959"/>
      </left>
      <right style="thin">
        <color theme="0"/>
      </right>
      <top style="medium">
        <color theme="0"/>
      </top>
      <bottom style="medium">
        <color theme="0"/>
      </bottom>
      <diagonal/>
    </border>
    <border>
      <left style="thin">
        <color theme="0"/>
      </left>
      <right style="thin">
        <color theme="0"/>
      </right>
      <top style="medium">
        <color theme="0"/>
      </top>
      <bottom/>
      <diagonal/>
    </border>
    <border>
      <left style="thin">
        <color theme="0"/>
      </left>
      <right/>
      <top style="medium">
        <color theme="0"/>
      </top>
      <bottom/>
      <diagonal/>
    </border>
    <border>
      <left style="thin">
        <color theme="0"/>
      </left>
      <right style="thin">
        <color rgb="FF595959"/>
      </right>
      <top style="medium">
        <color theme="0"/>
      </top>
      <bottom style="medium">
        <color theme="0"/>
      </bottom>
      <diagonal/>
    </border>
    <border>
      <left/>
      <right/>
      <top/>
      <bottom style="medium">
        <color theme="0"/>
      </bottom>
      <diagonal/>
    </border>
    <border>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top/>
      <bottom style="medium">
        <color theme="0"/>
      </bottom>
      <diagonal/>
    </border>
    <border>
      <left style="thin">
        <color rgb="FF595959"/>
      </left>
      <right style="thin">
        <color rgb="FF595959"/>
      </right>
      <top style="thin">
        <color rgb="FF595959"/>
      </top>
      <bottom/>
      <diagonal/>
    </border>
    <border>
      <left style="thin">
        <color rgb="FF595959"/>
      </left>
      <right/>
      <top style="thin">
        <color rgb="FF595959"/>
      </top>
      <bottom style="thin">
        <color rgb="FF595959"/>
      </bottom>
      <diagonal/>
    </border>
    <border>
      <left style="thin">
        <color rgb="FF595959"/>
      </left>
      <right style="thin">
        <color rgb="FF000000"/>
      </right>
      <top style="thin">
        <color rgb="FF595959"/>
      </top>
      <bottom/>
      <diagonal/>
    </border>
    <border>
      <left style="thin">
        <color rgb="FF000000"/>
      </left>
      <right style="thin">
        <color rgb="FF000000"/>
      </right>
      <top style="thin">
        <color rgb="FF000000"/>
      </top>
      <bottom style="thin">
        <color rgb="FF000000"/>
      </bottom>
      <diagonal/>
    </border>
    <border>
      <left/>
      <right style="thin">
        <color rgb="FF595959"/>
      </right>
      <top style="thin">
        <color rgb="FF595959"/>
      </top>
      <bottom style="thin">
        <color rgb="FF595959"/>
      </bottom>
      <diagonal/>
    </border>
    <border>
      <left style="thin">
        <color rgb="FF595959"/>
      </left>
      <right style="thin">
        <color rgb="FF000000"/>
      </right>
      <top/>
      <bottom/>
      <diagonal/>
    </border>
    <border>
      <left style="thin">
        <color rgb="FF595959"/>
      </left>
      <right style="thin">
        <color rgb="FF000000"/>
      </right>
      <top/>
      <bottom style="thin">
        <color rgb="FF595959"/>
      </bottom>
      <diagonal/>
    </border>
    <border>
      <left style="thin">
        <color rgb="FF595959"/>
      </left>
      <right/>
      <top style="thin">
        <color rgb="FF595959"/>
      </top>
      <bottom style="thin">
        <color rgb="FF595959"/>
      </bottom>
      <diagonal/>
    </border>
    <border>
      <left style="thin">
        <color theme="0"/>
      </left>
      <right/>
      <top/>
      <bottom/>
      <diagonal/>
    </border>
    <border>
      <left style="thin">
        <color theme="0"/>
      </left>
      <right/>
      <top/>
      <bottom style="medium">
        <color theme="0"/>
      </bottom>
      <diagonal/>
    </border>
    <border>
      <left/>
      <right/>
      <top/>
      <bottom style="medium">
        <color theme="0"/>
      </bottom>
      <diagonal/>
    </border>
    <border>
      <left/>
      <right/>
      <top/>
      <bottom style="medium">
        <color theme="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95959"/>
      </left>
      <right/>
      <top/>
      <bottom style="thin">
        <color rgb="FF595959"/>
      </bottom>
      <diagonal/>
    </border>
    <border>
      <left style="thin">
        <color rgb="FF595959"/>
      </left>
      <right/>
      <top style="thin">
        <color rgb="FF595959"/>
      </top>
      <bottom/>
      <diagonal/>
    </border>
    <border>
      <left style="thin">
        <color rgb="FF262626"/>
      </left>
      <right style="thin">
        <color rgb="FF262626"/>
      </right>
      <top style="thin">
        <color rgb="FF262626"/>
      </top>
      <bottom/>
      <diagonal/>
    </border>
    <border>
      <left style="thin">
        <color rgb="FF262626"/>
      </left>
      <right style="thin">
        <color rgb="FF262626"/>
      </right>
      <top/>
      <bottom/>
      <diagonal/>
    </border>
    <border>
      <left style="thin">
        <color rgb="FF262626"/>
      </left>
      <right style="thin">
        <color rgb="FF262626"/>
      </right>
      <top/>
      <bottom style="thin">
        <color rgb="FF262626"/>
      </bottom>
      <diagonal/>
    </border>
    <border>
      <left style="thin">
        <color rgb="FF262626"/>
      </left>
      <right style="thin">
        <color rgb="FF262626"/>
      </right>
      <top style="thin">
        <color rgb="FF262626"/>
      </top>
      <bottom style="thin">
        <color rgb="FF262626"/>
      </bottom>
      <diagonal/>
    </border>
    <border>
      <left/>
      <right/>
      <top/>
      <bottom/>
      <diagonal/>
    </border>
    <border>
      <left style="hair">
        <color theme="0"/>
      </left>
      <right/>
      <top/>
      <bottom style="hair">
        <color theme="0"/>
      </bottom>
      <diagonal/>
    </border>
    <border>
      <left/>
      <right/>
      <top/>
      <bottom style="hair">
        <color theme="0"/>
      </bottom>
      <diagonal/>
    </border>
    <border>
      <left/>
      <right/>
      <top/>
      <bottom style="hair">
        <color theme="0"/>
      </bottom>
      <diagonal/>
    </border>
    <border>
      <left style="thin">
        <color theme="0"/>
      </left>
      <right/>
      <top/>
      <bottom/>
      <diagonal/>
    </border>
    <border>
      <left/>
      <right/>
      <top/>
      <bottom style="thin">
        <color rgb="FF595959"/>
      </bottom>
      <diagonal/>
    </border>
    <border>
      <left style="hair">
        <color theme="0"/>
      </left>
      <right style="hair">
        <color theme="0"/>
      </right>
      <top style="hair">
        <color theme="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595959"/>
      </left>
      <right style="thin">
        <color rgb="FF595959"/>
      </right>
      <top style="thin">
        <color rgb="FF595959"/>
      </top>
      <bottom style="thin">
        <color rgb="FF000000"/>
      </bottom>
      <diagonal/>
    </border>
    <border>
      <left/>
      <right style="thin">
        <color theme="0"/>
      </right>
      <top style="thin">
        <color rgb="FF595959"/>
      </top>
      <bottom/>
      <diagonal/>
    </border>
    <border>
      <left/>
      <right/>
      <top style="thin">
        <color rgb="FF595959"/>
      </top>
      <bottom/>
      <diagonal/>
    </border>
    <border>
      <left/>
      <right/>
      <top style="thin">
        <color rgb="FF595959"/>
      </top>
      <bottom/>
      <diagonal/>
    </border>
    <border>
      <left/>
      <right style="thin">
        <color rgb="FF595959"/>
      </right>
      <top style="thin">
        <color rgb="FF595959"/>
      </top>
      <bottom/>
      <diagonal/>
    </border>
    <border>
      <left/>
      <right style="thin">
        <color theme="0"/>
      </right>
      <top/>
      <bottom style="medium">
        <color theme="0"/>
      </bottom>
      <diagonal/>
    </border>
    <border>
      <left style="thin">
        <color theme="0"/>
      </left>
      <right/>
      <top style="thin">
        <color rgb="FF595959"/>
      </top>
      <bottom style="thin">
        <color theme="0"/>
      </bottom>
      <diagonal/>
    </border>
    <border>
      <left/>
      <right/>
      <top style="thin">
        <color rgb="FF595959"/>
      </top>
      <bottom style="thin">
        <color theme="0"/>
      </bottom>
      <diagonal/>
    </border>
    <border>
      <left/>
      <right style="thin">
        <color rgb="FF595959"/>
      </right>
      <top style="thin">
        <color rgb="FF595959"/>
      </top>
      <bottom style="thin">
        <color theme="0"/>
      </bottom>
      <diagonal/>
    </border>
    <border>
      <left/>
      <right/>
      <top/>
      <bottom/>
      <diagonal/>
    </border>
    <border>
      <left/>
      <right/>
      <top/>
      <bottom style="thin">
        <color theme="4"/>
      </bottom>
      <diagonal/>
    </border>
    <border>
      <left/>
      <right/>
      <top/>
      <bottom style="thin">
        <color theme="4"/>
      </bottom>
      <diagonal/>
    </border>
  </borders>
  <cellStyleXfs count="1">
    <xf numFmtId="0" fontId="0" fillId="0" borderId="0"/>
  </cellStyleXfs>
  <cellXfs count="28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center"/>
    </xf>
    <xf numFmtId="0" fontId="7" fillId="9" borderId="10" xfId="0" applyFont="1" applyFill="1" applyBorder="1" applyAlignment="1">
      <alignment horizontal="center" vertical="center"/>
    </xf>
    <xf numFmtId="0" fontId="7" fillId="9" borderId="11" xfId="0" applyFont="1" applyFill="1" applyBorder="1" applyAlignment="1">
      <alignment horizontal="center" vertical="center"/>
    </xf>
    <xf numFmtId="0" fontId="7" fillId="9" borderId="12" xfId="0" applyFont="1" applyFill="1" applyBorder="1" applyAlignment="1">
      <alignment horizontal="center" vertical="center"/>
    </xf>
    <xf numFmtId="0" fontId="8" fillId="9" borderId="12" xfId="0" applyFont="1" applyFill="1" applyBorder="1" applyAlignment="1">
      <alignment horizontal="center" vertical="center"/>
    </xf>
    <xf numFmtId="0" fontId="9" fillId="10" borderId="13" xfId="0" applyFont="1" applyFill="1" applyBorder="1" applyAlignment="1">
      <alignment horizontal="left" vertical="center"/>
    </xf>
    <xf numFmtId="164" fontId="10" fillId="10" borderId="13" xfId="0" applyNumberFormat="1" applyFont="1" applyFill="1" applyBorder="1" applyAlignment="1">
      <alignment horizontal="center" vertical="center"/>
    </xf>
    <xf numFmtId="0" fontId="11" fillId="11" borderId="13" xfId="0" applyFont="1" applyFill="1" applyBorder="1" applyAlignment="1">
      <alignment vertical="center"/>
    </xf>
    <xf numFmtId="164" fontId="10" fillId="11" borderId="13" xfId="0" applyNumberFormat="1" applyFont="1" applyFill="1" applyBorder="1" applyAlignment="1">
      <alignment horizontal="center" vertical="center"/>
    </xf>
    <xf numFmtId="164" fontId="12" fillId="0" borderId="13" xfId="0" applyNumberFormat="1" applyFont="1" applyBorder="1" applyAlignment="1">
      <alignment horizontal="center" vertical="center"/>
    </xf>
    <xf numFmtId="164" fontId="12" fillId="12" borderId="13" xfId="0" applyNumberFormat="1" applyFont="1" applyFill="1" applyBorder="1" applyAlignment="1">
      <alignment horizontal="center" vertical="center"/>
    </xf>
    <xf numFmtId="164" fontId="13" fillId="12" borderId="13" xfId="0" applyNumberFormat="1" applyFont="1" applyFill="1" applyBorder="1" applyAlignment="1">
      <alignment horizontal="center" vertical="center"/>
    </xf>
    <xf numFmtId="164" fontId="14" fillId="0" borderId="0" xfId="0" applyNumberFormat="1" applyFont="1"/>
    <xf numFmtId="14" fontId="1" fillId="0" borderId="0" xfId="0" applyNumberFormat="1" applyFont="1"/>
    <xf numFmtId="0" fontId="11" fillId="0" borderId="0" xfId="0" applyFont="1" applyAlignment="1">
      <alignment vertical="center"/>
    </xf>
    <xf numFmtId="164" fontId="1" fillId="0" borderId="0" xfId="0" applyNumberFormat="1" applyFont="1"/>
    <xf numFmtId="164" fontId="15" fillId="0" borderId="0" xfId="0" applyNumberFormat="1" applyFont="1"/>
    <xf numFmtId="164" fontId="1" fillId="0" borderId="0" xfId="0" applyNumberFormat="1" applyFont="1" applyAlignment="1">
      <alignment horizontal="center"/>
    </xf>
    <xf numFmtId="164" fontId="14" fillId="0" borderId="0" xfId="0" applyNumberFormat="1" applyFont="1" applyAlignment="1">
      <alignment horizontal="center"/>
    </xf>
    <xf numFmtId="0" fontId="1" fillId="0" borderId="0" xfId="0" applyFont="1" applyAlignment="1">
      <alignment horizontal="center"/>
    </xf>
    <xf numFmtId="0" fontId="1" fillId="0" borderId="0" xfId="0" applyFont="1"/>
    <xf numFmtId="0" fontId="14" fillId="0" borderId="0" xfId="0" applyFont="1" applyAlignment="1">
      <alignment horizontal="center"/>
    </xf>
    <xf numFmtId="0" fontId="16" fillId="9" borderId="14" xfId="0" applyFont="1" applyFill="1" applyBorder="1" applyAlignment="1">
      <alignment horizontal="left" vertical="center"/>
    </xf>
    <xf numFmtId="164" fontId="17" fillId="9" borderId="15" xfId="0" applyNumberFormat="1" applyFont="1" applyFill="1" applyBorder="1" applyAlignment="1">
      <alignment horizontal="center" vertical="center"/>
    </xf>
    <xf numFmtId="164" fontId="18" fillId="9" borderId="15" xfId="0" applyNumberFormat="1" applyFont="1" applyFill="1" applyBorder="1" applyAlignment="1">
      <alignment horizontal="center" vertical="center"/>
    </xf>
    <xf numFmtId="0" fontId="9" fillId="4" borderId="16" xfId="0" applyFont="1" applyFill="1" applyBorder="1" applyAlignment="1">
      <alignment horizontal="left" vertical="center"/>
    </xf>
    <xf numFmtId="164" fontId="10" fillId="4" borderId="13" xfId="0" applyNumberFormat="1" applyFont="1" applyFill="1" applyBorder="1" applyAlignment="1">
      <alignment horizontal="center" vertical="center"/>
    </xf>
    <xf numFmtId="164" fontId="10" fillId="4" borderId="16" xfId="0" applyNumberFormat="1" applyFont="1" applyFill="1" applyBorder="1" applyAlignment="1">
      <alignment horizontal="center" vertical="center"/>
    </xf>
    <xf numFmtId="0" fontId="9" fillId="13" borderId="13" xfId="0" applyFont="1" applyFill="1" applyBorder="1" applyAlignment="1">
      <alignment horizontal="left" vertical="center"/>
    </xf>
    <xf numFmtId="164" fontId="10" fillId="13" borderId="13" xfId="0" applyNumberFormat="1" applyFont="1" applyFill="1" applyBorder="1" applyAlignment="1">
      <alignment horizontal="center" vertical="center"/>
    </xf>
    <xf numFmtId="164" fontId="19" fillId="9" borderId="15" xfId="0" applyNumberFormat="1" applyFont="1" applyFill="1" applyBorder="1" applyAlignment="1">
      <alignment horizontal="center" vertical="center"/>
    </xf>
    <xf numFmtId="0" fontId="10" fillId="4" borderId="13" xfId="0" applyFont="1" applyFill="1" applyBorder="1" applyAlignment="1">
      <alignment horizontal="center" vertical="center"/>
    </xf>
    <xf numFmtId="0" fontId="10" fillId="13" borderId="13" xfId="0" applyFont="1" applyFill="1" applyBorder="1" applyAlignment="1">
      <alignment horizontal="center" vertical="center"/>
    </xf>
    <xf numFmtId="0" fontId="7" fillId="9" borderId="27" xfId="0" applyFont="1" applyFill="1" applyBorder="1" applyAlignment="1">
      <alignment horizontal="center" vertical="center"/>
    </xf>
    <xf numFmtId="0" fontId="5"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wrapText="1"/>
    </xf>
    <xf numFmtId="0" fontId="15" fillId="0" borderId="0" xfId="0" applyFont="1" applyAlignment="1">
      <alignment vertical="center"/>
    </xf>
    <xf numFmtId="0" fontId="12" fillId="0" borderId="0" xfId="0" applyFont="1" applyAlignment="1">
      <alignment vertical="center"/>
    </xf>
    <xf numFmtId="0" fontId="7" fillId="4" borderId="28" xfId="0" applyFont="1" applyFill="1" applyBorder="1" applyAlignment="1">
      <alignment vertical="center"/>
    </xf>
    <xf numFmtId="0" fontId="7" fillId="4" borderId="29" xfId="0" applyFont="1" applyFill="1" applyBorder="1" applyAlignment="1">
      <alignment vertical="center"/>
    </xf>
    <xf numFmtId="0" fontId="21" fillId="0" borderId="0" xfId="0" applyFont="1" applyAlignment="1">
      <alignment vertical="center"/>
    </xf>
    <xf numFmtId="0" fontId="7" fillId="4" borderId="30" xfId="0" applyFont="1" applyFill="1" applyBorder="1" applyAlignment="1">
      <alignment vertical="center"/>
    </xf>
    <xf numFmtId="0" fontId="7" fillId="4" borderId="31" xfId="0" applyFont="1" applyFill="1" applyBorder="1" applyAlignment="1">
      <alignment vertical="center"/>
    </xf>
    <xf numFmtId="164" fontId="12" fillId="0" borderId="0" xfId="0" applyNumberFormat="1" applyFont="1" applyAlignment="1">
      <alignment vertical="center"/>
    </xf>
    <xf numFmtId="0" fontId="17" fillId="9" borderId="15" xfId="0" applyFont="1" applyFill="1" applyBorder="1" applyAlignment="1">
      <alignment horizontal="center" vertical="center"/>
    </xf>
    <xf numFmtId="0" fontId="17" fillId="9" borderId="33" xfId="0" applyFont="1" applyFill="1" applyBorder="1" applyAlignment="1">
      <alignment horizontal="center" vertical="center"/>
    </xf>
    <xf numFmtId="0" fontId="17" fillId="9" borderId="36" xfId="0" applyFont="1" applyFill="1" applyBorder="1" applyAlignment="1">
      <alignment horizontal="center" vertical="center"/>
    </xf>
    <xf numFmtId="164" fontId="21" fillId="0" borderId="0" xfId="0" applyNumberFormat="1" applyFont="1" applyAlignment="1">
      <alignment vertical="center"/>
    </xf>
    <xf numFmtId="0" fontId="7" fillId="9" borderId="38" xfId="0" applyFont="1" applyFill="1" applyBorder="1" applyAlignment="1">
      <alignment horizontal="center" vertical="center"/>
    </xf>
    <xf numFmtId="0" fontId="7" fillId="9" borderId="39" xfId="0" applyFont="1" applyFill="1" applyBorder="1" applyAlignment="1">
      <alignment horizontal="center" vertical="center"/>
    </xf>
    <xf numFmtId="0" fontId="10" fillId="0" borderId="0" xfId="0" applyFont="1" applyAlignment="1">
      <alignment horizontal="center" vertical="center"/>
    </xf>
    <xf numFmtId="0" fontId="9" fillId="14" borderId="41" xfId="0" applyFont="1" applyFill="1" applyBorder="1" applyAlignment="1">
      <alignment vertical="center"/>
    </xf>
    <xf numFmtId="0" fontId="10" fillId="14" borderId="13" xfId="0" applyFont="1" applyFill="1" applyBorder="1" applyAlignment="1">
      <alignment horizontal="center" vertical="center"/>
    </xf>
    <xf numFmtId="164" fontId="10" fillId="14" borderId="13" xfId="0" applyNumberFormat="1" applyFont="1" applyFill="1" applyBorder="1" applyAlignment="1">
      <alignment horizontal="center" vertical="center"/>
    </xf>
    <xf numFmtId="0" fontId="10" fillId="14" borderId="42" xfId="0" applyFont="1" applyFill="1" applyBorder="1" applyAlignment="1">
      <alignment horizontal="center" vertical="center"/>
    </xf>
    <xf numFmtId="0" fontId="10" fillId="14" borderId="41" xfId="0" applyFont="1" applyFill="1" applyBorder="1" applyAlignment="1">
      <alignment horizontal="center" vertical="center"/>
    </xf>
    <xf numFmtId="165" fontId="10" fillId="14" borderId="13" xfId="0" applyNumberFormat="1" applyFont="1" applyFill="1" applyBorder="1" applyAlignment="1">
      <alignment horizontal="center" vertical="center"/>
    </xf>
    <xf numFmtId="0" fontId="11" fillId="15" borderId="13" xfId="0" applyFont="1" applyFill="1" applyBorder="1" applyAlignment="1">
      <alignment vertical="center"/>
    </xf>
    <xf numFmtId="0" fontId="12" fillId="0" borderId="13" xfId="0" applyFont="1" applyBorder="1" applyAlignment="1">
      <alignment horizontal="center" vertical="center"/>
    </xf>
    <xf numFmtId="0" fontId="12" fillId="0" borderId="44" xfId="0" applyFont="1" applyBorder="1" applyAlignment="1">
      <alignment horizontal="left" vertical="center"/>
    </xf>
    <xf numFmtId="0" fontId="12" fillId="0" borderId="45" xfId="0" applyFont="1" applyBorder="1" applyAlignment="1">
      <alignment horizontal="center" vertical="center"/>
    </xf>
    <xf numFmtId="0" fontId="12" fillId="0" borderId="13" xfId="0" applyFont="1" applyBorder="1" applyAlignment="1">
      <alignment horizontal="left" vertical="center"/>
    </xf>
    <xf numFmtId="0" fontId="12" fillId="0" borderId="48" xfId="0" quotePrefix="1" applyFont="1" applyBorder="1" applyAlignment="1">
      <alignment horizontal="left" vertical="center"/>
    </xf>
    <xf numFmtId="0" fontId="12" fillId="0" borderId="48" xfId="0" applyFont="1" applyBorder="1" applyAlignment="1">
      <alignment horizontal="center" vertical="center"/>
    </xf>
    <xf numFmtId="0" fontId="12" fillId="0" borderId="48" xfId="0" applyFont="1" applyBorder="1" applyAlignment="1">
      <alignment horizontal="left" vertical="top" wrapText="1"/>
    </xf>
    <xf numFmtId="0" fontId="12" fillId="0" borderId="48" xfId="0" applyFont="1" applyBorder="1" applyAlignment="1">
      <alignment horizontal="left" vertical="center" wrapText="1"/>
    </xf>
    <xf numFmtId="0" fontId="12" fillId="0" borderId="48" xfId="0" applyFont="1" applyBorder="1" applyAlignment="1">
      <alignment horizontal="left" vertical="center"/>
    </xf>
    <xf numFmtId="0" fontId="12" fillId="0" borderId="48" xfId="0" quotePrefix="1" applyFont="1" applyBorder="1" applyAlignment="1">
      <alignment horizontal="left" vertical="center" wrapText="1"/>
    </xf>
    <xf numFmtId="0" fontId="11" fillId="16" borderId="13" xfId="0" applyFont="1" applyFill="1" applyBorder="1" applyAlignment="1">
      <alignment vertical="center"/>
    </xf>
    <xf numFmtId="0" fontId="9" fillId="14" borderId="13" xfId="0" applyFont="1" applyFill="1" applyBorder="1" applyAlignment="1">
      <alignment horizontal="left" vertical="center"/>
    </xf>
    <xf numFmtId="0" fontId="10" fillId="14" borderId="44" xfId="0" applyFont="1" applyFill="1" applyBorder="1" applyAlignment="1">
      <alignment horizontal="center" vertical="center"/>
    </xf>
    <xf numFmtId="0" fontId="23" fillId="17" borderId="13" xfId="0" applyFont="1" applyFill="1" applyBorder="1" applyAlignment="1">
      <alignment horizontal="left" vertical="center"/>
    </xf>
    <xf numFmtId="0" fontId="10" fillId="17" borderId="13" xfId="0" applyFont="1" applyFill="1" applyBorder="1" applyAlignment="1">
      <alignment horizontal="center" vertical="center"/>
    </xf>
    <xf numFmtId="164" fontId="10" fillId="17" borderId="13" xfId="0" applyNumberFormat="1" applyFont="1" applyFill="1" applyBorder="1" applyAlignment="1">
      <alignment horizontal="center" vertical="center"/>
    </xf>
    <xf numFmtId="0" fontId="10" fillId="17" borderId="42" xfId="0" applyFont="1" applyFill="1" applyBorder="1" applyAlignment="1">
      <alignment horizontal="center" vertical="center"/>
    </xf>
    <xf numFmtId="0" fontId="10" fillId="17" borderId="44" xfId="0" applyFont="1" applyFill="1" applyBorder="1" applyAlignment="1">
      <alignment horizontal="center" vertical="center"/>
    </xf>
    <xf numFmtId="0" fontId="12" fillId="0" borderId="13" xfId="0" applyFont="1" applyBorder="1" applyAlignment="1">
      <alignment horizontal="center" vertical="center" wrapText="1"/>
    </xf>
    <xf numFmtId="0" fontId="1" fillId="0" borderId="0" xfId="0" applyFont="1" applyAlignment="1">
      <alignment horizontal="left" vertical="center" wrapText="1"/>
    </xf>
    <xf numFmtId="0" fontId="7" fillId="5" borderId="29" xfId="0" applyFont="1" applyFill="1" applyBorder="1" applyAlignment="1">
      <alignment horizontal="left" vertical="center"/>
    </xf>
    <xf numFmtId="0" fontId="7" fillId="5" borderId="29" xfId="0" applyFont="1" applyFill="1" applyBorder="1" applyAlignment="1">
      <alignment horizontal="left" vertical="center" wrapText="1"/>
    </xf>
    <xf numFmtId="0" fontId="9" fillId="18" borderId="42" xfId="0" applyFont="1" applyFill="1" applyBorder="1" applyAlignment="1">
      <alignment horizontal="left" vertical="center"/>
    </xf>
    <xf numFmtId="0" fontId="10" fillId="18" borderId="13" xfId="0" applyFont="1" applyFill="1" applyBorder="1" applyAlignment="1">
      <alignment horizontal="center" vertical="center"/>
    </xf>
    <xf numFmtId="164" fontId="10" fillId="18" borderId="13" xfId="0" applyNumberFormat="1" applyFont="1" applyFill="1" applyBorder="1" applyAlignment="1">
      <alignment horizontal="center" vertical="center"/>
    </xf>
    <xf numFmtId="0" fontId="10" fillId="18" borderId="13" xfId="0" applyFont="1" applyFill="1" applyBorder="1" applyAlignment="1">
      <alignment horizontal="left" vertical="center"/>
    </xf>
    <xf numFmtId="0" fontId="10" fillId="18" borderId="13" xfId="0" applyFont="1" applyFill="1" applyBorder="1" applyAlignment="1">
      <alignment horizontal="left" vertical="center" wrapText="1"/>
    </xf>
    <xf numFmtId="0" fontId="12" fillId="0" borderId="13" xfId="0" applyFont="1" applyBorder="1" applyAlignment="1">
      <alignment horizontal="left" vertical="center" wrapText="1"/>
    </xf>
    <xf numFmtId="0" fontId="24" fillId="0" borderId="13" xfId="0" applyFont="1" applyBorder="1" applyAlignment="1">
      <alignment horizontal="left" vertical="center" wrapText="1"/>
    </xf>
    <xf numFmtId="0" fontId="23" fillId="19" borderId="42" xfId="0" applyFont="1" applyFill="1" applyBorder="1" applyAlignment="1">
      <alignment horizontal="left" vertical="center"/>
    </xf>
    <xf numFmtId="0" fontId="10" fillId="19" borderId="13" xfId="0" applyFont="1" applyFill="1" applyBorder="1" applyAlignment="1">
      <alignment horizontal="center" vertical="center"/>
    </xf>
    <xf numFmtId="164" fontId="10" fillId="19" borderId="13" xfId="0" applyNumberFormat="1" applyFont="1" applyFill="1" applyBorder="1" applyAlignment="1">
      <alignment horizontal="center" vertical="center"/>
    </xf>
    <xf numFmtId="0" fontId="10" fillId="19" borderId="13" xfId="0" applyFont="1" applyFill="1" applyBorder="1" applyAlignment="1">
      <alignment horizontal="left" vertical="center"/>
    </xf>
    <xf numFmtId="0" fontId="10" fillId="19" borderId="13" xfId="0" applyFont="1" applyFill="1" applyBorder="1" applyAlignment="1">
      <alignment horizontal="left" vertical="center" wrapText="1"/>
    </xf>
    <xf numFmtId="0" fontId="12" fillId="0" borderId="13" xfId="0" quotePrefix="1" applyFont="1" applyBorder="1" applyAlignment="1">
      <alignment horizontal="left" vertical="center" wrapText="1"/>
    </xf>
    <xf numFmtId="0" fontId="25" fillId="0" borderId="13" xfId="0" quotePrefix="1" applyFont="1" applyBorder="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9" fontId="10" fillId="14" borderId="13" xfId="0" applyNumberFormat="1" applyFont="1" applyFill="1" applyBorder="1" applyAlignment="1">
      <alignment horizontal="center" vertical="center"/>
    </xf>
    <xf numFmtId="164" fontId="12" fillId="0" borderId="48" xfId="0" applyNumberFormat="1" applyFont="1" applyBorder="1" applyAlignment="1">
      <alignment horizontal="center" vertical="center"/>
    </xf>
    <xf numFmtId="0" fontId="12" fillId="0" borderId="17" xfId="0" applyFont="1" applyBorder="1" applyAlignment="1">
      <alignment horizontal="left" vertical="center" wrapText="1"/>
    </xf>
    <xf numFmtId="0" fontId="12" fillId="0" borderId="53" xfId="0" applyFont="1" applyBorder="1" applyAlignment="1">
      <alignment horizontal="left" vertical="center"/>
    </xf>
    <xf numFmtId="0" fontId="12" fillId="0" borderId="13" xfId="0" applyFont="1" applyBorder="1" applyAlignment="1">
      <alignment vertical="center"/>
    </xf>
    <xf numFmtId="0" fontId="1" fillId="0" borderId="13" xfId="0" applyFont="1" applyBorder="1" applyAlignment="1">
      <alignment vertical="center"/>
    </xf>
    <xf numFmtId="0" fontId="26" fillId="0" borderId="13" xfId="0" applyFont="1" applyBorder="1" applyAlignment="1">
      <alignment horizontal="left" vertical="center"/>
    </xf>
    <xf numFmtId="0" fontId="12" fillId="0" borderId="54" xfId="0" applyFont="1" applyBorder="1" applyAlignment="1">
      <alignment horizontal="center" vertical="center"/>
    </xf>
    <xf numFmtId="0" fontId="12" fillId="0" borderId="44" xfId="0" applyFont="1" applyBorder="1" applyAlignment="1">
      <alignment horizontal="center" vertical="center"/>
    </xf>
    <xf numFmtId="0" fontId="5" fillId="11" borderId="13" xfId="0" applyFont="1" applyFill="1" applyBorder="1" applyAlignment="1">
      <alignment vertical="center"/>
    </xf>
    <xf numFmtId="0" fontId="12" fillId="0" borderId="55" xfId="0" applyFont="1" applyBorder="1" applyAlignment="1">
      <alignment horizontal="center" vertical="center"/>
    </xf>
    <xf numFmtId="164" fontId="5" fillId="0" borderId="0" xfId="0" applyNumberFormat="1" applyFont="1" applyAlignment="1">
      <alignment horizontal="center" vertical="center"/>
    </xf>
    <xf numFmtId="0" fontId="27" fillId="0" borderId="13" xfId="0" applyFont="1" applyBorder="1" applyAlignment="1">
      <alignment horizontal="left" vertical="center" wrapText="1"/>
    </xf>
    <xf numFmtId="0" fontId="28" fillId="0" borderId="17" xfId="0" applyFont="1" applyBorder="1" applyAlignment="1">
      <alignment horizontal="left" vertical="center" wrapText="1"/>
    </xf>
    <xf numFmtId="0" fontId="12" fillId="0" borderId="0" xfId="0" applyFont="1" applyAlignment="1">
      <alignment horizontal="center" vertical="center" wrapText="1"/>
    </xf>
    <xf numFmtId="0" fontId="29" fillId="4" borderId="29" xfId="0" applyFont="1" applyFill="1" applyBorder="1" applyAlignment="1">
      <alignment vertical="center"/>
    </xf>
    <xf numFmtId="0" fontId="29" fillId="4" borderId="31" xfId="0" applyFont="1" applyFill="1" applyBorder="1" applyAlignment="1">
      <alignment vertical="center"/>
    </xf>
    <xf numFmtId="0" fontId="29" fillId="9" borderId="38" xfId="0" applyFont="1" applyFill="1" applyBorder="1" applyAlignment="1">
      <alignment horizontal="center" vertical="center"/>
    </xf>
    <xf numFmtId="0" fontId="10" fillId="14" borderId="56" xfId="0" applyFont="1" applyFill="1" applyBorder="1" applyAlignment="1">
      <alignment horizontal="center" vertical="center"/>
    </xf>
    <xf numFmtId="0" fontId="12" fillId="0" borderId="60" xfId="0" applyFont="1" applyBorder="1" applyAlignment="1">
      <alignment horizontal="left" vertical="center"/>
    </xf>
    <xf numFmtId="0" fontId="12" fillId="0" borderId="60" xfId="0" applyFont="1" applyBorder="1" applyAlignment="1">
      <alignment vertical="center"/>
    </xf>
    <xf numFmtId="0" fontId="12" fillId="0" borderId="60" xfId="0" applyFont="1" applyBorder="1" applyAlignment="1">
      <alignment horizontal="left" vertical="center" wrapText="1"/>
    </xf>
    <xf numFmtId="0" fontId="12" fillId="0" borderId="53" xfId="0" applyFont="1" applyBorder="1" applyAlignment="1">
      <alignment vertical="center"/>
    </xf>
    <xf numFmtId="0" fontId="12" fillId="0" borderId="0" xfId="0" applyFont="1" applyAlignment="1">
      <alignment horizontal="center" vertical="center"/>
    </xf>
    <xf numFmtId="6" fontId="12" fillId="0" borderId="13" xfId="0" applyNumberFormat="1" applyFont="1" applyBorder="1" applyAlignment="1">
      <alignment horizontal="left" vertical="center"/>
    </xf>
    <xf numFmtId="0" fontId="11" fillId="11" borderId="42" xfId="0" applyFont="1" applyFill="1" applyBorder="1" applyAlignment="1">
      <alignment vertical="center"/>
    </xf>
    <xf numFmtId="0" fontId="30" fillId="0" borderId="13" xfId="0" applyFont="1" applyBorder="1" applyAlignment="1">
      <alignment horizontal="left" vertical="center"/>
    </xf>
    <xf numFmtId="164" fontId="5" fillId="0" borderId="0" xfId="0" applyNumberFormat="1" applyFont="1" applyAlignment="1">
      <alignment vertical="center"/>
    </xf>
    <xf numFmtId="0" fontId="26" fillId="0" borderId="13" xfId="0" applyFont="1" applyBorder="1" applyAlignment="1">
      <alignment horizontal="left" vertical="center" wrapText="1"/>
    </xf>
    <xf numFmtId="0" fontId="26" fillId="0" borderId="60" xfId="0" applyFont="1" applyBorder="1" applyAlignment="1">
      <alignment horizontal="left" vertical="center" wrapText="1"/>
    </xf>
    <xf numFmtId="0" fontId="1" fillId="0" borderId="55" xfId="0" applyFont="1" applyBorder="1"/>
    <xf numFmtId="0" fontId="26" fillId="0" borderId="48" xfId="0" applyFont="1" applyBorder="1" applyAlignment="1">
      <alignment horizontal="center" vertical="center"/>
    </xf>
    <xf numFmtId="0" fontId="1" fillId="0" borderId="65" xfId="0" applyFont="1" applyBorder="1" applyAlignment="1">
      <alignment vertical="center"/>
    </xf>
    <xf numFmtId="0" fontId="33" fillId="9" borderId="67" xfId="0" applyFont="1" applyFill="1" applyBorder="1" applyAlignment="1">
      <alignment horizontal="center" vertical="center" wrapText="1"/>
    </xf>
    <xf numFmtId="0" fontId="34" fillId="11" borderId="42" xfId="0" applyFont="1" applyFill="1" applyBorder="1" applyAlignment="1">
      <alignment vertical="center"/>
    </xf>
    <xf numFmtId="0" fontId="14" fillId="11" borderId="13" xfId="0" applyFont="1" applyFill="1" applyBorder="1" applyAlignment="1">
      <alignment vertical="center"/>
    </xf>
    <xf numFmtId="164" fontId="5" fillId="0" borderId="19" xfId="0" applyNumberFormat="1" applyFont="1" applyBorder="1" applyAlignment="1">
      <alignment horizontal="center" vertical="center" wrapText="1"/>
    </xf>
    <xf numFmtId="166" fontId="5" fillId="0" borderId="19" xfId="0" applyNumberFormat="1" applyFont="1" applyBorder="1" applyAlignment="1">
      <alignment horizontal="center" vertical="center" wrapText="1"/>
    </xf>
    <xf numFmtId="166" fontId="1" fillId="0" borderId="0" xfId="0" applyNumberFormat="1" applyFont="1" applyAlignment="1">
      <alignment vertical="center"/>
    </xf>
    <xf numFmtId="164" fontId="5" fillId="0" borderId="13" xfId="0" applyNumberFormat="1" applyFont="1" applyBorder="1" applyAlignment="1">
      <alignment horizontal="center" vertical="center" wrapText="1"/>
    </xf>
    <xf numFmtId="166" fontId="5" fillId="0" borderId="13" xfId="0" applyNumberFormat="1" applyFont="1" applyBorder="1" applyAlignment="1">
      <alignment horizontal="center" vertical="center" wrapText="1"/>
    </xf>
    <xf numFmtId="0" fontId="1" fillId="0" borderId="0" xfId="0" applyFont="1" applyAlignment="1">
      <alignment horizontal="center" vertical="center"/>
    </xf>
    <xf numFmtId="0" fontId="14" fillId="0" borderId="0" xfId="0" applyFont="1" applyAlignment="1">
      <alignment vertical="center"/>
    </xf>
    <xf numFmtId="0" fontId="14" fillId="11" borderId="70" xfId="0" applyFont="1" applyFill="1" applyBorder="1" applyAlignment="1">
      <alignment vertical="center"/>
    </xf>
    <xf numFmtId="164" fontId="11" fillId="0" borderId="70" xfId="0" applyNumberFormat="1" applyFont="1" applyBorder="1" applyAlignment="1">
      <alignment horizontal="center" vertical="center" wrapText="1"/>
    </xf>
    <xf numFmtId="0" fontId="14" fillId="0" borderId="0" xfId="0" applyFont="1" applyAlignment="1">
      <alignment horizontal="center" vertical="center" wrapText="1"/>
    </xf>
    <xf numFmtId="0" fontId="16" fillId="21" borderId="16" xfId="0" applyFont="1" applyFill="1" applyBorder="1" applyAlignment="1">
      <alignment horizontal="left" vertical="center"/>
    </xf>
    <xf numFmtId="164" fontId="17" fillId="21" borderId="16" xfId="0" applyNumberFormat="1" applyFont="1" applyFill="1" applyBorder="1" applyAlignment="1">
      <alignment horizontal="center" vertical="center"/>
    </xf>
    <xf numFmtId="0" fontId="11" fillId="0" borderId="0" xfId="0" applyFont="1" applyAlignment="1">
      <alignment horizontal="center" vertical="center"/>
    </xf>
    <xf numFmtId="0" fontId="10" fillId="11" borderId="13" xfId="0" applyFont="1" applyFill="1" applyBorder="1" applyAlignment="1">
      <alignment vertical="center"/>
    </xf>
    <xf numFmtId="0" fontId="5" fillId="15" borderId="13" xfId="0" applyFont="1" applyFill="1" applyBorder="1" applyAlignment="1">
      <alignment vertical="center"/>
    </xf>
    <xf numFmtId="0" fontId="35" fillId="0" borderId="0" xfId="0" applyFont="1"/>
    <xf numFmtId="0" fontId="17" fillId="9" borderId="15" xfId="0" applyFont="1" applyFill="1" applyBorder="1" applyAlignment="1">
      <alignment horizontal="center" vertical="center" wrapText="1"/>
    </xf>
    <xf numFmtId="0" fontId="7" fillId="9" borderId="38" xfId="0" applyFont="1" applyFill="1" applyBorder="1" applyAlignment="1">
      <alignment horizontal="center" vertical="center" wrapText="1"/>
    </xf>
    <xf numFmtId="0" fontId="36" fillId="0" borderId="0" xfId="0" applyFont="1" applyAlignment="1">
      <alignment wrapText="1"/>
    </xf>
    <xf numFmtId="0" fontId="1" fillId="0" borderId="0" xfId="0" applyFont="1" applyAlignment="1">
      <alignment wrapText="1"/>
    </xf>
    <xf numFmtId="0" fontId="37" fillId="0" borderId="13" xfId="0" applyFont="1" applyBorder="1" applyAlignment="1">
      <alignment horizontal="left" vertical="center" wrapText="1"/>
    </xf>
    <xf numFmtId="0" fontId="38" fillId="0" borderId="13" xfId="0" applyFont="1" applyBorder="1" applyAlignment="1">
      <alignment horizontal="left" vertical="center" wrapText="1"/>
    </xf>
    <xf numFmtId="0" fontId="38" fillId="0" borderId="0" xfId="0" applyFont="1"/>
    <xf numFmtId="0" fontId="38" fillId="0" borderId="13" xfId="0" applyFont="1" applyBorder="1" applyAlignment="1">
      <alignment horizontal="left" vertical="center"/>
    </xf>
    <xf numFmtId="164" fontId="12" fillId="22" borderId="13" xfId="0" applyNumberFormat="1" applyFont="1" applyFill="1" applyBorder="1" applyAlignment="1">
      <alignment horizontal="center" vertical="center"/>
    </xf>
    <xf numFmtId="164" fontId="5" fillId="0" borderId="0" xfId="0" applyNumberFormat="1" applyFont="1" applyAlignment="1">
      <alignment vertical="center" wrapText="1"/>
    </xf>
    <xf numFmtId="164" fontId="1" fillId="0" borderId="0" xfId="0" applyNumberFormat="1" applyFont="1" applyAlignment="1">
      <alignment horizontal="center" vertical="center" wrapText="1"/>
    </xf>
    <xf numFmtId="164" fontId="1" fillId="0" borderId="0" xfId="0" applyNumberFormat="1" applyFont="1" applyAlignment="1">
      <alignment vertical="center"/>
    </xf>
    <xf numFmtId="164" fontId="33" fillId="9" borderId="67" xfId="0" applyNumberFormat="1" applyFont="1" applyFill="1" applyBorder="1" applyAlignment="1">
      <alignment horizontal="center" vertical="center" wrapText="1"/>
    </xf>
    <xf numFmtId="164" fontId="14" fillId="0" borderId="0" xfId="0" applyNumberFormat="1" applyFont="1" applyAlignment="1">
      <alignment horizontal="center" vertical="center" wrapText="1"/>
    </xf>
    <xf numFmtId="164" fontId="14" fillId="0" borderId="0" xfId="0" applyNumberFormat="1" applyFont="1" applyAlignment="1">
      <alignment vertical="center"/>
    </xf>
    <xf numFmtId="164" fontId="7" fillId="9" borderId="11" xfId="0" applyNumberFormat="1" applyFont="1" applyFill="1" applyBorder="1" applyAlignment="1">
      <alignment horizontal="center" vertical="center"/>
    </xf>
    <xf numFmtId="164" fontId="7" fillId="9" borderId="12" xfId="0" applyNumberFormat="1" applyFont="1" applyFill="1" applyBorder="1" applyAlignment="1">
      <alignment horizontal="center" vertical="center"/>
    </xf>
    <xf numFmtId="164" fontId="11" fillId="0" borderId="0" xfId="0" applyNumberFormat="1" applyFont="1" applyAlignment="1">
      <alignment horizontal="center" vertical="center"/>
    </xf>
    <xf numFmtId="0" fontId="11" fillId="0" borderId="0" xfId="0" applyFont="1" applyAlignment="1">
      <alignment horizontal="center" vertical="center" wrapText="1"/>
    </xf>
    <xf numFmtId="0" fontId="40" fillId="0" borderId="0" xfId="0" applyFont="1" applyAlignment="1">
      <alignment vertical="center"/>
    </xf>
    <xf numFmtId="0" fontId="40" fillId="0" borderId="80" xfId="0" applyFont="1" applyBorder="1" applyAlignment="1">
      <alignment vertical="center"/>
    </xf>
    <xf numFmtId="0" fontId="46" fillId="0" borderId="0" xfId="0" applyFont="1" applyAlignment="1">
      <alignment vertical="center"/>
    </xf>
    <xf numFmtId="0" fontId="49" fillId="23" borderId="29" xfId="0" applyFont="1" applyFill="1" applyBorder="1" applyAlignment="1">
      <alignment vertical="center"/>
    </xf>
    <xf numFmtId="0" fontId="49" fillId="0" borderId="0" xfId="0" applyFont="1" applyAlignment="1">
      <alignment vertical="center"/>
    </xf>
    <xf numFmtId="0" fontId="7" fillId="9" borderId="44" xfId="0" applyFont="1" applyFill="1" applyBorder="1" applyAlignment="1">
      <alignment horizontal="center" vertical="center"/>
    </xf>
    <xf numFmtId="0" fontId="7" fillId="9" borderId="44" xfId="0" applyFont="1" applyFill="1" applyBorder="1" applyAlignment="1">
      <alignment horizontal="left" vertical="center" wrapText="1"/>
    </xf>
    <xf numFmtId="0" fontId="7" fillId="9" borderId="38" xfId="0" applyFont="1" applyFill="1" applyBorder="1" applyAlignment="1">
      <alignment horizontal="left" vertical="center" wrapText="1"/>
    </xf>
    <xf numFmtId="0" fontId="1" fillId="0" borderId="44" xfId="0" applyFont="1" applyBorder="1" applyAlignment="1">
      <alignment vertical="center"/>
    </xf>
    <xf numFmtId="0" fontId="1" fillId="0" borderId="44" xfId="0" applyFont="1" applyBorder="1" applyAlignment="1">
      <alignment horizontal="center" vertical="center" wrapText="1"/>
    </xf>
    <xf numFmtId="0" fontId="1" fillId="0" borderId="44" xfId="0" applyFont="1" applyBorder="1" applyAlignment="1">
      <alignment horizontal="center" vertical="center"/>
    </xf>
    <xf numFmtId="164" fontId="1" fillId="0" borderId="44" xfId="0" applyNumberFormat="1" applyFont="1" applyBorder="1" applyAlignment="1">
      <alignment vertical="center"/>
    </xf>
    <xf numFmtId="0" fontId="1" fillId="0" borderId="44" xfId="0" applyFont="1" applyBorder="1" applyAlignment="1">
      <alignment horizontal="left" vertical="center" wrapText="1"/>
    </xf>
    <xf numFmtId="0" fontId="14" fillId="0" borderId="0" xfId="0" applyFont="1" applyAlignment="1">
      <alignment horizontal="left"/>
    </xf>
    <xf numFmtId="0" fontId="14" fillId="0" borderId="0" xfId="0" applyFont="1"/>
    <xf numFmtId="0" fontId="40" fillId="23" borderId="79" xfId="0" applyFont="1" applyFill="1" applyBorder="1" applyAlignment="1">
      <alignment vertical="center"/>
    </xf>
    <xf numFmtId="0" fontId="40" fillId="23" borderId="81" xfId="0" applyFont="1" applyFill="1" applyBorder="1" applyAlignment="1">
      <alignment vertical="center"/>
    </xf>
    <xf numFmtId="0" fontId="43" fillId="23" borderId="79" xfId="0" applyFont="1" applyFill="1" applyBorder="1" applyAlignment="1">
      <alignment horizontal="right" vertical="center"/>
    </xf>
    <xf numFmtId="0" fontId="45" fillId="23" borderId="79" xfId="0" applyFont="1" applyFill="1" applyBorder="1" applyAlignment="1">
      <alignment horizontal="center" vertical="center"/>
    </xf>
    <xf numFmtId="0" fontId="46" fillId="23" borderId="79" xfId="0" applyFont="1" applyFill="1" applyBorder="1" applyAlignment="1">
      <alignment vertical="center"/>
    </xf>
    <xf numFmtId="0" fontId="47" fillId="23" borderId="79" xfId="0" applyFont="1" applyFill="1" applyBorder="1" applyAlignment="1">
      <alignment vertical="center"/>
    </xf>
    <xf numFmtId="0" fontId="49" fillId="23" borderId="79" xfId="0" applyFont="1" applyFill="1" applyBorder="1" applyAlignment="1">
      <alignment vertical="center"/>
    </xf>
    <xf numFmtId="0" fontId="50" fillId="23" borderId="79" xfId="0" applyFont="1" applyFill="1" applyBorder="1" applyAlignment="1">
      <alignment vertical="center"/>
    </xf>
    <xf numFmtId="0" fontId="43" fillId="23" borderId="81" xfId="0" applyFont="1" applyFill="1" applyBorder="1" applyAlignment="1">
      <alignment horizontal="right" vertical="center"/>
    </xf>
    <xf numFmtId="0" fontId="51" fillId="23" borderId="79" xfId="0" applyFont="1" applyFill="1" applyBorder="1" applyAlignment="1">
      <alignment vertical="center"/>
    </xf>
    <xf numFmtId="164" fontId="53" fillId="23" borderId="79" xfId="0" applyNumberFormat="1" applyFont="1" applyFill="1" applyBorder="1" applyAlignment="1">
      <alignment horizontal="center" vertical="center"/>
    </xf>
    <xf numFmtId="0" fontId="2" fillId="6" borderId="1" xfId="0" applyFont="1" applyFill="1" applyBorder="1" applyAlignment="1">
      <alignment horizontal="left" vertical="top" wrapText="1"/>
    </xf>
    <xf numFmtId="0" fontId="4" fillId="0" borderId="2" xfId="0" applyFont="1" applyBorder="1"/>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6" fillId="3" borderId="3" xfId="0" applyFont="1" applyFill="1" applyBorder="1" applyAlignment="1">
      <alignment horizontal="center" vertical="center"/>
    </xf>
    <xf numFmtId="0" fontId="4" fillId="0" borderId="8" xfId="0" applyFont="1" applyBorder="1"/>
    <xf numFmtId="0" fontId="7" fillId="9" borderId="4" xfId="0" applyFont="1" applyFill="1" applyBorder="1" applyAlignment="1">
      <alignment horizontal="center" vertical="center" wrapText="1"/>
    </xf>
    <xf numFmtId="0" fontId="4" fillId="0" borderId="9" xfId="0" applyFont="1" applyBorder="1"/>
    <xf numFmtId="0" fontId="8" fillId="9" borderId="5" xfId="0" applyFont="1" applyFill="1" applyBorder="1" applyAlignment="1">
      <alignment horizontal="center" vertical="center"/>
    </xf>
    <xf numFmtId="0" fontId="4" fillId="0" borderId="6" xfId="0" applyFont="1" applyBorder="1"/>
    <xf numFmtId="0" fontId="4" fillId="0" borderId="7" xfId="0" applyFont="1" applyBorder="1"/>
    <xf numFmtId="0" fontId="7" fillId="8" borderId="4" xfId="0" applyFont="1" applyFill="1" applyBorder="1" applyAlignment="1">
      <alignment horizontal="center" vertical="center" wrapText="1"/>
    </xf>
    <xf numFmtId="0" fontId="7" fillId="9" borderId="5" xfId="0" applyFont="1" applyFill="1" applyBorder="1" applyAlignment="1">
      <alignment horizontal="center" vertical="center"/>
    </xf>
    <xf numFmtId="164" fontId="10" fillId="11" borderId="17" xfId="0" applyNumberFormat="1" applyFont="1" applyFill="1" applyBorder="1" applyAlignment="1">
      <alignment horizontal="center" vertical="center"/>
    </xf>
    <xf numFmtId="0" fontId="4" fillId="0" borderId="18" xfId="0" applyFont="1" applyBorder="1"/>
    <xf numFmtId="0" fontId="4" fillId="0" borderId="19" xfId="0" applyFont="1" applyBorder="1"/>
    <xf numFmtId="0" fontId="11" fillId="11" borderId="20" xfId="0" applyFont="1" applyFill="1" applyBorder="1" applyAlignment="1">
      <alignment horizontal="left" vertical="center" wrapText="1"/>
    </xf>
    <xf numFmtId="0" fontId="4" fillId="0" borderId="21" xfId="0" applyFont="1" applyBorder="1"/>
    <xf numFmtId="0" fontId="4" fillId="0" borderId="22" xfId="0" applyFont="1" applyBorder="1"/>
    <xf numFmtId="0" fontId="4" fillId="0" borderId="23" xfId="0" applyFont="1" applyBorder="1"/>
    <xf numFmtId="0" fontId="4" fillId="0" borderId="24" xfId="0" applyFont="1" applyBorder="1"/>
    <xf numFmtId="0" fontId="4" fillId="0" borderId="25" xfId="0" applyFont="1" applyBorder="1"/>
    <xf numFmtId="0" fontId="11" fillId="11" borderId="1" xfId="0" applyFont="1" applyFill="1" applyBorder="1" applyAlignment="1">
      <alignment horizontal="left" vertical="center" wrapText="1"/>
    </xf>
    <xf numFmtId="0" fontId="4" fillId="0" borderId="26" xfId="0" applyFont="1" applyBorder="1"/>
    <xf numFmtId="0" fontId="20" fillId="3" borderId="3" xfId="0" applyFont="1" applyFill="1" applyBorder="1" applyAlignment="1">
      <alignment horizontal="center" vertical="center"/>
    </xf>
    <xf numFmtId="0" fontId="6" fillId="4" borderId="3" xfId="0" applyFont="1" applyFill="1" applyBorder="1" applyAlignment="1">
      <alignment horizontal="center" vertical="center"/>
    </xf>
    <xf numFmtId="0" fontId="16" fillId="9" borderId="32" xfId="0" applyFont="1" applyFill="1" applyBorder="1" applyAlignment="1">
      <alignment horizontal="left" vertical="center"/>
    </xf>
    <xf numFmtId="0" fontId="4" fillId="0" borderId="37" xfId="0" applyFont="1" applyBorder="1"/>
    <xf numFmtId="0" fontId="22" fillId="9" borderId="34" xfId="0" applyFont="1" applyFill="1" applyBorder="1" applyAlignment="1">
      <alignment horizontal="center" vertical="center"/>
    </xf>
    <xf numFmtId="0" fontId="22" fillId="9" borderId="35" xfId="0" applyFont="1" applyFill="1" applyBorder="1" applyAlignment="1">
      <alignment horizontal="center" vertical="center" wrapText="1"/>
    </xf>
    <xf numFmtId="0" fontId="4" fillId="0" borderId="40" xfId="0" applyFont="1" applyBorder="1"/>
    <xf numFmtId="0" fontId="12" fillId="0" borderId="43" xfId="0" applyFont="1" applyBorder="1" applyAlignment="1">
      <alignment horizontal="left" vertical="center"/>
    </xf>
    <xf numFmtId="0" fontId="4" fillId="0" borderId="46" xfId="0" applyFont="1" applyBorder="1"/>
    <xf numFmtId="0" fontId="4" fillId="0" borderId="47" xfId="0" applyFont="1" applyBorder="1"/>
    <xf numFmtId="0" fontId="12" fillId="0" borderId="43" xfId="0" applyFont="1" applyBorder="1" applyAlignment="1">
      <alignment horizontal="left" vertical="center" wrapText="1"/>
    </xf>
    <xf numFmtId="0" fontId="12" fillId="0" borderId="43" xfId="0" quotePrefix="1" applyFont="1" applyBorder="1" applyAlignment="1">
      <alignment horizontal="left" vertical="center" wrapText="1"/>
    </xf>
    <xf numFmtId="0" fontId="22" fillId="9" borderId="32" xfId="0" applyFont="1" applyFill="1" applyBorder="1" applyAlignment="1">
      <alignment horizontal="center" vertical="center"/>
    </xf>
    <xf numFmtId="0" fontId="6" fillId="5" borderId="3" xfId="0" applyFont="1" applyFill="1" applyBorder="1" applyAlignment="1">
      <alignment horizontal="center" vertical="center"/>
    </xf>
    <xf numFmtId="0" fontId="7" fillId="5" borderId="49" xfId="0" applyFont="1" applyFill="1" applyBorder="1" applyAlignment="1">
      <alignment horizontal="center" vertical="center"/>
    </xf>
    <xf numFmtId="0" fontId="4" fillId="0" borderId="50" xfId="0" applyFont="1" applyBorder="1"/>
    <xf numFmtId="0" fontId="4" fillId="0" borderId="51" xfId="0" applyFont="1" applyBorder="1"/>
    <xf numFmtId="0" fontId="4" fillId="0" borderId="52" xfId="0" applyFont="1" applyBorder="1"/>
    <xf numFmtId="0" fontId="22" fillId="9" borderId="32" xfId="0" applyFont="1" applyFill="1" applyBorder="1" applyAlignment="1">
      <alignment horizontal="center" vertical="center" wrapText="1"/>
    </xf>
    <xf numFmtId="0" fontId="12" fillId="0" borderId="17" xfId="0" applyFont="1" applyBorder="1" applyAlignment="1">
      <alignment horizontal="left" vertical="center" wrapText="1"/>
    </xf>
    <xf numFmtId="0" fontId="1" fillId="0" borderId="17" xfId="0" applyFont="1" applyBorder="1" applyAlignment="1">
      <alignment horizontal="left" vertical="center"/>
    </xf>
    <xf numFmtId="0" fontId="28" fillId="0" borderId="17" xfId="0" applyFont="1" applyBorder="1" applyAlignment="1">
      <alignment horizontal="left" vertical="center" wrapText="1"/>
    </xf>
    <xf numFmtId="0" fontId="5" fillId="0" borderId="0" xfId="0" applyFont="1" applyAlignment="1">
      <alignment horizontal="left" vertical="center" wrapText="1"/>
    </xf>
    <xf numFmtId="0" fontId="0" fillId="0" borderId="0" xfId="0"/>
    <xf numFmtId="0" fontId="12" fillId="0" borderId="17" xfId="0" applyFont="1" applyBorder="1" applyAlignment="1">
      <alignment horizontal="left" vertical="center"/>
    </xf>
    <xf numFmtId="0" fontId="12" fillId="0" borderId="57" xfId="0" applyFont="1" applyBorder="1" applyAlignment="1">
      <alignment horizontal="left" vertical="center"/>
    </xf>
    <xf numFmtId="0" fontId="4" fillId="0" borderId="58" xfId="0" applyFont="1" applyBorder="1"/>
    <xf numFmtId="0" fontId="4" fillId="0" borderId="59" xfId="0" applyFont="1" applyBorder="1"/>
    <xf numFmtId="0" fontId="12" fillId="0" borderId="57" xfId="0" applyFont="1" applyBorder="1" applyAlignment="1">
      <alignment horizontal="left" vertical="center" wrapText="1"/>
    </xf>
    <xf numFmtId="0" fontId="31" fillId="0" borderId="17" xfId="0" applyFont="1" applyBorder="1" applyAlignment="1">
      <alignment horizontal="left" vertical="center"/>
    </xf>
    <xf numFmtId="0" fontId="7" fillId="9" borderId="71" xfId="0" applyFont="1" applyFill="1" applyBorder="1" applyAlignment="1">
      <alignment horizontal="center" vertical="center" wrapText="1"/>
    </xf>
    <xf numFmtId="0" fontId="4" fillId="0" borderId="75" xfId="0" applyFont="1" applyBorder="1"/>
    <xf numFmtId="0" fontId="7" fillId="9" borderId="76" xfId="0" applyFont="1" applyFill="1" applyBorder="1" applyAlignment="1">
      <alignment horizontal="center" vertical="center"/>
    </xf>
    <xf numFmtId="0" fontId="4" fillId="0" borderId="77" xfId="0" applyFont="1" applyBorder="1"/>
    <xf numFmtId="0" fontId="4" fillId="0" borderId="78" xfId="0" applyFont="1" applyBorder="1"/>
    <xf numFmtId="0" fontId="32" fillId="20" borderId="61" xfId="0" applyFont="1" applyFill="1" applyBorder="1" applyAlignment="1">
      <alignment horizontal="center" vertical="center"/>
    </xf>
    <xf numFmtId="0" fontId="4" fillId="0" borderId="66" xfId="0" applyFont="1" applyBorder="1"/>
    <xf numFmtId="0" fontId="33" fillId="9" borderId="62" xfId="0" applyFont="1" applyFill="1" applyBorder="1" applyAlignment="1">
      <alignment horizontal="center" vertical="center" wrapText="1"/>
    </xf>
    <xf numFmtId="0" fontId="4" fillId="0" borderId="63" xfId="0" applyFont="1" applyBorder="1"/>
    <xf numFmtId="0" fontId="4" fillId="0" borderId="64" xfId="0" applyFont="1" applyBorder="1"/>
    <xf numFmtId="166" fontId="5" fillId="0" borderId="68" xfId="0" applyNumberFormat="1" applyFont="1" applyBorder="1" applyAlignment="1">
      <alignment horizontal="center" vertical="center" wrapText="1"/>
    </xf>
    <xf numFmtId="0" fontId="4" fillId="0" borderId="69" xfId="0" applyFont="1" applyBorder="1"/>
    <xf numFmtId="0" fontId="4" fillId="0" borderId="53" xfId="0" applyFont="1" applyBorder="1"/>
    <xf numFmtId="0" fontId="7" fillId="9" borderId="72" xfId="0" applyFont="1" applyFill="1" applyBorder="1" applyAlignment="1">
      <alignment horizontal="center" vertical="center"/>
    </xf>
    <xf numFmtId="0" fontId="4" fillId="0" borderId="73" xfId="0" applyFont="1" applyBorder="1"/>
    <xf numFmtId="0" fontId="4" fillId="0" borderId="74" xfId="0" applyFont="1" applyBorder="1"/>
    <xf numFmtId="0" fontId="6" fillId="13" borderId="3" xfId="0" applyFont="1" applyFill="1" applyBorder="1" applyAlignment="1">
      <alignment horizontal="center" vertical="center"/>
    </xf>
    <xf numFmtId="0" fontId="39" fillId="0" borderId="17" xfId="0" applyFont="1" applyBorder="1" applyAlignment="1">
      <alignment horizontal="left" vertical="center" wrapText="1"/>
    </xf>
    <xf numFmtId="164" fontId="50" fillId="23" borderId="79" xfId="0" applyNumberFormat="1" applyFont="1" applyFill="1" applyBorder="1" applyAlignment="1">
      <alignment horizontal="center" vertical="center"/>
    </xf>
    <xf numFmtId="0" fontId="4" fillId="0" borderId="79" xfId="0" applyFont="1" applyBorder="1"/>
    <xf numFmtId="164" fontId="55" fillId="23" borderId="79" xfId="0" applyNumberFormat="1" applyFont="1" applyFill="1" applyBorder="1" applyAlignment="1">
      <alignment horizontal="center" vertical="center"/>
    </xf>
    <xf numFmtId="0" fontId="56" fillId="0" borderId="79" xfId="0" applyFont="1" applyBorder="1"/>
    <xf numFmtId="164" fontId="48" fillId="23" borderId="79" xfId="0" applyNumberFormat="1" applyFont="1" applyFill="1" applyBorder="1" applyAlignment="1">
      <alignment horizontal="center" vertical="center"/>
    </xf>
    <xf numFmtId="9" fontId="50" fillId="23" borderId="79" xfId="0" applyNumberFormat="1" applyFont="1" applyFill="1" applyBorder="1" applyAlignment="1">
      <alignment horizontal="left" vertical="center"/>
    </xf>
    <xf numFmtId="0" fontId="54" fillId="23" borderId="1" xfId="0" applyFont="1" applyFill="1" applyBorder="1" applyAlignment="1">
      <alignment horizontal="left" vertical="center" wrapText="1"/>
    </xf>
    <xf numFmtId="164" fontId="53" fillId="23" borderId="79" xfId="0" applyNumberFormat="1" applyFont="1" applyFill="1" applyBorder="1" applyAlignment="1">
      <alignment horizontal="center" vertical="center"/>
    </xf>
    <xf numFmtId="0" fontId="54" fillId="23" borderId="79" xfId="0" applyFont="1" applyFill="1" applyBorder="1" applyAlignment="1">
      <alignment horizontal="left" vertical="center" wrapText="1"/>
    </xf>
    <xf numFmtId="166" fontId="52" fillId="23" borderId="81" xfId="0" applyNumberFormat="1" applyFont="1" applyFill="1" applyBorder="1" applyAlignment="1">
      <alignment horizontal="left" vertical="center"/>
    </xf>
    <xf numFmtId="0" fontId="4" fillId="0" borderId="81" xfId="0" applyFont="1" applyBorder="1"/>
    <xf numFmtId="166" fontId="44" fillId="23" borderId="81" xfId="0" applyNumberFormat="1" applyFont="1" applyFill="1" applyBorder="1" applyAlignment="1">
      <alignment horizontal="left" vertical="center"/>
    </xf>
    <xf numFmtId="0" fontId="41" fillId="23" borderId="79" xfId="0" applyFont="1" applyFill="1" applyBorder="1" applyAlignment="1">
      <alignment horizontal="center" vertical="center" wrapText="1"/>
    </xf>
    <xf numFmtId="49" fontId="42" fillId="23" borderId="79" xfId="0" applyNumberFormat="1" applyFont="1" applyFill="1" applyBorder="1" applyAlignment="1">
      <alignment horizontal="center" vertical="center" wrapText="1"/>
    </xf>
    <xf numFmtId="166" fontId="44" fillId="23" borderId="79" xfId="0" applyNumberFormat="1" applyFont="1" applyFill="1" applyBorder="1" applyAlignment="1">
      <alignment horizontal="left" vertical="center"/>
    </xf>
  </cellXfs>
  <cellStyles count="1">
    <cellStyle name="Normal" xfId="0" builtinId="0"/>
  </cellStyles>
  <dxfs count="34">
    <dxf>
      <font>
        <color rgb="FFFF0000"/>
      </font>
      <fill>
        <patternFill patternType="none"/>
      </fill>
    </dxf>
    <dxf>
      <font>
        <color theme="4"/>
      </font>
      <fill>
        <patternFill patternType="none"/>
      </fill>
    </dxf>
    <dxf>
      <font>
        <color rgb="FFFF0000"/>
      </font>
      <fill>
        <patternFill patternType="none"/>
      </fill>
    </dxf>
    <dxf>
      <font>
        <color theme="4"/>
      </font>
      <fill>
        <patternFill patternType="none"/>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FF0000"/>
      </font>
      <fill>
        <patternFill patternType="none"/>
      </fill>
    </dxf>
    <dxf>
      <font>
        <color theme="4"/>
      </font>
      <fill>
        <patternFill patternType="none"/>
      </fill>
    </dxf>
    <dxf>
      <font>
        <color rgb="FFFF0000"/>
      </font>
      <fill>
        <patternFill patternType="none"/>
      </fill>
    </dxf>
    <dxf>
      <font>
        <color theme="4"/>
      </font>
      <fill>
        <patternFill patternType="none"/>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46"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276225</xdr:colOff>
      <xdr:row>38</xdr:row>
      <xdr:rowOff>173355</xdr:rowOff>
    </xdr:from>
    <xdr:ext cx="38100" cy="3667125"/>
    <xdr:grpSp>
      <xdr:nvGrpSpPr>
        <xdr:cNvPr id="2" name="Shape 2">
          <a:extLst>
            <a:ext uri="{FF2B5EF4-FFF2-40B4-BE49-F238E27FC236}">
              <a16:creationId xmlns:a16="http://schemas.microsoft.com/office/drawing/2014/main" id="{00000000-0008-0000-2100-000002000000}"/>
            </a:ext>
          </a:extLst>
        </xdr:cNvPr>
        <xdr:cNvGrpSpPr/>
      </xdr:nvGrpSpPr>
      <xdr:grpSpPr>
        <a:xfrm>
          <a:off x="6506281" y="8033244"/>
          <a:ext cx="38100" cy="3667125"/>
          <a:chOff x="5326950" y="1946438"/>
          <a:chExt cx="38100" cy="3667125"/>
        </a:xfrm>
      </xdr:grpSpPr>
      <xdr:grpSp>
        <xdr:nvGrpSpPr>
          <xdr:cNvPr id="4" name="Shape 4">
            <a:extLst>
              <a:ext uri="{FF2B5EF4-FFF2-40B4-BE49-F238E27FC236}">
                <a16:creationId xmlns:a16="http://schemas.microsoft.com/office/drawing/2014/main" id="{00000000-0008-0000-2100-000004000000}"/>
              </a:ext>
            </a:extLst>
          </xdr:cNvPr>
          <xdr:cNvGrpSpPr/>
        </xdr:nvGrpSpPr>
        <xdr:grpSpPr>
          <a:xfrm>
            <a:off x="5326950" y="1946438"/>
            <a:ext cx="38100" cy="3667125"/>
            <a:chOff x="5326950" y="1946438"/>
            <a:chExt cx="38100" cy="3667125"/>
          </a:xfrm>
        </xdr:grpSpPr>
        <xdr:sp macro="" textlink="">
          <xdr:nvSpPr>
            <xdr:cNvPr id="5" name="Shape 5">
              <a:extLst>
                <a:ext uri="{FF2B5EF4-FFF2-40B4-BE49-F238E27FC236}">
                  <a16:creationId xmlns:a16="http://schemas.microsoft.com/office/drawing/2014/main" id="{00000000-0008-0000-2100-000005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2100-000006000000}"/>
                </a:ext>
              </a:extLst>
            </xdr:cNvPr>
            <xdr:cNvGrpSpPr/>
          </xdr:nvGrpSpPr>
          <xdr:grpSpPr>
            <a:xfrm>
              <a:off x="5326950" y="1946438"/>
              <a:ext cx="38100" cy="3667125"/>
              <a:chOff x="5326950" y="1946438"/>
              <a:chExt cx="38100" cy="3667125"/>
            </a:xfrm>
          </xdr:grpSpPr>
          <xdr:sp macro="" textlink="">
            <xdr:nvSpPr>
              <xdr:cNvPr id="7" name="Shape 7">
                <a:extLst>
                  <a:ext uri="{FF2B5EF4-FFF2-40B4-BE49-F238E27FC236}">
                    <a16:creationId xmlns:a16="http://schemas.microsoft.com/office/drawing/2014/main" id="{00000000-0008-0000-2100-000007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 name="Shape 8">
                <a:extLst>
                  <a:ext uri="{FF2B5EF4-FFF2-40B4-BE49-F238E27FC236}">
                    <a16:creationId xmlns:a16="http://schemas.microsoft.com/office/drawing/2014/main" id="{00000000-0008-0000-2100-000008000000}"/>
                  </a:ext>
                </a:extLst>
              </xdr:cNvPr>
              <xdr:cNvGrpSpPr/>
            </xdr:nvGrpSpPr>
            <xdr:grpSpPr>
              <a:xfrm>
                <a:off x="5326950" y="1946438"/>
                <a:ext cx="38100" cy="3667125"/>
                <a:chOff x="5326950" y="1946438"/>
                <a:chExt cx="38100" cy="3667125"/>
              </a:xfrm>
            </xdr:grpSpPr>
            <xdr:sp macro="" textlink="">
              <xdr:nvSpPr>
                <xdr:cNvPr id="9" name="Shape 9">
                  <a:extLst>
                    <a:ext uri="{FF2B5EF4-FFF2-40B4-BE49-F238E27FC236}">
                      <a16:creationId xmlns:a16="http://schemas.microsoft.com/office/drawing/2014/main" id="{00000000-0008-0000-2100-000009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 name="Shape 10">
                  <a:extLst>
                    <a:ext uri="{FF2B5EF4-FFF2-40B4-BE49-F238E27FC236}">
                      <a16:creationId xmlns:a16="http://schemas.microsoft.com/office/drawing/2014/main" id="{00000000-0008-0000-2100-00000A000000}"/>
                    </a:ext>
                  </a:extLst>
                </xdr:cNvPr>
                <xdr:cNvGrpSpPr/>
              </xdr:nvGrpSpPr>
              <xdr:grpSpPr>
                <a:xfrm>
                  <a:off x="5326950" y="1946438"/>
                  <a:ext cx="38100" cy="3667125"/>
                  <a:chOff x="5326950" y="1946438"/>
                  <a:chExt cx="38100" cy="3667125"/>
                </a:xfrm>
              </xdr:grpSpPr>
              <xdr:sp macro="" textlink="">
                <xdr:nvSpPr>
                  <xdr:cNvPr id="11" name="Shape 11">
                    <a:extLst>
                      <a:ext uri="{FF2B5EF4-FFF2-40B4-BE49-F238E27FC236}">
                        <a16:creationId xmlns:a16="http://schemas.microsoft.com/office/drawing/2014/main" id="{00000000-0008-0000-2100-00000B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 name="Shape 12">
                    <a:extLst>
                      <a:ext uri="{FF2B5EF4-FFF2-40B4-BE49-F238E27FC236}">
                        <a16:creationId xmlns:a16="http://schemas.microsoft.com/office/drawing/2014/main" id="{00000000-0008-0000-2100-00000C000000}"/>
                      </a:ext>
                    </a:extLst>
                  </xdr:cNvPr>
                  <xdr:cNvGrpSpPr/>
                </xdr:nvGrpSpPr>
                <xdr:grpSpPr>
                  <a:xfrm>
                    <a:off x="5326950" y="1946438"/>
                    <a:ext cx="38100" cy="3667125"/>
                    <a:chOff x="5326950" y="1946438"/>
                    <a:chExt cx="38100" cy="3667125"/>
                  </a:xfrm>
                </xdr:grpSpPr>
                <xdr:sp macro="" textlink="">
                  <xdr:nvSpPr>
                    <xdr:cNvPr id="13" name="Shape 13">
                      <a:extLst>
                        <a:ext uri="{FF2B5EF4-FFF2-40B4-BE49-F238E27FC236}">
                          <a16:creationId xmlns:a16="http://schemas.microsoft.com/office/drawing/2014/main" id="{00000000-0008-0000-2100-00000D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 name="Shape 14">
                      <a:extLst>
                        <a:ext uri="{FF2B5EF4-FFF2-40B4-BE49-F238E27FC236}">
                          <a16:creationId xmlns:a16="http://schemas.microsoft.com/office/drawing/2014/main" id="{00000000-0008-0000-2100-00000E000000}"/>
                        </a:ext>
                      </a:extLst>
                    </xdr:cNvPr>
                    <xdr:cNvGrpSpPr/>
                  </xdr:nvGrpSpPr>
                  <xdr:grpSpPr>
                    <a:xfrm>
                      <a:off x="5326950" y="1946438"/>
                      <a:ext cx="38100" cy="3667125"/>
                      <a:chOff x="5326950" y="1946438"/>
                      <a:chExt cx="38100" cy="3667125"/>
                    </a:xfrm>
                  </xdr:grpSpPr>
                  <xdr:sp macro="" textlink="">
                    <xdr:nvSpPr>
                      <xdr:cNvPr id="15" name="Shape 15">
                        <a:extLst>
                          <a:ext uri="{FF2B5EF4-FFF2-40B4-BE49-F238E27FC236}">
                            <a16:creationId xmlns:a16="http://schemas.microsoft.com/office/drawing/2014/main" id="{00000000-0008-0000-2100-00000F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 name="Shape 16">
                        <a:extLst>
                          <a:ext uri="{FF2B5EF4-FFF2-40B4-BE49-F238E27FC236}">
                            <a16:creationId xmlns:a16="http://schemas.microsoft.com/office/drawing/2014/main" id="{00000000-0008-0000-2100-000010000000}"/>
                          </a:ext>
                        </a:extLst>
                      </xdr:cNvPr>
                      <xdr:cNvGrpSpPr/>
                    </xdr:nvGrpSpPr>
                    <xdr:grpSpPr>
                      <a:xfrm>
                        <a:off x="5326950" y="1946438"/>
                        <a:ext cx="38100" cy="3667125"/>
                        <a:chOff x="5326950" y="1946438"/>
                        <a:chExt cx="38100" cy="3667125"/>
                      </a:xfrm>
                    </xdr:grpSpPr>
                    <xdr:sp macro="" textlink="">
                      <xdr:nvSpPr>
                        <xdr:cNvPr id="17" name="Shape 17">
                          <a:extLst>
                            <a:ext uri="{FF2B5EF4-FFF2-40B4-BE49-F238E27FC236}">
                              <a16:creationId xmlns:a16="http://schemas.microsoft.com/office/drawing/2014/main" id="{00000000-0008-0000-2100-000011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 name="Shape 18">
                          <a:extLst>
                            <a:ext uri="{FF2B5EF4-FFF2-40B4-BE49-F238E27FC236}">
                              <a16:creationId xmlns:a16="http://schemas.microsoft.com/office/drawing/2014/main" id="{00000000-0008-0000-2100-000012000000}"/>
                            </a:ext>
                          </a:extLst>
                        </xdr:cNvPr>
                        <xdr:cNvGrpSpPr/>
                      </xdr:nvGrpSpPr>
                      <xdr:grpSpPr>
                        <a:xfrm>
                          <a:off x="5326950" y="1946438"/>
                          <a:ext cx="38100" cy="3667125"/>
                          <a:chOff x="5326950" y="1946438"/>
                          <a:chExt cx="38100" cy="3667125"/>
                        </a:xfrm>
                      </xdr:grpSpPr>
                      <xdr:sp macro="" textlink="">
                        <xdr:nvSpPr>
                          <xdr:cNvPr id="19" name="Shape 19">
                            <a:extLst>
                              <a:ext uri="{FF2B5EF4-FFF2-40B4-BE49-F238E27FC236}">
                                <a16:creationId xmlns:a16="http://schemas.microsoft.com/office/drawing/2014/main" id="{00000000-0008-0000-2100-000013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 name="Shape 20">
                            <a:extLst>
                              <a:ext uri="{FF2B5EF4-FFF2-40B4-BE49-F238E27FC236}">
                                <a16:creationId xmlns:a16="http://schemas.microsoft.com/office/drawing/2014/main" id="{00000000-0008-0000-2100-000014000000}"/>
                              </a:ext>
                            </a:extLst>
                          </xdr:cNvPr>
                          <xdr:cNvGrpSpPr/>
                        </xdr:nvGrpSpPr>
                        <xdr:grpSpPr>
                          <a:xfrm>
                            <a:off x="5326950" y="1946438"/>
                            <a:ext cx="38100" cy="3667125"/>
                            <a:chOff x="5326950" y="1946438"/>
                            <a:chExt cx="38100" cy="3667125"/>
                          </a:xfrm>
                        </xdr:grpSpPr>
                        <xdr:sp macro="" textlink="">
                          <xdr:nvSpPr>
                            <xdr:cNvPr id="21" name="Shape 21">
                              <a:extLst>
                                <a:ext uri="{FF2B5EF4-FFF2-40B4-BE49-F238E27FC236}">
                                  <a16:creationId xmlns:a16="http://schemas.microsoft.com/office/drawing/2014/main" id="{00000000-0008-0000-2100-000015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 name="Shape 22">
                              <a:extLst>
                                <a:ext uri="{FF2B5EF4-FFF2-40B4-BE49-F238E27FC236}">
                                  <a16:creationId xmlns:a16="http://schemas.microsoft.com/office/drawing/2014/main" id="{00000000-0008-0000-2100-000016000000}"/>
                                </a:ext>
                              </a:extLst>
                            </xdr:cNvPr>
                            <xdr:cNvGrpSpPr/>
                          </xdr:nvGrpSpPr>
                          <xdr:grpSpPr>
                            <a:xfrm>
                              <a:off x="5326950" y="1946438"/>
                              <a:ext cx="38100" cy="3667125"/>
                              <a:chOff x="5326950" y="1946438"/>
                              <a:chExt cx="38100" cy="3667125"/>
                            </a:xfrm>
                          </xdr:grpSpPr>
                          <xdr:sp macro="" textlink="">
                            <xdr:nvSpPr>
                              <xdr:cNvPr id="23" name="Shape 23">
                                <a:extLst>
                                  <a:ext uri="{FF2B5EF4-FFF2-40B4-BE49-F238E27FC236}">
                                    <a16:creationId xmlns:a16="http://schemas.microsoft.com/office/drawing/2014/main" id="{00000000-0008-0000-2100-00001700000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 name="Shape 24">
                                <a:extLst>
                                  <a:ext uri="{FF2B5EF4-FFF2-40B4-BE49-F238E27FC236}">
                                    <a16:creationId xmlns:a16="http://schemas.microsoft.com/office/drawing/2014/main" id="{00000000-0008-0000-2100-000018000000}"/>
                                  </a:ext>
                                </a:extLst>
                              </xdr:cNvPr>
                              <xdr:cNvGrpSpPr/>
                            </xdr:nvGrpSpPr>
                            <xdr:grpSpPr>
                              <a:xfrm>
                                <a:off x="5326950" y="1946438"/>
                                <a:ext cx="38100" cy="3667125"/>
                                <a:chOff x="5326950" y="1944000"/>
                                <a:chExt cx="38100" cy="3672000"/>
                              </a:xfrm>
                            </xdr:grpSpPr>
                            <xdr:sp macro="" textlink="">
                              <xdr:nvSpPr>
                                <xdr:cNvPr id="25" name="Shape 25">
                                  <a:extLst>
                                    <a:ext uri="{FF2B5EF4-FFF2-40B4-BE49-F238E27FC236}">
                                      <a16:creationId xmlns:a16="http://schemas.microsoft.com/office/drawing/2014/main" id="{00000000-0008-0000-2100-000019000000}"/>
                                    </a:ext>
                                  </a:extLst>
                                </xdr:cNvPr>
                                <xdr:cNvSpPr/>
                              </xdr:nvSpPr>
                              <xdr:spPr>
                                <a:xfrm>
                                  <a:off x="5326950" y="1944000"/>
                                  <a:ext cx="38100" cy="367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 name="Shape 26">
                                  <a:extLst>
                                    <a:ext uri="{FF2B5EF4-FFF2-40B4-BE49-F238E27FC236}">
                                      <a16:creationId xmlns:a16="http://schemas.microsoft.com/office/drawing/2014/main" id="{00000000-0008-0000-2100-00001A000000}"/>
                                    </a:ext>
                                  </a:extLst>
                                </xdr:cNvPr>
                                <xdr:cNvGrpSpPr/>
                              </xdr:nvGrpSpPr>
                              <xdr:grpSpPr>
                                <a:xfrm>
                                  <a:off x="5326950" y="1944000"/>
                                  <a:ext cx="38100" cy="3672000"/>
                                  <a:chOff x="5326950" y="2417925"/>
                                  <a:chExt cx="38100" cy="4320000"/>
                                </a:xfrm>
                              </xdr:grpSpPr>
                              <xdr:sp macro="" textlink="">
                                <xdr:nvSpPr>
                                  <xdr:cNvPr id="27" name="Shape 27">
                                    <a:extLst>
                                      <a:ext uri="{FF2B5EF4-FFF2-40B4-BE49-F238E27FC236}">
                                        <a16:creationId xmlns:a16="http://schemas.microsoft.com/office/drawing/2014/main" id="{00000000-0008-0000-2100-00001B000000}"/>
                                      </a:ext>
                                    </a:extLst>
                                  </xdr:cNvPr>
                                  <xdr:cNvSpPr/>
                                </xdr:nvSpPr>
                                <xdr:spPr>
                                  <a:xfrm>
                                    <a:off x="5326950" y="2417925"/>
                                    <a:ext cx="38100" cy="432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 name="Shape 28">
                                    <a:extLst>
                                      <a:ext uri="{FF2B5EF4-FFF2-40B4-BE49-F238E27FC236}">
                                        <a16:creationId xmlns:a16="http://schemas.microsoft.com/office/drawing/2014/main" id="{00000000-0008-0000-2100-00001C000000}"/>
                                      </a:ext>
                                    </a:extLst>
                                  </xdr:cNvPr>
                                  <xdr:cNvGrpSpPr/>
                                </xdr:nvGrpSpPr>
                                <xdr:grpSpPr>
                                  <a:xfrm>
                                    <a:off x="5326950" y="2417925"/>
                                    <a:ext cx="38100" cy="2724300"/>
                                    <a:chOff x="5326950" y="2417925"/>
                                    <a:chExt cx="38100" cy="2724300"/>
                                  </a:xfrm>
                                </xdr:grpSpPr>
                                <xdr:sp macro="" textlink="">
                                  <xdr:nvSpPr>
                                    <xdr:cNvPr id="29" name="Shape 29">
                                      <a:extLst>
                                        <a:ext uri="{FF2B5EF4-FFF2-40B4-BE49-F238E27FC236}">
                                          <a16:creationId xmlns:a16="http://schemas.microsoft.com/office/drawing/2014/main" id="{00000000-0008-0000-2100-00001D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0" name="Shape 30">
                                      <a:extLst>
                                        <a:ext uri="{FF2B5EF4-FFF2-40B4-BE49-F238E27FC236}">
                                          <a16:creationId xmlns:a16="http://schemas.microsoft.com/office/drawing/2014/main" id="{00000000-0008-0000-2100-00001E000000}"/>
                                        </a:ext>
                                      </a:extLst>
                                    </xdr:cNvPr>
                                    <xdr:cNvGrpSpPr/>
                                  </xdr:nvGrpSpPr>
                                  <xdr:grpSpPr>
                                    <a:xfrm>
                                      <a:off x="5326950" y="2417925"/>
                                      <a:ext cx="38100" cy="2724300"/>
                                      <a:chOff x="5326950" y="2417925"/>
                                      <a:chExt cx="38100" cy="2724300"/>
                                    </a:xfrm>
                                  </xdr:grpSpPr>
                                  <xdr:sp macro="" textlink="">
                                    <xdr:nvSpPr>
                                      <xdr:cNvPr id="31" name="Shape 31">
                                        <a:extLst>
                                          <a:ext uri="{FF2B5EF4-FFF2-40B4-BE49-F238E27FC236}">
                                            <a16:creationId xmlns:a16="http://schemas.microsoft.com/office/drawing/2014/main" id="{00000000-0008-0000-2100-00001F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2" name="Shape 32">
                                        <a:extLst>
                                          <a:ext uri="{FF2B5EF4-FFF2-40B4-BE49-F238E27FC236}">
                                            <a16:creationId xmlns:a16="http://schemas.microsoft.com/office/drawing/2014/main" id="{00000000-0008-0000-2100-000020000000}"/>
                                          </a:ext>
                                        </a:extLst>
                                      </xdr:cNvPr>
                                      <xdr:cNvGrpSpPr/>
                                    </xdr:nvGrpSpPr>
                                    <xdr:grpSpPr>
                                      <a:xfrm>
                                        <a:off x="5326950" y="2417925"/>
                                        <a:ext cx="38100" cy="2724300"/>
                                        <a:chOff x="5326950" y="2417925"/>
                                        <a:chExt cx="38100" cy="2724300"/>
                                      </a:xfrm>
                                    </xdr:grpSpPr>
                                    <xdr:sp macro="" textlink="">
                                      <xdr:nvSpPr>
                                        <xdr:cNvPr id="33" name="Shape 33">
                                          <a:extLst>
                                            <a:ext uri="{FF2B5EF4-FFF2-40B4-BE49-F238E27FC236}">
                                              <a16:creationId xmlns:a16="http://schemas.microsoft.com/office/drawing/2014/main" id="{00000000-0008-0000-2100-000021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4" name="Shape 34">
                                          <a:extLst>
                                            <a:ext uri="{FF2B5EF4-FFF2-40B4-BE49-F238E27FC236}">
                                              <a16:creationId xmlns:a16="http://schemas.microsoft.com/office/drawing/2014/main" id="{00000000-0008-0000-2100-000022000000}"/>
                                            </a:ext>
                                          </a:extLst>
                                        </xdr:cNvPr>
                                        <xdr:cNvGrpSpPr/>
                                      </xdr:nvGrpSpPr>
                                      <xdr:grpSpPr>
                                        <a:xfrm>
                                          <a:off x="5326950" y="2417925"/>
                                          <a:ext cx="38100" cy="2724300"/>
                                          <a:chOff x="5326950" y="2417925"/>
                                          <a:chExt cx="38100" cy="2724300"/>
                                        </a:xfrm>
                                      </xdr:grpSpPr>
                                      <xdr:sp macro="" textlink="">
                                        <xdr:nvSpPr>
                                          <xdr:cNvPr id="35" name="Shape 35">
                                            <a:extLst>
                                              <a:ext uri="{FF2B5EF4-FFF2-40B4-BE49-F238E27FC236}">
                                                <a16:creationId xmlns:a16="http://schemas.microsoft.com/office/drawing/2014/main" id="{00000000-0008-0000-2100-000023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 name="Shape 36">
                                            <a:extLst>
                                              <a:ext uri="{FF2B5EF4-FFF2-40B4-BE49-F238E27FC236}">
                                                <a16:creationId xmlns:a16="http://schemas.microsoft.com/office/drawing/2014/main" id="{00000000-0008-0000-2100-000024000000}"/>
                                              </a:ext>
                                            </a:extLst>
                                          </xdr:cNvPr>
                                          <xdr:cNvGrpSpPr/>
                                        </xdr:nvGrpSpPr>
                                        <xdr:grpSpPr>
                                          <a:xfrm>
                                            <a:off x="5326950" y="2417925"/>
                                            <a:ext cx="38100" cy="2724300"/>
                                            <a:chOff x="5326950" y="2417925"/>
                                            <a:chExt cx="38100" cy="2724300"/>
                                          </a:xfrm>
                                        </xdr:grpSpPr>
                                        <xdr:sp macro="" textlink="">
                                          <xdr:nvSpPr>
                                            <xdr:cNvPr id="37" name="Shape 37">
                                              <a:extLst>
                                                <a:ext uri="{FF2B5EF4-FFF2-40B4-BE49-F238E27FC236}">
                                                  <a16:creationId xmlns:a16="http://schemas.microsoft.com/office/drawing/2014/main" id="{00000000-0008-0000-2100-000025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 name="Shape 38">
                                              <a:extLst>
                                                <a:ext uri="{FF2B5EF4-FFF2-40B4-BE49-F238E27FC236}">
                                                  <a16:creationId xmlns:a16="http://schemas.microsoft.com/office/drawing/2014/main" id="{00000000-0008-0000-2100-000026000000}"/>
                                                </a:ext>
                                              </a:extLst>
                                            </xdr:cNvPr>
                                            <xdr:cNvGrpSpPr/>
                                          </xdr:nvGrpSpPr>
                                          <xdr:grpSpPr>
                                            <a:xfrm>
                                              <a:off x="5326950" y="2417925"/>
                                              <a:ext cx="38100" cy="2724300"/>
                                              <a:chOff x="5326950" y="2417925"/>
                                              <a:chExt cx="38100" cy="2724300"/>
                                            </a:xfrm>
                                          </xdr:grpSpPr>
                                          <xdr:sp macro="" textlink="">
                                            <xdr:nvSpPr>
                                              <xdr:cNvPr id="39" name="Shape 39">
                                                <a:extLst>
                                                  <a:ext uri="{FF2B5EF4-FFF2-40B4-BE49-F238E27FC236}">
                                                    <a16:creationId xmlns:a16="http://schemas.microsoft.com/office/drawing/2014/main" id="{00000000-0008-0000-2100-000027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 name="Shape 40">
                                                <a:extLst>
                                                  <a:ext uri="{FF2B5EF4-FFF2-40B4-BE49-F238E27FC236}">
                                                    <a16:creationId xmlns:a16="http://schemas.microsoft.com/office/drawing/2014/main" id="{00000000-0008-0000-2100-000028000000}"/>
                                                  </a:ext>
                                                </a:extLst>
                                              </xdr:cNvPr>
                                              <xdr:cNvGrpSpPr/>
                                            </xdr:nvGrpSpPr>
                                            <xdr:grpSpPr>
                                              <a:xfrm>
                                                <a:off x="5326950" y="2417925"/>
                                                <a:ext cx="38100" cy="2724300"/>
                                                <a:chOff x="5326950" y="2417925"/>
                                                <a:chExt cx="38100" cy="2724300"/>
                                              </a:xfrm>
                                            </xdr:grpSpPr>
                                            <xdr:sp macro="" textlink="">
                                              <xdr:nvSpPr>
                                                <xdr:cNvPr id="41" name="Shape 41">
                                                  <a:extLst>
                                                    <a:ext uri="{FF2B5EF4-FFF2-40B4-BE49-F238E27FC236}">
                                                      <a16:creationId xmlns:a16="http://schemas.microsoft.com/office/drawing/2014/main" id="{00000000-0008-0000-2100-000029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2" name="Shape 42">
                                                  <a:extLst>
                                                    <a:ext uri="{FF2B5EF4-FFF2-40B4-BE49-F238E27FC236}">
                                                      <a16:creationId xmlns:a16="http://schemas.microsoft.com/office/drawing/2014/main" id="{00000000-0008-0000-2100-00002A000000}"/>
                                                    </a:ext>
                                                  </a:extLst>
                                                </xdr:cNvPr>
                                                <xdr:cNvGrpSpPr/>
                                              </xdr:nvGrpSpPr>
                                              <xdr:grpSpPr>
                                                <a:xfrm>
                                                  <a:off x="5326950" y="2417925"/>
                                                  <a:ext cx="38100" cy="2724300"/>
                                                  <a:chOff x="5326950" y="2417925"/>
                                                  <a:chExt cx="38100" cy="2724300"/>
                                                </a:xfrm>
                                              </xdr:grpSpPr>
                                              <xdr:sp macro="" textlink="">
                                                <xdr:nvSpPr>
                                                  <xdr:cNvPr id="43" name="Shape 43">
                                                    <a:extLst>
                                                      <a:ext uri="{FF2B5EF4-FFF2-40B4-BE49-F238E27FC236}">
                                                        <a16:creationId xmlns:a16="http://schemas.microsoft.com/office/drawing/2014/main" id="{00000000-0008-0000-2100-00002B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4" name="Shape 44">
                                                    <a:extLst>
                                                      <a:ext uri="{FF2B5EF4-FFF2-40B4-BE49-F238E27FC236}">
                                                        <a16:creationId xmlns:a16="http://schemas.microsoft.com/office/drawing/2014/main" id="{00000000-0008-0000-2100-00002C000000}"/>
                                                      </a:ext>
                                                    </a:extLst>
                                                  </xdr:cNvPr>
                                                  <xdr:cNvGrpSpPr/>
                                                </xdr:nvGrpSpPr>
                                                <xdr:grpSpPr>
                                                  <a:xfrm>
                                                    <a:off x="5326950" y="2417925"/>
                                                    <a:ext cx="38100" cy="2724300"/>
                                                    <a:chOff x="5326950" y="2417925"/>
                                                    <a:chExt cx="38100" cy="2724300"/>
                                                  </a:xfrm>
                                                </xdr:grpSpPr>
                                                <xdr:sp macro="" textlink="">
                                                  <xdr:nvSpPr>
                                                    <xdr:cNvPr id="45" name="Shape 45">
                                                      <a:extLst>
                                                        <a:ext uri="{FF2B5EF4-FFF2-40B4-BE49-F238E27FC236}">
                                                          <a16:creationId xmlns:a16="http://schemas.microsoft.com/office/drawing/2014/main" id="{00000000-0008-0000-2100-00002D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6" name="Shape 46">
                                                      <a:extLst>
                                                        <a:ext uri="{FF2B5EF4-FFF2-40B4-BE49-F238E27FC236}">
                                                          <a16:creationId xmlns:a16="http://schemas.microsoft.com/office/drawing/2014/main" id="{00000000-0008-0000-2100-00002E000000}"/>
                                                        </a:ext>
                                                      </a:extLst>
                                                    </xdr:cNvPr>
                                                    <xdr:cNvGrpSpPr/>
                                                  </xdr:nvGrpSpPr>
                                                  <xdr:grpSpPr>
                                                    <a:xfrm>
                                                      <a:off x="5326950" y="2417925"/>
                                                      <a:ext cx="38100" cy="2724300"/>
                                                      <a:chOff x="5326950" y="2417925"/>
                                                      <a:chExt cx="38100" cy="2724300"/>
                                                    </a:xfrm>
                                                  </xdr:grpSpPr>
                                                  <xdr:sp macro="" textlink="">
                                                    <xdr:nvSpPr>
                                                      <xdr:cNvPr id="47" name="Shape 47">
                                                        <a:extLst>
                                                          <a:ext uri="{FF2B5EF4-FFF2-40B4-BE49-F238E27FC236}">
                                                            <a16:creationId xmlns:a16="http://schemas.microsoft.com/office/drawing/2014/main" id="{00000000-0008-0000-2100-00002F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8" name="Shape 48">
                                                        <a:extLst>
                                                          <a:ext uri="{FF2B5EF4-FFF2-40B4-BE49-F238E27FC236}">
                                                            <a16:creationId xmlns:a16="http://schemas.microsoft.com/office/drawing/2014/main" id="{00000000-0008-0000-2100-000030000000}"/>
                                                          </a:ext>
                                                        </a:extLst>
                                                      </xdr:cNvPr>
                                                      <xdr:cNvGrpSpPr/>
                                                    </xdr:nvGrpSpPr>
                                                    <xdr:grpSpPr>
                                                      <a:xfrm>
                                                        <a:off x="5326950" y="2417925"/>
                                                        <a:ext cx="38100" cy="2724300"/>
                                                        <a:chOff x="5326950" y="2417925"/>
                                                        <a:chExt cx="38100" cy="2724300"/>
                                                      </a:xfrm>
                                                    </xdr:grpSpPr>
                                                    <xdr:sp macro="" textlink="">
                                                      <xdr:nvSpPr>
                                                        <xdr:cNvPr id="49" name="Shape 49">
                                                          <a:extLst>
                                                            <a:ext uri="{FF2B5EF4-FFF2-40B4-BE49-F238E27FC236}">
                                                              <a16:creationId xmlns:a16="http://schemas.microsoft.com/office/drawing/2014/main" id="{00000000-0008-0000-2100-000031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0" name="Shape 50">
                                                          <a:extLst>
                                                            <a:ext uri="{FF2B5EF4-FFF2-40B4-BE49-F238E27FC236}">
                                                              <a16:creationId xmlns:a16="http://schemas.microsoft.com/office/drawing/2014/main" id="{00000000-0008-0000-2100-000032000000}"/>
                                                            </a:ext>
                                                          </a:extLst>
                                                        </xdr:cNvPr>
                                                        <xdr:cNvGrpSpPr/>
                                                      </xdr:nvGrpSpPr>
                                                      <xdr:grpSpPr>
                                                        <a:xfrm>
                                                          <a:off x="5326950" y="2417925"/>
                                                          <a:ext cx="38100" cy="2724300"/>
                                                          <a:chOff x="5326950" y="2417925"/>
                                                          <a:chExt cx="38100" cy="2724300"/>
                                                        </a:xfrm>
                                                      </xdr:grpSpPr>
                                                      <xdr:sp macro="" textlink="">
                                                        <xdr:nvSpPr>
                                                          <xdr:cNvPr id="51" name="Shape 51">
                                                            <a:extLst>
                                                              <a:ext uri="{FF2B5EF4-FFF2-40B4-BE49-F238E27FC236}">
                                                                <a16:creationId xmlns:a16="http://schemas.microsoft.com/office/drawing/2014/main" id="{00000000-0008-0000-2100-000033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2" name="Shape 52">
                                                            <a:extLst>
                                                              <a:ext uri="{FF2B5EF4-FFF2-40B4-BE49-F238E27FC236}">
                                                                <a16:creationId xmlns:a16="http://schemas.microsoft.com/office/drawing/2014/main" id="{00000000-0008-0000-2100-000034000000}"/>
                                                              </a:ext>
                                                            </a:extLst>
                                                          </xdr:cNvPr>
                                                          <xdr:cNvGrpSpPr/>
                                                        </xdr:nvGrpSpPr>
                                                        <xdr:grpSpPr>
                                                          <a:xfrm>
                                                            <a:off x="5326950" y="2417925"/>
                                                            <a:ext cx="38100" cy="2724300"/>
                                                            <a:chOff x="5326950" y="2417925"/>
                                                            <a:chExt cx="38100" cy="2724300"/>
                                                          </a:xfrm>
                                                        </xdr:grpSpPr>
                                                        <xdr:sp macro="" textlink="">
                                                          <xdr:nvSpPr>
                                                            <xdr:cNvPr id="53" name="Shape 53">
                                                              <a:extLst>
                                                                <a:ext uri="{FF2B5EF4-FFF2-40B4-BE49-F238E27FC236}">
                                                                  <a16:creationId xmlns:a16="http://schemas.microsoft.com/office/drawing/2014/main" id="{00000000-0008-0000-2100-000035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4" name="Shape 54">
                                                              <a:extLst>
                                                                <a:ext uri="{FF2B5EF4-FFF2-40B4-BE49-F238E27FC236}">
                                                                  <a16:creationId xmlns:a16="http://schemas.microsoft.com/office/drawing/2014/main" id="{00000000-0008-0000-2100-000036000000}"/>
                                                                </a:ext>
                                                              </a:extLst>
                                                            </xdr:cNvPr>
                                                            <xdr:cNvGrpSpPr/>
                                                          </xdr:nvGrpSpPr>
                                                          <xdr:grpSpPr>
                                                            <a:xfrm>
                                                              <a:off x="5326950" y="2417925"/>
                                                              <a:ext cx="38100" cy="2724300"/>
                                                              <a:chOff x="5326950" y="2417925"/>
                                                              <a:chExt cx="38100" cy="2724300"/>
                                                            </a:xfrm>
                                                          </xdr:grpSpPr>
                                                          <xdr:sp macro="" textlink="">
                                                            <xdr:nvSpPr>
                                                              <xdr:cNvPr id="55" name="Shape 55">
                                                                <a:extLst>
                                                                  <a:ext uri="{FF2B5EF4-FFF2-40B4-BE49-F238E27FC236}">
                                                                    <a16:creationId xmlns:a16="http://schemas.microsoft.com/office/drawing/2014/main" id="{00000000-0008-0000-2100-000037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6" name="Shape 56">
                                                                <a:extLst>
                                                                  <a:ext uri="{FF2B5EF4-FFF2-40B4-BE49-F238E27FC236}">
                                                                    <a16:creationId xmlns:a16="http://schemas.microsoft.com/office/drawing/2014/main" id="{00000000-0008-0000-2100-000038000000}"/>
                                                                  </a:ext>
                                                                </a:extLst>
                                                              </xdr:cNvPr>
                                                              <xdr:cNvGrpSpPr/>
                                                            </xdr:nvGrpSpPr>
                                                            <xdr:grpSpPr>
                                                              <a:xfrm>
                                                                <a:off x="5326950" y="2417925"/>
                                                                <a:ext cx="38100" cy="2724300"/>
                                                                <a:chOff x="5326950" y="2417925"/>
                                                                <a:chExt cx="38100" cy="2724300"/>
                                                              </a:xfrm>
                                                            </xdr:grpSpPr>
                                                            <xdr:sp macro="" textlink="">
                                                              <xdr:nvSpPr>
                                                                <xdr:cNvPr id="57" name="Shape 57">
                                                                  <a:extLst>
                                                                    <a:ext uri="{FF2B5EF4-FFF2-40B4-BE49-F238E27FC236}">
                                                                      <a16:creationId xmlns:a16="http://schemas.microsoft.com/office/drawing/2014/main" id="{00000000-0008-0000-2100-000039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8" name="Shape 58">
                                                                  <a:extLst>
                                                                    <a:ext uri="{FF2B5EF4-FFF2-40B4-BE49-F238E27FC236}">
                                                                      <a16:creationId xmlns:a16="http://schemas.microsoft.com/office/drawing/2014/main" id="{00000000-0008-0000-2100-00003A000000}"/>
                                                                    </a:ext>
                                                                  </a:extLst>
                                                                </xdr:cNvPr>
                                                                <xdr:cNvGrpSpPr/>
                                                              </xdr:nvGrpSpPr>
                                                              <xdr:grpSpPr>
                                                                <a:xfrm>
                                                                  <a:off x="5326950" y="2417925"/>
                                                                  <a:ext cx="38100" cy="2724300"/>
                                                                  <a:chOff x="5326950" y="2417925"/>
                                                                  <a:chExt cx="38100" cy="2724300"/>
                                                                </a:xfrm>
                                                              </xdr:grpSpPr>
                                                              <xdr:sp macro="" textlink="">
                                                                <xdr:nvSpPr>
                                                                  <xdr:cNvPr id="59" name="Shape 59">
                                                                    <a:extLst>
                                                                      <a:ext uri="{FF2B5EF4-FFF2-40B4-BE49-F238E27FC236}">
                                                                        <a16:creationId xmlns:a16="http://schemas.microsoft.com/office/drawing/2014/main" id="{00000000-0008-0000-2100-00003B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0" name="Shape 60">
                                                                    <a:extLst>
                                                                      <a:ext uri="{FF2B5EF4-FFF2-40B4-BE49-F238E27FC236}">
                                                                        <a16:creationId xmlns:a16="http://schemas.microsoft.com/office/drawing/2014/main" id="{00000000-0008-0000-2100-00003C000000}"/>
                                                                      </a:ext>
                                                                    </a:extLst>
                                                                  </xdr:cNvPr>
                                                                  <xdr:cNvGrpSpPr/>
                                                                </xdr:nvGrpSpPr>
                                                                <xdr:grpSpPr>
                                                                  <a:xfrm>
                                                                    <a:off x="5326950" y="2417925"/>
                                                                    <a:ext cx="38100" cy="2724300"/>
                                                                    <a:chOff x="5326950" y="2417925"/>
                                                                    <a:chExt cx="38100" cy="2724300"/>
                                                                  </a:xfrm>
                                                                </xdr:grpSpPr>
                                                                <xdr:sp macro="" textlink="">
                                                                  <xdr:nvSpPr>
                                                                    <xdr:cNvPr id="61" name="Shape 61">
                                                                      <a:extLst>
                                                                        <a:ext uri="{FF2B5EF4-FFF2-40B4-BE49-F238E27FC236}">
                                                                          <a16:creationId xmlns:a16="http://schemas.microsoft.com/office/drawing/2014/main" id="{00000000-0008-0000-2100-00003D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2" name="Shape 62">
                                                                      <a:extLst>
                                                                        <a:ext uri="{FF2B5EF4-FFF2-40B4-BE49-F238E27FC236}">
                                                                          <a16:creationId xmlns:a16="http://schemas.microsoft.com/office/drawing/2014/main" id="{00000000-0008-0000-2100-00003E000000}"/>
                                                                        </a:ext>
                                                                      </a:extLst>
                                                                    </xdr:cNvPr>
                                                                    <xdr:cNvGrpSpPr/>
                                                                  </xdr:nvGrpSpPr>
                                                                  <xdr:grpSpPr>
                                                                    <a:xfrm>
                                                                      <a:off x="5326950" y="2417925"/>
                                                                      <a:ext cx="38100" cy="2724300"/>
                                                                      <a:chOff x="5326950" y="2417925"/>
                                                                      <a:chExt cx="38100" cy="2724300"/>
                                                                    </a:xfrm>
                                                                  </xdr:grpSpPr>
                                                                  <xdr:sp macro="" textlink="">
                                                                    <xdr:nvSpPr>
                                                                      <xdr:cNvPr id="63" name="Shape 63">
                                                                        <a:extLst>
                                                                          <a:ext uri="{FF2B5EF4-FFF2-40B4-BE49-F238E27FC236}">
                                                                            <a16:creationId xmlns:a16="http://schemas.microsoft.com/office/drawing/2014/main" id="{00000000-0008-0000-2100-00003F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4" name="Shape 64">
                                                                        <a:extLst>
                                                                          <a:ext uri="{FF2B5EF4-FFF2-40B4-BE49-F238E27FC236}">
                                                                            <a16:creationId xmlns:a16="http://schemas.microsoft.com/office/drawing/2014/main" id="{00000000-0008-0000-2100-000040000000}"/>
                                                                          </a:ext>
                                                                        </a:extLst>
                                                                      </xdr:cNvPr>
                                                                      <xdr:cNvGrpSpPr/>
                                                                    </xdr:nvGrpSpPr>
                                                                    <xdr:grpSpPr>
                                                                      <a:xfrm>
                                                                        <a:off x="5326950" y="2417925"/>
                                                                        <a:ext cx="38100" cy="2724300"/>
                                                                        <a:chOff x="5326950" y="2417925"/>
                                                                        <a:chExt cx="38100" cy="2724300"/>
                                                                      </a:xfrm>
                                                                    </xdr:grpSpPr>
                                                                    <xdr:sp macro="" textlink="">
                                                                      <xdr:nvSpPr>
                                                                        <xdr:cNvPr id="65" name="Shape 65">
                                                                          <a:extLst>
                                                                            <a:ext uri="{FF2B5EF4-FFF2-40B4-BE49-F238E27FC236}">
                                                                              <a16:creationId xmlns:a16="http://schemas.microsoft.com/office/drawing/2014/main" id="{00000000-0008-0000-2100-000041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6" name="Shape 66">
                                                                          <a:extLst>
                                                                            <a:ext uri="{FF2B5EF4-FFF2-40B4-BE49-F238E27FC236}">
                                                                              <a16:creationId xmlns:a16="http://schemas.microsoft.com/office/drawing/2014/main" id="{00000000-0008-0000-2100-000042000000}"/>
                                                                            </a:ext>
                                                                          </a:extLst>
                                                                        </xdr:cNvPr>
                                                                        <xdr:cNvGrpSpPr/>
                                                                      </xdr:nvGrpSpPr>
                                                                      <xdr:grpSpPr>
                                                                        <a:xfrm>
                                                                          <a:off x="5326950" y="2417925"/>
                                                                          <a:ext cx="38100" cy="2724300"/>
                                                                          <a:chOff x="5326950" y="2417925"/>
                                                                          <a:chExt cx="38100" cy="2724300"/>
                                                                        </a:xfrm>
                                                                      </xdr:grpSpPr>
                                                                      <xdr:sp macro="" textlink="">
                                                                        <xdr:nvSpPr>
                                                                          <xdr:cNvPr id="67" name="Shape 67">
                                                                            <a:extLst>
                                                                              <a:ext uri="{FF2B5EF4-FFF2-40B4-BE49-F238E27FC236}">
                                                                                <a16:creationId xmlns:a16="http://schemas.microsoft.com/office/drawing/2014/main" id="{00000000-0008-0000-2100-000043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8" name="Shape 68">
                                                                            <a:extLst>
                                                                              <a:ext uri="{FF2B5EF4-FFF2-40B4-BE49-F238E27FC236}">
                                                                                <a16:creationId xmlns:a16="http://schemas.microsoft.com/office/drawing/2014/main" id="{00000000-0008-0000-2100-000044000000}"/>
                                                                              </a:ext>
                                                                            </a:extLst>
                                                                          </xdr:cNvPr>
                                                                          <xdr:cNvGrpSpPr/>
                                                                        </xdr:nvGrpSpPr>
                                                                        <xdr:grpSpPr>
                                                                          <a:xfrm>
                                                                            <a:off x="5326950" y="2417925"/>
                                                                            <a:ext cx="38100" cy="2724300"/>
                                                                            <a:chOff x="5326950" y="2417925"/>
                                                                            <a:chExt cx="38100" cy="2724300"/>
                                                                          </a:xfrm>
                                                                        </xdr:grpSpPr>
                                                                        <xdr:sp macro="" textlink="">
                                                                          <xdr:nvSpPr>
                                                                            <xdr:cNvPr id="69" name="Shape 69">
                                                                              <a:extLst>
                                                                                <a:ext uri="{FF2B5EF4-FFF2-40B4-BE49-F238E27FC236}">
                                                                                  <a16:creationId xmlns:a16="http://schemas.microsoft.com/office/drawing/2014/main" id="{00000000-0008-0000-2100-000045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0" name="Shape 70">
                                                                              <a:extLst>
                                                                                <a:ext uri="{FF2B5EF4-FFF2-40B4-BE49-F238E27FC236}">
                                                                                  <a16:creationId xmlns:a16="http://schemas.microsoft.com/office/drawing/2014/main" id="{00000000-0008-0000-2100-000046000000}"/>
                                                                                </a:ext>
                                                                              </a:extLst>
                                                                            </xdr:cNvPr>
                                                                            <xdr:cNvGrpSpPr/>
                                                                          </xdr:nvGrpSpPr>
                                                                          <xdr:grpSpPr>
                                                                            <a:xfrm>
                                                                              <a:off x="5326950" y="2417925"/>
                                                                              <a:ext cx="38100" cy="2724300"/>
                                                                              <a:chOff x="5326950" y="2417925"/>
                                                                              <a:chExt cx="38100" cy="2724300"/>
                                                                            </a:xfrm>
                                                                          </xdr:grpSpPr>
                                                                          <xdr:sp macro="" textlink="">
                                                                            <xdr:nvSpPr>
                                                                              <xdr:cNvPr id="71" name="Shape 71">
                                                                                <a:extLst>
                                                                                  <a:ext uri="{FF2B5EF4-FFF2-40B4-BE49-F238E27FC236}">
                                                                                    <a16:creationId xmlns:a16="http://schemas.microsoft.com/office/drawing/2014/main" id="{00000000-0008-0000-2100-000047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2" name="Shape 72">
                                                                                <a:extLst>
                                                                                  <a:ext uri="{FF2B5EF4-FFF2-40B4-BE49-F238E27FC236}">
                                                                                    <a16:creationId xmlns:a16="http://schemas.microsoft.com/office/drawing/2014/main" id="{00000000-0008-0000-2100-000048000000}"/>
                                                                                  </a:ext>
                                                                                </a:extLst>
                                                                              </xdr:cNvPr>
                                                                              <xdr:cNvGrpSpPr/>
                                                                            </xdr:nvGrpSpPr>
                                                                            <xdr:grpSpPr>
                                                                              <a:xfrm>
                                                                                <a:off x="5326950" y="2417925"/>
                                                                                <a:ext cx="38100" cy="2724300"/>
                                                                                <a:chOff x="5326950" y="2417925"/>
                                                                                <a:chExt cx="38100" cy="2724300"/>
                                                                              </a:xfrm>
                                                                            </xdr:grpSpPr>
                                                                            <xdr:sp macro="" textlink="">
                                                                              <xdr:nvSpPr>
                                                                                <xdr:cNvPr id="73" name="Shape 73">
                                                                                  <a:extLst>
                                                                                    <a:ext uri="{FF2B5EF4-FFF2-40B4-BE49-F238E27FC236}">
                                                                                      <a16:creationId xmlns:a16="http://schemas.microsoft.com/office/drawing/2014/main" id="{00000000-0008-0000-2100-000049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4" name="Shape 74">
                                                                                  <a:extLst>
                                                                                    <a:ext uri="{FF2B5EF4-FFF2-40B4-BE49-F238E27FC236}">
                                                                                      <a16:creationId xmlns:a16="http://schemas.microsoft.com/office/drawing/2014/main" id="{00000000-0008-0000-2100-00004A000000}"/>
                                                                                    </a:ext>
                                                                                  </a:extLst>
                                                                                </xdr:cNvPr>
                                                                                <xdr:cNvGrpSpPr/>
                                                                              </xdr:nvGrpSpPr>
                                                                              <xdr:grpSpPr>
                                                                                <a:xfrm>
                                                                                  <a:off x="5326950" y="2417925"/>
                                                                                  <a:ext cx="38100" cy="2724300"/>
                                                                                  <a:chOff x="5326950" y="2417925"/>
                                                                                  <a:chExt cx="38100" cy="2724300"/>
                                                                                </a:xfrm>
                                                                              </xdr:grpSpPr>
                                                                              <xdr:sp macro="" textlink="">
                                                                                <xdr:nvSpPr>
                                                                                  <xdr:cNvPr id="75" name="Shape 75">
                                                                                    <a:extLst>
                                                                                      <a:ext uri="{FF2B5EF4-FFF2-40B4-BE49-F238E27FC236}">
                                                                                        <a16:creationId xmlns:a16="http://schemas.microsoft.com/office/drawing/2014/main" id="{00000000-0008-0000-2100-00004B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6" name="Shape 76">
                                                                                    <a:extLst>
                                                                                      <a:ext uri="{FF2B5EF4-FFF2-40B4-BE49-F238E27FC236}">
                                                                                        <a16:creationId xmlns:a16="http://schemas.microsoft.com/office/drawing/2014/main" id="{00000000-0008-0000-2100-00004C000000}"/>
                                                                                      </a:ext>
                                                                                    </a:extLst>
                                                                                  </xdr:cNvPr>
                                                                                  <xdr:cNvGrpSpPr/>
                                                                                </xdr:nvGrpSpPr>
                                                                                <xdr:grpSpPr>
                                                                                  <a:xfrm>
                                                                                    <a:off x="5326950" y="2417925"/>
                                                                                    <a:ext cx="38100" cy="2724300"/>
                                                                                    <a:chOff x="5326950" y="2417925"/>
                                                                                    <a:chExt cx="38100" cy="2724300"/>
                                                                                  </a:xfrm>
                                                                                </xdr:grpSpPr>
                                                                                <xdr:sp macro="" textlink="">
                                                                                  <xdr:nvSpPr>
                                                                                    <xdr:cNvPr id="77" name="Shape 77">
                                                                                      <a:extLst>
                                                                                        <a:ext uri="{FF2B5EF4-FFF2-40B4-BE49-F238E27FC236}">
                                                                                          <a16:creationId xmlns:a16="http://schemas.microsoft.com/office/drawing/2014/main" id="{00000000-0008-0000-2100-00004D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8" name="Shape 78">
                                                                                      <a:extLst>
                                                                                        <a:ext uri="{FF2B5EF4-FFF2-40B4-BE49-F238E27FC236}">
                                                                                          <a16:creationId xmlns:a16="http://schemas.microsoft.com/office/drawing/2014/main" id="{00000000-0008-0000-2100-00004E000000}"/>
                                                                                        </a:ext>
                                                                                      </a:extLst>
                                                                                    </xdr:cNvPr>
                                                                                    <xdr:cNvGrpSpPr/>
                                                                                  </xdr:nvGrpSpPr>
                                                                                  <xdr:grpSpPr>
                                                                                    <a:xfrm>
                                                                                      <a:off x="5326950" y="2417925"/>
                                                                                      <a:ext cx="38100" cy="2724300"/>
                                                                                      <a:chOff x="5326950" y="2417925"/>
                                                                                      <a:chExt cx="38100" cy="2724300"/>
                                                                                    </a:xfrm>
                                                                                  </xdr:grpSpPr>
                                                                                  <xdr:sp macro="" textlink="">
                                                                                    <xdr:nvSpPr>
                                                                                      <xdr:cNvPr id="79" name="Shape 79">
                                                                                        <a:extLst>
                                                                                          <a:ext uri="{FF2B5EF4-FFF2-40B4-BE49-F238E27FC236}">
                                                                                            <a16:creationId xmlns:a16="http://schemas.microsoft.com/office/drawing/2014/main" id="{00000000-0008-0000-2100-00004F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0" name="Shape 80">
                                                                                        <a:extLst>
                                                                                          <a:ext uri="{FF2B5EF4-FFF2-40B4-BE49-F238E27FC236}">
                                                                                            <a16:creationId xmlns:a16="http://schemas.microsoft.com/office/drawing/2014/main" id="{00000000-0008-0000-2100-000050000000}"/>
                                                                                          </a:ext>
                                                                                        </a:extLst>
                                                                                      </xdr:cNvPr>
                                                                                      <xdr:cNvGrpSpPr/>
                                                                                    </xdr:nvGrpSpPr>
                                                                                    <xdr:grpSpPr>
                                                                                      <a:xfrm>
                                                                                        <a:off x="5326950" y="2417925"/>
                                                                                        <a:ext cx="38100" cy="2724300"/>
                                                                                        <a:chOff x="5326950" y="2417925"/>
                                                                                        <a:chExt cx="38100" cy="2724300"/>
                                                                                      </a:xfrm>
                                                                                    </xdr:grpSpPr>
                                                                                    <xdr:sp macro="" textlink="">
                                                                                      <xdr:nvSpPr>
                                                                                        <xdr:cNvPr id="81" name="Shape 81">
                                                                                          <a:extLst>
                                                                                            <a:ext uri="{FF2B5EF4-FFF2-40B4-BE49-F238E27FC236}">
                                                                                              <a16:creationId xmlns:a16="http://schemas.microsoft.com/office/drawing/2014/main" id="{00000000-0008-0000-2100-000051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 name="Shape 82">
                                                                                          <a:extLst>
                                                                                            <a:ext uri="{FF2B5EF4-FFF2-40B4-BE49-F238E27FC236}">
                                                                                              <a16:creationId xmlns:a16="http://schemas.microsoft.com/office/drawing/2014/main" id="{00000000-0008-0000-2100-000052000000}"/>
                                                                                            </a:ext>
                                                                                          </a:extLst>
                                                                                        </xdr:cNvPr>
                                                                                        <xdr:cNvGrpSpPr/>
                                                                                      </xdr:nvGrpSpPr>
                                                                                      <xdr:grpSpPr>
                                                                                        <a:xfrm>
                                                                                          <a:off x="5326950" y="2417925"/>
                                                                                          <a:ext cx="38100" cy="2724300"/>
                                                                                          <a:chOff x="5326950" y="2417925"/>
                                                                                          <a:chExt cx="38100" cy="2724300"/>
                                                                                        </a:xfrm>
                                                                                      </xdr:grpSpPr>
                                                                                      <xdr:sp macro="" textlink="">
                                                                                        <xdr:nvSpPr>
                                                                                          <xdr:cNvPr id="83" name="Shape 83">
                                                                                            <a:extLst>
                                                                                              <a:ext uri="{FF2B5EF4-FFF2-40B4-BE49-F238E27FC236}">
                                                                                                <a16:creationId xmlns:a16="http://schemas.microsoft.com/office/drawing/2014/main" id="{00000000-0008-0000-2100-000053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4" name="Shape 84">
                                                                                            <a:extLst>
                                                                                              <a:ext uri="{FF2B5EF4-FFF2-40B4-BE49-F238E27FC236}">
                                                                                                <a16:creationId xmlns:a16="http://schemas.microsoft.com/office/drawing/2014/main" id="{00000000-0008-0000-2100-000054000000}"/>
                                                                                              </a:ext>
                                                                                            </a:extLst>
                                                                                          </xdr:cNvPr>
                                                                                          <xdr:cNvGrpSpPr/>
                                                                                        </xdr:nvGrpSpPr>
                                                                                        <xdr:grpSpPr>
                                                                                          <a:xfrm>
                                                                                            <a:off x="5326950" y="2417925"/>
                                                                                            <a:ext cx="38100" cy="2724300"/>
                                                                                            <a:chOff x="5326950" y="2417925"/>
                                                                                            <a:chExt cx="38100" cy="2724300"/>
                                                                                          </a:xfrm>
                                                                                        </xdr:grpSpPr>
                                                                                        <xdr:sp macro="" textlink="">
                                                                                          <xdr:nvSpPr>
                                                                                            <xdr:cNvPr id="85" name="Shape 85">
                                                                                              <a:extLst>
                                                                                                <a:ext uri="{FF2B5EF4-FFF2-40B4-BE49-F238E27FC236}">
                                                                                                  <a16:creationId xmlns:a16="http://schemas.microsoft.com/office/drawing/2014/main" id="{00000000-0008-0000-2100-000055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6" name="Shape 86">
                                                                                              <a:extLst>
                                                                                                <a:ext uri="{FF2B5EF4-FFF2-40B4-BE49-F238E27FC236}">
                                                                                                  <a16:creationId xmlns:a16="http://schemas.microsoft.com/office/drawing/2014/main" id="{00000000-0008-0000-2100-000056000000}"/>
                                                                                                </a:ext>
                                                                                              </a:extLst>
                                                                                            </xdr:cNvPr>
                                                                                            <xdr:cNvGrpSpPr/>
                                                                                          </xdr:nvGrpSpPr>
                                                                                          <xdr:grpSpPr>
                                                                                            <a:xfrm>
                                                                                              <a:off x="5326950" y="2417925"/>
                                                                                              <a:ext cx="38100" cy="2724300"/>
                                                                                              <a:chOff x="5326950" y="2417925"/>
                                                                                              <a:chExt cx="38100" cy="2724300"/>
                                                                                            </a:xfrm>
                                                                                          </xdr:grpSpPr>
                                                                                          <xdr:sp macro="" textlink="">
                                                                                            <xdr:nvSpPr>
                                                                                              <xdr:cNvPr id="87" name="Shape 87">
                                                                                                <a:extLst>
                                                                                                  <a:ext uri="{FF2B5EF4-FFF2-40B4-BE49-F238E27FC236}">
                                                                                                    <a16:creationId xmlns:a16="http://schemas.microsoft.com/office/drawing/2014/main" id="{00000000-0008-0000-2100-000057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 name="Shape 88">
                                                                                                <a:extLst>
                                                                                                  <a:ext uri="{FF2B5EF4-FFF2-40B4-BE49-F238E27FC236}">
                                                                                                    <a16:creationId xmlns:a16="http://schemas.microsoft.com/office/drawing/2014/main" id="{00000000-0008-0000-2100-000058000000}"/>
                                                                                                  </a:ext>
                                                                                                </a:extLst>
                                                                                              </xdr:cNvPr>
                                                                                              <xdr:cNvGrpSpPr/>
                                                                                            </xdr:nvGrpSpPr>
                                                                                            <xdr:grpSpPr>
                                                                                              <a:xfrm>
                                                                                                <a:off x="5326950" y="2417925"/>
                                                                                                <a:ext cx="38100" cy="2724300"/>
                                                                                                <a:chOff x="5326950" y="2417925"/>
                                                                                                <a:chExt cx="38100" cy="2724300"/>
                                                                                              </a:xfrm>
                                                                                            </xdr:grpSpPr>
                                                                                            <xdr:sp macro="" textlink="">
                                                                                              <xdr:nvSpPr>
                                                                                                <xdr:cNvPr id="89" name="Shape 89">
                                                                                                  <a:extLst>
                                                                                                    <a:ext uri="{FF2B5EF4-FFF2-40B4-BE49-F238E27FC236}">
                                                                                                      <a16:creationId xmlns:a16="http://schemas.microsoft.com/office/drawing/2014/main" id="{00000000-0008-0000-2100-000059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 name="Shape 90">
                                                                                                  <a:extLst>
                                                                                                    <a:ext uri="{FF2B5EF4-FFF2-40B4-BE49-F238E27FC236}">
                                                                                                      <a16:creationId xmlns:a16="http://schemas.microsoft.com/office/drawing/2014/main" id="{00000000-0008-0000-2100-00005A000000}"/>
                                                                                                    </a:ext>
                                                                                                  </a:extLst>
                                                                                                </xdr:cNvPr>
                                                                                                <xdr:cNvGrpSpPr/>
                                                                                              </xdr:nvGrpSpPr>
                                                                                              <xdr:grpSpPr>
                                                                                                <a:xfrm>
                                                                                                  <a:off x="5326950" y="2417925"/>
                                                                                                  <a:ext cx="38100" cy="2724300"/>
                                                                                                  <a:chOff x="5326950" y="2417925"/>
                                                                                                  <a:chExt cx="38100" cy="2724300"/>
                                                                                                </a:xfrm>
                                                                                              </xdr:grpSpPr>
                                                                                              <xdr:sp macro="" textlink="">
                                                                                                <xdr:nvSpPr>
                                                                                                  <xdr:cNvPr id="91" name="Shape 91">
                                                                                                    <a:extLst>
                                                                                                      <a:ext uri="{FF2B5EF4-FFF2-40B4-BE49-F238E27FC236}">
                                                                                                        <a16:creationId xmlns:a16="http://schemas.microsoft.com/office/drawing/2014/main" id="{00000000-0008-0000-2100-00005B00000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 name="Shape 92">
                                                                                                    <a:extLst>
                                                                                                      <a:ext uri="{FF2B5EF4-FFF2-40B4-BE49-F238E27FC236}">
                                                                                                        <a16:creationId xmlns:a16="http://schemas.microsoft.com/office/drawing/2014/main" id="{00000000-0008-0000-2100-00005C000000}"/>
                                                                                                      </a:ext>
                                                                                                    </a:extLst>
                                                                                                  </xdr:cNvPr>
                                                                                                  <xdr:cNvGrpSpPr/>
                                                                                                </xdr:nvGrpSpPr>
                                                                                                <xdr:grpSpPr>
                                                                                                  <a:xfrm>
                                                                                                    <a:off x="5326950" y="2417925"/>
                                                                                                    <a:ext cx="38100" cy="2724300"/>
                                                                                                    <a:chOff x="5336475" y="2417925"/>
                                                                                                    <a:chExt cx="19050" cy="2724300"/>
                                                                                                  </a:xfrm>
                                                                                                </xdr:grpSpPr>
                                                                                                <xdr:sp macro="" textlink="">
                                                                                                  <xdr:nvSpPr>
                                                                                                    <xdr:cNvPr id="93" name="Shape 93">
                                                                                                      <a:extLst>
                                                                                                        <a:ext uri="{FF2B5EF4-FFF2-40B4-BE49-F238E27FC236}">
                                                                                                          <a16:creationId xmlns:a16="http://schemas.microsoft.com/office/drawing/2014/main" id="{00000000-0008-0000-2100-00005D000000}"/>
                                                                                                        </a:ext>
                                                                                                      </a:extLst>
                                                                                                    </xdr:cNvPr>
                                                                                                    <xdr:cNvSpPr/>
                                                                                                  </xdr:nvSpPr>
                                                                                                  <xdr:spPr>
                                                                                                    <a:xfrm>
                                                                                                      <a:off x="5336475" y="2417925"/>
                                                                                                      <a:ext cx="1905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4" name="Shape 94">
                                                                                                      <a:extLst>
                                                                                                        <a:ext uri="{FF2B5EF4-FFF2-40B4-BE49-F238E27FC236}">
                                                                                                          <a16:creationId xmlns:a16="http://schemas.microsoft.com/office/drawing/2014/main" id="{00000000-0008-0000-2100-00005E000000}"/>
                                                                                                        </a:ext>
                                                                                                      </a:extLst>
                                                                                                    </xdr:cNvPr>
                                                                                                    <xdr:cNvCxnSpPr>
                                                                                                      <a:stCxn id="93" idx="0"/>
                                                                                                      <a:endCxn id="93" idx="2"/>
                                                                                                    </xdr:cNvCxnSpPr>
                                                                                                  </xdr:nvCxnSpPr>
                                                                                                  <xdr:spPr>
                                                                                                    <a:xfrm>
                                                                                                      <a:off x="5346000" y="2417925"/>
                                                                                                      <a:ext cx="0" cy="2724300"/>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11</xdr:col>
      <xdr:colOff>276225</xdr:colOff>
      <xdr:row>59</xdr:row>
      <xdr:rowOff>142875</xdr:rowOff>
    </xdr:from>
    <xdr:ext cx="38100" cy="6257925"/>
    <xdr:grpSp>
      <xdr:nvGrpSpPr>
        <xdr:cNvPr id="96" name="Shape 2">
          <a:extLst>
            <a:ext uri="{FF2B5EF4-FFF2-40B4-BE49-F238E27FC236}">
              <a16:creationId xmlns:a16="http://schemas.microsoft.com/office/drawing/2014/main" id="{00000000-0008-0000-2100-000060000000}"/>
            </a:ext>
          </a:extLst>
        </xdr:cNvPr>
        <xdr:cNvGrpSpPr/>
      </xdr:nvGrpSpPr>
      <xdr:grpSpPr>
        <a:xfrm>
          <a:off x="6506281" y="14176375"/>
          <a:ext cx="38100" cy="6257925"/>
          <a:chOff x="5326950" y="651038"/>
          <a:chExt cx="38100" cy="6257925"/>
        </a:xfrm>
      </xdr:grpSpPr>
      <xdr:grpSp>
        <xdr:nvGrpSpPr>
          <xdr:cNvPr id="97" name="Shape 96">
            <a:extLst>
              <a:ext uri="{FF2B5EF4-FFF2-40B4-BE49-F238E27FC236}">
                <a16:creationId xmlns:a16="http://schemas.microsoft.com/office/drawing/2014/main" id="{00000000-0008-0000-2100-000061000000}"/>
              </a:ext>
            </a:extLst>
          </xdr:cNvPr>
          <xdr:cNvGrpSpPr/>
        </xdr:nvGrpSpPr>
        <xdr:grpSpPr>
          <a:xfrm>
            <a:off x="5326950" y="651038"/>
            <a:ext cx="38100" cy="6257925"/>
            <a:chOff x="5326950" y="651038"/>
            <a:chExt cx="38100" cy="6257925"/>
          </a:xfrm>
        </xdr:grpSpPr>
        <xdr:sp macro="" textlink="">
          <xdr:nvSpPr>
            <xdr:cNvPr id="98" name="Shape 5">
              <a:extLst>
                <a:ext uri="{FF2B5EF4-FFF2-40B4-BE49-F238E27FC236}">
                  <a16:creationId xmlns:a16="http://schemas.microsoft.com/office/drawing/2014/main" id="{00000000-0008-0000-2100-000062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9" name="Shape 97">
              <a:extLst>
                <a:ext uri="{FF2B5EF4-FFF2-40B4-BE49-F238E27FC236}">
                  <a16:creationId xmlns:a16="http://schemas.microsoft.com/office/drawing/2014/main" id="{00000000-0008-0000-2100-000063000000}"/>
                </a:ext>
              </a:extLst>
            </xdr:cNvPr>
            <xdr:cNvGrpSpPr/>
          </xdr:nvGrpSpPr>
          <xdr:grpSpPr>
            <a:xfrm>
              <a:off x="5326950" y="651038"/>
              <a:ext cx="38100" cy="6257925"/>
              <a:chOff x="5326950" y="651038"/>
              <a:chExt cx="38100" cy="6257925"/>
            </a:xfrm>
          </xdr:grpSpPr>
          <xdr:sp macro="" textlink="">
            <xdr:nvSpPr>
              <xdr:cNvPr id="100" name="Shape 98">
                <a:extLst>
                  <a:ext uri="{FF2B5EF4-FFF2-40B4-BE49-F238E27FC236}">
                    <a16:creationId xmlns:a16="http://schemas.microsoft.com/office/drawing/2014/main" id="{00000000-0008-0000-2100-000064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1" name="Shape 99">
                <a:extLst>
                  <a:ext uri="{FF2B5EF4-FFF2-40B4-BE49-F238E27FC236}">
                    <a16:creationId xmlns:a16="http://schemas.microsoft.com/office/drawing/2014/main" id="{00000000-0008-0000-2100-000065000000}"/>
                  </a:ext>
                </a:extLst>
              </xdr:cNvPr>
              <xdr:cNvGrpSpPr/>
            </xdr:nvGrpSpPr>
            <xdr:grpSpPr>
              <a:xfrm>
                <a:off x="5326950" y="651038"/>
                <a:ext cx="38100" cy="6257925"/>
                <a:chOff x="5326950" y="651038"/>
                <a:chExt cx="38100" cy="6257925"/>
              </a:xfrm>
            </xdr:grpSpPr>
            <xdr:sp macro="" textlink="">
              <xdr:nvSpPr>
                <xdr:cNvPr id="102" name="Shape 100">
                  <a:extLst>
                    <a:ext uri="{FF2B5EF4-FFF2-40B4-BE49-F238E27FC236}">
                      <a16:creationId xmlns:a16="http://schemas.microsoft.com/office/drawing/2014/main" id="{00000000-0008-0000-2100-000066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3" name="Shape 101">
                  <a:extLst>
                    <a:ext uri="{FF2B5EF4-FFF2-40B4-BE49-F238E27FC236}">
                      <a16:creationId xmlns:a16="http://schemas.microsoft.com/office/drawing/2014/main" id="{00000000-0008-0000-2100-000067000000}"/>
                    </a:ext>
                  </a:extLst>
                </xdr:cNvPr>
                <xdr:cNvGrpSpPr/>
              </xdr:nvGrpSpPr>
              <xdr:grpSpPr>
                <a:xfrm>
                  <a:off x="5326950" y="651038"/>
                  <a:ext cx="38100" cy="6257925"/>
                  <a:chOff x="5326950" y="651038"/>
                  <a:chExt cx="38100" cy="6257925"/>
                </a:xfrm>
              </xdr:grpSpPr>
              <xdr:sp macro="" textlink="">
                <xdr:nvSpPr>
                  <xdr:cNvPr id="104" name="Shape 102">
                    <a:extLst>
                      <a:ext uri="{FF2B5EF4-FFF2-40B4-BE49-F238E27FC236}">
                        <a16:creationId xmlns:a16="http://schemas.microsoft.com/office/drawing/2014/main" id="{00000000-0008-0000-2100-000068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5" name="Shape 103">
                    <a:extLst>
                      <a:ext uri="{FF2B5EF4-FFF2-40B4-BE49-F238E27FC236}">
                        <a16:creationId xmlns:a16="http://schemas.microsoft.com/office/drawing/2014/main" id="{00000000-0008-0000-2100-000069000000}"/>
                      </a:ext>
                    </a:extLst>
                  </xdr:cNvPr>
                  <xdr:cNvGrpSpPr/>
                </xdr:nvGrpSpPr>
                <xdr:grpSpPr>
                  <a:xfrm>
                    <a:off x="5326950" y="651038"/>
                    <a:ext cx="38100" cy="6257925"/>
                    <a:chOff x="5326950" y="651038"/>
                    <a:chExt cx="38100" cy="6257925"/>
                  </a:xfrm>
                </xdr:grpSpPr>
                <xdr:sp macro="" textlink="">
                  <xdr:nvSpPr>
                    <xdr:cNvPr id="106" name="Shape 104">
                      <a:extLst>
                        <a:ext uri="{FF2B5EF4-FFF2-40B4-BE49-F238E27FC236}">
                          <a16:creationId xmlns:a16="http://schemas.microsoft.com/office/drawing/2014/main" id="{00000000-0008-0000-2100-00006A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7" name="Shape 105">
                      <a:extLst>
                        <a:ext uri="{FF2B5EF4-FFF2-40B4-BE49-F238E27FC236}">
                          <a16:creationId xmlns:a16="http://schemas.microsoft.com/office/drawing/2014/main" id="{00000000-0008-0000-2100-00006B000000}"/>
                        </a:ext>
                      </a:extLst>
                    </xdr:cNvPr>
                    <xdr:cNvGrpSpPr/>
                  </xdr:nvGrpSpPr>
                  <xdr:grpSpPr>
                    <a:xfrm>
                      <a:off x="5326950" y="651038"/>
                      <a:ext cx="38100" cy="6257925"/>
                      <a:chOff x="5326950" y="651038"/>
                      <a:chExt cx="38100" cy="6257925"/>
                    </a:xfrm>
                  </xdr:grpSpPr>
                  <xdr:sp macro="" textlink="">
                    <xdr:nvSpPr>
                      <xdr:cNvPr id="108" name="Shape 106">
                        <a:extLst>
                          <a:ext uri="{FF2B5EF4-FFF2-40B4-BE49-F238E27FC236}">
                            <a16:creationId xmlns:a16="http://schemas.microsoft.com/office/drawing/2014/main" id="{00000000-0008-0000-2100-00006C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9" name="Shape 107">
                        <a:extLst>
                          <a:ext uri="{FF2B5EF4-FFF2-40B4-BE49-F238E27FC236}">
                            <a16:creationId xmlns:a16="http://schemas.microsoft.com/office/drawing/2014/main" id="{00000000-0008-0000-2100-00006D000000}"/>
                          </a:ext>
                        </a:extLst>
                      </xdr:cNvPr>
                      <xdr:cNvGrpSpPr/>
                    </xdr:nvGrpSpPr>
                    <xdr:grpSpPr>
                      <a:xfrm>
                        <a:off x="5326950" y="651038"/>
                        <a:ext cx="38100" cy="6257925"/>
                        <a:chOff x="5326950" y="651038"/>
                        <a:chExt cx="38100" cy="6257925"/>
                      </a:xfrm>
                    </xdr:grpSpPr>
                    <xdr:sp macro="" textlink="">
                      <xdr:nvSpPr>
                        <xdr:cNvPr id="110" name="Shape 108">
                          <a:extLst>
                            <a:ext uri="{FF2B5EF4-FFF2-40B4-BE49-F238E27FC236}">
                              <a16:creationId xmlns:a16="http://schemas.microsoft.com/office/drawing/2014/main" id="{00000000-0008-0000-2100-00006E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 name="Shape 109">
                          <a:extLst>
                            <a:ext uri="{FF2B5EF4-FFF2-40B4-BE49-F238E27FC236}">
                              <a16:creationId xmlns:a16="http://schemas.microsoft.com/office/drawing/2014/main" id="{00000000-0008-0000-2100-00006F000000}"/>
                            </a:ext>
                          </a:extLst>
                        </xdr:cNvPr>
                        <xdr:cNvGrpSpPr/>
                      </xdr:nvGrpSpPr>
                      <xdr:grpSpPr>
                        <a:xfrm>
                          <a:off x="5326950" y="651038"/>
                          <a:ext cx="38100" cy="6257925"/>
                          <a:chOff x="5326950" y="651038"/>
                          <a:chExt cx="38100" cy="6257925"/>
                        </a:xfrm>
                      </xdr:grpSpPr>
                      <xdr:sp macro="" textlink="">
                        <xdr:nvSpPr>
                          <xdr:cNvPr id="112" name="Shape 110">
                            <a:extLst>
                              <a:ext uri="{FF2B5EF4-FFF2-40B4-BE49-F238E27FC236}">
                                <a16:creationId xmlns:a16="http://schemas.microsoft.com/office/drawing/2014/main" id="{00000000-0008-0000-2100-000070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3" name="Shape 111">
                            <a:extLst>
                              <a:ext uri="{FF2B5EF4-FFF2-40B4-BE49-F238E27FC236}">
                                <a16:creationId xmlns:a16="http://schemas.microsoft.com/office/drawing/2014/main" id="{00000000-0008-0000-2100-000071000000}"/>
                              </a:ext>
                            </a:extLst>
                          </xdr:cNvPr>
                          <xdr:cNvGrpSpPr/>
                        </xdr:nvGrpSpPr>
                        <xdr:grpSpPr>
                          <a:xfrm>
                            <a:off x="5326950" y="651038"/>
                            <a:ext cx="38100" cy="6257925"/>
                            <a:chOff x="5326950" y="651038"/>
                            <a:chExt cx="38100" cy="6257925"/>
                          </a:xfrm>
                        </xdr:grpSpPr>
                        <xdr:sp macro="" textlink="">
                          <xdr:nvSpPr>
                            <xdr:cNvPr id="114" name="Shape 112">
                              <a:extLst>
                                <a:ext uri="{FF2B5EF4-FFF2-40B4-BE49-F238E27FC236}">
                                  <a16:creationId xmlns:a16="http://schemas.microsoft.com/office/drawing/2014/main" id="{00000000-0008-0000-2100-000072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5" name="Shape 113">
                              <a:extLst>
                                <a:ext uri="{FF2B5EF4-FFF2-40B4-BE49-F238E27FC236}">
                                  <a16:creationId xmlns:a16="http://schemas.microsoft.com/office/drawing/2014/main" id="{00000000-0008-0000-2100-000073000000}"/>
                                </a:ext>
                              </a:extLst>
                            </xdr:cNvPr>
                            <xdr:cNvGrpSpPr/>
                          </xdr:nvGrpSpPr>
                          <xdr:grpSpPr>
                            <a:xfrm>
                              <a:off x="5326950" y="651038"/>
                              <a:ext cx="38100" cy="6257925"/>
                              <a:chOff x="5326950" y="651038"/>
                              <a:chExt cx="38100" cy="6257925"/>
                            </a:xfrm>
                          </xdr:grpSpPr>
                          <xdr:sp macro="" textlink="">
                            <xdr:nvSpPr>
                              <xdr:cNvPr id="116" name="Shape 114">
                                <a:extLst>
                                  <a:ext uri="{FF2B5EF4-FFF2-40B4-BE49-F238E27FC236}">
                                    <a16:creationId xmlns:a16="http://schemas.microsoft.com/office/drawing/2014/main" id="{00000000-0008-0000-2100-0000740000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7" name="Shape 115">
                                <a:extLst>
                                  <a:ext uri="{FF2B5EF4-FFF2-40B4-BE49-F238E27FC236}">
                                    <a16:creationId xmlns:a16="http://schemas.microsoft.com/office/drawing/2014/main" id="{00000000-0008-0000-2100-000075000000}"/>
                                  </a:ext>
                                </a:extLst>
                              </xdr:cNvPr>
                              <xdr:cNvGrpSpPr/>
                            </xdr:nvGrpSpPr>
                            <xdr:grpSpPr>
                              <a:xfrm>
                                <a:off x="5326950" y="651038"/>
                                <a:ext cx="38100" cy="6257925"/>
                                <a:chOff x="5326950" y="647228"/>
                                <a:chExt cx="38100" cy="6265525"/>
                              </a:xfrm>
                            </xdr:grpSpPr>
                            <xdr:sp macro="" textlink="">
                              <xdr:nvSpPr>
                                <xdr:cNvPr id="118" name="Shape 116">
                                  <a:extLst>
                                    <a:ext uri="{FF2B5EF4-FFF2-40B4-BE49-F238E27FC236}">
                                      <a16:creationId xmlns:a16="http://schemas.microsoft.com/office/drawing/2014/main" id="{00000000-0008-0000-2100-000076000000}"/>
                                    </a:ext>
                                  </a:extLst>
                                </xdr:cNvPr>
                                <xdr:cNvSpPr/>
                              </xdr:nvSpPr>
                              <xdr:spPr>
                                <a:xfrm>
                                  <a:off x="5326950" y="647228"/>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 name="Shape 117">
                                  <a:extLst>
                                    <a:ext uri="{FF2B5EF4-FFF2-40B4-BE49-F238E27FC236}">
                                      <a16:creationId xmlns:a16="http://schemas.microsoft.com/office/drawing/2014/main" id="{00000000-0008-0000-2100-000077000000}"/>
                                    </a:ext>
                                  </a:extLst>
                                </xdr:cNvPr>
                                <xdr:cNvGrpSpPr/>
                              </xdr:nvGrpSpPr>
                              <xdr:grpSpPr>
                                <a:xfrm>
                                  <a:off x="5326950" y="647228"/>
                                  <a:ext cx="38100" cy="6265525"/>
                                  <a:chOff x="5326950" y="1894050"/>
                                  <a:chExt cx="38100" cy="6265525"/>
                                </a:xfrm>
                              </xdr:grpSpPr>
                              <xdr:sp macro="" textlink="">
                                <xdr:nvSpPr>
                                  <xdr:cNvPr id="120" name="Shape 118">
                                    <a:extLst>
                                      <a:ext uri="{FF2B5EF4-FFF2-40B4-BE49-F238E27FC236}">
                                        <a16:creationId xmlns:a16="http://schemas.microsoft.com/office/drawing/2014/main" id="{00000000-0008-0000-2100-000078000000}"/>
                                      </a:ext>
                                    </a:extLst>
                                  </xdr:cNvPr>
                                  <xdr:cNvSpPr/>
                                </xdr:nvSpPr>
                                <xdr:spPr>
                                  <a:xfrm>
                                    <a:off x="5326950" y="1894050"/>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1" name="Shape 119">
                                    <a:extLst>
                                      <a:ext uri="{FF2B5EF4-FFF2-40B4-BE49-F238E27FC236}">
                                        <a16:creationId xmlns:a16="http://schemas.microsoft.com/office/drawing/2014/main" id="{00000000-0008-0000-2100-000079000000}"/>
                                      </a:ext>
                                    </a:extLst>
                                  </xdr:cNvPr>
                                  <xdr:cNvGrpSpPr/>
                                </xdr:nvGrpSpPr>
                                <xdr:grpSpPr>
                                  <a:xfrm>
                                    <a:off x="5326950" y="1894050"/>
                                    <a:ext cx="38100" cy="6265500"/>
                                    <a:chOff x="5326950" y="1894050"/>
                                    <a:chExt cx="38100" cy="6265500"/>
                                  </a:xfrm>
                                </xdr:grpSpPr>
                                <xdr:sp macro="" textlink="">
                                  <xdr:nvSpPr>
                                    <xdr:cNvPr id="122" name="Shape 120">
                                      <a:extLst>
                                        <a:ext uri="{FF2B5EF4-FFF2-40B4-BE49-F238E27FC236}">
                                          <a16:creationId xmlns:a16="http://schemas.microsoft.com/office/drawing/2014/main" id="{00000000-0008-0000-2100-00007A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3" name="Shape 121">
                                      <a:extLst>
                                        <a:ext uri="{FF2B5EF4-FFF2-40B4-BE49-F238E27FC236}">
                                          <a16:creationId xmlns:a16="http://schemas.microsoft.com/office/drawing/2014/main" id="{00000000-0008-0000-2100-00007B000000}"/>
                                        </a:ext>
                                      </a:extLst>
                                    </xdr:cNvPr>
                                    <xdr:cNvGrpSpPr/>
                                  </xdr:nvGrpSpPr>
                                  <xdr:grpSpPr>
                                    <a:xfrm>
                                      <a:off x="5326950" y="1894050"/>
                                      <a:ext cx="38100" cy="6265500"/>
                                      <a:chOff x="5326950" y="1894050"/>
                                      <a:chExt cx="38100" cy="6265500"/>
                                    </a:xfrm>
                                  </xdr:grpSpPr>
                                  <xdr:sp macro="" textlink="">
                                    <xdr:nvSpPr>
                                      <xdr:cNvPr id="124" name="Shape 122">
                                        <a:extLst>
                                          <a:ext uri="{FF2B5EF4-FFF2-40B4-BE49-F238E27FC236}">
                                            <a16:creationId xmlns:a16="http://schemas.microsoft.com/office/drawing/2014/main" id="{00000000-0008-0000-2100-00007C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5" name="Shape 123">
                                        <a:extLst>
                                          <a:ext uri="{FF2B5EF4-FFF2-40B4-BE49-F238E27FC236}">
                                            <a16:creationId xmlns:a16="http://schemas.microsoft.com/office/drawing/2014/main" id="{00000000-0008-0000-2100-00007D000000}"/>
                                          </a:ext>
                                        </a:extLst>
                                      </xdr:cNvPr>
                                      <xdr:cNvGrpSpPr/>
                                    </xdr:nvGrpSpPr>
                                    <xdr:grpSpPr>
                                      <a:xfrm>
                                        <a:off x="5326950" y="1894050"/>
                                        <a:ext cx="38100" cy="6265500"/>
                                        <a:chOff x="5326950" y="1894050"/>
                                        <a:chExt cx="38100" cy="6265500"/>
                                      </a:xfrm>
                                    </xdr:grpSpPr>
                                    <xdr:sp macro="" textlink="">
                                      <xdr:nvSpPr>
                                        <xdr:cNvPr id="126" name="Shape 124">
                                          <a:extLst>
                                            <a:ext uri="{FF2B5EF4-FFF2-40B4-BE49-F238E27FC236}">
                                              <a16:creationId xmlns:a16="http://schemas.microsoft.com/office/drawing/2014/main" id="{00000000-0008-0000-2100-00007E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7" name="Shape 125">
                                          <a:extLst>
                                            <a:ext uri="{FF2B5EF4-FFF2-40B4-BE49-F238E27FC236}">
                                              <a16:creationId xmlns:a16="http://schemas.microsoft.com/office/drawing/2014/main" id="{00000000-0008-0000-2100-00007F000000}"/>
                                            </a:ext>
                                          </a:extLst>
                                        </xdr:cNvPr>
                                        <xdr:cNvGrpSpPr/>
                                      </xdr:nvGrpSpPr>
                                      <xdr:grpSpPr>
                                        <a:xfrm>
                                          <a:off x="5326950" y="1894050"/>
                                          <a:ext cx="38100" cy="6265500"/>
                                          <a:chOff x="5326950" y="1894050"/>
                                          <a:chExt cx="38100" cy="6265500"/>
                                        </a:xfrm>
                                      </xdr:grpSpPr>
                                      <xdr:sp macro="" textlink="">
                                        <xdr:nvSpPr>
                                          <xdr:cNvPr id="128" name="Shape 126">
                                            <a:extLst>
                                              <a:ext uri="{FF2B5EF4-FFF2-40B4-BE49-F238E27FC236}">
                                                <a16:creationId xmlns:a16="http://schemas.microsoft.com/office/drawing/2014/main" id="{00000000-0008-0000-2100-000080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9" name="Shape 127">
                                            <a:extLst>
                                              <a:ext uri="{FF2B5EF4-FFF2-40B4-BE49-F238E27FC236}">
                                                <a16:creationId xmlns:a16="http://schemas.microsoft.com/office/drawing/2014/main" id="{00000000-0008-0000-2100-000081000000}"/>
                                              </a:ext>
                                            </a:extLst>
                                          </xdr:cNvPr>
                                          <xdr:cNvGrpSpPr/>
                                        </xdr:nvGrpSpPr>
                                        <xdr:grpSpPr>
                                          <a:xfrm>
                                            <a:off x="5326950" y="1894050"/>
                                            <a:ext cx="38100" cy="6265500"/>
                                            <a:chOff x="5326950" y="1894050"/>
                                            <a:chExt cx="38100" cy="6265500"/>
                                          </a:xfrm>
                                        </xdr:grpSpPr>
                                        <xdr:sp macro="" textlink="">
                                          <xdr:nvSpPr>
                                            <xdr:cNvPr id="130" name="Shape 128">
                                              <a:extLst>
                                                <a:ext uri="{FF2B5EF4-FFF2-40B4-BE49-F238E27FC236}">
                                                  <a16:creationId xmlns:a16="http://schemas.microsoft.com/office/drawing/2014/main" id="{00000000-0008-0000-2100-000082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1" name="Shape 129">
                                              <a:extLst>
                                                <a:ext uri="{FF2B5EF4-FFF2-40B4-BE49-F238E27FC236}">
                                                  <a16:creationId xmlns:a16="http://schemas.microsoft.com/office/drawing/2014/main" id="{00000000-0008-0000-2100-000083000000}"/>
                                                </a:ext>
                                              </a:extLst>
                                            </xdr:cNvPr>
                                            <xdr:cNvGrpSpPr/>
                                          </xdr:nvGrpSpPr>
                                          <xdr:grpSpPr>
                                            <a:xfrm>
                                              <a:off x="5326950" y="1894050"/>
                                              <a:ext cx="38100" cy="6265500"/>
                                              <a:chOff x="5326950" y="1894050"/>
                                              <a:chExt cx="38100" cy="6265500"/>
                                            </a:xfrm>
                                          </xdr:grpSpPr>
                                          <xdr:sp macro="" textlink="">
                                            <xdr:nvSpPr>
                                              <xdr:cNvPr id="132" name="Shape 130">
                                                <a:extLst>
                                                  <a:ext uri="{FF2B5EF4-FFF2-40B4-BE49-F238E27FC236}">
                                                    <a16:creationId xmlns:a16="http://schemas.microsoft.com/office/drawing/2014/main" id="{00000000-0008-0000-2100-000084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3" name="Shape 131">
                                                <a:extLst>
                                                  <a:ext uri="{FF2B5EF4-FFF2-40B4-BE49-F238E27FC236}">
                                                    <a16:creationId xmlns:a16="http://schemas.microsoft.com/office/drawing/2014/main" id="{00000000-0008-0000-2100-000085000000}"/>
                                                  </a:ext>
                                                </a:extLst>
                                              </xdr:cNvPr>
                                              <xdr:cNvGrpSpPr/>
                                            </xdr:nvGrpSpPr>
                                            <xdr:grpSpPr>
                                              <a:xfrm>
                                                <a:off x="5326950" y="1894050"/>
                                                <a:ext cx="38100" cy="6265500"/>
                                                <a:chOff x="5326950" y="1894050"/>
                                                <a:chExt cx="38100" cy="6265500"/>
                                              </a:xfrm>
                                            </xdr:grpSpPr>
                                            <xdr:sp macro="" textlink="">
                                              <xdr:nvSpPr>
                                                <xdr:cNvPr id="134" name="Shape 132">
                                                  <a:extLst>
                                                    <a:ext uri="{FF2B5EF4-FFF2-40B4-BE49-F238E27FC236}">
                                                      <a16:creationId xmlns:a16="http://schemas.microsoft.com/office/drawing/2014/main" id="{00000000-0008-0000-2100-000086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5" name="Shape 133">
                                                  <a:extLst>
                                                    <a:ext uri="{FF2B5EF4-FFF2-40B4-BE49-F238E27FC236}">
                                                      <a16:creationId xmlns:a16="http://schemas.microsoft.com/office/drawing/2014/main" id="{00000000-0008-0000-2100-000087000000}"/>
                                                    </a:ext>
                                                  </a:extLst>
                                                </xdr:cNvPr>
                                                <xdr:cNvGrpSpPr/>
                                              </xdr:nvGrpSpPr>
                                              <xdr:grpSpPr>
                                                <a:xfrm>
                                                  <a:off x="5326950" y="1894050"/>
                                                  <a:ext cx="38100" cy="6265500"/>
                                                  <a:chOff x="5326950" y="1894050"/>
                                                  <a:chExt cx="38100" cy="6265500"/>
                                                </a:xfrm>
                                              </xdr:grpSpPr>
                                              <xdr:sp macro="" textlink="">
                                                <xdr:nvSpPr>
                                                  <xdr:cNvPr id="136" name="Shape 134">
                                                    <a:extLst>
                                                      <a:ext uri="{FF2B5EF4-FFF2-40B4-BE49-F238E27FC236}">
                                                        <a16:creationId xmlns:a16="http://schemas.microsoft.com/office/drawing/2014/main" id="{00000000-0008-0000-2100-000088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7" name="Shape 135">
                                                    <a:extLst>
                                                      <a:ext uri="{FF2B5EF4-FFF2-40B4-BE49-F238E27FC236}">
                                                        <a16:creationId xmlns:a16="http://schemas.microsoft.com/office/drawing/2014/main" id="{00000000-0008-0000-2100-000089000000}"/>
                                                      </a:ext>
                                                    </a:extLst>
                                                  </xdr:cNvPr>
                                                  <xdr:cNvGrpSpPr/>
                                                </xdr:nvGrpSpPr>
                                                <xdr:grpSpPr>
                                                  <a:xfrm>
                                                    <a:off x="5326950" y="1894050"/>
                                                    <a:ext cx="38100" cy="6265500"/>
                                                    <a:chOff x="5326950" y="1894050"/>
                                                    <a:chExt cx="38100" cy="6265500"/>
                                                  </a:xfrm>
                                                </xdr:grpSpPr>
                                                <xdr:sp macro="" textlink="">
                                                  <xdr:nvSpPr>
                                                    <xdr:cNvPr id="138" name="Shape 136">
                                                      <a:extLst>
                                                        <a:ext uri="{FF2B5EF4-FFF2-40B4-BE49-F238E27FC236}">
                                                          <a16:creationId xmlns:a16="http://schemas.microsoft.com/office/drawing/2014/main" id="{00000000-0008-0000-2100-00008A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9" name="Shape 137">
                                                      <a:extLst>
                                                        <a:ext uri="{FF2B5EF4-FFF2-40B4-BE49-F238E27FC236}">
                                                          <a16:creationId xmlns:a16="http://schemas.microsoft.com/office/drawing/2014/main" id="{00000000-0008-0000-2100-00008B000000}"/>
                                                        </a:ext>
                                                      </a:extLst>
                                                    </xdr:cNvPr>
                                                    <xdr:cNvGrpSpPr/>
                                                  </xdr:nvGrpSpPr>
                                                  <xdr:grpSpPr>
                                                    <a:xfrm>
                                                      <a:off x="5326950" y="1894050"/>
                                                      <a:ext cx="38100" cy="6265500"/>
                                                      <a:chOff x="5326950" y="1894050"/>
                                                      <a:chExt cx="38100" cy="6265500"/>
                                                    </a:xfrm>
                                                  </xdr:grpSpPr>
                                                  <xdr:sp macro="" textlink="">
                                                    <xdr:nvSpPr>
                                                      <xdr:cNvPr id="140" name="Shape 138">
                                                        <a:extLst>
                                                          <a:ext uri="{FF2B5EF4-FFF2-40B4-BE49-F238E27FC236}">
                                                            <a16:creationId xmlns:a16="http://schemas.microsoft.com/office/drawing/2014/main" id="{00000000-0008-0000-2100-00008C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1" name="Shape 139">
                                                        <a:extLst>
                                                          <a:ext uri="{FF2B5EF4-FFF2-40B4-BE49-F238E27FC236}">
                                                            <a16:creationId xmlns:a16="http://schemas.microsoft.com/office/drawing/2014/main" id="{00000000-0008-0000-2100-00008D000000}"/>
                                                          </a:ext>
                                                        </a:extLst>
                                                      </xdr:cNvPr>
                                                      <xdr:cNvGrpSpPr/>
                                                    </xdr:nvGrpSpPr>
                                                    <xdr:grpSpPr>
                                                      <a:xfrm>
                                                        <a:off x="5326950" y="1894050"/>
                                                        <a:ext cx="38100" cy="6265500"/>
                                                        <a:chOff x="5326950" y="1894050"/>
                                                        <a:chExt cx="38100" cy="6265500"/>
                                                      </a:xfrm>
                                                    </xdr:grpSpPr>
                                                    <xdr:sp macro="" textlink="">
                                                      <xdr:nvSpPr>
                                                        <xdr:cNvPr id="142" name="Shape 140">
                                                          <a:extLst>
                                                            <a:ext uri="{FF2B5EF4-FFF2-40B4-BE49-F238E27FC236}">
                                                              <a16:creationId xmlns:a16="http://schemas.microsoft.com/office/drawing/2014/main" id="{00000000-0008-0000-2100-00008E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3" name="Shape 141">
                                                          <a:extLst>
                                                            <a:ext uri="{FF2B5EF4-FFF2-40B4-BE49-F238E27FC236}">
                                                              <a16:creationId xmlns:a16="http://schemas.microsoft.com/office/drawing/2014/main" id="{00000000-0008-0000-2100-00008F000000}"/>
                                                            </a:ext>
                                                          </a:extLst>
                                                        </xdr:cNvPr>
                                                        <xdr:cNvGrpSpPr/>
                                                      </xdr:nvGrpSpPr>
                                                      <xdr:grpSpPr>
                                                        <a:xfrm>
                                                          <a:off x="5326950" y="1894050"/>
                                                          <a:ext cx="38100" cy="6265500"/>
                                                          <a:chOff x="5326950" y="1894050"/>
                                                          <a:chExt cx="38100" cy="6265500"/>
                                                        </a:xfrm>
                                                      </xdr:grpSpPr>
                                                      <xdr:sp macro="" textlink="">
                                                        <xdr:nvSpPr>
                                                          <xdr:cNvPr id="144" name="Shape 142">
                                                            <a:extLst>
                                                              <a:ext uri="{FF2B5EF4-FFF2-40B4-BE49-F238E27FC236}">
                                                                <a16:creationId xmlns:a16="http://schemas.microsoft.com/office/drawing/2014/main" id="{00000000-0008-0000-2100-000090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5" name="Shape 143">
                                                            <a:extLst>
                                                              <a:ext uri="{FF2B5EF4-FFF2-40B4-BE49-F238E27FC236}">
                                                                <a16:creationId xmlns:a16="http://schemas.microsoft.com/office/drawing/2014/main" id="{00000000-0008-0000-2100-000091000000}"/>
                                                              </a:ext>
                                                            </a:extLst>
                                                          </xdr:cNvPr>
                                                          <xdr:cNvGrpSpPr/>
                                                        </xdr:nvGrpSpPr>
                                                        <xdr:grpSpPr>
                                                          <a:xfrm>
                                                            <a:off x="5326950" y="1894050"/>
                                                            <a:ext cx="38100" cy="6265500"/>
                                                            <a:chOff x="5326950" y="1894050"/>
                                                            <a:chExt cx="38100" cy="6265500"/>
                                                          </a:xfrm>
                                                        </xdr:grpSpPr>
                                                        <xdr:sp macro="" textlink="">
                                                          <xdr:nvSpPr>
                                                            <xdr:cNvPr id="146" name="Shape 144">
                                                              <a:extLst>
                                                                <a:ext uri="{FF2B5EF4-FFF2-40B4-BE49-F238E27FC236}">
                                                                  <a16:creationId xmlns:a16="http://schemas.microsoft.com/office/drawing/2014/main" id="{00000000-0008-0000-2100-000092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7" name="Shape 145">
                                                              <a:extLst>
                                                                <a:ext uri="{FF2B5EF4-FFF2-40B4-BE49-F238E27FC236}">
                                                                  <a16:creationId xmlns:a16="http://schemas.microsoft.com/office/drawing/2014/main" id="{00000000-0008-0000-2100-000093000000}"/>
                                                                </a:ext>
                                                              </a:extLst>
                                                            </xdr:cNvPr>
                                                            <xdr:cNvGrpSpPr/>
                                                          </xdr:nvGrpSpPr>
                                                          <xdr:grpSpPr>
                                                            <a:xfrm>
                                                              <a:off x="5326950" y="1894050"/>
                                                              <a:ext cx="38100" cy="6265500"/>
                                                              <a:chOff x="5326950" y="1894050"/>
                                                              <a:chExt cx="38100" cy="6265500"/>
                                                            </a:xfrm>
                                                          </xdr:grpSpPr>
                                                          <xdr:sp macro="" textlink="">
                                                            <xdr:nvSpPr>
                                                              <xdr:cNvPr id="148" name="Shape 146">
                                                                <a:extLst>
                                                                  <a:ext uri="{FF2B5EF4-FFF2-40B4-BE49-F238E27FC236}">
                                                                    <a16:creationId xmlns:a16="http://schemas.microsoft.com/office/drawing/2014/main" id="{00000000-0008-0000-2100-000094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9" name="Shape 147">
                                                                <a:extLst>
                                                                  <a:ext uri="{FF2B5EF4-FFF2-40B4-BE49-F238E27FC236}">
                                                                    <a16:creationId xmlns:a16="http://schemas.microsoft.com/office/drawing/2014/main" id="{00000000-0008-0000-2100-000095000000}"/>
                                                                  </a:ext>
                                                                </a:extLst>
                                                              </xdr:cNvPr>
                                                              <xdr:cNvGrpSpPr/>
                                                            </xdr:nvGrpSpPr>
                                                            <xdr:grpSpPr>
                                                              <a:xfrm>
                                                                <a:off x="5326950" y="1894050"/>
                                                                <a:ext cx="38100" cy="6265500"/>
                                                                <a:chOff x="5326950" y="1894050"/>
                                                                <a:chExt cx="38100" cy="6265500"/>
                                                              </a:xfrm>
                                                            </xdr:grpSpPr>
                                                            <xdr:sp macro="" textlink="">
                                                              <xdr:nvSpPr>
                                                                <xdr:cNvPr id="150" name="Shape 148">
                                                                  <a:extLst>
                                                                    <a:ext uri="{FF2B5EF4-FFF2-40B4-BE49-F238E27FC236}">
                                                                      <a16:creationId xmlns:a16="http://schemas.microsoft.com/office/drawing/2014/main" id="{00000000-0008-0000-2100-000096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1" name="Shape 149">
                                                                  <a:extLst>
                                                                    <a:ext uri="{FF2B5EF4-FFF2-40B4-BE49-F238E27FC236}">
                                                                      <a16:creationId xmlns:a16="http://schemas.microsoft.com/office/drawing/2014/main" id="{00000000-0008-0000-2100-000097000000}"/>
                                                                    </a:ext>
                                                                  </a:extLst>
                                                                </xdr:cNvPr>
                                                                <xdr:cNvGrpSpPr/>
                                                              </xdr:nvGrpSpPr>
                                                              <xdr:grpSpPr>
                                                                <a:xfrm>
                                                                  <a:off x="5326950" y="1894050"/>
                                                                  <a:ext cx="38100" cy="6265500"/>
                                                                  <a:chOff x="5326950" y="1894050"/>
                                                                  <a:chExt cx="38100" cy="6265500"/>
                                                                </a:xfrm>
                                                              </xdr:grpSpPr>
                                                              <xdr:sp macro="" textlink="">
                                                                <xdr:nvSpPr>
                                                                  <xdr:cNvPr id="152" name="Shape 150">
                                                                    <a:extLst>
                                                                      <a:ext uri="{FF2B5EF4-FFF2-40B4-BE49-F238E27FC236}">
                                                                        <a16:creationId xmlns:a16="http://schemas.microsoft.com/office/drawing/2014/main" id="{00000000-0008-0000-2100-000098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3" name="Shape 151">
                                                                    <a:extLst>
                                                                      <a:ext uri="{FF2B5EF4-FFF2-40B4-BE49-F238E27FC236}">
                                                                        <a16:creationId xmlns:a16="http://schemas.microsoft.com/office/drawing/2014/main" id="{00000000-0008-0000-2100-000099000000}"/>
                                                                      </a:ext>
                                                                    </a:extLst>
                                                                  </xdr:cNvPr>
                                                                  <xdr:cNvGrpSpPr/>
                                                                </xdr:nvGrpSpPr>
                                                                <xdr:grpSpPr>
                                                                  <a:xfrm>
                                                                    <a:off x="5326950" y="1894050"/>
                                                                    <a:ext cx="38100" cy="6265500"/>
                                                                    <a:chOff x="5326950" y="1894050"/>
                                                                    <a:chExt cx="38100" cy="6265500"/>
                                                                  </a:xfrm>
                                                                </xdr:grpSpPr>
                                                                <xdr:sp macro="" textlink="">
                                                                  <xdr:nvSpPr>
                                                                    <xdr:cNvPr id="154" name="Shape 152">
                                                                      <a:extLst>
                                                                        <a:ext uri="{FF2B5EF4-FFF2-40B4-BE49-F238E27FC236}">
                                                                          <a16:creationId xmlns:a16="http://schemas.microsoft.com/office/drawing/2014/main" id="{00000000-0008-0000-2100-00009A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5" name="Shape 153">
                                                                      <a:extLst>
                                                                        <a:ext uri="{FF2B5EF4-FFF2-40B4-BE49-F238E27FC236}">
                                                                          <a16:creationId xmlns:a16="http://schemas.microsoft.com/office/drawing/2014/main" id="{00000000-0008-0000-2100-00009B000000}"/>
                                                                        </a:ext>
                                                                      </a:extLst>
                                                                    </xdr:cNvPr>
                                                                    <xdr:cNvGrpSpPr/>
                                                                  </xdr:nvGrpSpPr>
                                                                  <xdr:grpSpPr>
                                                                    <a:xfrm>
                                                                      <a:off x="5326950" y="1894050"/>
                                                                      <a:ext cx="38100" cy="6265500"/>
                                                                      <a:chOff x="5326950" y="1894050"/>
                                                                      <a:chExt cx="38100" cy="6265500"/>
                                                                    </a:xfrm>
                                                                  </xdr:grpSpPr>
                                                                  <xdr:sp macro="" textlink="">
                                                                    <xdr:nvSpPr>
                                                                      <xdr:cNvPr id="156" name="Shape 154">
                                                                        <a:extLst>
                                                                          <a:ext uri="{FF2B5EF4-FFF2-40B4-BE49-F238E27FC236}">
                                                                            <a16:creationId xmlns:a16="http://schemas.microsoft.com/office/drawing/2014/main" id="{00000000-0008-0000-2100-00009C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7" name="Shape 155">
                                                                        <a:extLst>
                                                                          <a:ext uri="{FF2B5EF4-FFF2-40B4-BE49-F238E27FC236}">
                                                                            <a16:creationId xmlns:a16="http://schemas.microsoft.com/office/drawing/2014/main" id="{00000000-0008-0000-2100-00009D000000}"/>
                                                                          </a:ext>
                                                                        </a:extLst>
                                                                      </xdr:cNvPr>
                                                                      <xdr:cNvGrpSpPr/>
                                                                    </xdr:nvGrpSpPr>
                                                                    <xdr:grpSpPr>
                                                                      <a:xfrm>
                                                                        <a:off x="5326950" y="1894050"/>
                                                                        <a:ext cx="38100" cy="6265500"/>
                                                                        <a:chOff x="5326950" y="1894050"/>
                                                                        <a:chExt cx="38100" cy="6265500"/>
                                                                      </a:xfrm>
                                                                    </xdr:grpSpPr>
                                                                    <xdr:sp macro="" textlink="">
                                                                      <xdr:nvSpPr>
                                                                        <xdr:cNvPr id="158" name="Shape 156">
                                                                          <a:extLst>
                                                                            <a:ext uri="{FF2B5EF4-FFF2-40B4-BE49-F238E27FC236}">
                                                                              <a16:creationId xmlns:a16="http://schemas.microsoft.com/office/drawing/2014/main" id="{00000000-0008-0000-2100-00009E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9" name="Shape 157">
                                                                          <a:extLst>
                                                                            <a:ext uri="{FF2B5EF4-FFF2-40B4-BE49-F238E27FC236}">
                                                                              <a16:creationId xmlns:a16="http://schemas.microsoft.com/office/drawing/2014/main" id="{00000000-0008-0000-2100-00009F000000}"/>
                                                                            </a:ext>
                                                                          </a:extLst>
                                                                        </xdr:cNvPr>
                                                                        <xdr:cNvGrpSpPr/>
                                                                      </xdr:nvGrpSpPr>
                                                                      <xdr:grpSpPr>
                                                                        <a:xfrm>
                                                                          <a:off x="5326950" y="1894050"/>
                                                                          <a:ext cx="38100" cy="6265500"/>
                                                                          <a:chOff x="5326950" y="1894050"/>
                                                                          <a:chExt cx="38100" cy="6265500"/>
                                                                        </a:xfrm>
                                                                      </xdr:grpSpPr>
                                                                      <xdr:sp macro="" textlink="">
                                                                        <xdr:nvSpPr>
                                                                          <xdr:cNvPr id="160" name="Shape 158">
                                                                            <a:extLst>
                                                                              <a:ext uri="{FF2B5EF4-FFF2-40B4-BE49-F238E27FC236}">
                                                                                <a16:creationId xmlns:a16="http://schemas.microsoft.com/office/drawing/2014/main" id="{00000000-0008-0000-2100-0000A0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1" name="Shape 159">
                                                                            <a:extLst>
                                                                              <a:ext uri="{FF2B5EF4-FFF2-40B4-BE49-F238E27FC236}">
                                                                                <a16:creationId xmlns:a16="http://schemas.microsoft.com/office/drawing/2014/main" id="{00000000-0008-0000-2100-0000A1000000}"/>
                                                                              </a:ext>
                                                                            </a:extLst>
                                                                          </xdr:cNvPr>
                                                                          <xdr:cNvGrpSpPr/>
                                                                        </xdr:nvGrpSpPr>
                                                                        <xdr:grpSpPr>
                                                                          <a:xfrm>
                                                                            <a:off x="5326950" y="1894050"/>
                                                                            <a:ext cx="38100" cy="6265500"/>
                                                                            <a:chOff x="5326950" y="1894050"/>
                                                                            <a:chExt cx="38100" cy="6265500"/>
                                                                          </a:xfrm>
                                                                        </xdr:grpSpPr>
                                                                        <xdr:sp macro="" textlink="">
                                                                          <xdr:nvSpPr>
                                                                            <xdr:cNvPr id="162" name="Shape 160">
                                                                              <a:extLst>
                                                                                <a:ext uri="{FF2B5EF4-FFF2-40B4-BE49-F238E27FC236}">
                                                                                  <a16:creationId xmlns:a16="http://schemas.microsoft.com/office/drawing/2014/main" id="{00000000-0008-0000-2100-0000A2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3" name="Shape 161">
                                                                              <a:extLst>
                                                                                <a:ext uri="{FF2B5EF4-FFF2-40B4-BE49-F238E27FC236}">
                                                                                  <a16:creationId xmlns:a16="http://schemas.microsoft.com/office/drawing/2014/main" id="{00000000-0008-0000-2100-0000A3000000}"/>
                                                                                </a:ext>
                                                                              </a:extLst>
                                                                            </xdr:cNvPr>
                                                                            <xdr:cNvGrpSpPr/>
                                                                          </xdr:nvGrpSpPr>
                                                                          <xdr:grpSpPr>
                                                                            <a:xfrm>
                                                                              <a:off x="5326950" y="1894050"/>
                                                                              <a:ext cx="38100" cy="6265500"/>
                                                                              <a:chOff x="5326950" y="1894050"/>
                                                                              <a:chExt cx="38100" cy="6265500"/>
                                                                            </a:xfrm>
                                                                          </xdr:grpSpPr>
                                                                          <xdr:sp macro="" textlink="">
                                                                            <xdr:nvSpPr>
                                                                              <xdr:cNvPr id="164" name="Shape 162">
                                                                                <a:extLst>
                                                                                  <a:ext uri="{FF2B5EF4-FFF2-40B4-BE49-F238E27FC236}">
                                                                                    <a16:creationId xmlns:a16="http://schemas.microsoft.com/office/drawing/2014/main" id="{00000000-0008-0000-2100-0000A4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5" name="Shape 163">
                                                                                <a:extLst>
                                                                                  <a:ext uri="{FF2B5EF4-FFF2-40B4-BE49-F238E27FC236}">
                                                                                    <a16:creationId xmlns:a16="http://schemas.microsoft.com/office/drawing/2014/main" id="{00000000-0008-0000-2100-0000A5000000}"/>
                                                                                  </a:ext>
                                                                                </a:extLst>
                                                                              </xdr:cNvPr>
                                                                              <xdr:cNvGrpSpPr/>
                                                                            </xdr:nvGrpSpPr>
                                                                            <xdr:grpSpPr>
                                                                              <a:xfrm>
                                                                                <a:off x="5326950" y="1894050"/>
                                                                                <a:ext cx="38100" cy="6265500"/>
                                                                                <a:chOff x="5326950" y="1894050"/>
                                                                                <a:chExt cx="38100" cy="6265500"/>
                                                                              </a:xfrm>
                                                                            </xdr:grpSpPr>
                                                                            <xdr:sp macro="" textlink="">
                                                                              <xdr:nvSpPr>
                                                                                <xdr:cNvPr id="166" name="Shape 164">
                                                                                  <a:extLst>
                                                                                    <a:ext uri="{FF2B5EF4-FFF2-40B4-BE49-F238E27FC236}">
                                                                                      <a16:creationId xmlns:a16="http://schemas.microsoft.com/office/drawing/2014/main" id="{00000000-0008-0000-2100-0000A6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7" name="Shape 165">
                                                                                  <a:extLst>
                                                                                    <a:ext uri="{FF2B5EF4-FFF2-40B4-BE49-F238E27FC236}">
                                                                                      <a16:creationId xmlns:a16="http://schemas.microsoft.com/office/drawing/2014/main" id="{00000000-0008-0000-2100-0000A7000000}"/>
                                                                                    </a:ext>
                                                                                  </a:extLst>
                                                                                </xdr:cNvPr>
                                                                                <xdr:cNvGrpSpPr/>
                                                                              </xdr:nvGrpSpPr>
                                                                              <xdr:grpSpPr>
                                                                                <a:xfrm>
                                                                                  <a:off x="5326950" y="1894050"/>
                                                                                  <a:ext cx="38100" cy="6265500"/>
                                                                                  <a:chOff x="5326950" y="1894050"/>
                                                                                  <a:chExt cx="38100" cy="6265500"/>
                                                                                </a:xfrm>
                                                                              </xdr:grpSpPr>
                                                                              <xdr:sp macro="" textlink="">
                                                                                <xdr:nvSpPr>
                                                                                  <xdr:cNvPr id="168" name="Shape 166">
                                                                                    <a:extLst>
                                                                                      <a:ext uri="{FF2B5EF4-FFF2-40B4-BE49-F238E27FC236}">
                                                                                        <a16:creationId xmlns:a16="http://schemas.microsoft.com/office/drawing/2014/main" id="{00000000-0008-0000-2100-0000A8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9" name="Shape 167">
                                                                                    <a:extLst>
                                                                                      <a:ext uri="{FF2B5EF4-FFF2-40B4-BE49-F238E27FC236}">
                                                                                        <a16:creationId xmlns:a16="http://schemas.microsoft.com/office/drawing/2014/main" id="{00000000-0008-0000-2100-0000A9000000}"/>
                                                                                      </a:ext>
                                                                                    </a:extLst>
                                                                                  </xdr:cNvPr>
                                                                                  <xdr:cNvGrpSpPr/>
                                                                                </xdr:nvGrpSpPr>
                                                                                <xdr:grpSpPr>
                                                                                  <a:xfrm>
                                                                                    <a:off x="5326950" y="1894050"/>
                                                                                    <a:ext cx="38100" cy="6265500"/>
                                                                                    <a:chOff x="5326950" y="1894050"/>
                                                                                    <a:chExt cx="38100" cy="6265500"/>
                                                                                  </a:xfrm>
                                                                                </xdr:grpSpPr>
                                                                                <xdr:sp macro="" textlink="">
                                                                                  <xdr:nvSpPr>
                                                                                    <xdr:cNvPr id="170" name="Shape 168">
                                                                                      <a:extLst>
                                                                                        <a:ext uri="{FF2B5EF4-FFF2-40B4-BE49-F238E27FC236}">
                                                                                          <a16:creationId xmlns:a16="http://schemas.microsoft.com/office/drawing/2014/main" id="{00000000-0008-0000-2100-0000AA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1" name="Shape 169">
                                                                                      <a:extLst>
                                                                                        <a:ext uri="{FF2B5EF4-FFF2-40B4-BE49-F238E27FC236}">
                                                                                          <a16:creationId xmlns:a16="http://schemas.microsoft.com/office/drawing/2014/main" id="{00000000-0008-0000-2100-0000AB000000}"/>
                                                                                        </a:ext>
                                                                                      </a:extLst>
                                                                                    </xdr:cNvPr>
                                                                                    <xdr:cNvGrpSpPr/>
                                                                                  </xdr:nvGrpSpPr>
                                                                                  <xdr:grpSpPr>
                                                                                    <a:xfrm>
                                                                                      <a:off x="5326950" y="1894050"/>
                                                                                      <a:ext cx="38100" cy="6265500"/>
                                                                                      <a:chOff x="5326950" y="1894050"/>
                                                                                      <a:chExt cx="38100" cy="6265500"/>
                                                                                    </a:xfrm>
                                                                                  </xdr:grpSpPr>
                                                                                  <xdr:sp macro="" textlink="">
                                                                                    <xdr:nvSpPr>
                                                                                      <xdr:cNvPr id="172" name="Shape 170">
                                                                                        <a:extLst>
                                                                                          <a:ext uri="{FF2B5EF4-FFF2-40B4-BE49-F238E27FC236}">
                                                                                            <a16:creationId xmlns:a16="http://schemas.microsoft.com/office/drawing/2014/main" id="{00000000-0008-0000-2100-0000AC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3" name="Shape 171">
                                                                                        <a:extLst>
                                                                                          <a:ext uri="{FF2B5EF4-FFF2-40B4-BE49-F238E27FC236}">
                                                                                            <a16:creationId xmlns:a16="http://schemas.microsoft.com/office/drawing/2014/main" id="{00000000-0008-0000-2100-0000AD000000}"/>
                                                                                          </a:ext>
                                                                                        </a:extLst>
                                                                                      </xdr:cNvPr>
                                                                                      <xdr:cNvGrpSpPr/>
                                                                                    </xdr:nvGrpSpPr>
                                                                                    <xdr:grpSpPr>
                                                                                      <a:xfrm>
                                                                                        <a:off x="5326950" y="1894050"/>
                                                                                        <a:ext cx="38100" cy="6265500"/>
                                                                                        <a:chOff x="5326950" y="1894050"/>
                                                                                        <a:chExt cx="38100" cy="6265500"/>
                                                                                      </a:xfrm>
                                                                                    </xdr:grpSpPr>
                                                                                    <xdr:sp macro="" textlink="">
                                                                                      <xdr:nvSpPr>
                                                                                        <xdr:cNvPr id="174" name="Shape 172">
                                                                                          <a:extLst>
                                                                                            <a:ext uri="{FF2B5EF4-FFF2-40B4-BE49-F238E27FC236}">
                                                                                              <a16:creationId xmlns:a16="http://schemas.microsoft.com/office/drawing/2014/main" id="{00000000-0008-0000-2100-0000AE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5" name="Shape 173">
                                                                                          <a:extLst>
                                                                                            <a:ext uri="{FF2B5EF4-FFF2-40B4-BE49-F238E27FC236}">
                                                                                              <a16:creationId xmlns:a16="http://schemas.microsoft.com/office/drawing/2014/main" id="{00000000-0008-0000-2100-0000AF000000}"/>
                                                                                            </a:ext>
                                                                                          </a:extLst>
                                                                                        </xdr:cNvPr>
                                                                                        <xdr:cNvGrpSpPr/>
                                                                                      </xdr:nvGrpSpPr>
                                                                                      <xdr:grpSpPr>
                                                                                        <a:xfrm>
                                                                                          <a:off x="5326950" y="1894050"/>
                                                                                          <a:ext cx="38100" cy="6265500"/>
                                                                                          <a:chOff x="5326950" y="1894050"/>
                                                                                          <a:chExt cx="38100" cy="6265500"/>
                                                                                        </a:xfrm>
                                                                                      </xdr:grpSpPr>
                                                                                      <xdr:sp macro="" textlink="">
                                                                                        <xdr:nvSpPr>
                                                                                          <xdr:cNvPr id="176" name="Shape 174">
                                                                                            <a:extLst>
                                                                                              <a:ext uri="{FF2B5EF4-FFF2-40B4-BE49-F238E27FC236}">
                                                                                                <a16:creationId xmlns:a16="http://schemas.microsoft.com/office/drawing/2014/main" id="{00000000-0008-0000-2100-0000B0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7" name="Shape 175">
                                                                                            <a:extLst>
                                                                                              <a:ext uri="{FF2B5EF4-FFF2-40B4-BE49-F238E27FC236}">
                                                                                                <a16:creationId xmlns:a16="http://schemas.microsoft.com/office/drawing/2014/main" id="{00000000-0008-0000-2100-0000B1000000}"/>
                                                                                              </a:ext>
                                                                                            </a:extLst>
                                                                                          </xdr:cNvPr>
                                                                                          <xdr:cNvGrpSpPr/>
                                                                                        </xdr:nvGrpSpPr>
                                                                                        <xdr:grpSpPr>
                                                                                          <a:xfrm>
                                                                                            <a:off x="5326950" y="1894050"/>
                                                                                            <a:ext cx="38100" cy="6265500"/>
                                                                                            <a:chOff x="5326950" y="1894050"/>
                                                                                            <a:chExt cx="38100" cy="6265500"/>
                                                                                          </a:xfrm>
                                                                                        </xdr:grpSpPr>
                                                                                        <xdr:sp macro="" textlink="">
                                                                                          <xdr:nvSpPr>
                                                                                            <xdr:cNvPr id="178" name="Shape 176">
                                                                                              <a:extLst>
                                                                                                <a:ext uri="{FF2B5EF4-FFF2-40B4-BE49-F238E27FC236}">
                                                                                                  <a16:creationId xmlns:a16="http://schemas.microsoft.com/office/drawing/2014/main" id="{00000000-0008-0000-2100-0000B2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9" name="Shape 177">
                                                                                              <a:extLst>
                                                                                                <a:ext uri="{FF2B5EF4-FFF2-40B4-BE49-F238E27FC236}">
                                                                                                  <a16:creationId xmlns:a16="http://schemas.microsoft.com/office/drawing/2014/main" id="{00000000-0008-0000-2100-0000B3000000}"/>
                                                                                                </a:ext>
                                                                                              </a:extLst>
                                                                                            </xdr:cNvPr>
                                                                                            <xdr:cNvGrpSpPr/>
                                                                                          </xdr:nvGrpSpPr>
                                                                                          <xdr:grpSpPr>
                                                                                            <a:xfrm>
                                                                                              <a:off x="5326950" y="1894050"/>
                                                                                              <a:ext cx="38100" cy="6265500"/>
                                                                                              <a:chOff x="5326950" y="1894050"/>
                                                                                              <a:chExt cx="38100" cy="6265500"/>
                                                                                            </a:xfrm>
                                                                                          </xdr:grpSpPr>
                                                                                          <xdr:sp macro="" textlink="">
                                                                                            <xdr:nvSpPr>
                                                                                              <xdr:cNvPr id="180" name="Shape 178">
                                                                                                <a:extLst>
                                                                                                  <a:ext uri="{FF2B5EF4-FFF2-40B4-BE49-F238E27FC236}">
                                                                                                    <a16:creationId xmlns:a16="http://schemas.microsoft.com/office/drawing/2014/main" id="{00000000-0008-0000-2100-0000B4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1" name="Shape 179">
                                                                                                <a:extLst>
                                                                                                  <a:ext uri="{FF2B5EF4-FFF2-40B4-BE49-F238E27FC236}">
                                                                                                    <a16:creationId xmlns:a16="http://schemas.microsoft.com/office/drawing/2014/main" id="{00000000-0008-0000-2100-0000B5000000}"/>
                                                                                                  </a:ext>
                                                                                                </a:extLst>
                                                                                              </xdr:cNvPr>
                                                                                              <xdr:cNvGrpSpPr/>
                                                                                            </xdr:nvGrpSpPr>
                                                                                            <xdr:grpSpPr>
                                                                                              <a:xfrm>
                                                                                                <a:off x="5326950" y="1894050"/>
                                                                                                <a:ext cx="38100" cy="6265500"/>
                                                                                                <a:chOff x="5326950" y="1894050"/>
                                                                                                <a:chExt cx="38100" cy="6265500"/>
                                                                                              </a:xfrm>
                                                                                            </xdr:grpSpPr>
                                                                                            <xdr:sp macro="" textlink="">
                                                                                              <xdr:nvSpPr>
                                                                                                <xdr:cNvPr id="182" name="Shape 180">
                                                                                                  <a:extLst>
                                                                                                    <a:ext uri="{FF2B5EF4-FFF2-40B4-BE49-F238E27FC236}">
                                                                                                      <a16:creationId xmlns:a16="http://schemas.microsoft.com/office/drawing/2014/main" id="{00000000-0008-0000-2100-0000B6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3" name="Shape 181">
                                                                                                  <a:extLst>
                                                                                                    <a:ext uri="{FF2B5EF4-FFF2-40B4-BE49-F238E27FC236}">
                                                                                                      <a16:creationId xmlns:a16="http://schemas.microsoft.com/office/drawing/2014/main" id="{00000000-0008-0000-2100-0000B7000000}"/>
                                                                                                    </a:ext>
                                                                                                  </a:extLst>
                                                                                                </xdr:cNvPr>
                                                                                                <xdr:cNvGrpSpPr/>
                                                                                              </xdr:nvGrpSpPr>
                                                                                              <xdr:grpSpPr>
                                                                                                <a:xfrm>
                                                                                                  <a:off x="5326950" y="1894050"/>
                                                                                                  <a:ext cx="38100" cy="6265500"/>
                                                                                                  <a:chOff x="5326950" y="1894050"/>
                                                                                                  <a:chExt cx="38100" cy="6265500"/>
                                                                                                </a:xfrm>
                                                                                              </xdr:grpSpPr>
                                                                                              <xdr:sp macro="" textlink="">
                                                                                                <xdr:nvSpPr>
                                                                                                  <xdr:cNvPr id="184" name="Shape 182">
                                                                                                    <a:extLst>
                                                                                                      <a:ext uri="{FF2B5EF4-FFF2-40B4-BE49-F238E27FC236}">
                                                                                                        <a16:creationId xmlns:a16="http://schemas.microsoft.com/office/drawing/2014/main" id="{00000000-0008-0000-2100-0000B800000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5" name="Shape 183">
                                                                                                    <a:extLst>
                                                                                                      <a:ext uri="{FF2B5EF4-FFF2-40B4-BE49-F238E27FC236}">
                                                                                                        <a16:creationId xmlns:a16="http://schemas.microsoft.com/office/drawing/2014/main" id="{00000000-0008-0000-2100-0000B9000000}"/>
                                                                                                      </a:ext>
                                                                                                    </a:extLst>
                                                                                                  </xdr:cNvPr>
                                                                                                  <xdr:cNvGrpSpPr/>
                                                                                                </xdr:nvGrpSpPr>
                                                                                                <xdr:grpSpPr>
                                                                                                  <a:xfrm>
                                                                                                    <a:off x="5326950" y="1894050"/>
                                                                                                    <a:ext cx="38100" cy="6265500"/>
                                                                                                    <a:chOff x="5336475" y="1894050"/>
                                                                                                    <a:chExt cx="19050" cy="6265500"/>
                                                                                                  </a:xfrm>
                                                                                                </xdr:grpSpPr>
                                                                                                <xdr:sp macro="" textlink="">
                                                                                                  <xdr:nvSpPr>
                                                                                                    <xdr:cNvPr id="186" name="Shape 184">
                                                                                                      <a:extLst>
                                                                                                        <a:ext uri="{FF2B5EF4-FFF2-40B4-BE49-F238E27FC236}">
                                                                                                          <a16:creationId xmlns:a16="http://schemas.microsoft.com/office/drawing/2014/main" id="{00000000-0008-0000-2100-0000BA000000}"/>
                                                                                                        </a:ext>
                                                                                                      </a:extLst>
                                                                                                    </xdr:cNvPr>
                                                                                                    <xdr:cNvSpPr/>
                                                                                                  </xdr:nvSpPr>
                                                                                                  <xdr:spPr>
                                                                                                    <a:xfrm>
                                                                                                      <a:off x="5336475" y="1894050"/>
                                                                                                      <a:ext cx="1905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87" name="Shape 185">
                                                                                                      <a:extLst>
                                                                                                        <a:ext uri="{FF2B5EF4-FFF2-40B4-BE49-F238E27FC236}">
                                                                                                          <a16:creationId xmlns:a16="http://schemas.microsoft.com/office/drawing/2014/main" id="{00000000-0008-0000-2100-0000BB000000}"/>
                                                                                                        </a:ext>
                                                                                                      </a:extLst>
                                                                                                    </xdr:cNvPr>
                                                                                                    <xdr:cNvCxnSpPr>
                                                                                                      <a:stCxn id="162" idx="0"/>
                                                                                                    </xdr:cNvCxnSpPr>
                                                                                                  </xdr:nvCxnSpPr>
                                                                                                  <xdr:spPr>
                                                                                                    <a:xfrm flipH="1">
                                                                                                      <a:off x="5343000" y="1894050"/>
                                                                                                      <a:ext cx="3000" cy="6265500"/>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11</xdr:col>
      <xdr:colOff>276225</xdr:colOff>
      <xdr:row>90</xdr:row>
      <xdr:rowOff>66675</xdr:rowOff>
    </xdr:from>
    <xdr:ext cx="38100" cy="4171950"/>
    <xdr:grpSp>
      <xdr:nvGrpSpPr>
        <xdr:cNvPr id="189" name="Shape 2">
          <a:extLst>
            <a:ext uri="{FF2B5EF4-FFF2-40B4-BE49-F238E27FC236}">
              <a16:creationId xmlns:a16="http://schemas.microsoft.com/office/drawing/2014/main" id="{00000000-0008-0000-2100-0000BD000000}"/>
            </a:ext>
          </a:extLst>
        </xdr:cNvPr>
        <xdr:cNvGrpSpPr/>
      </xdr:nvGrpSpPr>
      <xdr:grpSpPr>
        <a:xfrm>
          <a:off x="6506281" y="23096008"/>
          <a:ext cx="38100" cy="4171950"/>
          <a:chOff x="5326950" y="1694025"/>
          <a:chExt cx="38100" cy="4171950"/>
        </a:xfrm>
      </xdr:grpSpPr>
      <xdr:grpSp>
        <xdr:nvGrpSpPr>
          <xdr:cNvPr id="190" name="Shape 187">
            <a:extLst>
              <a:ext uri="{FF2B5EF4-FFF2-40B4-BE49-F238E27FC236}">
                <a16:creationId xmlns:a16="http://schemas.microsoft.com/office/drawing/2014/main" id="{00000000-0008-0000-2100-0000BE000000}"/>
              </a:ext>
            </a:extLst>
          </xdr:cNvPr>
          <xdr:cNvGrpSpPr/>
        </xdr:nvGrpSpPr>
        <xdr:grpSpPr>
          <a:xfrm>
            <a:off x="5326950" y="1694025"/>
            <a:ext cx="38100" cy="4171950"/>
            <a:chOff x="5326950" y="1694025"/>
            <a:chExt cx="38100" cy="4171950"/>
          </a:xfrm>
        </xdr:grpSpPr>
        <xdr:sp macro="" textlink="">
          <xdr:nvSpPr>
            <xdr:cNvPr id="191" name="Shape 5">
              <a:extLst>
                <a:ext uri="{FF2B5EF4-FFF2-40B4-BE49-F238E27FC236}">
                  <a16:creationId xmlns:a16="http://schemas.microsoft.com/office/drawing/2014/main" id="{00000000-0008-0000-2100-0000BF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92" name="Shape 188">
              <a:extLst>
                <a:ext uri="{FF2B5EF4-FFF2-40B4-BE49-F238E27FC236}">
                  <a16:creationId xmlns:a16="http://schemas.microsoft.com/office/drawing/2014/main" id="{00000000-0008-0000-2100-0000C0000000}"/>
                </a:ext>
              </a:extLst>
            </xdr:cNvPr>
            <xdr:cNvGrpSpPr/>
          </xdr:nvGrpSpPr>
          <xdr:grpSpPr>
            <a:xfrm>
              <a:off x="5326950" y="1694025"/>
              <a:ext cx="38100" cy="4171950"/>
              <a:chOff x="5326950" y="1694025"/>
              <a:chExt cx="38100" cy="4171950"/>
            </a:xfrm>
          </xdr:grpSpPr>
          <xdr:sp macro="" textlink="">
            <xdr:nvSpPr>
              <xdr:cNvPr id="193" name="Shape 189">
                <a:extLst>
                  <a:ext uri="{FF2B5EF4-FFF2-40B4-BE49-F238E27FC236}">
                    <a16:creationId xmlns:a16="http://schemas.microsoft.com/office/drawing/2014/main" id="{00000000-0008-0000-2100-0000C1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4" name="Shape 190">
                <a:extLst>
                  <a:ext uri="{FF2B5EF4-FFF2-40B4-BE49-F238E27FC236}">
                    <a16:creationId xmlns:a16="http://schemas.microsoft.com/office/drawing/2014/main" id="{00000000-0008-0000-2100-0000C2000000}"/>
                  </a:ext>
                </a:extLst>
              </xdr:cNvPr>
              <xdr:cNvGrpSpPr/>
            </xdr:nvGrpSpPr>
            <xdr:grpSpPr>
              <a:xfrm>
                <a:off x="5326950" y="1694025"/>
                <a:ext cx="38100" cy="4171950"/>
                <a:chOff x="5326950" y="1694025"/>
                <a:chExt cx="38100" cy="4171950"/>
              </a:xfrm>
            </xdr:grpSpPr>
            <xdr:sp macro="" textlink="">
              <xdr:nvSpPr>
                <xdr:cNvPr id="195" name="Shape 191">
                  <a:extLst>
                    <a:ext uri="{FF2B5EF4-FFF2-40B4-BE49-F238E27FC236}">
                      <a16:creationId xmlns:a16="http://schemas.microsoft.com/office/drawing/2014/main" id="{00000000-0008-0000-2100-0000C3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6" name="Shape 192">
                  <a:extLst>
                    <a:ext uri="{FF2B5EF4-FFF2-40B4-BE49-F238E27FC236}">
                      <a16:creationId xmlns:a16="http://schemas.microsoft.com/office/drawing/2014/main" id="{00000000-0008-0000-2100-0000C4000000}"/>
                    </a:ext>
                  </a:extLst>
                </xdr:cNvPr>
                <xdr:cNvGrpSpPr/>
              </xdr:nvGrpSpPr>
              <xdr:grpSpPr>
                <a:xfrm>
                  <a:off x="5326950" y="1694025"/>
                  <a:ext cx="38100" cy="4171950"/>
                  <a:chOff x="5326950" y="1694025"/>
                  <a:chExt cx="38100" cy="4171950"/>
                </a:xfrm>
              </xdr:grpSpPr>
              <xdr:sp macro="" textlink="">
                <xdr:nvSpPr>
                  <xdr:cNvPr id="197" name="Shape 193">
                    <a:extLst>
                      <a:ext uri="{FF2B5EF4-FFF2-40B4-BE49-F238E27FC236}">
                        <a16:creationId xmlns:a16="http://schemas.microsoft.com/office/drawing/2014/main" id="{00000000-0008-0000-2100-0000C5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8" name="Shape 194">
                    <a:extLst>
                      <a:ext uri="{FF2B5EF4-FFF2-40B4-BE49-F238E27FC236}">
                        <a16:creationId xmlns:a16="http://schemas.microsoft.com/office/drawing/2014/main" id="{00000000-0008-0000-2100-0000C6000000}"/>
                      </a:ext>
                    </a:extLst>
                  </xdr:cNvPr>
                  <xdr:cNvGrpSpPr/>
                </xdr:nvGrpSpPr>
                <xdr:grpSpPr>
                  <a:xfrm>
                    <a:off x="5326950" y="1694025"/>
                    <a:ext cx="38100" cy="4171950"/>
                    <a:chOff x="5326950" y="1694025"/>
                    <a:chExt cx="38100" cy="4171950"/>
                  </a:xfrm>
                </xdr:grpSpPr>
                <xdr:sp macro="" textlink="">
                  <xdr:nvSpPr>
                    <xdr:cNvPr id="199" name="Shape 195">
                      <a:extLst>
                        <a:ext uri="{FF2B5EF4-FFF2-40B4-BE49-F238E27FC236}">
                          <a16:creationId xmlns:a16="http://schemas.microsoft.com/office/drawing/2014/main" id="{00000000-0008-0000-2100-0000C7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0" name="Shape 196">
                      <a:extLst>
                        <a:ext uri="{FF2B5EF4-FFF2-40B4-BE49-F238E27FC236}">
                          <a16:creationId xmlns:a16="http://schemas.microsoft.com/office/drawing/2014/main" id="{00000000-0008-0000-2100-0000C8000000}"/>
                        </a:ext>
                      </a:extLst>
                    </xdr:cNvPr>
                    <xdr:cNvGrpSpPr/>
                  </xdr:nvGrpSpPr>
                  <xdr:grpSpPr>
                    <a:xfrm>
                      <a:off x="5326950" y="1694025"/>
                      <a:ext cx="38100" cy="4171950"/>
                      <a:chOff x="5326950" y="1694025"/>
                      <a:chExt cx="38100" cy="4171950"/>
                    </a:xfrm>
                  </xdr:grpSpPr>
                  <xdr:sp macro="" textlink="">
                    <xdr:nvSpPr>
                      <xdr:cNvPr id="201" name="Shape 197">
                        <a:extLst>
                          <a:ext uri="{FF2B5EF4-FFF2-40B4-BE49-F238E27FC236}">
                            <a16:creationId xmlns:a16="http://schemas.microsoft.com/office/drawing/2014/main" id="{00000000-0008-0000-2100-0000C9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2" name="Shape 198">
                        <a:extLst>
                          <a:ext uri="{FF2B5EF4-FFF2-40B4-BE49-F238E27FC236}">
                            <a16:creationId xmlns:a16="http://schemas.microsoft.com/office/drawing/2014/main" id="{00000000-0008-0000-2100-0000CA000000}"/>
                          </a:ext>
                        </a:extLst>
                      </xdr:cNvPr>
                      <xdr:cNvGrpSpPr/>
                    </xdr:nvGrpSpPr>
                    <xdr:grpSpPr>
                      <a:xfrm>
                        <a:off x="5326950" y="1694025"/>
                        <a:ext cx="38100" cy="4171950"/>
                        <a:chOff x="5326950" y="1694025"/>
                        <a:chExt cx="38100" cy="4171950"/>
                      </a:xfrm>
                    </xdr:grpSpPr>
                    <xdr:sp macro="" textlink="">
                      <xdr:nvSpPr>
                        <xdr:cNvPr id="203" name="Shape 199">
                          <a:extLst>
                            <a:ext uri="{FF2B5EF4-FFF2-40B4-BE49-F238E27FC236}">
                              <a16:creationId xmlns:a16="http://schemas.microsoft.com/office/drawing/2014/main" id="{00000000-0008-0000-2100-0000CB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4" name="Shape 200">
                          <a:extLst>
                            <a:ext uri="{FF2B5EF4-FFF2-40B4-BE49-F238E27FC236}">
                              <a16:creationId xmlns:a16="http://schemas.microsoft.com/office/drawing/2014/main" id="{00000000-0008-0000-2100-0000CC000000}"/>
                            </a:ext>
                          </a:extLst>
                        </xdr:cNvPr>
                        <xdr:cNvGrpSpPr/>
                      </xdr:nvGrpSpPr>
                      <xdr:grpSpPr>
                        <a:xfrm>
                          <a:off x="5326950" y="1694025"/>
                          <a:ext cx="38100" cy="4171950"/>
                          <a:chOff x="5326950" y="1694025"/>
                          <a:chExt cx="38100" cy="4171950"/>
                        </a:xfrm>
                      </xdr:grpSpPr>
                      <xdr:sp macro="" textlink="">
                        <xdr:nvSpPr>
                          <xdr:cNvPr id="205" name="Shape 201">
                            <a:extLst>
                              <a:ext uri="{FF2B5EF4-FFF2-40B4-BE49-F238E27FC236}">
                                <a16:creationId xmlns:a16="http://schemas.microsoft.com/office/drawing/2014/main" id="{00000000-0008-0000-2100-0000CD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6" name="Shape 202">
                            <a:extLst>
                              <a:ext uri="{FF2B5EF4-FFF2-40B4-BE49-F238E27FC236}">
                                <a16:creationId xmlns:a16="http://schemas.microsoft.com/office/drawing/2014/main" id="{00000000-0008-0000-2100-0000CE000000}"/>
                              </a:ext>
                            </a:extLst>
                          </xdr:cNvPr>
                          <xdr:cNvGrpSpPr/>
                        </xdr:nvGrpSpPr>
                        <xdr:grpSpPr>
                          <a:xfrm>
                            <a:off x="5326950" y="1694025"/>
                            <a:ext cx="38100" cy="4171950"/>
                            <a:chOff x="5326950" y="1694025"/>
                            <a:chExt cx="38100" cy="4171950"/>
                          </a:xfrm>
                        </xdr:grpSpPr>
                        <xdr:sp macro="" textlink="">
                          <xdr:nvSpPr>
                            <xdr:cNvPr id="207" name="Shape 203">
                              <a:extLst>
                                <a:ext uri="{FF2B5EF4-FFF2-40B4-BE49-F238E27FC236}">
                                  <a16:creationId xmlns:a16="http://schemas.microsoft.com/office/drawing/2014/main" id="{00000000-0008-0000-2100-0000CF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8" name="Shape 204">
                              <a:extLst>
                                <a:ext uri="{FF2B5EF4-FFF2-40B4-BE49-F238E27FC236}">
                                  <a16:creationId xmlns:a16="http://schemas.microsoft.com/office/drawing/2014/main" id="{00000000-0008-0000-2100-0000D0000000}"/>
                                </a:ext>
                              </a:extLst>
                            </xdr:cNvPr>
                            <xdr:cNvGrpSpPr/>
                          </xdr:nvGrpSpPr>
                          <xdr:grpSpPr>
                            <a:xfrm>
                              <a:off x="5326950" y="1694025"/>
                              <a:ext cx="38100" cy="4171950"/>
                              <a:chOff x="5326950" y="1694025"/>
                              <a:chExt cx="38100" cy="4171950"/>
                            </a:xfrm>
                          </xdr:grpSpPr>
                          <xdr:sp macro="" textlink="">
                            <xdr:nvSpPr>
                              <xdr:cNvPr id="209" name="Shape 205">
                                <a:extLst>
                                  <a:ext uri="{FF2B5EF4-FFF2-40B4-BE49-F238E27FC236}">
                                    <a16:creationId xmlns:a16="http://schemas.microsoft.com/office/drawing/2014/main" id="{00000000-0008-0000-2100-0000D100000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0" name="Shape 206">
                                <a:extLst>
                                  <a:ext uri="{FF2B5EF4-FFF2-40B4-BE49-F238E27FC236}">
                                    <a16:creationId xmlns:a16="http://schemas.microsoft.com/office/drawing/2014/main" id="{00000000-0008-0000-2100-0000D2000000}"/>
                                  </a:ext>
                                </a:extLst>
                              </xdr:cNvPr>
                              <xdr:cNvGrpSpPr/>
                            </xdr:nvGrpSpPr>
                            <xdr:grpSpPr>
                              <a:xfrm>
                                <a:off x="5326950" y="1694025"/>
                                <a:ext cx="38100" cy="4171950"/>
                                <a:chOff x="5326950" y="1692000"/>
                                <a:chExt cx="38100" cy="4176000"/>
                              </a:xfrm>
                            </xdr:grpSpPr>
                            <xdr:sp macro="" textlink="">
                              <xdr:nvSpPr>
                                <xdr:cNvPr id="211" name="Shape 207">
                                  <a:extLst>
                                    <a:ext uri="{FF2B5EF4-FFF2-40B4-BE49-F238E27FC236}">
                                      <a16:creationId xmlns:a16="http://schemas.microsoft.com/office/drawing/2014/main" id="{00000000-0008-0000-2100-0000D3000000}"/>
                                    </a:ext>
                                  </a:extLst>
                                </xdr:cNvPr>
                                <xdr:cNvSpPr/>
                              </xdr:nvSpPr>
                              <xdr:spPr>
                                <a:xfrm>
                                  <a:off x="5326950" y="1692000"/>
                                  <a:ext cx="38100" cy="41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2" name="Shape 208">
                                  <a:extLst>
                                    <a:ext uri="{FF2B5EF4-FFF2-40B4-BE49-F238E27FC236}">
                                      <a16:creationId xmlns:a16="http://schemas.microsoft.com/office/drawing/2014/main" id="{00000000-0008-0000-2100-0000D4000000}"/>
                                    </a:ext>
                                  </a:extLst>
                                </xdr:cNvPr>
                                <xdr:cNvGrpSpPr/>
                              </xdr:nvGrpSpPr>
                              <xdr:grpSpPr>
                                <a:xfrm>
                                  <a:off x="5326950" y="1692000"/>
                                  <a:ext cx="38100" cy="4176000"/>
                                  <a:chOff x="5326950" y="2132175"/>
                                  <a:chExt cx="38100" cy="4320000"/>
                                </a:xfrm>
                              </xdr:grpSpPr>
                              <xdr:sp macro="" textlink="">
                                <xdr:nvSpPr>
                                  <xdr:cNvPr id="213" name="Shape 209">
                                    <a:extLst>
                                      <a:ext uri="{FF2B5EF4-FFF2-40B4-BE49-F238E27FC236}">
                                        <a16:creationId xmlns:a16="http://schemas.microsoft.com/office/drawing/2014/main" id="{00000000-0008-0000-2100-0000D5000000}"/>
                                      </a:ext>
                                    </a:extLst>
                                  </xdr:cNvPr>
                                  <xdr:cNvSpPr/>
                                </xdr:nvSpPr>
                                <xdr:spPr>
                                  <a:xfrm>
                                    <a:off x="5326950" y="2132175"/>
                                    <a:ext cx="38100" cy="432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4" name="Shape 210">
                                    <a:extLst>
                                      <a:ext uri="{FF2B5EF4-FFF2-40B4-BE49-F238E27FC236}">
                                        <a16:creationId xmlns:a16="http://schemas.microsoft.com/office/drawing/2014/main" id="{00000000-0008-0000-2100-0000D6000000}"/>
                                      </a:ext>
                                    </a:extLst>
                                  </xdr:cNvPr>
                                  <xdr:cNvGrpSpPr/>
                                </xdr:nvGrpSpPr>
                                <xdr:grpSpPr>
                                  <a:xfrm>
                                    <a:off x="5326950" y="2132175"/>
                                    <a:ext cx="38100" cy="3295800"/>
                                    <a:chOff x="5326950" y="2132175"/>
                                    <a:chExt cx="38100" cy="3295800"/>
                                  </a:xfrm>
                                </xdr:grpSpPr>
                                <xdr:sp macro="" textlink="">
                                  <xdr:nvSpPr>
                                    <xdr:cNvPr id="215" name="Shape 211">
                                      <a:extLst>
                                        <a:ext uri="{FF2B5EF4-FFF2-40B4-BE49-F238E27FC236}">
                                          <a16:creationId xmlns:a16="http://schemas.microsoft.com/office/drawing/2014/main" id="{00000000-0008-0000-2100-0000D7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6" name="Shape 212">
                                      <a:extLst>
                                        <a:ext uri="{FF2B5EF4-FFF2-40B4-BE49-F238E27FC236}">
                                          <a16:creationId xmlns:a16="http://schemas.microsoft.com/office/drawing/2014/main" id="{00000000-0008-0000-2100-0000D8000000}"/>
                                        </a:ext>
                                      </a:extLst>
                                    </xdr:cNvPr>
                                    <xdr:cNvGrpSpPr/>
                                  </xdr:nvGrpSpPr>
                                  <xdr:grpSpPr>
                                    <a:xfrm>
                                      <a:off x="5326950" y="2132175"/>
                                      <a:ext cx="38100" cy="3295800"/>
                                      <a:chOff x="5326950" y="2132175"/>
                                      <a:chExt cx="38100" cy="3295800"/>
                                    </a:xfrm>
                                  </xdr:grpSpPr>
                                  <xdr:sp macro="" textlink="">
                                    <xdr:nvSpPr>
                                      <xdr:cNvPr id="217" name="Shape 213">
                                        <a:extLst>
                                          <a:ext uri="{FF2B5EF4-FFF2-40B4-BE49-F238E27FC236}">
                                            <a16:creationId xmlns:a16="http://schemas.microsoft.com/office/drawing/2014/main" id="{00000000-0008-0000-2100-0000D9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8" name="Shape 214">
                                        <a:extLst>
                                          <a:ext uri="{FF2B5EF4-FFF2-40B4-BE49-F238E27FC236}">
                                            <a16:creationId xmlns:a16="http://schemas.microsoft.com/office/drawing/2014/main" id="{00000000-0008-0000-2100-0000DA000000}"/>
                                          </a:ext>
                                        </a:extLst>
                                      </xdr:cNvPr>
                                      <xdr:cNvGrpSpPr/>
                                    </xdr:nvGrpSpPr>
                                    <xdr:grpSpPr>
                                      <a:xfrm>
                                        <a:off x="5326950" y="2132175"/>
                                        <a:ext cx="38100" cy="3295800"/>
                                        <a:chOff x="5326950" y="2132175"/>
                                        <a:chExt cx="38100" cy="3295800"/>
                                      </a:xfrm>
                                    </xdr:grpSpPr>
                                    <xdr:sp macro="" textlink="">
                                      <xdr:nvSpPr>
                                        <xdr:cNvPr id="219" name="Shape 215">
                                          <a:extLst>
                                            <a:ext uri="{FF2B5EF4-FFF2-40B4-BE49-F238E27FC236}">
                                              <a16:creationId xmlns:a16="http://schemas.microsoft.com/office/drawing/2014/main" id="{00000000-0008-0000-2100-0000DB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0" name="Shape 216">
                                          <a:extLst>
                                            <a:ext uri="{FF2B5EF4-FFF2-40B4-BE49-F238E27FC236}">
                                              <a16:creationId xmlns:a16="http://schemas.microsoft.com/office/drawing/2014/main" id="{00000000-0008-0000-2100-0000DC000000}"/>
                                            </a:ext>
                                          </a:extLst>
                                        </xdr:cNvPr>
                                        <xdr:cNvGrpSpPr/>
                                      </xdr:nvGrpSpPr>
                                      <xdr:grpSpPr>
                                        <a:xfrm>
                                          <a:off x="5326950" y="2132175"/>
                                          <a:ext cx="38100" cy="3295800"/>
                                          <a:chOff x="5326950" y="2132175"/>
                                          <a:chExt cx="38100" cy="3295800"/>
                                        </a:xfrm>
                                      </xdr:grpSpPr>
                                      <xdr:sp macro="" textlink="">
                                        <xdr:nvSpPr>
                                          <xdr:cNvPr id="221" name="Shape 217">
                                            <a:extLst>
                                              <a:ext uri="{FF2B5EF4-FFF2-40B4-BE49-F238E27FC236}">
                                                <a16:creationId xmlns:a16="http://schemas.microsoft.com/office/drawing/2014/main" id="{00000000-0008-0000-2100-0000DD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2" name="Shape 218">
                                            <a:extLst>
                                              <a:ext uri="{FF2B5EF4-FFF2-40B4-BE49-F238E27FC236}">
                                                <a16:creationId xmlns:a16="http://schemas.microsoft.com/office/drawing/2014/main" id="{00000000-0008-0000-2100-0000DE000000}"/>
                                              </a:ext>
                                            </a:extLst>
                                          </xdr:cNvPr>
                                          <xdr:cNvGrpSpPr/>
                                        </xdr:nvGrpSpPr>
                                        <xdr:grpSpPr>
                                          <a:xfrm>
                                            <a:off x="5326950" y="2132175"/>
                                            <a:ext cx="38100" cy="3295800"/>
                                            <a:chOff x="5326950" y="2132175"/>
                                            <a:chExt cx="38100" cy="3295800"/>
                                          </a:xfrm>
                                        </xdr:grpSpPr>
                                        <xdr:sp macro="" textlink="">
                                          <xdr:nvSpPr>
                                            <xdr:cNvPr id="223" name="Shape 219">
                                              <a:extLst>
                                                <a:ext uri="{FF2B5EF4-FFF2-40B4-BE49-F238E27FC236}">
                                                  <a16:creationId xmlns:a16="http://schemas.microsoft.com/office/drawing/2014/main" id="{00000000-0008-0000-2100-0000DF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4" name="Shape 220">
                                              <a:extLst>
                                                <a:ext uri="{FF2B5EF4-FFF2-40B4-BE49-F238E27FC236}">
                                                  <a16:creationId xmlns:a16="http://schemas.microsoft.com/office/drawing/2014/main" id="{00000000-0008-0000-2100-0000E0000000}"/>
                                                </a:ext>
                                              </a:extLst>
                                            </xdr:cNvPr>
                                            <xdr:cNvGrpSpPr/>
                                          </xdr:nvGrpSpPr>
                                          <xdr:grpSpPr>
                                            <a:xfrm>
                                              <a:off x="5326950" y="2132175"/>
                                              <a:ext cx="38100" cy="3295800"/>
                                              <a:chOff x="5326950" y="2132175"/>
                                              <a:chExt cx="38100" cy="3295800"/>
                                            </a:xfrm>
                                          </xdr:grpSpPr>
                                          <xdr:sp macro="" textlink="">
                                            <xdr:nvSpPr>
                                              <xdr:cNvPr id="225" name="Shape 221">
                                                <a:extLst>
                                                  <a:ext uri="{FF2B5EF4-FFF2-40B4-BE49-F238E27FC236}">
                                                    <a16:creationId xmlns:a16="http://schemas.microsoft.com/office/drawing/2014/main" id="{00000000-0008-0000-2100-0000E1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6" name="Shape 222">
                                                <a:extLst>
                                                  <a:ext uri="{FF2B5EF4-FFF2-40B4-BE49-F238E27FC236}">
                                                    <a16:creationId xmlns:a16="http://schemas.microsoft.com/office/drawing/2014/main" id="{00000000-0008-0000-2100-0000E2000000}"/>
                                                  </a:ext>
                                                </a:extLst>
                                              </xdr:cNvPr>
                                              <xdr:cNvGrpSpPr/>
                                            </xdr:nvGrpSpPr>
                                            <xdr:grpSpPr>
                                              <a:xfrm>
                                                <a:off x="5326950" y="2132175"/>
                                                <a:ext cx="38100" cy="3295800"/>
                                                <a:chOff x="5326950" y="2132175"/>
                                                <a:chExt cx="38100" cy="3295800"/>
                                              </a:xfrm>
                                            </xdr:grpSpPr>
                                            <xdr:sp macro="" textlink="">
                                              <xdr:nvSpPr>
                                                <xdr:cNvPr id="227" name="Shape 223">
                                                  <a:extLst>
                                                    <a:ext uri="{FF2B5EF4-FFF2-40B4-BE49-F238E27FC236}">
                                                      <a16:creationId xmlns:a16="http://schemas.microsoft.com/office/drawing/2014/main" id="{00000000-0008-0000-2100-0000E3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8" name="Shape 224">
                                                  <a:extLst>
                                                    <a:ext uri="{FF2B5EF4-FFF2-40B4-BE49-F238E27FC236}">
                                                      <a16:creationId xmlns:a16="http://schemas.microsoft.com/office/drawing/2014/main" id="{00000000-0008-0000-2100-0000E4000000}"/>
                                                    </a:ext>
                                                  </a:extLst>
                                                </xdr:cNvPr>
                                                <xdr:cNvGrpSpPr/>
                                              </xdr:nvGrpSpPr>
                                              <xdr:grpSpPr>
                                                <a:xfrm>
                                                  <a:off x="5326950" y="2132175"/>
                                                  <a:ext cx="38100" cy="3295800"/>
                                                  <a:chOff x="5326950" y="2132175"/>
                                                  <a:chExt cx="38100" cy="3295800"/>
                                                </a:xfrm>
                                              </xdr:grpSpPr>
                                              <xdr:sp macro="" textlink="">
                                                <xdr:nvSpPr>
                                                  <xdr:cNvPr id="229" name="Shape 225">
                                                    <a:extLst>
                                                      <a:ext uri="{FF2B5EF4-FFF2-40B4-BE49-F238E27FC236}">
                                                        <a16:creationId xmlns:a16="http://schemas.microsoft.com/office/drawing/2014/main" id="{00000000-0008-0000-2100-0000E5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0" name="Shape 226">
                                                    <a:extLst>
                                                      <a:ext uri="{FF2B5EF4-FFF2-40B4-BE49-F238E27FC236}">
                                                        <a16:creationId xmlns:a16="http://schemas.microsoft.com/office/drawing/2014/main" id="{00000000-0008-0000-2100-0000E6000000}"/>
                                                      </a:ext>
                                                    </a:extLst>
                                                  </xdr:cNvPr>
                                                  <xdr:cNvGrpSpPr/>
                                                </xdr:nvGrpSpPr>
                                                <xdr:grpSpPr>
                                                  <a:xfrm>
                                                    <a:off x="5326950" y="2132175"/>
                                                    <a:ext cx="38100" cy="3295800"/>
                                                    <a:chOff x="5326950" y="2132175"/>
                                                    <a:chExt cx="38100" cy="3295800"/>
                                                  </a:xfrm>
                                                </xdr:grpSpPr>
                                                <xdr:sp macro="" textlink="">
                                                  <xdr:nvSpPr>
                                                    <xdr:cNvPr id="231" name="Shape 227">
                                                      <a:extLst>
                                                        <a:ext uri="{FF2B5EF4-FFF2-40B4-BE49-F238E27FC236}">
                                                          <a16:creationId xmlns:a16="http://schemas.microsoft.com/office/drawing/2014/main" id="{00000000-0008-0000-2100-0000E7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2" name="Shape 228">
                                                      <a:extLst>
                                                        <a:ext uri="{FF2B5EF4-FFF2-40B4-BE49-F238E27FC236}">
                                                          <a16:creationId xmlns:a16="http://schemas.microsoft.com/office/drawing/2014/main" id="{00000000-0008-0000-2100-0000E8000000}"/>
                                                        </a:ext>
                                                      </a:extLst>
                                                    </xdr:cNvPr>
                                                    <xdr:cNvGrpSpPr/>
                                                  </xdr:nvGrpSpPr>
                                                  <xdr:grpSpPr>
                                                    <a:xfrm>
                                                      <a:off x="5326950" y="2132175"/>
                                                      <a:ext cx="38100" cy="3295800"/>
                                                      <a:chOff x="5326950" y="2132175"/>
                                                      <a:chExt cx="38100" cy="3295800"/>
                                                    </a:xfrm>
                                                  </xdr:grpSpPr>
                                                  <xdr:sp macro="" textlink="">
                                                    <xdr:nvSpPr>
                                                      <xdr:cNvPr id="233" name="Shape 229">
                                                        <a:extLst>
                                                          <a:ext uri="{FF2B5EF4-FFF2-40B4-BE49-F238E27FC236}">
                                                            <a16:creationId xmlns:a16="http://schemas.microsoft.com/office/drawing/2014/main" id="{00000000-0008-0000-2100-0000E9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4" name="Shape 230">
                                                        <a:extLst>
                                                          <a:ext uri="{FF2B5EF4-FFF2-40B4-BE49-F238E27FC236}">
                                                            <a16:creationId xmlns:a16="http://schemas.microsoft.com/office/drawing/2014/main" id="{00000000-0008-0000-2100-0000EA000000}"/>
                                                          </a:ext>
                                                        </a:extLst>
                                                      </xdr:cNvPr>
                                                      <xdr:cNvGrpSpPr/>
                                                    </xdr:nvGrpSpPr>
                                                    <xdr:grpSpPr>
                                                      <a:xfrm>
                                                        <a:off x="5326950" y="2132175"/>
                                                        <a:ext cx="38100" cy="3295800"/>
                                                        <a:chOff x="5326950" y="2132175"/>
                                                        <a:chExt cx="38100" cy="3295800"/>
                                                      </a:xfrm>
                                                    </xdr:grpSpPr>
                                                    <xdr:sp macro="" textlink="">
                                                      <xdr:nvSpPr>
                                                        <xdr:cNvPr id="235" name="Shape 231">
                                                          <a:extLst>
                                                            <a:ext uri="{FF2B5EF4-FFF2-40B4-BE49-F238E27FC236}">
                                                              <a16:creationId xmlns:a16="http://schemas.microsoft.com/office/drawing/2014/main" id="{00000000-0008-0000-2100-0000EB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6" name="Shape 232">
                                                          <a:extLst>
                                                            <a:ext uri="{FF2B5EF4-FFF2-40B4-BE49-F238E27FC236}">
                                                              <a16:creationId xmlns:a16="http://schemas.microsoft.com/office/drawing/2014/main" id="{00000000-0008-0000-2100-0000EC000000}"/>
                                                            </a:ext>
                                                          </a:extLst>
                                                        </xdr:cNvPr>
                                                        <xdr:cNvGrpSpPr/>
                                                      </xdr:nvGrpSpPr>
                                                      <xdr:grpSpPr>
                                                        <a:xfrm>
                                                          <a:off x="5326950" y="2132175"/>
                                                          <a:ext cx="38100" cy="3295800"/>
                                                          <a:chOff x="5326950" y="2132175"/>
                                                          <a:chExt cx="38100" cy="3295800"/>
                                                        </a:xfrm>
                                                      </xdr:grpSpPr>
                                                      <xdr:sp macro="" textlink="">
                                                        <xdr:nvSpPr>
                                                          <xdr:cNvPr id="237" name="Shape 233">
                                                            <a:extLst>
                                                              <a:ext uri="{FF2B5EF4-FFF2-40B4-BE49-F238E27FC236}">
                                                                <a16:creationId xmlns:a16="http://schemas.microsoft.com/office/drawing/2014/main" id="{00000000-0008-0000-2100-0000ED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8" name="Shape 234">
                                                            <a:extLst>
                                                              <a:ext uri="{FF2B5EF4-FFF2-40B4-BE49-F238E27FC236}">
                                                                <a16:creationId xmlns:a16="http://schemas.microsoft.com/office/drawing/2014/main" id="{00000000-0008-0000-2100-0000EE000000}"/>
                                                              </a:ext>
                                                            </a:extLst>
                                                          </xdr:cNvPr>
                                                          <xdr:cNvGrpSpPr/>
                                                        </xdr:nvGrpSpPr>
                                                        <xdr:grpSpPr>
                                                          <a:xfrm>
                                                            <a:off x="5326950" y="2132175"/>
                                                            <a:ext cx="38100" cy="3295800"/>
                                                            <a:chOff x="5326950" y="2132175"/>
                                                            <a:chExt cx="38100" cy="3295800"/>
                                                          </a:xfrm>
                                                        </xdr:grpSpPr>
                                                        <xdr:sp macro="" textlink="">
                                                          <xdr:nvSpPr>
                                                            <xdr:cNvPr id="239" name="Shape 235">
                                                              <a:extLst>
                                                                <a:ext uri="{FF2B5EF4-FFF2-40B4-BE49-F238E27FC236}">
                                                                  <a16:creationId xmlns:a16="http://schemas.microsoft.com/office/drawing/2014/main" id="{00000000-0008-0000-2100-0000EF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0" name="Shape 236">
                                                              <a:extLst>
                                                                <a:ext uri="{FF2B5EF4-FFF2-40B4-BE49-F238E27FC236}">
                                                                  <a16:creationId xmlns:a16="http://schemas.microsoft.com/office/drawing/2014/main" id="{00000000-0008-0000-2100-0000F0000000}"/>
                                                                </a:ext>
                                                              </a:extLst>
                                                            </xdr:cNvPr>
                                                            <xdr:cNvGrpSpPr/>
                                                          </xdr:nvGrpSpPr>
                                                          <xdr:grpSpPr>
                                                            <a:xfrm>
                                                              <a:off x="5326950" y="2132175"/>
                                                              <a:ext cx="38100" cy="3295800"/>
                                                              <a:chOff x="5326950" y="2132175"/>
                                                              <a:chExt cx="38100" cy="3295800"/>
                                                            </a:xfrm>
                                                          </xdr:grpSpPr>
                                                          <xdr:sp macro="" textlink="">
                                                            <xdr:nvSpPr>
                                                              <xdr:cNvPr id="241" name="Shape 237">
                                                                <a:extLst>
                                                                  <a:ext uri="{FF2B5EF4-FFF2-40B4-BE49-F238E27FC236}">
                                                                    <a16:creationId xmlns:a16="http://schemas.microsoft.com/office/drawing/2014/main" id="{00000000-0008-0000-2100-0000F1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2" name="Shape 238">
                                                                <a:extLst>
                                                                  <a:ext uri="{FF2B5EF4-FFF2-40B4-BE49-F238E27FC236}">
                                                                    <a16:creationId xmlns:a16="http://schemas.microsoft.com/office/drawing/2014/main" id="{00000000-0008-0000-2100-0000F2000000}"/>
                                                                  </a:ext>
                                                                </a:extLst>
                                                              </xdr:cNvPr>
                                                              <xdr:cNvGrpSpPr/>
                                                            </xdr:nvGrpSpPr>
                                                            <xdr:grpSpPr>
                                                              <a:xfrm>
                                                                <a:off x="5326950" y="2132175"/>
                                                                <a:ext cx="38100" cy="3295800"/>
                                                                <a:chOff x="5326950" y="2132175"/>
                                                                <a:chExt cx="38100" cy="3295800"/>
                                                              </a:xfrm>
                                                            </xdr:grpSpPr>
                                                            <xdr:sp macro="" textlink="">
                                                              <xdr:nvSpPr>
                                                                <xdr:cNvPr id="243" name="Shape 239">
                                                                  <a:extLst>
                                                                    <a:ext uri="{FF2B5EF4-FFF2-40B4-BE49-F238E27FC236}">
                                                                      <a16:creationId xmlns:a16="http://schemas.microsoft.com/office/drawing/2014/main" id="{00000000-0008-0000-2100-0000F3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4" name="Shape 240">
                                                                  <a:extLst>
                                                                    <a:ext uri="{FF2B5EF4-FFF2-40B4-BE49-F238E27FC236}">
                                                                      <a16:creationId xmlns:a16="http://schemas.microsoft.com/office/drawing/2014/main" id="{00000000-0008-0000-2100-0000F4000000}"/>
                                                                    </a:ext>
                                                                  </a:extLst>
                                                                </xdr:cNvPr>
                                                                <xdr:cNvGrpSpPr/>
                                                              </xdr:nvGrpSpPr>
                                                              <xdr:grpSpPr>
                                                                <a:xfrm>
                                                                  <a:off x="5326950" y="2132175"/>
                                                                  <a:ext cx="38100" cy="3295800"/>
                                                                  <a:chOff x="5326950" y="2132175"/>
                                                                  <a:chExt cx="38100" cy="3295800"/>
                                                                </a:xfrm>
                                                              </xdr:grpSpPr>
                                                              <xdr:sp macro="" textlink="">
                                                                <xdr:nvSpPr>
                                                                  <xdr:cNvPr id="245" name="Shape 241">
                                                                    <a:extLst>
                                                                      <a:ext uri="{FF2B5EF4-FFF2-40B4-BE49-F238E27FC236}">
                                                                        <a16:creationId xmlns:a16="http://schemas.microsoft.com/office/drawing/2014/main" id="{00000000-0008-0000-2100-0000F5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6" name="Shape 242">
                                                                    <a:extLst>
                                                                      <a:ext uri="{FF2B5EF4-FFF2-40B4-BE49-F238E27FC236}">
                                                                        <a16:creationId xmlns:a16="http://schemas.microsoft.com/office/drawing/2014/main" id="{00000000-0008-0000-2100-0000F6000000}"/>
                                                                      </a:ext>
                                                                    </a:extLst>
                                                                  </xdr:cNvPr>
                                                                  <xdr:cNvGrpSpPr/>
                                                                </xdr:nvGrpSpPr>
                                                                <xdr:grpSpPr>
                                                                  <a:xfrm>
                                                                    <a:off x="5326950" y="2132175"/>
                                                                    <a:ext cx="38100" cy="3295800"/>
                                                                    <a:chOff x="5326950" y="2132175"/>
                                                                    <a:chExt cx="38100" cy="3295800"/>
                                                                  </a:xfrm>
                                                                </xdr:grpSpPr>
                                                                <xdr:sp macro="" textlink="">
                                                                  <xdr:nvSpPr>
                                                                    <xdr:cNvPr id="247" name="Shape 243">
                                                                      <a:extLst>
                                                                        <a:ext uri="{FF2B5EF4-FFF2-40B4-BE49-F238E27FC236}">
                                                                          <a16:creationId xmlns:a16="http://schemas.microsoft.com/office/drawing/2014/main" id="{00000000-0008-0000-2100-0000F7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8" name="Shape 244">
                                                                      <a:extLst>
                                                                        <a:ext uri="{FF2B5EF4-FFF2-40B4-BE49-F238E27FC236}">
                                                                          <a16:creationId xmlns:a16="http://schemas.microsoft.com/office/drawing/2014/main" id="{00000000-0008-0000-2100-0000F8000000}"/>
                                                                        </a:ext>
                                                                      </a:extLst>
                                                                    </xdr:cNvPr>
                                                                    <xdr:cNvGrpSpPr/>
                                                                  </xdr:nvGrpSpPr>
                                                                  <xdr:grpSpPr>
                                                                    <a:xfrm>
                                                                      <a:off x="5326950" y="2132175"/>
                                                                      <a:ext cx="38100" cy="3295800"/>
                                                                      <a:chOff x="5326950" y="2132175"/>
                                                                      <a:chExt cx="38100" cy="3295800"/>
                                                                    </a:xfrm>
                                                                  </xdr:grpSpPr>
                                                                  <xdr:sp macro="" textlink="">
                                                                    <xdr:nvSpPr>
                                                                      <xdr:cNvPr id="249" name="Shape 245">
                                                                        <a:extLst>
                                                                          <a:ext uri="{FF2B5EF4-FFF2-40B4-BE49-F238E27FC236}">
                                                                            <a16:creationId xmlns:a16="http://schemas.microsoft.com/office/drawing/2014/main" id="{00000000-0008-0000-2100-0000F9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0" name="Shape 246">
                                                                        <a:extLst>
                                                                          <a:ext uri="{FF2B5EF4-FFF2-40B4-BE49-F238E27FC236}">
                                                                            <a16:creationId xmlns:a16="http://schemas.microsoft.com/office/drawing/2014/main" id="{00000000-0008-0000-2100-0000FA000000}"/>
                                                                          </a:ext>
                                                                        </a:extLst>
                                                                      </xdr:cNvPr>
                                                                      <xdr:cNvGrpSpPr/>
                                                                    </xdr:nvGrpSpPr>
                                                                    <xdr:grpSpPr>
                                                                      <a:xfrm>
                                                                        <a:off x="5326950" y="2132175"/>
                                                                        <a:ext cx="38100" cy="3295800"/>
                                                                        <a:chOff x="5326950" y="2132175"/>
                                                                        <a:chExt cx="38100" cy="3295800"/>
                                                                      </a:xfrm>
                                                                    </xdr:grpSpPr>
                                                                    <xdr:sp macro="" textlink="">
                                                                      <xdr:nvSpPr>
                                                                        <xdr:cNvPr id="251" name="Shape 247">
                                                                          <a:extLst>
                                                                            <a:ext uri="{FF2B5EF4-FFF2-40B4-BE49-F238E27FC236}">
                                                                              <a16:creationId xmlns:a16="http://schemas.microsoft.com/office/drawing/2014/main" id="{00000000-0008-0000-2100-0000FB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2" name="Shape 248">
                                                                          <a:extLst>
                                                                            <a:ext uri="{FF2B5EF4-FFF2-40B4-BE49-F238E27FC236}">
                                                                              <a16:creationId xmlns:a16="http://schemas.microsoft.com/office/drawing/2014/main" id="{00000000-0008-0000-2100-0000FC000000}"/>
                                                                            </a:ext>
                                                                          </a:extLst>
                                                                        </xdr:cNvPr>
                                                                        <xdr:cNvGrpSpPr/>
                                                                      </xdr:nvGrpSpPr>
                                                                      <xdr:grpSpPr>
                                                                        <a:xfrm>
                                                                          <a:off x="5326950" y="2132175"/>
                                                                          <a:ext cx="38100" cy="3295800"/>
                                                                          <a:chOff x="5326950" y="2132175"/>
                                                                          <a:chExt cx="38100" cy="3295800"/>
                                                                        </a:xfrm>
                                                                      </xdr:grpSpPr>
                                                                      <xdr:sp macro="" textlink="">
                                                                        <xdr:nvSpPr>
                                                                          <xdr:cNvPr id="253" name="Shape 249">
                                                                            <a:extLst>
                                                                              <a:ext uri="{FF2B5EF4-FFF2-40B4-BE49-F238E27FC236}">
                                                                                <a16:creationId xmlns:a16="http://schemas.microsoft.com/office/drawing/2014/main" id="{00000000-0008-0000-2100-0000FD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4" name="Shape 250">
                                                                            <a:extLst>
                                                                              <a:ext uri="{FF2B5EF4-FFF2-40B4-BE49-F238E27FC236}">
                                                                                <a16:creationId xmlns:a16="http://schemas.microsoft.com/office/drawing/2014/main" id="{00000000-0008-0000-2100-0000FE000000}"/>
                                                                              </a:ext>
                                                                            </a:extLst>
                                                                          </xdr:cNvPr>
                                                                          <xdr:cNvGrpSpPr/>
                                                                        </xdr:nvGrpSpPr>
                                                                        <xdr:grpSpPr>
                                                                          <a:xfrm>
                                                                            <a:off x="5326950" y="2132175"/>
                                                                            <a:ext cx="38100" cy="3295800"/>
                                                                            <a:chOff x="5326950" y="2132175"/>
                                                                            <a:chExt cx="38100" cy="3295800"/>
                                                                          </a:xfrm>
                                                                        </xdr:grpSpPr>
                                                                        <xdr:sp macro="" textlink="">
                                                                          <xdr:nvSpPr>
                                                                            <xdr:cNvPr id="255" name="Shape 251">
                                                                              <a:extLst>
                                                                                <a:ext uri="{FF2B5EF4-FFF2-40B4-BE49-F238E27FC236}">
                                                                                  <a16:creationId xmlns:a16="http://schemas.microsoft.com/office/drawing/2014/main" id="{00000000-0008-0000-2100-0000FF00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6" name="Shape 252">
                                                                              <a:extLst>
                                                                                <a:ext uri="{FF2B5EF4-FFF2-40B4-BE49-F238E27FC236}">
                                                                                  <a16:creationId xmlns:a16="http://schemas.microsoft.com/office/drawing/2014/main" id="{00000000-0008-0000-2100-000000010000}"/>
                                                                                </a:ext>
                                                                              </a:extLst>
                                                                            </xdr:cNvPr>
                                                                            <xdr:cNvGrpSpPr/>
                                                                          </xdr:nvGrpSpPr>
                                                                          <xdr:grpSpPr>
                                                                            <a:xfrm>
                                                                              <a:off x="5326950" y="2132175"/>
                                                                              <a:ext cx="38100" cy="3295800"/>
                                                                              <a:chOff x="5326950" y="2132175"/>
                                                                              <a:chExt cx="38100" cy="3295800"/>
                                                                            </a:xfrm>
                                                                          </xdr:grpSpPr>
                                                                          <xdr:sp macro="" textlink="">
                                                                            <xdr:nvSpPr>
                                                                              <xdr:cNvPr id="257" name="Shape 253">
                                                                                <a:extLst>
                                                                                  <a:ext uri="{FF2B5EF4-FFF2-40B4-BE49-F238E27FC236}">
                                                                                    <a16:creationId xmlns:a16="http://schemas.microsoft.com/office/drawing/2014/main" id="{00000000-0008-0000-2100-000001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8" name="Shape 254">
                                                                                <a:extLst>
                                                                                  <a:ext uri="{FF2B5EF4-FFF2-40B4-BE49-F238E27FC236}">
                                                                                    <a16:creationId xmlns:a16="http://schemas.microsoft.com/office/drawing/2014/main" id="{00000000-0008-0000-2100-000002010000}"/>
                                                                                  </a:ext>
                                                                                </a:extLst>
                                                                              </xdr:cNvPr>
                                                                              <xdr:cNvGrpSpPr/>
                                                                            </xdr:nvGrpSpPr>
                                                                            <xdr:grpSpPr>
                                                                              <a:xfrm>
                                                                                <a:off x="5326950" y="2132175"/>
                                                                                <a:ext cx="38100" cy="3295800"/>
                                                                                <a:chOff x="5326950" y="2132175"/>
                                                                                <a:chExt cx="38100" cy="3295800"/>
                                                                              </a:xfrm>
                                                                            </xdr:grpSpPr>
                                                                            <xdr:sp macro="" textlink="">
                                                                              <xdr:nvSpPr>
                                                                                <xdr:cNvPr id="259" name="Shape 255">
                                                                                  <a:extLst>
                                                                                    <a:ext uri="{FF2B5EF4-FFF2-40B4-BE49-F238E27FC236}">
                                                                                      <a16:creationId xmlns:a16="http://schemas.microsoft.com/office/drawing/2014/main" id="{00000000-0008-0000-2100-000003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0" name="Shape 256">
                                                                                  <a:extLst>
                                                                                    <a:ext uri="{FF2B5EF4-FFF2-40B4-BE49-F238E27FC236}">
                                                                                      <a16:creationId xmlns:a16="http://schemas.microsoft.com/office/drawing/2014/main" id="{00000000-0008-0000-2100-000004010000}"/>
                                                                                    </a:ext>
                                                                                  </a:extLst>
                                                                                </xdr:cNvPr>
                                                                                <xdr:cNvGrpSpPr/>
                                                                              </xdr:nvGrpSpPr>
                                                                              <xdr:grpSpPr>
                                                                                <a:xfrm>
                                                                                  <a:off x="5326950" y="2132175"/>
                                                                                  <a:ext cx="38100" cy="3295800"/>
                                                                                  <a:chOff x="5326950" y="2132175"/>
                                                                                  <a:chExt cx="38100" cy="3295800"/>
                                                                                </a:xfrm>
                                                                              </xdr:grpSpPr>
                                                                              <xdr:sp macro="" textlink="">
                                                                                <xdr:nvSpPr>
                                                                                  <xdr:cNvPr id="261" name="Shape 257">
                                                                                    <a:extLst>
                                                                                      <a:ext uri="{FF2B5EF4-FFF2-40B4-BE49-F238E27FC236}">
                                                                                        <a16:creationId xmlns:a16="http://schemas.microsoft.com/office/drawing/2014/main" id="{00000000-0008-0000-2100-000005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2" name="Shape 258">
                                                                                    <a:extLst>
                                                                                      <a:ext uri="{FF2B5EF4-FFF2-40B4-BE49-F238E27FC236}">
                                                                                        <a16:creationId xmlns:a16="http://schemas.microsoft.com/office/drawing/2014/main" id="{00000000-0008-0000-2100-000006010000}"/>
                                                                                      </a:ext>
                                                                                    </a:extLst>
                                                                                  </xdr:cNvPr>
                                                                                  <xdr:cNvGrpSpPr/>
                                                                                </xdr:nvGrpSpPr>
                                                                                <xdr:grpSpPr>
                                                                                  <a:xfrm>
                                                                                    <a:off x="5326950" y="2132175"/>
                                                                                    <a:ext cx="38100" cy="3295800"/>
                                                                                    <a:chOff x="5326950" y="2132175"/>
                                                                                    <a:chExt cx="38100" cy="3295800"/>
                                                                                  </a:xfrm>
                                                                                </xdr:grpSpPr>
                                                                                <xdr:sp macro="" textlink="">
                                                                                  <xdr:nvSpPr>
                                                                                    <xdr:cNvPr id="263" name="Shape 259">
                                                                                      <a:extLst>
                                                                                        <a:ext uri="{FF2B5EF4-FFF2-40B4-BE49-F238E27FC236}">
                                                                                          <a16:creationId xmlns:a16="http://schemas.microsoft.com/office/drawing/2014/main" id="{00000000-0008-0000-2100-000007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4" name="Shape 260">
                                                                                      <a:extLst>
                                                                                        <a:ext uri="{FF2B5EF4-FFF2-40B4-BE49-F238E27FC236}">
                                                                                          <a16:creationId xmlns:a16="http://schemas.microsoft.com/office/drawing/2014/main" id="{00000000-0008-0000-2100-000008010000}"/>
                                                                                        </a:ext>
                                                                                      </a:extLst>
                                                                                    </xdr:cNvPr>
                                                                                    <xdr:cNvGrpSpPr/>
                                                                                  </xdr:nvGrpSpPr>
                                                                                  <xdr:grpSpPr>
                                                                                    <a:xfrm>
                                                                                      <a:off x="5326950" y="2132175"/>
                                                                                      <a:ext cx="38100" cy="3295800"/>
                                                                                      <a:chOff x="5326950" y="2132175"/>
                                                                                      <a:chExt cx="38100" cy="3295800"/>
                                                                                    </a:xfrm>
                                                                                  </xdr:grpSpPr>
                                                                                  <xdr:sp macro="" textlink="">
                                                                                    <xdr:nvSpPr>
                                                                                      <xdr:cNvPr id="265" name="Shape 261">
                                                                                        <a:extLst>
                                                                                          <a:ext uri="{FF2B5EF4-FFF2-40B4-BE49-F238E27FC236}">
                                                                                            <a16:creationId xmlns:a16="http://schemas.microsoft.com/office/drawing/2014/main" id="{00000000-0008-0000-2100-000009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6" name="Shape 262">
                                                                                        <a:extLst>
                                                                                          <a:ext uri="{FF2B5EF4-FFF2-40B4-BE49-F238E27FC236}">
                                                                                            <a16:creationId xmlns:a16="http://schemas.microsoft.com/office/drawing/2014/main" id="{00000000-0008-0000-2100-00000A010000}"/>
                                                                                          </a:ext>
                                                                                        </a:extLst>
                                                                                      </xdr:cNvPr>
                                                                                      <xdr:cNvGrpSpPr/>
                                                                                    </xdr:nvGrpSpPr>
                                                                                    <xdr:grpSpPr>
                                                                                      <a:xfrm>
                                                                                        <a:off x="5326950" y="2132175"/>
                                                                                        <a:ext cx="38100" cy="3295800"/>
                                                                                        <a:chOff x="5326950" y="2132175"/>
                                                                                        <a:chExt cx="38100" cy="3295800"/>
                                                                                      </a:xfrm>
                                                                                    </xdr:grpSpPr>
                                                                                    <xdr:sp macro="" textlink="">
                                                                                      <xdr:nvSpPr>
                                                                                        <xdr:cNvPr id="267" name="Shape 263">
                                                                                          <a:extLst>
                                                                                            <a:ext uri="{FF2B5EF4-FFF2-40B4-BE49-F238E27FC236}">
                                                                                              <a16:creationId xmlns:a16="http://schemas.microsoft.com/office/drawing/2014/main" id="{00000000-0008-0000-2100-00000B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8" name="Shape 264">
                                                                                          <a:extLst>
                                                                                            <a:ext uri="{FF2B5EF4-FFF2-40B4-BE49-F238E27FC236}">
                                                                                              <a16:creationId xmlns:a16="http://schemas.microsoft.com/office/drawing/2014/main" id="{00000000-0008-0000-2100-00000C010000}"/>
                                                                                            </a:ext>
                                                                                          </a:extLst>
                                                                                        </xdr:cNvPr>
                                                                                        <xdr:cNvGrpSpPr/>
                                                                                      </xdr:nvGrpSpPr>
                                                                                      <xdr:grpSpPr>
                                                                                        <a:xfrm>
                                                                                          <a:off x="5326950" y="2132175"/>
                                                                                          <a:ext cx="38100" cy="3295800"/>
                                                                                          <a:chOff x="5326950" y="2132175"/>
                                                                                          <a:chExt cx="38100" cy="3295800"/>
                                                                                        </a:xfrm>
                                                                                      </xdr:grpSpPr>
                                                                                      <xdr:sp macro="" textlink="">
                                                                                        <xdr:nvSpPr>
                                                                                          <xdr:cNvPr id="269" name="Shape 265">
                                                                                            <a:extLst>
                                                                                              <a:ext uri="{FF2B5EF4-FFF2-40B4-BE49-F238E27FC236}">
                                                                                                <a16:creationId xmlns:a16="http://schemas.microsoft.com/office/drawing/2014/main" id="{00000000-0008-0000-2100-00000D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0" name="Shape 266">
                                                                                            <a:extLst>
                                                                                              <a:ext uri="{FF2B5EF4-FFF2-40B4-BE49-F238E27FC236}">
                                                                                                <a16:creationId xmlns:a16="http://schemas.microsoft.com/office/drawing/2014/main" id="{00000000-0008-0000-2100-00000E010000}"/>
                                                                                              </a:ext>
                                                                                            </a:extLst>
                                                                                          </xdr:cNvPr>
                                                                                          <xdr:cNvGrpSpPr/>
                                                                                        </xdr:nvGrpSpPr>
                                                                                        <xdr:grpSpPr>
                                                                                          <a:xfrm>
                                                                                            <a:off x="5326950" y="2132175"/>
                                                                                            <a:ext cx="38100" cy="3295800"/>
                                                                                            <a:chOff x="5326950" y="2132175"/>
                                                                                            <a:chExt cx="38100" cy="3295800"/>
                                                                                          </a:xfrm>
                                                                                        </xdr:grpSpPr>
                                                                                        <xdr:sp macro="" textlink="">
                                                                                          <xdr:nvSpPr>
                                                                                            <xdr:cNvPr id="271" name="Shape 267">
                                                                                              <a:extLst>
                                                                                                <a:ext uri="{FF2B5EF4-FFF2-40B4-BE49-F238E27FC236}">
                                                                                                  <a16:creationId xmlns:a16="http://schemas.microsoft.com/office/drawing/2014/main" id="{00000000-0008-0000-2100-00000F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2" name="Shape 268">
                                                                                              <a:extLst>
                                                                                                <a:ext uri="{FF2B5EF4-FFF2-40B4-BE49-F238E27FC236}">
                                                                                                  <a16:creationId xmlns:a16="http://schemas.microsoft.com/office/drawing/2014/main" id="{00000000-0008-0000-2100-000010010000}"/>
                                                                                                </a:ext>
                                                                                              </a:extLst>
                                                                                            </xdr:cNvPr>
                                                                                            <xdr:cNvGrpSpPr/>
                                                                                          </xdr:nvGrpSpPr>
                                                                                          <xdr:grpSpPr>
                                                                                            <a:xfrm>
                                                                                              <a:off x="5326950" y="2132175"/>
                                                                                              <a:ext cx="38100" cy="3295800"/>
                                                                                              <a:chOff x="5326950" y="2132175"/>
                                                                                              <a:chExt cx="38100" cy="3295800"/>
                                                                                            </a:xfrm>
                                                                                          </xdr:grpSpPr>
                                                                                          <xdr:sp macro="" textlink="">
                                                                                            <xdr:nvSpPr>
                                                                                              <xdr:cNvPr id="273" name="Shape 269">
                                                                                                <a:extLst>
                                                                                                  <a:ext uri="{FF2B5EF4-FFF2-40B4-BE49-F238E27FC236}">
                                                                                                    <a16:creationId xmlns:a16="http://schemas.microsoft.com/office/drawing/2014/main" id="{00000000-0008-0000-2100-000011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4" name="Shape 270">
                                                                                                <a:extLst>
                                                                                                  <a:ext uri="{FF2B5EF4-FFF2-40B4-BE49-F238E27FC236}">
                                                                                                    <a16:creationId xmlns:a16="http://schemas.microsoft.com/office/drawing/2014/main" id="{00000000-0008-0000-2100-000012010000}"/>
                                                                                                  </a:ext>
                                                                                                </a:extLst>
                                                                                              </xdr:cNvPr>
                                                                                              <xdr:cNvGrpSpPr/>
                                                                                            </xdr:nvGrpSpPr>
                                                                                            <xdr:grpSpPr>
                                                                                              <a:xfrm>
                                                                                                <a:off x="5326950" y="2132175"/>
                                                                                                <a:ext cx="38100" cy="3295800"/>
                                                                                                <a:chOff x="5326950" y="2132175"/>
                                                                                                <a:chExt cx="38100" cy="3295800"/>
                                                                                              </a:xfrm>
                                                                                            </xdr:grpSpPr>
                                                                                            <xdr:sp macro="" textlink="">
                                                                                              <xdr:nvSpPr>
                                                                                                <xdr:cNvPr id="275" name="Shape 271">
                                                                                                  <a:extLst>
                                                                                                    <a:ext uri="{FF2B5EF4-FFF2-40B4-BE49-F238E27FC236}">
                                                                                                      <a16:creationId xmlns:a16="http://schemas.microsoft.com/office/drawing/2014/main" id="{00000000-0008-0000-2100-000013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6" name="Shape 272">
                                                                                                  <a:extLst>
                                                                                                    <a:ext uri="{FF2B5EF4-FFF2-40B4-BE49-F238E27FC236}">
                                                                                                      <a16:creationId xmlns:a16="http://schemas.microsoft.com/office/drawing/2014/main" id="{00000000-0008-0000-2100-000014010000}"/>
                                                                                                    </a:ext>
                                                                                                  </a:extLst>
                                                                                                </xdr:cNvPr>
                                                                                                <xdr:cNvGrpSpPr/>
                                                                                              </xdr:nvGrpSpPr>
                                                                                              <xdr:grpSpPr>
                                                                                                <a:xfrm>
                                                                                                  <a:off x="5326950" y="2132175"/>
                                                                                                  <a:ext cx="38100" cy="3295800"/>
                                                                                                  <a:chOff x="5326950" y="2132175"/>
                                                                                                  <a:chExt cx="38100" cy="3295800"/>
                                                                                                </a:xfrm>
                                                                                              </xdr:grpSpPr>
                                                                                              <xdr:sp macro="" textlink="">
                                                                                                <xdr:nvSpPr>
                                                                                                  <xdr:cNvPr id="277" name="Shape 273">
                                                                                                    <a:extLst>
                                                                                                      <a:ext uri="{FF2B5EF4-FFF2-40B4-BE49-F238E27FC236}">
                                                                                                        <a16:creationId xmlns:a16="http://schemas.microsoft.com/office/drawing/2014/main" id="{00000000-0008-0000-2100-00001501000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8" name="Shape 274">
                                                                                                    <a:extLst>
                                                                                                      <a:ext uri="{FF2B5EF4-FFF2-40B4-BE49-F238E27FC236}">
                                                                                                        <a16:creationId xmlns:a16="http://schemas.microsoft.com/office/drawing/2014/main" id="{00000000-0008-0000-2100-000016010000}"/>
                                                                                                      </a:ext>
                                                                                                    </a:extLst>
                                                                                                  </xdr:cNvPr>
                                                                                                  <xdr:cNvGrpSpPr/>
                                                                                                </xdr:nvGrpSpPr>
                                                                                                <xdr:grpSpPr>
                                                                                                  <a:xfrm>
                                                                                                    <a:off x="5326950" y="2132175"/>
                                                                                                    <a:ext cx="38100" cy="3295800"/>
                                                                                                    <a:chOff x="5336475" y="2132175"/>
                                                                                                    <a:chExt cx="19050" cy="3295800"/>
                                                                                                  </a:xfrm>
                                                                                                </xdr:grpSpPr>
                                                                                                <xdr:sp macro="" textlink="">
                                                                                                  <xdr:nvSpPr>
                                                                                                    <xdr:cNvPr id="279" name="Shape 275">
                                                                                                      <a:extLst>
                                                                                                        <a:ext uri="{FF2B5EF4-FFF2-40B4-BE49-F238E27FC236}">
                                                                                                          <a16:creationId xmlns:a16="http://schemas.microsoft.com/office/drawing/2014/main" id="{00000000-0008-0000-2100-000017010000}"/>
                                                                                                        </a:ext>
                                                                                                      </a:extLst>
                                                                                                    </xdr:cNvPr>
                                                                                                    <xdr:cNvSpPr/>
                                                                                                  </xdr:nvSpPr>
                                                                                                  <xdr:spPr>
                                                                                                    <a:xfrm>
                                                                                                      <a:off x="5336475" y="2132175"/>
                                                                                                      <a:ext cx="1905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80" name="Shape 276">
                                                                                                      <a:extLst>
                                                                                                        <a:ext uri="{FF2B5EF4-FFF2-40B4-BE49-F238E27FC236}">
                                                                                                          <a16:creationId xmlns:a16="http://schemas.microsoft.com/office/drawing/2014/main" id="{00000000-0008-0000-2100-000018010000}"/>
                                                                                                        </a:ext>
                                                                                                      </a:extLst>
                                                                                                    </xdr:cNvPr>
                                                                                                    <xdr:cNvCxnSpPr>
                                                                                                      <a:stCxn id="231" idx="0"/>
                                                                                                      <a:endCxn id="231" idx="2"/>
                                                                                                    </xdr:cNvCxnSpPr>
                                                                                                  </xdr:nvCxnSpPr>
                                                                                                  <xdr:spPr>
                                                                                                    <a:xfrm>
                                                                                                      <a:off x="5346000" y="2132175"/>
                                                                                                      <a:ext cx="0" cy="3295800"/>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11</xdr:col>
      <xdr:colOff>276225</xdr:colOff>
      <xdr:row>39</xdr:row>
      <xdr:rowOff>74295</xdr:rowOff>
    </xdr:from>
    <xdr:ext cx="38100" cy="3667125"/>
    <xdr:grpSp>
      <xdr:nvGrpSpPr>
        <xdr:cNvPr id="810" name="Shape 2">
          <a:extLst>
            <a:ext uri="{FF2B5EF4-FFF2-40B4-BE49-F238E27FC236}">
              <a16:creationId xmlns:a16="http://schemas.microsoft.com/office/drawing/2014/main" id="{FA7F2457-C0AC-4152-9F83-2B481A3D2E76}"/>
            </a:ext>
          </a:extLst>
        </xdr:cNvPr>
        <xdr:cNvGrpSpPr/>
      </xdr:nvGrpSpPr>
      <xdr:grpSpPr>
        <a:xfrm>
          <a:off x="6506281" y="8230517"/>
          <a:ext cx="38100" cy="3667125"/>
          <a:chOff x="5326950" y="1946438"/>
          <a:chExt cx="38100" cy="3667125"/>
        </a:xfrm>
      </xdr:grpSpPr>
      <xdr:grpSp>
        <xdr:nvGrpSpPr>
          <xdr:cNvPr id="811" name="Shape 4">
            <a:extLst>
              <a:ext uri="{FF2B5EF4-FFF2-40B4-BE49-F238E27FC236}">
                <a16:creationId xmlns:a16="http://schemas.microsoft.com/office/drawing/2014/main" id="{4EFF430C-1629-EA7B-0CDB-20EFA512BBA9}"/>
              </a:ext>
            </a:extLst>
          </xdr:cNvPr>
          <xdr:cNvGrpSpPr/>
        </xdr:nvGrpSpPr>
        <xdr:grpSpPr>
          <a:xfrm>
            <a:off x="5326950" y="1946438"/>
            <a:ext cx="38100" cy="3667125"/>
            <a:chOff x="5326950" y="1946438"/>
            <a:chExt cx="38100" cy="3667125"/>
          </a:xfrm>
        </xdr:grpSpPr>
        <xdr:sp macro="" textlink="">
          <xdr:nvSpPr>
            <xdr:cNvPr id="812" name="Shape 5">
              <a:extLst>
                <a:ext uri="{FF2B5EF4-FFF2-40B4-BE49-F238E27FC236}">
                  <a16:creationId xmlns:a16="http://schemas.microsoft.com/office/drawing/2014/main" id="{94F8C4F2-1CFF-993E-B6C2-982AF2AC2BF5}"/>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13" name="Shape 6">
              <a:extLst>
                <a:ext uri="{FF2B5EF4-FFF2-40B4-BE49-F238E27FC236}">
                  <a16:creationId xmlns:a16="http://schemas.microsoft.com/office/drawing/2014/main" id="{511B9894-C678-63A4-EE63-657721D023F0}"/>
                </a:ext>
              </a:extLst>
            </xdr:cNvPr>
            <xdr:cNvGrpSpPr/>
          </xdr:nvGrpSpPr>
          <xdr:grpSpPr>
            <a:xfrm>
              <a:off x="5326950" y="1946438"/>
              <a:ext cx="38100" cy="3667125"/>
              <a:chOff x="5326950" y="1946438"/>
              <a:chExt cx="38100" cy="3667125"/>
            </a:xfrm>
          </xdr:grpSpPr>
          <xdr:sp macro="" textlink="">
            <xdr:nvSpPr>
              <xdr:cNvPr id="814" name="Shape 7">
                <a:extLst>
                  <a:ext uri="{FF2B5EF4-FFF2-40B4-BE49-F238E27FC236}">
                    <a16:creationId xmlns:a16="http://schemas.microsoft.com/office/drawing/2014/main" id="{75FA5D12-82F3-EF92-4649-1E10A7A0DAA4}"/>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15" name="Shape 8">
                <a:extLst>
                  <a:ext uri="{FF2B5EF4-FFF2-40B4-BE49-F238E27FC236}">
                    <a16:creationId xmlns:a16="http://schemas.microsoft.com/office/drawing/2014/main" id="{1CD4FBE1-38F1-B34C-3770-0868B3526670}"/>
                  </a:ext>
                </a:extLst>
              </xdr:cNvPr>
              <xdr:cNvGrpSpPr/>
            </xdr:nvGrpSpPr>
            <xdr:grpSpPr>
              <a:xfrm>
                <a:off x="5326950" y="1946438"/>
                <a:ext cx="38100" cy="3667125"/>
                <a:chOff x="5326950" y="1946438"/>
                <a:chExt cx="38100" cy="3667125"/>
              </a:xfrm>
            </xdr:grpSpPr>
            <xdr:sp macro="" textlink="">
              <xdr:nvSpPr>
                <xdr:cNvPr id="816" name="Shape 9">
                  <a:extLst>
                    <a:ext uri="{FF2B5EF4-FFF2-40B4-BE49-F238E27FC236}">
                      <a16:creationId xmlns:a16="http://schemas.microsoft.com/office/drawing/2014/main" id="{568214CF-52F2-96BA-E793-B599CA1BDC95}"/>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17" name="Shape 10">
                  <a:extLst>
                    <a:ext uri="{FF2B5EF4-FFF2-40B4-BE49-F238E27FC236}">
                      <a16:creationId xmlns:a16="http://schemas.microsoft.com/office/drawing/2014/main" id="{70DF2844-E864-AD55-0A65-3D621CE05545}"/>
                    </a:ext>
                  </a:extLst>
                </xdr:cNvPr>
                <xdr:cNvGrpSpPr/>
              </xdr:nvGrpSpPr>
              <xdr:grpSpPr>
                <a:xfrm>
                  <a:off x="5326950" y="1946438"/>
                  <a:ext cx="38100" cy="3667125"/>
                  <a:chOff x="5326950" y="1946438"/>
                  <a:chExt cx="38100" cy="3667125"/>
                </a:xfrm>
              </xdr:grpSpPr>
              <xdr:sp macro="" textlink="">
                <xdr:nvSpPr>
                  <xdr:cNvPr id="818" name="Shape 11">
                    <a:extLst>
                      <a:ext uri="{FF2B5EF4-FFF2-40B4-BE49-F238E27FC236}">
                        <a16:creationId xmlns:a16="http://schemas.microsoft.com/office/drawing/2014/main" id="{18AE21EE-E535-F30F-E566-95683DC942E4}"/>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19" name="Shape 12">
                    <a:extLst>
                      <a:ext uri="{FF2B5EF4-FFF2-40B4-BE49-F238E27FC236}">
                        <a16:creationId xmlns:a16="http://schemas.microsoft.com/office/drawing/2014/main" id="{1868AD11-19E1-FA0A-32B9-0D2F9E9BCEA1}"/>
                      </a:ext>
                    </a:extLst>
                  </xdr:cNvPr>
                  <xdr:cNvGrpSpPr/>
                </xdr:nvGrpSpPr>
                <xdr:grpSpPr>
                  <a:xfrm>
                    <a:off x="5326950" y="1946438"/>
                    <a:ext cx="38100" cy="3667125"/>
                    <a:chOff x="5326950" y="1946438"/>
                    <a:chExt cx="38100" cy="3667125"/>
                  </a:xfrm>
                </xdr:grpSpPr>
                <xdr:sp macro="" textlink="">
                  <xdr:nvSpPr>
                    <xdr:cNvPr id="820" name="Shape 13">
                      <a:extLst>
                        <a:ext uri="{FF2B5EF4-FFF2-40B4-BE49-F238E27FC236}">
                          <a16:creationId xmlns:a16="http://schemas.microsoft.com/office/drawing/2014/main" id="{48BB98D8-B40E-2791-7EDA-53E3CA680D1A}"/>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1" name="Shape 14">
                      <a:extLst>
                        <a:ext uri="{FF2B5EF4-FFF2-40B4-BE49-F238E27FC236}">
                          <a16:creationId xmlns:a16="http://schemas.microsoft.com/office/drawing/2014/main" id="{18A32C07-3368-B947-0457-AD0F9A24980C}"/>
                        </a:ext>
                      </a:extLst>
                    </xdr:cNvPr>
                    <xdr:cNvGrpSpPr/>
                  </xdr:nvGrpSpPr>
                  <xdr:grpSpPr>
                    <a:xfrm>
                      <a:off x="5326950" y="1946438"/>
                      <a:ext cx="38100" cy="3667125"/>
                      <a:chOff x="5326950" y="1946438"/>
                      <a:chExt cx="38100" cy="3667125"/>
                    </a:xfrm>
                  </xdr:grpSpPr>
                  <xdr:sp macro="" textlink="">
                    <xdr:nvSpPr>
                      <xdr:cNvPr id="822" name="Shape 15">
                        <a:extLst>
                          <a:ext uri="{FF2B5EF4-FFF2-40B4-BE49-F238E27FC236}">
                            <a16:creationId xmlns:a16="http://schemas.microsoft.com/office/drawing/2014/main" id="{875B5DBF-42D1-3A0A-FFC7-57BC538D9FE1}"/>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3" name="Shape 16">
                        <a:extLst>
                          <a:ext uri="{FF2B5EF4-FFF2-40B4-BE49-F238E27FC236}">
                            <a16:creationId xmlns:a16="http://schemas.microsoft.com/office/drawing/2014/main" id="{267AA110-6D17-10D4-0184-88404FAFB16F}"/>
                          </a:ext>
                        </a:extLst>
                      </xdr:cNvPr>
                      <xdr:cNvGrpSpPr/>
                    </xdr:nvGrpSpPr>
                    <xdr:grpSpPr>
                      <a:xfrm>
                        <a:off x="5326950" y="1946438"/>
                        <a:ext cx="38100" cy="3667125"/>
                        <a:chOff x="5326950" y="1946438"/>
                        <a:chExt cx="38100" cy="3667125"/>
                      </a:xfrm>
                    </xdr:grpSpPr>
                    <xdr:sp macro="" textlink="">
                      <xdr:nvSpPr>
                        <xdr:cNvPr id="824" name="Shape 17">
                          <a:extLst>
                            <a:ext uri="{FF2B5EF4-FFF2-40B4-BE49-F238E27FC236}">
                              <a16:creationId xmlns:a16="http://schemas.microsoft.com/office/drawing/2014/main" id="{A4CD9E02-9D99-104D-63A6-3DACE7600FBB}"/>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5" name="Shape 18">
                          <a:extLst>
                            <a:ext uri="{FF2B5EF4-FFF2-40B4-BE49-F238E27FC236}">
                              <a16:creationId xmlns:a16="http://schemas.microsoft.com/office/drawing/2014/main" id="{27694EF8-350C-3267-8C4D-E5BA85DB4293}"/>
                            </a:ext>
                          </a:extLst>
                        </xdr:cNvPr>
                        <xdr:cNvGrpSpPr/>
                      </xdr:nvGrpSpPr>
                      <xdr:grpSpPr>
                        <a:xfrm>
                          <a:off x="5326950" y="1946438"/>
                          <a:ext cx="38100" cy="3667125"/>
                          <a:chOff x="5326950" y="1946438"/>
                          <a:chExt cx="38100" cy="3667125"/>
                        </a:xfrm>
                      </xdr:grpSpPr>
                      <xdr:sp macro="" textlink="">
                        <xdr:nvSpPr>
                          <xdr:cNvPr id="826" name="Shape 19">
                            <a:extLst>
                              <a:ext uri="{FF2B5EF4-FFF2-40B4-BE49-F238E27FC236}">
                                <a16:creationId xmlns:a16="http://schemas.microsoft.com/office/drawing/2014/main" id="{91F3D893-8CDC-4AEF-E66B-5945C61801F3}"/>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7" name="Shape 20">
                            <a:extLst>
                              <a:ext uri="{FF2B5EF4-FFF2-40B4-BE49-F238E27FC236}">
                                <a16:creationId xmlns:a16="http://schemas.microsoft.com/office/drawing/2014/main" id="{ED36DEB2-9FCC-B1F6-B8C3-BFD8640CA6BC}"/>
                              </a:ext>
                            </a:extLst>
                          </xdr:cNvPr>
                          <xdr:cNvGrpSpPr/>
                        </xdr:nvGrpSpPr>
                        <xdr:grpSpPr>
                          <a:xfrm>
                            <a:off x="5326950" y="1946438"/>
                            <a:ext cx="38100" cy="3667125"/>
                            <a:chOff x="5326950" y="1944000"/>
                            <a:chExt cx="38100" cy="3672000"/>
                          </a:xfrm>
                        </xdr:grpSpPr>
                        <xdr:sp macro="" textlink="">
                          <xdr:nvSpPr>
                            <xdr:cNvPr id="828" name="Shape 21">
                              <a:extLst>
                                <a:ext uri="{FF2B5EF4-FFF2-40B4-BE49-F238E27FC236}">
                                  <a16:creationId xmlns:a16="http://schemas.microsoft.com/office/drawing/2014/main" id="{1E3B02DE-13A3-1652-54B5-F1E88C8078AD}"/>
                                </a:ext>
                              </a:extLst>
                            </xdr:cNvPr>
                            <xdr:cNvSpPr/>
                          </xdr:nvSpPr>
                          <xdr:spPr>
                            <a:xfrm>
                              <a:off x="5326950" y="1944000"/>
                              <a:ext cx="38100" cy="367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9" name="Shape 22">
                              <a:extLst>
                                <a:ext uri="{FF2B5EF4-FFF2-40B4-BE49-F238E27FC236}">
                                  <a16:creationId xmlns:a16="http://schemas.microsoft.com/office/drawing/2014/main" id="{180544BC-572B-9A96-EEFC-6EAF8D796911}"/>
                                </a:ext>
                              </a:extLst>
                            </xdr:cNvPr>
                            <xdr:cNvGrpSpPr/>
                          </xdr:nvGrpSpPr>
                          <xdr:grpSpPr>
                            <a:xfrm>
                              <a:off x="5326950" y="1944000"/>
                              <a:ext cx="38100" cy="3672000"/>
                              <a:chOff x="5326950" y="2417925"/>
                              <a:chExt cx="38100" cy="4320000"/>
                            </a:xfrm>
                          </xdr:grpSpPr>
                          <xdr:sp macro="" textlink="">
                            <xdr:nvSpPr>
                              <xdr:cNvPr id="830" name="Shape 23">
                                <a:extLst>
                                  <a:ext uri="{FF2B5EF4-FFF2-40B4-BE49-F238E27FC236}">
                                    <a16:creationId xmlns:a16="http://schemas.microsoft.com/office/drawing/2014/main" id="{C8FCCEAB-F67A-F66F-9CEF-643648F0E66E}"/>
                                  </a:ext>
                                </a:extLst>
                              </xdr:cNvPr>
                              <xdr:cNvSpPr/>
                            </xdr:nvSpPr>
                            <xdr:spPr>
                              <a:xfrm>
                                <a:off x="5326950" y="2417925"/>
                                <a:ext cx="38100" cy="432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31" name="Shape 24">
                                <a:extLst>
                                  <a:ext uri="{FF2B5EF4-FFF2-40B4-BE49-F238E27FC236}">
                                    <a16:creationId xmlns:a16="http://schemas.microsoft.com/office/drawing/2014/main" id="{70FE884E-49F8-C633-4B5B-DA4A89C73737}"/>
                                  </a:ext>
                                </a:extLst>
                              </xdr:cNvPr>
                              <xdr:cNvGrpSpPr/>
                            </xdr:nvGrpSpPr>
                            <xdr:grpSpPr>
                              <a:xfrm>
                                <a:off x="5326950" y="2417925"/>
                                <a:ext cx="38100" cy="3521080"/>
                                <a:chOff x="5326950" y="2417925"/>
                                <a:chExt cx="38100" cy="3521080"/>
                              </a:xfrm>
                            </xdr:grpSpPr>
                            <xdr:sp macro="" textlink="">
                              <xdr:nvSpPr>
                                <xdr:cNvPr id="832" name="Shape 25">
                                  <a:extLst>
                                    <a:ext uri="{FF2B5EF4-FFF2-40B4-BE49-F238E27FC236}">
                                      <a16:creationId xmlns:a16="http://schemas.microsoft.com/office/drawing/2014/main" id="{47E92196-2C7B-ED5B-CC4A-AC39819E7F9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33" name="Shape 26">
                                  <a:extLst>
                                    <a:ext uri="{FF2B5EF4-FFF2-40B4-BE49-F238E27FC236}">
                                      <a16:creationId xmlns:a16="http://schemas.microsoft.com/office/drawing/2014/main" id="{B5C792FF-53DC-ADA2-B2EC-71605C7B49B2}"/>
                                    </a:ext>
                                  </a:extLst>
                                </xdr:cNvPr>
                                <xdr:cNvGrpSpPr/>
                              </xdr:nvGrpSpPr>
                              <xdr:grpSpPr>
                                <a:xfrm>
                                  <a:off x="5326950" y="2417925"/>
                                  <a:ext cx="38100" cy="3521080"/>
                                  <a:chOff x="5326950" y="2417925"/>
                                  <a:chExt cx="38100" cy="3521080"/>
                                </a:xfrm>
                              </xdr:grpSpPr>
                              <xdr:sp macro="" textlink="">
                                <xdr:nvSpPr>
                                  <xdr:cNvPr id="834" name="Shape 27">
                                    <a:extLst>
                                      <a:ext uri="{FF2B5EF4-FFF2-40B4-BE49-F238E27FC236}">
                                        <a16:creationId xmlns:a16="http://schemas.microsoft.com/office/drawing/2014/main" id="{C7A5C5F8-4012-9E07-1A56-63A52EF3AD67}"/>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35" name="Shape 28">
                                    <a:extLst>
                                      <a:ext uri="{FF2B5EF4-FFF2-40B4-BE49-F238E27FC236}">
                                        <a16:creationId xmlns:a16="http://schemas.microsoft.com/office/drawing/2014/main" id="{55FE8B49-E2FF-90CF-091F-156C2D63AF23}"/>
                                      </a:ext>
                                    </a:extLst>
                                  </xdr:cNvPr>
                                  <xdr:cNvGrpSpPr/>
                                </xdr:nvGrpSpPr>
                                <xdr:grpSpPr>
                                  <a:xfrm>
                                    <a:off x="5326950" y="2417925"/>
                                    <a:ext cx="38100" cy="3521080"/>
                                    <a:chOff x="5326950" y="2417925"/>
                                    <a:chExt cx="38100" cy="3521080"/>
                                  </a:xfrm>
                                </xdr:grpSpPr>
                                <xdr:sp macro="" textlink="">
                                  <xdr:nvSpPr>
                                    <xdr:cNvPr id="836" name="Shape 29">
                                      <a:extLst>
                                        <a:ext uri="{FF2B5EF4-FFF2-40B4-BE49-F238E27FC236}">
                                          <a16:creationId xmlns:a16="http://schemas.microsoft.com/office/drawing/2014/main" id="{78233925-D2A1-16B6-E798-283585CE27CB}"/>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37" name="Shape 30">
                                      <a:extLst>
                                        <a:ext uri="{FF2B5EF4-FFF2-40B4-BE49-F238E27FC236}">
                                          <a16:creationId xmlns:a16="http://schemas.microsoft.com/office/drawing/2014/main" id="{2E5471E6-20AE-57AE-C127-8652835FD7D8}"/>
                                        </a:ext>
                                      </a:extLst>
                                    </xdr:cNvPr>
                                    <xdr:cNvGrpSpPr/>
                                  </xdr:nvGrpSpPr>
                                  <xdr:grpSpPr>
                                    <a:xfrm>
                                      <a:off x="5326950" y="2417925"/>
                                      <a:ext cx="38100" cy="3521080"/>
                                      <a:chOff x="5326950" y="2417925"/>
                                      <a:chExt cx="38100" cy="3521080"/>
                                    </a:xfrm>
                                  </xdr:grpSpPr>
                                  <xdr:sp macro="" textlink="">
                                    <xdr:nvSpPr>
                                      <xdr:cNvPr id="838" name="Shape 31">
                                        <a:extLst>
                                          <a:ext uri="{FF2B5EF4-FFF2-40B4-BE49-F238E27FC236}">
                                            <a16:creationId xmlns:a16="http://schemas.microsoft.com/office/drawing/2014/main" id="{6A12C613-8270-1331-CBB8-B6154836B9FD}"/>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39" name="Shape 32">
                                        <a:extLst>
                                          <a:ext uri="{FF2B5EF4-FFF2-40B4-BE49-F238E27FC236}">
                                            <a16:creationId xmlns:a16="http://schemas.microsoft.com/office/drawing/2014/main" id="{20EC67D0-4B1F-6E2B-501E-405C6D02CE31}"/>
                                          </a:ext>
                                        </a:extLst>
                                      </xdr:cNvPr>
                                      <xdr:cNvGrpSpPr/>
                                    </xdr:nvGrpSpPr>
                                    <xdr:grpSpPr>
                                      <a:xfrm>
                                        <a:off x="5326950" y="2417925"/>
                                        <a:ext cx="38100" cy="3521080"/>
                                        <a:chOff x="5326950" y="2417925"/>
                                        <a:chExt cx="38100" cy="3521080"/>
                                      </a:xfrm>
                                    </xdr:grpSpPr>
                                    <xdr:sp macro="" textlink="">
                                      <xdr:nvSpPr>
                                        <xdr:cNvPr id="840" name="Shape 33">
                                          <a:extLst>
                                            <a:ext uri="{FF2B5EF4-FFF2-40B4-BE49-F238E27FC236}">
                                              <a16:creationId xmlns:a16="http://schemas.microsoft.com/office/drawing/2014/main" id="{E9727003-8AA6-092A-49A9-98EBD1585DFA}"/>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41" name="Shape 34">
                                          <a:extLst>
                                            <a:ext uri="{FF2B5EF4-FFF2-40B4-BE49-F238E27FC236}">
                                              <a16:creationId xmlns:a16="http://schemas.microsoft.com/office/drawing/2014/main" id="{F1D52BAB-3C01-6819-5116-BE3991DAE7B8}"/>
                                            </a:ext>
                                          </a:extLst>
                                        </xdr:cNvPr>
                                        <xdr:cNvGrpSpPr/>
                                      </xdr:nvGrpSpPr>
                                      <xdr:grpSpPr>
                                        <a:xfrm>
                                          <a:off x="5326950" y="2417925"/>
                                          <a:ext cx="38100" cy="3521080"/>
                                          <a:chOff x="5326950" y="2417925"/>
                                          <a:chExt cx="38100" cy="3521080"/>
                                        </a:xfrm>
                                      </xdr:grpSpPr>
                                      <xdr:sp macro="" textlink="">
                                        <xdr:nvSpPr>
                                          <xdr:cNvPr id="842" name="Shape 35">
                                            <a:extLst>
                                              <a:ext uri="{FF2B5EF4-FFF2-40B4-BE49-F238E27FC236}">
                                                <a16:creationId xmlns:a16="http://schemas.microsoft.com/office/drawing/2014/main" id="{CFAAD26D-46A6-3D8F-699A-2A881C243EB9}"/>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43" name="Shape 36">
                                            <a:extLst>
                                              <a:ext uri="{FF2B5EF4-FFF2-40B4-BE49-F238E27FC236}">
                                                <a16:creationId xmlns:a16="http://schemas.microsoft.com/office/drawing/2014/main" id="{90EBC67D-2BE4-53D7-93DD-1BC917351540}"/>
                                              </a:ext>
                                            </a:extLst>
                                          </xdr:cNvPr>
                                          <xdr:cNvGrpSpPr/>
                                        </xdr:nvGrpSpPr>
                                        <xdr:grpSpPr>
                                          <a:xfrm>
                                            <a:off x="5326950" y="2417925"/>
                                            <a:ext cx="38100" cy="3521080"/>
                                            <a:chOff x="5326950" y="2417925"/>
                                            <a:chExt cx="38100" cy="3521080"/>
                                          </a:xfrm>
                                        </xdr:grpSpPr>
                                        <xdr:sp macro="" textlink="">
                                          <xdr:nvSpPr>
                                            <xdr:cNvPr id="844" name="Shape 37">
                                              <a:extLst>
                                                <a:ext uri="{FF2B5EF4-FFF2-40B4-BE49-F238E27FC236}">
                                                  <a16:creationId xmlns:a16="http://schemas.microsoft.com/office/drawing/2014/main" id="{DEA9DBAB-582D-4872-4FC2-F48E01E62B5D}"/>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45" name="Shape 38">
                                              <a:extLst>
                                                <a:ext uri="{FF2B5EF4-FFF2-40B4-BE49-F238E27FC236}">
                                                  <a16:creationId xmlns:a16="http://schemas.microsoft.com/office/drawing/2014/main" id="{F1163AD0-A40F-4F94-9449-5DEDDBDBA253}"/>
                                                </a:ext>
                                              </a:extLst>
                                            </xdr:cNvPr>
                                            <xdr:cNvGrpSpPr/>
                                          </xdr:nvGrpSpPr>
                                          <xdr:grpSpPr>
                                            <a:xfrm>
                                              <a:off x="5326950" y="2417925"/>
                                              <a:ext cx="38100" cy="3521080"/>
                                              <a:chOff x="5326950" y="2417925"/>
                                              <a:chExt cx="38100" cy="3521080"/>
                                            </a:xfrm>
                                          </xdr:grpSpPr>
                                          <xdr:sp macro="" textlink="">
                                            <xdr:nvSpPr>
                                              <xdr:cNvPr id="846" name="Shape 39">
                                                <a:extLst>
                                                  <a:ext uri="{FF2B5EF4-FFF2-40B4-BE49-F238E27FC236}">
                                                    <a16:creationId xmlns:a16="http://schemas.microsoft.com/office/drawing/2014/main" id="{E856F134-A1B6-7B5B-A90F-BEF7D576FA0F}"/>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47" name="Shape 40">
                                                <a:extLst>
                                                  <a:ext uri="{FF2B5EF4-FFF2-40B4-BE49-F238E27FC236}">
                                                    <a16:creationId xmlns:a16="http://schemas.microsoft.com/office/drawing/2014/main" id="{02922BB3-ED3A-E027-456A-F243CF9F4C69}"/>
                                                  </a:ext>
                                                </a:extLst>
                                              </xdr:cNvPr>
                                              <xdr:cNvGrpSpPr/>
                                            </xdr:nvGrpSpPr>
                                            <xdr:grpSpPr>
                                              <a:xfrm>
                                                <a:off x="5326950" y="2417925"/>
                                                <a:ext cx="38100" cy="3521080"/>
                                                <a:chOff x="5326950" y="2417925"/>
                                                <a:chExt cx="38100" cy="3521080"/>
                                              </a:xfrm>
                                            </xdr:grpSpPr>
                                            <xdr:sp macro="" textlink="">
                                              <xdr:nvSpPr>
                                                <xdr:cNvPr id="848" name="Shape 41">
                                                  <a:extLst>
                                                    <a:ext uri="{FF2B5EF4-FFF2-40B4-BE49-F238E27FC236}">
                                                      <a16:creationId xmlns:a16="http://schemas.microsoft.com/office/drawing/2014/main" id="{99D55544-A4D8-F3BB-5F3F-8EF14E0C9CCB}"/>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49" name="Shape 42">
                                                  <a:extLst>
                                                    <a:ext uri="{FF2B5EF4-FFF2-40B4-BE49-F238E27FC236}">
                                                      <a16:creationId xmlns:a16="http://schemas.microsoft.com/office/drawing/2014/main" id="{20426CA0-3F8B-2C15-0A94-149A8AD6246F}"/>
                                                    </a:ext>
                                                  </a:extLst>
                                                </xdr:cNvPr>
                                                <xdr:cNvGrpSpPr/>
                                              </xdr:nvGrpSpPr>
                                              <xdr:grpSpPr>
                                                <a:xfrm>
                                                  <a:off x="5326950" y="2417925"/>
                                                  <a:ext cx="38100" cy="3521080"/>
                                                  <a:chOff x="5326950" y="2417925"/>
                                                  <a:chExt cx="38100" cy="3521080"/>
                                                </a:xfrm>
                                              </xdr:grpSpPr>
                                              <xdr:sp macro="" textlink="">
                                                <xdr:nvSpPr>
                                                  <xdr:cNvPr id="850" name="Shape 43">
                                                    <a:extLst>
                                                      <a:ext uri="{FF2B5EF4-FFF2-40B4-BE49-F238E27FC236}">
                                                        <a16:creationId xmlns:a16="http://schemas.microsoft.com/office/drawing/2014/main" id="{AB300800-6031-EDE3-F235-8FB3478690E1}"/>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1" name="Shape 44">
                                                    <a:extLst>
                                                      <a:ext uri="{FF2B5EF4-FFF2-40B4-BE49-F238E27FC236}">
                                                        <a16:creationId xmlns:a16="http://schemas.microsoft.com/office/drawing/2014/main" id="{987EE5EC-23EF-F45D-425A-B45E7C0FA37A}"/>
                                                      </a:ext>
                                                    </a:extLst>
                                                  </xdr:cNvPr>
                                                  <xdr:cNvGrpSpPr/>
                                                </xdr:nvGrpSpPr>
                                                <xdr:grpSpPr>
                                                  <a:xfrm>
                                                    <a:off x="5326950" y="2417925"/>
                                                    <a:ext cx="38100" cy="3521080"/>
                                                    <a:chOff x="5326950" y="2417925"/>
                                                    <a:chExt cx="38100" cy="3521080"/>
                                                  </a:xfrm>
                                                </xdr:grpSpPr>
                                                <xdr:sp macro="" textlink="">
                                                  <xdr:nvSpPr>
                                                    <xdr:cNvPr id="852" name="Shape 45">
                                                      <a:extLst>
                                                        <a:ext uri="{FF2B5EF4-FFF2-40B4-BE49-F238E27FC236}">
                                                          <a16:creationId xmlns:a16="http://schemas.microsoft.com/office/drawing/2014/main" id="{434FEE38-881A-807E-6408-1B731837C824}"/>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3" name="Shape 46">
                                                      <a:extLst>
                                                        <a:ext uri="{FF2B5EF4-FFF2-40B4-BE49-F238E27FC236}">
                                                          <a16:creationId xmlns:a16="http://schemas.microsoft.com/office/drawing/2014/main" id="{151746A7-CE69-545C-BC8E-F75819299F59}"/>
                                                        </a:ext>
                                                      </a:extLst>
                                                    </xdr:cNvPr>
                                                    <xdr:cNvGrpSpPr/>
                                                  </xdr:nvGrpSpPr>
                                                  <xdr:grpSpPr>
                                                    <a:xfrm>
                                                      <a:off x="5326950" y="2417925"/>
                                                      <a:ext cx="38100" cy="3521080"/>
                                                      <a:chOff x="5326950" y="2417925"/>
                                                      <a:chExt cx="38100" cy="3521080"/>
                                                    </a:xfrm>
                                                  </xdr:grpSpPr>
                                                  <xdr:sp macro="" textlink="">
                                                    <xdr:nvSpPr>
                                                      <xdr:cNvPr id="854" name="Shape 47">
                                                        <a:extLst>
                                                          <a:ext uri="{FF2B5EF4-FFF2-40B4-BE49-F238E27FC236}">
                                                            <a16:creationId xmlns:a16="http://schemas.microsoft.com/office/drawing/2014/main" id="{ED310D7F-A4A0-5734-BD90-D3C1CF58FFBF}"/>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5" name="Shape 48">
                                                        <a:extLst>
                                                          <a:ext uri="{FF2B5EF4-FFF2-40B4-BE49-F238E27FC236}">
                                                            <a16:creationId xmlns:a16="http://schemas.microsoft.com/office/drawing/2014/main" id="{43914E93-91E4-53CE-C81B-BA9903FAA037}"/>
                                                          </a:ext>
                                                        </a:extLst>
                                                      </xdr:cNvPr>
                                                      <xdr:cNvGrpSpPr/>
                                                    </xdr:nvGrpSpPr>
                                                    <xdr:grpSpPr>
                                                      <a:xfrm>
                                                        <a:off x="5326950" y="2417925"/>
                                                        <a:ext cx="38100" cy="3521080"/>
                                                        <a:chOff x="5326950" y="2417925"/>
                                                        <a:chExt cx="38100" cy="3521080"/>
                                                      </a:xfrm>
                                                    </xdr:grpSpPr>
                                                    <xdr:sp macro="" textlink="">
                                                      <xdr:nvSpPr>
                                                        <xdr:cNvPr id="856" name="Shape 49">
                                                          <a:extLst>
                                                            <a:ext uri="{FF2B5EF4-FFF2-40B4-BE49-F238E27FC236}">
                                                              <a16:creationId xmlns:a16="http://schemas.microsoft.com/office/drawing/2014/main" id="{47F2FF2F-357C-B590-9D5D-94F7D874CD3F}"/>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7" name="Shape 50">
                                                          <a:extLst>
                                                            <a:ext uri="{FF2B5EF4-FFF2-40B4-BE49-F238E27FC236}">
                                                              <a16:creationId xmlns:a16="http://schemas.microsoft.com/office/drawing/2014/main" id="{707AADBA-254E-6DF2-424C-1A507154D37B}"/>
                                                            </a:ext>
                                                          </a:extLst>
                                                        </xdr:cNvPr>
                                                        <xdr:cNvGrpSpPr/>
                                                      </xdr:nvGrpSpPr>
                                                      <xdr:grpSpPr>
                                                        <a:xfrm>
                                                          <a:off x="5326950" y="2417925"/>
                                                          <a:ext cx="38100" cy="3521080"/>
                                                          <a:chOff x="5326950" y="2417925"/>
                                                          <a:chExt cx="38100" cy="3521080"/>
                                                        </a:xfrm>
                                                      </xdr:grpSpPr>
                                                      <xdr:sp macro="" textlink="">
                                                        <xdr:nvSpPr>
                                                          <xdr:cNvPr id="858" name="Shape 51">
                                                            <a:extLst>
                                                              <a:ext uri="{FF2B5EF4-FFF2-40B4-BE49-F238E27FC236}">
                                                                <a16:creationId xmlns:a16="http://schemas.microsoft.com/office/drawing/2014/main" id="{622D4B2F-D7F6-2D49-C246-E8002DB1A7D3}"/>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59" name="Shape 52">
                                                            <a:extLst>
                                                              <a:ext uri="{FF2B5EF4-FFF2-40B4-BE49-F238E27FC236}">
                                                                <a16:creationId xmlns:a16="http://schemas.microsoft.com/office/drawing/2014/main" id="{B68DAA61-FCAF-4828-D50A-34512989CDA1}"/>
                                                              </a:ext>
                                                            </a:extLst>
                                                          </xdr:cNvPr>
                                                          <xdr:cNvGrpSpPr/>
                                                        </xdr:nvGrpSpPr>
                                                        <xdr:grpSpPr>
                                                          <a:xfrm>
                                                            <a:off x="5326950" y="2417925"/>
                                                            <a:ext cx="38100" cy="3521080"/>
                                                            <a:chOff x="5326950" y="2417925"/>
                                                            <a:chExt cx="38100" cy="3521080"/>
                                                          </a:xfrm>
                                                        </xdr:grpSpPr>
                                                        <xdr:sp macro="" textlink="">
                                                          <xdr:nvSpPr>
                                                            <xdr:cNvPr id="860" name="Shape 53">
                                                              <a:extLst>
                                                                <a:ext uri="{FF2B5EF4-FFF2-40B4-BE49-F238E27FC236}">
                                                                  <a16:creationId xmlns:a16="http://schemas.microsoft.com/office/drawing/2014/main" id="{6DDD6B52-2FE0-A66D-0769-6ED9181B9FE4}"/>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61" name="Shape 54">
                                                              <a:extLst>
                                                                <a:ext uri="{FF2B5EF4-FFF2-40B4-BE49-F238E27FC236}">
                                                                  <a16:creationId xmlns:a16="http://schemas.microsoft.com/office/drawing/2014/main" id="{6662F713-7DE1-C9AB-2316-63B14D0FFF8B}"/>
                                                                </a:ext>
                                                              </a:extLst>
                                                            </xdr:cNvPr>
                                                            <xdr:cNvGrpSpPr/>
                                                          </xdr:nvGrpSpPr>
                                                          <xdr:grpSpPr>
                                                            <a:xfrm>
                                                              <a:off x="5326950" y="2417925"/>
                                                              <a:ext cx="38100" cy="3521080"/>
                                                              <a:chOff x="5326950" y="2417925"/>
                                                              <a:chExt cx="38100" cy="3521080"/>
                                                            </a:xfrm>
                                                          </xdr:grpSpPr>
                                                          <xdr:sp macro="" textlink="">
                                                            <xdr:nvSpPr>
                                                              <xdr:cNvPr id="862" name="Shape 55">
                                                                <a:extLst>
                                                                  <a:ext uri="{FF2B5EF4-FFF2-40B4-BE49-F238E27FC236}">
                                                                    <a16:creationId xmlns:a16="http://schemas.microsoft.com/office/drawing/2014/main" id="{2BA82ACA-B8B1-D47B-C0EF-DC9EDBF6B96B}"/>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63" name="Shape 56">
                                                                <a:extLst>
                                                                  <a:ext uri="{FF2B5EF4-FFF2-40B4-BE49-F238E27FC236}">
                                                                    <a16:creationId xmlns:a16="http://schemas.microsoft.com/office/drawing/2014/main" id="{FEE7EB77-D635-4DED-E11D-453C2B53D680}"/>
                                                                  </a:ext>
                                                                </a:extLst>
                                                              </xdr:cNvPr>
                                                              <xdr:cNvGrpSpPr/>
                                                            </xdr:nvGrpSpPr>
                                                            <xdr:grpSpPr>
                                                              <a:xfrm>
                                                                <a:off x="5326950" y="2417925"/>
                                                                <a:ext cx="38100" cy="3521080"/>
                                                                <a:chOff x="5326950" y="2417925"/>
                                                                <a:chExt cx="38100" cy="3521080"/>
                                                              </a:xfrm>
                                                            </xdr:grpSpPr>
                                                            <xdr:sp macro="" textlink="">
                                                              <xdr:nvSpPr>
                                                                <xdr:cNvPr id="864" name="Shape 57">
                                                                  <a:extLst>
                                                                    <a:ext uri="{FF2B5EF4-FFF2-40B4-BE49-F238E27FC236}">
                                                                      <a16:creationId xmlns:a16="http://schemas.microsoft.com/office/drawing/2014/main" id="{3CC4E2EF-0E26-ECA6-D906-BAACEDF5D54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65" name="Shape 58">
                                                                  <a:extLst>
                                                                    <a:ext uri="{FF2B5EF4-FFF2-40B4-BE49-F238E27FC236}">
                                                                      <a16:creationId xmlns:a16="http://schemas.microsoft.com/office/drawing/2014/main" id="{1A15E42E-5923-3CD1-E18D-ADB846858D34}"/>
                                                                    </a:ext>
                                                                  </a:extLst>
                                                                </xdr:cNvPr>
                                                                <xdr:cNvGrpSpPr/>
                                                              </xdr:nvGrpSpPr>
                                                              <xdr:grpSpPr>
                                                                <a:xfrm>
                                                                  <a:off x="5326950" y="2417925"/>
                                                                  <a:ext cx="38100" cy="3521080"/>
                                                                  <a:chOff x="5326950" y="2417925"/>
                                                                  <a:chExt cx="38100" cy="3521080"/>
                                                                </a:xfrm>
                                                              </xdr:grpSpPr>
                                                              <xdr:sp macro="" textlink="">
                                                                <xdr:nvSpPr>
                                                                  <xdr:cNvPr id="866" name="Shape 59">
                                                                    <a:extLst>
                                                                      <a:ext uri="{FF2B5EF4-FFF2-40B4-BE49-F238E27FC236}">
                                                                        <a16:creationId xmlns:a16="http://schemas.microsoft.com/office/drawing/2014/main" id="{9CB009D0-6127-0576-0776-F6CDAA933601}"/>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67" name="Shape 60">
                                                                    <a:extLst>
                                                                      <a:ext uri="{FF2B5EF4-FFF2-40B4-BE49-F238E27FC236}">
                                                                        <a16:creationId xmlns:a16="http://schemas.microsoft.com/office/drawing/2014/main" id="{AFBF662C-C4E7-B8B1-0034-D2FD0FBBC505}"/>
                                                                      </a:ext>
                                                                    </a:extLst>
                                                                  </xdr:cNvPr>
                                                                  <xdr:cNvGrpSpPr/>
                                                                </xdr:nvGrpSpPr>
                                                                <xdr:grpSpPr>
                                                                  <a:xfrm>
                                                                    <a:off x="5326950" y="2417925"/>
                                                                    <a:ext cx="38100" cy="3521080"/>
                                                                    <a:chOff x="5326950" y="2417925"/>
                                                                    <a:chExt cx="38100" cy="3521080"/>
                                                                  </a:xfrm>
                                                                </xdr:grpSpPr>
                                                                <xdr:sp macro="" textlink="">
                                                                  <xdr:nvSpPr>
                                                                    <xdr:cNvPr id="868" name="Shape 61">
                                                                      <a:extLst>
                                                                        <a:ext uri="{FF2B5EF4-FFF2-40B4-BE49-F238E27FC236}">
                                                                          <a16:creationId xmlns:a16="http://schemas.microsoft.com/office/drawing/2014/main" id="{F7F07B6C-60CB-CA75-8F4D-F71CC303BE3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69" name="Shape 62">
                                                                      <a:extLst>
                                                                        <a:ext uri="{FF2B5EF4-FFF2-40B4-BE49-F238E27FC236}">
                                                                          <a16:creationId xmlns:a16="http://schemas.microsoft.com/office/drawing/2014/main" id="{1B141846-0E37-4753-4209-9CDB0D77BB01}"/>
                                                                        </a:ext>
                                                                      </a:extLst>
                                                                    </xdr:cNvPr>
                                                                    <xdr:cNvGrpSpPr/>
                                                                  </xdr:nvGrpSpPr>
                                                                  <xdr:grpSpPr>
                                                                    <a:xfrm>
                                                                      <a:off x="5326950" y="2417925"/>
                                                                      <a:ext cx="38100" cy="3521080"/>
                                                                      <a:chOff x="5326950" y="2417925"/>
                                                                      <a:chExt cx="38100" cy="3521080"/>
                                                                    </a:xfrm>
                                                                  </xdr:grpSpPr>
                                                                  <xdr:sp macro="" textlink="">
                                                                    <xdr:nvSpPr>
                                                                      <xdr:cNvPr id="870" name="Shape 63">
                                                                        <a:extLst>
                                                                          <a:ext uri="{FF2B5EF4-FFF2-40B4-BE49-F238E27FC236}">
                                                                            <a16:creationId xmlns:a16="http://schemas.microsoft.com/office/drawing/2014/main" id="{4F2B865B-8733-1B1B-7790-026E483C7FF7}"/>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71" name="Shape 64">
                                                                        <a:extLst>
                                                                          <a:ext uri="{FF2B5EF4-FFF2-40B4-BE49-F238E27FC236}">
                                                                            <a16:creationId xmlns:a16="http://schemas.microsoft.com/office/drawing/2014/main" id="{E5C08C74-4ED2-7FA4-5E92-A12AD161F26D}"/>
                                                                          </a:ext>
                                                                        </a:extLst>
                                                                      </xdr:cNvPr>
                                                                      <xdr:cNvGrpSpPr/>
                                                                    </xdr:nvGrpSpPr>
                                                                    <xdr:grpSpPr>
                                                                      <a:xfrm>
                                                                        <a:off x="5326950" y="2417925"/>
                                                                        <a:ext cx="38100" cy="3521080"/>
                                                                        <a:chOff x="5326950" y="2417925"/>
                                                                        <a:chExt cx="38100" cy="3521080"/>
                                                                      </a:xfrm>
                                                                    </xdr:grpSpPr>
                                                                    <xdr:sp macro="" textlink="">
                                                                      <xdr:nvSpPr>
                                                                        <xdr:cNvPr id="872" name="Shape 65">
                                                                          <a:extLst>
                                                                            <a:ext uri="{FF2B5EF4-FFF2-40B4-BE49-F238E27FC236}">
                                                                              <a16:creationId xmlns:a16="http://schemas.microsoft.com/office/drawing/2014/main" id="{3427BBF7-EE28-62E7-6DC2-1C5021E87029}"/>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73" name="Shape 66">
                                                                          <a:extLst>
                                                                            <a:ext uri="{FF2B5EF4-FFF2-40B4-BE49-F238E27FC236}">
                                                                              <a16:creationId xmlns:a16="http://schemas.microsoft.com/office/drawing/2014/main" id="{7A58E251-6D37-F507-64C9-4BE4EB5E4022}"/>
                                                                            </a:ext>
                                                                          </a:extLst>
                                                                        </xdr:cNvPr>
                                                                        <xdr:cNvGrpSpPr/>
                                                                      </xdr:nvGrpSpPr>
                                                                      <xdr:grpSpPr>
                                                                        <a:xfrm>
                                                                          <a:off x="5326950" y="2417925"/>
                                                                          <a:ext cx="38100" cy="3521080"/>
                                                                          <a:chOff x="5326950" y="2417925"/>
                                                                          <a:chExt cx="38100" cy="3521080"/>
                                                                        </a:xfrm>
                                                                      </xdr:grpSpPr>
                                                                      <xdr:sp macro="" textlink="">
                                                                        <xdr:nvSpPr>
                                                                          <xdr:cNvPr id="874" name="Shape 67">
                                                                            <a:extLst>
                                                                              <a:ext uri="{FF2B5EF4-FFF2-40B4-BE49-F238E27FC236}">
                                                                                <a16:creationId xmlns:a16="http://schemas.microsoft.com/office/drawing/2014/main" id="{C93CC644-4B99-715E-98ED-0A87B85D856A}"/>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75" name="Shape 68">
                                                                            <a:extLst>
                                                                              <a:ext uri="{FF2B5EF4-FFF2-40B4-BE49-F238E27FC236}">
                                                                                <a16:creationId xmlns:a16="http://schemas.microsoft.com/office/drawing/2014/main" id="{F8C0CEEE-3659-3444-FA3D-A7E78BF23654}"/>
                                                                              </a:ext>
                                                                            </a:extLst>
                                                                          </xdr:cNvPr>
                                                                          <xdr:cNvGrpSpPr/>
                                                                        </xdr:nvGrpSpPr>
                                                                        <xdr:grpSpPr>
                                                                          <a:xfrm>
                                                                            <a:off x="5326950" y="2417925"/>
                                                                            <a:ext cx="38100" cy="3521080"/>
                                                                            <a:chOff x="5326950" y="2417925"/>
                                                                            <a:chExt cx="38100" cy="3521080"/>
                                                                          </a:xfrm>
                                                                        </xdr:grpSpPr>
                                                                        <xdr:sp macro="" textlink="">
                                                                          <xdr:nvSpPr>
                                                                            <xdr:cNvPr id="876" name="Shape 69">
                                                                              <a:extLst>
                                                                                <a:ext uri="{FF2B5EF4-FFF2-40B4-BE49-F238E27FC236}">
                                                                                  <a16:creationId xmlns:a16="http://schemas.microsoft.com/office/drawing/2014/main" id="{63F91891-4CBC-237D-ED5A-A657FF4F7AFF}"/>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77" name="Shape 70">
                                                                              <a:extLst>
                                                                                <a:ext uri="{FF2B5EF4-FFF2-40B4-BE49-F238E27FC236}">
                                                                                  <a16:creationId xmlns:a16="http://schemas.microsoft.com/office/drawing/2014/main" id="{3FF73A48-9F2D-A74D-7FE0-B8D41FBE21BB}"/>
                                                                                </a:ext>
                                                                              </a:extLst>
                                                                            </xdr:cNvPr>
                                                                            <xdr:cNvGrpSpPr/>
                                                                          </xdr:nvGrpSpPr>
                                                                          <xdr:grpSpPr>
                                                                            <a:xfrm>
                                                                              <a:off x="5326950" y="2417925"/>
                                                                              <a:ext cx="38100" cy="3521080"/>
                                                                              <a:chOff x="5326950" y="2417925"/>
                                                                              <a:chExt cx="38100" cy="3521080"/>
                                                                            </a:xfrm>
                                                                          </xdr:grpSpPr>
                                                                          <xdr:sp macro="" textlink="">
                                                                            <xdr:nvSpPr>
                                                                              <xdr:cNvPr id="878" name="Shape 71">
                                                                                <a:extLst>
                                                                                  <a:ext uri="{FF2B5EF4-FFF2-40B4-BE49-F238E27FC236}">
                                                                                    <a16:creationId xmlns:a16="http://schemas.microsoft.com/office/drawing/2014/main" id="{19BFE0CE-BFE8-4E02-DE71-ECA3B4FBFC29}"/>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79" name="Shape 72">
                                                                                <a:extLst>
                                                                                  <a:ext uri="{FF2B5EF4-FFF2-40B4-BE49-F238E27FC236}">
                                                                                    <a16:creationId xmlns:a16="http://schemas.microsoft.com/office/drawing/2014/main" id="{C7B13173-BD9B-7464-EDEE-614C9A547C0F}"/>
                                                                                  </a:ext>
                                                                                </a:extLst>
                                                                              </xdr:cNvPr>
                                                                              <xdr:cNvGrpSpPr/>
                                                                            </xdr:nvGrpSpPr>
                                                                            <xdr:grpSpPr>
                                                                              <a:xfrm>
                                                                                <a:off x="5326950" y="2417925"/>
                                                                                <a:ext cx="38100" cy="3521080"/>
                                                                                <a:chOff x="5326950" y="2417925"/>
                                                                                <a:chExt cx="38100" cy="3521080"/>
                                                                              </a:xfrm>
                                                                            </xdr:grpSpPr>
                                                                            <xdr:sp macro="" textlink="">
                                                                              <xdr:nvSpPr>
                                                                                <xdr:cNvPr id="880" name="Shape 73">
                                                                                  <a:extLst>
                                                                                    <a:ext uri="{FF2B5EF4-FFF2-40B4-BE49-F238E27FC236}">
                                                                                      <a16:creationId xmlns:a16="http://schemas.microsoft.com/office/drawing/2014/main" id="{505DCB7D-DBD3-C51A-7A3B-49F05182279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1" name="Shape 74">
                                                                                  <a:extLst>
                                                                                    <a:ext uri="{FF2B5EF4-FFF2-40B4-BE49-F238E27FC236}">
                                                                                      <a16:creationId xmlns:a16="http://schemas.microsoft.com/office/drawing/2014/main" id="{4A87B2C2-9FCB-2F34-8F65-AFF681AA42A7}"/>
                                                                                    </a:ext>
                                                                                  </a:extLst>
                                                                                </xdr:cNvPr>
                                                                                <xdr:cNvGrpSpPr/>
                                                                              </xdr:nvGrpSpPr>
                                                                              <xdr:grpSpPr>
                                                                                <a:xfrm>
                                                                                  <a:off x="5326950" y="2417925"/>
                                                                                  <a:ext cx="38100" cy="3521080"/>
                                                                                  <a:chOff x="5326950" y="2417925"/>
                                                                                  <a:chExt cx="38100" cy="3521080"/>
                                                                                </a:xfrm>
                                                                              </xdr:grpSpPr>
                                                                              <xdr:sp macro="" textlink="">
                                                                                <xdr:nvSpPr>
                                                                                  <xdr:cNvPr id="882" name="Shape 75">
                                                                                    <a:extLst>
                                                                                      <a:ext uri="{FF2B5EF4-FFF2-40B4-BE49-F238E27FC236}">
                                                                                        <a16:creationId xmlns:a16="http://schemas.microsoft.com/office/drawing/2014/main" id="{FAE2DEBE-8B79-DF0A-B724-3F4E8DB81B3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3" name="Shape 76">
                                                                                    <a:extLst>
                                                                                      <a:ext uri="{FF2B5EF4-FFF2-40B4-BE49-F238E27FC236}">
                                                                                        <a16:creationId xmlns:a16="http://schemas.microsoft.com/office/drawing/2014/main" id="{E61D195F-E61F-A10B-4D5D-79286957090D}"/>
                                                                                      </a:ext>
                                                                                    </a:extLst>
                                                                                  </xdr:cNvPr>
                                                                                  <xdr:cNvGrpSpPr/>
                                                                                </xdr:nvGrpSpPr>
                                                                                <xdr:grpSpPr>
                                                                                  <a:xfrm>
                                                                                    <a:off x="5326950" y="2417925"/>
                                                                                    <a:ext cx="38100" cy="3521080"/>
                                                                                    <a:chOff x="5326950" y="2417925"/>
                                                                                    <a:chExt cx="38100" cy="3521080"/>
                                                                                  </a:xfrm>
                                                                                </xdr:grpSpPr>
                                                                                <xdr:sp macro="" textlink="">
                                                                                  <xdr:nvSpPr>
                                                                                    <xdr:cNvPr id="884" name="Shape 77">
                                                                                      <a:extLst>
                                                                                        <a:ext uri="{FF2B5EF4-FFF2-40B4-BE49-F238E27FC236}">
                                                                                          <a16:creationId xmlns:a16="http://schemas.microsoft.com/office/drawing/2014/main" id="{3402DFD8-35F5-DC2D-CEFD-653CDB68A95A}"/>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5" name="Shape 78">
                                                                                      <a:extLst>
                                                                                        <a:ext uri="{FF2B5EF4-FFF2-40B4-BE49-F238E27FC236}">
                                                                                          <a16:creationId xmlns:a16="http://schemas.microsoft.com/office/drawing/2014/main" id="{3D8ED12A-E70D-D223-58A5-543FCAF753FE}"/>
                                                                                        </a:ext>
                                                                                      </a:extLst>
                                                                                    </xdr:cNvPr>
                                                                                    <xdr:cNvGrpSpPr/>
                                                                                  </xdr:nvGrpSpPr>
                                                                                  <xdr:grpSpPr>
                                                                                    <a:xfrm>
                                                                                      <a:off x="5326950" y="2417925"/>
                                                                                      <a:ext cx="38100" cy="3521080"/>
                                                                                      <a:chOff x="5326950" y="2417925"/>
                                                                                      <a:chExt cx="38100" cy="3521080"/>
                                                                                    </a:xfrm>
                                                                                  </xdr:grpSpPr>
                                                                                  <xdr:sp macro="" textlink="">
                                                                                    <xdr:nvSpPr>
                                                                                      <xdr:cNvPr id="886" name="Shape 79">
                                                                                        <a:extLst>
                                                                                          <a:ext uri="{FF2B5EF4-FFF2-40B4-BE49-F238E27FC236}">
                                                                                            <a16:creationId xmlns:a16="http://schemas.microsoft.com/office/drawing/2014/main" id="{B285E682-D215-83D3-9791-2A9EFBD7CE0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7" name="Shape 80">
                                                                                        <a:extLst>
                                                                                          <a:ext uri="{FF2B5EF4-FFF2-40B4-BE49-F238E27FC236}">
                                                                                            <a16:creationId xmlns:a16="http://schemas.microsoft.com/office/drawing/2014/main" id="{1A642EBC-F2BF-1F51-E215-7EDB6B55B4A8}"/>
                                                                                          </a:ext>
                                                                                        </a:extLst>
                                                                                      </xdr:cNvPr>
                                                                                      <xdr:cNvGrpSpPr/>
                                                                                    </xdr:nvGrpSpPr>
                                                                                    <xdr:grpSpPr>
                                                                                      <a:xfrm>
                                                                                        <a:off x="5326950" y="2417925"/>
                                                                                        <a:ext cx="38100" cy="3521080"/>
                                                                                        <a:chOff x="5326950" y="2417925"/>
                                                                                        <a:chExt cx="38100" cy="3521080"/>
                                                                                      </a:xfrm>
                                                                                    </xdr:grpSpPr>
                                                                                    <xdr:sp macro="" textlink="">
                                                                                      <xdr:nvSpPr>
                                                                                        <xdr:cNvPr id="888" name="Shape 81">
                                                                                          <a:extLst>
                                                                                            <a:ext uri="{FF2B5EF4-FFF2-40B4-BE49-F238E27FC236}">
                                                                                              <a16:creationId xmlns:a16="http://schemas.microsoft.com/office/drawing/2014/main" id="{36B6291F-2E31-9574-79FF-3445982F5F84}"/>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9" name="Shape 82">
                                                                                          <a:extLst>
                                                                                            <a:ext uri="{FF2B5EF4-FFF2-40B4-BE49-F238E27FC236}">
                                                                                              <a16:creationId xmlns:a16="http://schemas.microsoft.com/office/drawing/2014/main" id="{285F4E0F-D9C5-AAB4-42F7-FFFB3C43C16B}"/>
                                                                                            </a:ext>
                                                                                          </a:extLst>
                                                                                        </xdr:cNvPr>
                                                                                        <xdr:cNvGrpSpPr/>
                                                                                      </xdr:nvGrpSpPr>
                                                                                      <xdr:grpSpPr>
                                                                                        <a:xfrm>
                                                                                          <a:off x="5326950" y="2417925"/>
                                                                                          <a:ext cx="38100" cy="3521080"/>
                                                                                          <a:chOff x="5326950" y="2417925"/>
                                                                                          <a:chExt cx="38100" cy="3521080"/>
                                                                                        </a:xfrm>
                                                                                      </xdr:grpSpPr>
                                                                                      <xdr:sp macro="" textlink="">
                                                                                        <xdr:nvSpPr>
                                                                                          <xdr:cNvPr id="890" name="Shape 83">
                                                                                            <a:extLst>
                                                                                              <a:ext uri="{FF2B5EF4-FFF2-40B4-BE49-F238E27FC236}">
                                                                                                <a16:creationId xmlns:a16="http://schemas.microsoft.com/office/drawing/2014/main" id="{D35AE49D-2CC5-1CDC-53AD-F23871111D4A}"/>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91" name="Shape 84">
                                                                                            <a:extLst>
                                                                                              <a:ext uri="{FF2B5EF4-FFF2-40B4-BE49-F238E27FC236}">
                                                                                                <a16:creationId xmlns:a16="http://schemas.microsoft.com/office/drawing/2014/main" id="{A10B516F-D1A7-A6ED-BA30-9340D11402FB}"/>
                                                                                              </a:ext>
                                                                                            </a:extLst>
                                                                                          </xdr:cNvPr>
                                                                                          <xdr:cNvGrpSpPr/>
                                                                                        </xdr:nvGrpSpPr>
                                                                                        <xdr:grpSpPr>
                                                                                          <a:xfrm>
                                                                                            <a:off x="5326950" y="2417925"/>
                                                                                            <a:ext cx="38100" cy="3521080"/>
                                                                                            <a:chOff x="5326950" y="2417925"/>
                                                                                            <a:chExt cx="38100" cy="3521080"/>
                                                                                          </a:xfrm>
                                                                                        </xdr:grpSpPr>
                                                                                        <xdr:sp macro="" textlink="">
                                                                                          <xdr:nvSpPr>
                                                                                            <xdr:cNvPr id="892" name="Shape 85">
                                                                                              <a:extLst>
                                                                                                <a:ext uri="{FF2B5EF4-FFF2-40B4-BE49-F238E27FC236}">
                                                                                                  <a16:creationId xmlns:a16="http://schemas.microsoft.com/office/drawing/2014/main" id="{B4ADE3B6-479A-4FC3-F3D8-65AADBCABA1B}"/>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93" name="Shape 86">
                                                                                              <a:extLst>
                                                                                                <a:ext uri="{FF2B5EF4-FFF2-40B4-BE49-F238E27FC236}">
                                                                                                  <a16:creationId xmlns:a16="http://schemas.microsoft.com/office/drawing/2014/main" id="{E6A9B435-EACF-2789-83F5-F3E3BA5F6A77}"/>
                                                                                                </a:ext>
                                                                                              </a:extLst>
                                                                                            </xdr:cNvPr>
                                                                                            <xdr:cNvGrpSpPr/>
                                                                                          </xdr:nvGrpSpPr>
                                                                                          <xdr:grpSpPr>
                                                                                            <a:xfrm>
                                                                                              <a:off x="5326950" y="2417925"/>
                                                                                              <a:ext cx="38100" cy="3521080"/>
                                                                                              <a:chOff x="5326950" y="2417925"/>
                                                                                              <a:chExt cx="38100" cy="3521080"/>
                                                                                            </a:xfrm>
                                                                                          </xdr:grpSpPr>
                                                                                          <xdr:sp macro="" textlink="">
                                                                                            <xdr:nvSpPr>
                                                                                              <xdr:cNvPr id="894" name="Shape 87">
                                                                                                <a:extLst>
                                                                                                  <a:ext uri="{FF2B5EF4-FFF2-40B4-BE49-F238E27FC236}">
                                                                                                    <a16:creationId xmlns:a16="http://schemas.microsoft.com/office/drawing/2014/main" id="{2CD01570-7203-99A6-DA50-97A3518DF2E4}"/>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95" name="Shape 88">
                                                                                                <a:extLst>
                                                                                                  <a:ext uri="{FF2B5EF4-FFF2-40B4-BE49-F238E27FC236}">
                                                                                                    <a16:creationId xmlns:a16="http://schemas.microsoft.com/office/drawing/2014/main" id="{A28219F4-59C8-D91F-FAE3-94E4C88737E4}"/>
                                                                                                  </a:ext>
                                                                                                </a:extLst>
                                                                                              </xdr:cNvPr>
                                                                                              <xdr:cNvGrpSpPr/>
                                                                                            </xdr:nvGrpSpPr>
                                                                                            <xdr:grpSpPr>
                                                                                              <a:xfrm>
                                                                                                <a:off x="5326950" y="2417925"/>
                                                                                                <a:ext cx="38100" cy="3521080"/>
                                                                                                <a:chOff x="5336475" y="2417925"/>
                                                                                                <a:chExt cx="19050" cy="3521080"/>
                                                                                              </a:xfrm>
                                                                                            </xdr:grpSpPr>
                                                                                            <xdr:sp macro="" textlink="">
                                                                                              <xdr:nvSpPr>
                                                                                                <xdr:cNvPr id="896" name="Shape 89">
                                                                                                  <a:extLst>
                                                                                                    <a:ext uri="{FF2B5EF4-FFF2-40B4-BE49-F238E27FC236}">
                                                                                                      <a16:creationId xmlns:a16="http://schemas.microsoft.com/office/drawing/2014/main" id="{648202C7-9509-BB75-83F7-2876F9F46CDD}"/>
                                                                                                    </a:ext>
                                                                                                  </a:extLst>
                                                                                                </xdr:cNvPr>
                                                                                                <xdr:cNvSpPr/>
                                                                                              </xdr:nvSpPr>
                                                                                              <xdr:spPr>
                                                                                                <a:xfrm>
                                                                                                  <a:off x="5336475" y="2417925"/>
                                                                                                  <a:ext cx="1905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97" name="Shape 90">
                                                                                                  <a:extLst>
                                                                                                    <a:ext uri="{FF2B5EF4-FFF2-40B4-BE49-F238E27FC236}">
                                                                                                      <a16:creationId xmlns:a16="http://schemas.microsoft.com/office/drawing/2014/main" id="{2AB38F3B-2A1E-67F0-D409-243A35128C70}"/>
                                                                                                    </a:ext>
                                                                                                  </a:extLst>
                                                                                                </xdr:cNvPr>
                                                                                                <xdr:cNvCxnSpPr>
                                                                                                  <a:stCxn id="896" idx="0"/>
                                                                                                </xdr:cNvCxnSpPr>
                                                                                              </xdr:nvCxnSpPr>
                                                                                              <xdr:spPr>
                                                                                                <a:xfrm flipH="1">
                                                                                                  <a:off x="5343143" y="2417925"/>
                                                                                                  <a:ext cx="2858" cy="3521080"/>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11</xdr:col>
      <xdr:colOff>276225</xdr:colOff>
      <xdr:row>58</xdr:row>
      <xdr:rowOff>158115</xdr:rowOff>
    </xdr:from>
    <xdr:ext cx="38100" cy="7128000"/>
    <xdr:grpSp>
      <xdr:nvGrpSpPr>
        <xdr:cNvPr id="898" name="Shape 2">
          <a:extLst>
            <a:ext uri="{FF2B5EF4-FFF2-40B4-BE49-F238E27FC236}">
              <a16:creationId xmlns:a16="http://schemas.microsoft.com/office/drawing/2014/main" id="{60EFB600-33A1-40A0-B7F6-D4C3F6F700C6}"/>
            </a:ext>
          </a:extLst>
        </xdr:cNvPr>
        <xdr:cNvGrpSpPr/>
      </xdr:nvGrpSpPr>
      <xdr:grpSpPr>
        <a:xfrm>
          <a:off x="6506281" y="14008171"/>
          <a:ext cx="38100" cy="7128000"/>
          <a:chOff x="5326950" y="651038"/>
          <a:chExt cx="38100" cy="7128000"/>
        </a:xfrm>
      </xdr:grpSpPr>
      <xdr:grpSp>
        <xdr:nvGrpSpPr>
          <xdr:cNvPr id="899" name="Shape 92">
            <a:extLst>
              <a:ext uri="{FF2B5EF4-FFF2-40B4-BE49-F238E27FC236}">
                <a16:creationId xmlns:a16="http://schemas.microsoft.com/office/drawing/2014/main" id="{884FF59D-C43C-C882-E85A-A2407B2191DC}"/>
              </a:ext>
            </a:extLst>
          </xdr:cNvPr>
          <xdr:cNvGrpSpPr/>
        </xdr:nvGrpSpPr>
        <xdr:grpSpPr>
          <a:xfrm>
            <a:off x="5326950" y="651038"/>
            <a:ext cx="38100" cy="7128000"/>
            <a:chOff x="5326950" y="651038"/>
            <a:chExt cx="38100" cy="7128000"/>
          </a:xfrm>
        </xdr:grpSpPr>
        <xdr:sp macro="" textlink="">
          <xdr:nvSpPr>
            <xdr:cNvPr id="900" name="Shape 5">
              <a:extLst>
                <a:ext uri="{FF2B5EF4-FFF2-40B4-BE49-F238E27FC236}">
                  <a16:creationId xmlns:a16="http://schemas.microsoft.com/office/drawing/2014/main" id="{53E96A0B-1A95-410B-94EA-AD265CEC3AC3}"/>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1" name="Shape 93">
              <a:extLst>
                <a:ext uri="{FF2B5EF4-FFF2-40B4-BE49-F238E27FC236}">
                  <a16:creationId xmlns:a16="http://schemas.microsoft.com/office/drawing/2014/main" id="{A4C89D36-CE86-AF0E-43CE-7B97643B57E7}"/>
                </a:ext>
              </a:extLst>
            </xdr:cNvPr>
            <xdr:cNvGrpSpPr/>
          </xdr:nvGrpSpPr>
          <xdr:grpSpPr>
            <a:xfrm>
              <a:off x="5326950" y="651038"/>
              <a:ext cx="38100" cy="7128000"/>
              <a:chOff x="5326950" y="651038"/>
              <a:chExt cx="38100" cy="7128000"/>
            </a:xfrm>
          </xdr:grpSpPr>
          <xdr:sp macro="" textlink="">
            <xdr:nvSpPr>
              <xdr:cNvPr id="902" name="Shape 94">
                <a:extLst>
                  <a:ext uri="{FF2B5EF4-FFF2-40B4-BE49-F238E27FC236}">
                    <a16:creationId xmlns:a16="http://schemas.microsoft.com/office/drawing/2014/main" id="{739E4DF4-84FB-FCA7-3DB1-6824295136BB}"/>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3" name="Shape 95">
                <a:extLst>
                  <a:ext uri="{FF2B5EF4-FFF2-40B4-BE49-F238E27FC236}">
                    <a16:creationId xmlns:a16="http://schemas.microsoft.com/office/drawing/2014/main" id="{1DE3BDD4-3771-EC3A-8C6C-5E5528335CEB}"/>
                  </a:ext>
                </a:extLst>
              </xdr:cNvPr>
              <xdr:cNvGrpSpPr/>
            </xdr:nvGrpSpPr>
            <xdr:grpSpPr>
              <a:xfrm>
                <a:off x="5326950" y="651038"/>
                <a:ext cx="38100" cy="7128000"/>
                <a:chOff x="5326950" y="651038"/>
                <a:chExt cx="38100" cy="7128000"/>
              </a:xfrm>
            </xdr:grpSpPr>
            <xdr:sp macro="" textlink="">
              <xdr:nvSpPr>
                <xdr:cNvPr id="904" name="Shape 96">
                  <a:extLst>
                    <a:ext uri="{FF2B5EF4-FFF2-40B4-BE49-F238E27FC236}">
                      <a16:creationId xmlns:a16="http://schemas.microsoft.com/office/drawing/2014/main" id="{0696F731-C12B-117F-ACBE-CD9F21629FED}"/>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5" name="Shape 97">
                  <a:extLst>
                    <a:ext uri="{FF2B5EF4-FFF2-40B4-BE49-F238E27FC236}">
                      <a16:creationId xmlns:a16="http://schemas.microsoft.com/office/drawing/2014/main" id="{B74E0BD6-B0A2-F9D3-D5C7-F34CA5186B23}"/>
                    </a:ext>
                  </a:extLst>
                </xdr:cNvPr>
                <xdr:cNvGrpSpPr/>
              </xdr:nvGrpSpPr>
              <xdr:grpSpPr>
                <a:xfrm>
                  <a:off x="5326950" y="651038"/>
                  <a:ext cx="38100" cy="7128000"/>
                  <a:chOff x="5326950" y="651038"/>
                  <a:chExt cx="38100" cy="7128000"/>
                </a:xfrm>
              </xdr:grpSpPr>
              <xdr:sp macro="" textlink="">
                <xdr:nvSpPr>
                  <xdr:cNvPr id="906" name="Shape 98">
                    <a:extLst>
                      <a:ext uri="{FF2B5EF4-FFF2-40B4-BE49-F238E27FC236}">
                        <a16:creationId xmlns:a16="http://schemas.microsoft.com/office/drawing/2014/main" id="{6007D4EF-2FD3-9BD1-C1DD-2E5765A9239F}"/>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7" name="Shape 99">
                    <a:extLst>
                      <a:ext uri="{FF2B5EF4-FFF2-40B4-BE49-F238E27FC236}">
                        <a16:creationId xmlns:a16="http://schemas.microsoft.com/office/drawing/2014/main" id="{31084E4D-58A9-B49F-A123-D82B83CCE902}"/>
                      </a:ext>
                    </a:extLst>
                  </xdr:cNvPr>
                  <xdr:cNvGrpSpPr/>
                </xdr:nvGrpSpPr>
                <xdr:grpSpPr>
                  <a:xfrm>
                    <a:off x="5326950" y="651038"/>
                    <a:ext cx="38100" cy="7128000"/>
                    <a:chOff x="5326950" y="651038"/>
                    <a:chExt cx="38100" cy="7128000"/>
                  </a:xfrm>
                </xdr:grpSpPr>
                <xdr:sp macro="" textlink="">
                  <xdr:nvSpPr>
                    <xdr:cNvPr id="908" name="Shape 100">
                      <a:extLst>
                        <a:ext uri="{FF2B5EF4-FFF2-40B4-BE49-F238E27FC236}">
                          <a16:creationId xmlns:a16="http://schemas.microsoft.com/office/drawing/2014/main" id="{E7811C31-4F06-B153-1EBE-7C86FA4F17A8}"/>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9" name="Shape 101">
                      <a:extLst>
                        <a:ext uri="{FF2B5EF4-FFF2-40B4-BE49-F238E27FC236}">
                          <a16:creationId xmlns:a16="http://schemas.microsoft.com/office/drawing/2014/main" id="{8B4950D5-7A8B-F3A2-255B-9E7E96724C8B}"/>
                        </a:ext>
                      </a:extLst>
                    </xdr:cNvPr>
                    <xdr:cNvGrpSpPr/>
                  </xdr:nvGrpSpPr>
                  <xdr:grpSpPr>
                    <a:xfrm>
                      <a:off x="5326950" y="651038"/>
                      <a:ext cx="38100" cy="7128000"/>
                      <a:chOff x="5326950" y="651038"/>
                      <a:chExt cx="38100" cy="7128000"/>
                    </a:xfrm>
                  </xdr:grpSpPr>
                  <xdr:sp macro="" textlink="">
                    <xdr:nvSpPr>
                      <xdr:cNvPr id="910" name="Shape 102">
                        <a:extLst>
                          <a:ext uri="{FF2B5EF4-FFF2-40B4-BE49-F238E27FC236}">
                            <a16:creationId xmlns:a16="http://schemas.microsoft.com/office/drawing/2014/main" id="{5512238A-62FF-0570-EF64-FCB3557F5902}"/>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11" name="Shape 103">
                        <a:extLst>
                          <a:ext uri="{FF2B5EF4-FFF2-40B4-BE49-F238E27FC236}">
                            <a16:creationId xmlns:a16="http://schemas.microsoft.com/office/drawing/2014/main" id="{DC325276-86C8-20A0-8130-D4FBE150B932}"/>
                          </a:ext>
                        </a:extLst>
                      </xdr:cNvPr>
                      <xdr:cNvGrpSpPr/>
                    </xdr:nvGrpSpPr>
                    <xdr:grpSpPr>
                      <a:xfrm>
                        <a:off x="5326950" y="651038"/>
                        <a:ext cx="38100" cy="7128000"/>
                        <a:chOff x="5326950" y="651038"/>
                        <a:chExt cx="38100" cy="7128000"/>
                      </a:xfrm>
                    </xdr:grpSpPr>
                    <xdr:sp macro="" textlink="">
                      <xdr:nvSpPr>
                        <xdr:cNvPr id="912" name="Shape 104">
                          <a:extLst>
                            <a:ext uri="{FF2B5EF4-FFF2-40B4-BE49-F238E27FC236}">
                              <a16:creationId xmlns:a16="http://schemas.microsoft.com/office/drawing/2014/main" id="{594EF61A-72F8-68AA-D11A-92482EAE7B3E}"/>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13" name="Shape 105">
                          <a:extLst>
                            <a:ext uri="{FF2B5EF4-FFF2-40B4-BE49-F238E27FC236}">
                              <a16:creationId xmlns:a16="http://schemas.microsoft.com/office/drawing/2014/main" id="{A04EDC34-7137-FABB-9247-AD2CB14DFAF6}"/>
                            </a:ext>
                          </a:extLst>
                        </xdr:cNvPr>
                        <xdr:cNvGrpSpPr/>
                      </xdr:nvGrpSpPr>
                      <xdr:grpSpPr>
                        <a:xfrm>
                          <a:off x="5326950" y="651038"/>
                          <a:ext cx="38100" cy="7128000"/>
                          <a:chOff x="5326950" y="651038"/>
                          <a:chExt cx="38100" cy="7128000"/>
                        </a:xfrm>
                      </xdr:grpSpPr>
                      <xdr:sp macro="" textlink="">
                        <xdr:nvSpPr>
                          <xdr:cNvPr id="914" name="Shape 106">
                            <a:extLst>
                              <a:ext uri="{FF2B5EF4-FFF2-40B4-BE49-F238E27FC236}">
                                <a16:creationId xmlns:a16="http://schemas.microsoft.com/office/drawing/2014/main" id="{1174C2D8-7ECC-841C-6270-00BC203B0E58}"/>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15" name="Shape 107">
                            <a:extLst>
                              <a:ext uri="{FF2B5EF4-FFF2-40B4-BE49-F238E27FC236}">
                                <a16:creationId xmlns:a16="http://schemas.microsoft.com/office/drawing/2014/main" id="{D9954FFD-470A-2103-EBCA-EAEC346331CC}"/>
                              </a:ext>
                            </a:extLst>
                          </xdr:cNvPr>
                          <xdr:cNvGrpSpPr/>
                        </xdr:nvGrpSpPr>
                        <xdr:grpSpPr>
                          <a:xfrm>
                            <a:off x="5326950" y="651038"/>
                            <a:ext cx="38100" cy="7128000"/>
                            <a:chOff x="5326950" y="647228"/>
                            <a:chExt cx="38100" cy="7136663"/>
                          </a:xfrm>
                        </xdr:grpSpPr>
                        <xdr:sp macro="" textlink="">
                          <xdr:nvSpPr>
                            <xdr:cNvPr id="916" name="Shape 108">
                              <a:extLst>
                                <a:ext uri="{FF2B5EF4-FFF2-40B4-BE49-F238E27FC236}">
                                  <a16:creationId xmlns:a16="http://schemas.microsoft.com/office/drawing/2014/main" id="{449735FD-CFB9-2615-E49B-CACCBA668FB5}"/>
                                </a:ext>
                              </a:extLst>
                            </xdr:cNvPr>
                            <xdr:cNvSpPr/>
                          </xdr:nvSpPr>
                          <xdr:spPr>
                            <a:xfrm>
                              <a:off x="5326950" y="647228"/>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17" name="Shape 109">
                              <a:extLst>
                                <a:ext uri="{FF2B5EF4-FFF2-40B4-BE49-F238E27FC236}">
                                  <a16:creationId xmlns:a16="http://schemas.microsoft.com/office/drawing/2014/main" id="{149188E1-E335-363E-AB3C-D74EDDC14E1F}"/>
                                </a:ext>
                              </a:extLst>
                            </xdr:cNvPr>
                            <xdr:cNvGrpSpPr/>
                          </xdr:nvGrpSpPr>
                          <xdr:grpSpPr>
                            <a:xfrm>
                              <a:off x="5326950" y="647228"/>
                              <a:ext cx="38100" cy="7136663"/>
                              <a:chOff x="5326950" y="1894050"/>
                              <a:chExt cx="38100" cy="7136663"/>
                            </a:xfrm>
                          </xdr:grpSpPr>
                          <xdr:sp macro="" textlink="">
                            <xdr:nvSpPr>
                              <xdr:cNvPr id="918" name="Shape 110">
                                <a:extLst>
                                  <a:ext uri="{FF2B5EF4-FFF2-40B4-BE49-F238E27FC236}">
                                    <a16:creationId xmlns:a16="http://schemas.microsoft.com/office/drawing/2014/main" id="{D4A34A42-FB48-7A2E-3415-7833C4381060}"/>
                                  </a:ext>
                                </a:extLst>
                              </xdr:cNvPr>
                              <xdr:cNvSpPr/>
                            </xdr:nvSpPr>
                            <xdr:spPr>
                              <a:xfrm>
                                <a:off x="5326950" y="1894050"/>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19" name="Shape 111">
                                <a:extLst>
                                  <a:ext uri="{FF2B5EF4-FFF2-40B4-BE49-F238E27FC236}">
                                    <a16:creationId xmlns:a16="http://schemas.microsoft.com/office/drawing/2014/main" id="{94AEA73D-F057-5BFA-2FAD-35A9DD78D3A8}"/>
                                  </a:ext>
                                </a:extLst>
                              </xdr:cNvPr>
                              <xdr:cNvGrpSpPr/>
                            </xdr:nvGrpSpPr>
                            <xdr:grpSpPr>
                              <a:xfrm>
                                <a:off x="5326950" y="1894050"/>
                                <a:ext cx="38100" cy="7136663"/>
                                <a:chOff x="5326950" y="1894050"/>
                                <a:chExt cx="38100" cy="7136663"/>
                              </a:xfrm>
                            </xdr:grpSpPr>
                            <xdr:sp macro="" textlink="">
                              <xdr:nvSpPr>
                                <xdr:cNvPr id="920" name="Shape 112">
                                  <a:extLst>
                                    <a:ext uri="{FF2B5EF4-FFF2-40B4-BE49-F238E27FC236}">
                                      <a16:creationId xmlns:a16="http://schemas.microsoft.com/office/drawing/2014/main" id="{E48AADB1-3A19-7481-0FE1-C877D6B92FEC}"/>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1" name="Shape 113">
                                  <a:extLst>
                                    <a:ext uri="{FF2B5EF4-FFF2-40B4-BE49-F238E27FC236}">
                                      <a16:creationId xmlns:a16="http://schemas.microsoft.com/office/drawing/2014/main" id="{4C5BCB01-357C-B548-3075-236938AA2E1C}"/>
                                    </a:ext>
                                  </a:extLst>
                                </xdr:cNvPr>
                                <xdr:cNvGrpSpPr/>
                              </xdr:nvGrpSpPr>
                              <xdr:grpSpPr>
                                <a:xfrm>
                                  <a:off x="5326950" y="1894050"/>
                                  <a:ext cx="38100" cy="7136663"/>
                                  <a:chOff x="5326950" y="1894050"/>
                                  <a:chExt cx="38100" cy="7136663"/>
                                </a:xfrm>
                              </xdr:grpSpPr>
                              <xdr:sp macro="" textlink="">
                                <xdr:nvSpPr>
                                  <xdr:cNvPr id="922" name="Shape 114">
                                    <a:extLst>
                                      <a:ext uri="{FF2B5EF4-FFF2-40B4-BE49-F238E27FC236}">
                                        <a16:creationId xmlns:a16="http://schemas.microsoft.com/office/drawing/2014/main" id="{C3C9D961-0EB9-212F-8419-0B94AD9D894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3" name="Shape 115">
                                    <a:extLst>
                                      <a:ext uri="{FF2B5EF4-FFF2-40B4-BE49-F238E27FC236}">
                                        <a16:creationId xmlns:a16="http://schemas.microsoft.com/office/drawing/2014/main" id="{814EC07A-A02E-4D12-3460-0340303C45AE}"/>
                                      </a:ext>
                                    </a:extLst>
                                  </xdr:cNvPr>
                                  <xdr:cNvGrpSpPr/>
                                </xdr:nvGrpSpPr>
                                <xdr:grpSpPr>
                                  <a:xfrm>
                                    <a:off x="5326950" y="1894050"/>
                                    <a:ext cx="38100" cy="7136663"/>
                                    <a:chOff x="5326950" y="1894050"/>
                                    <a:chExt cx="38100" cy="7136663"/>
                                  </a:xfrm>
                                </xdr:grpSpPr>
                                <xdr:sp macro="" textlink="">
                                  <xdr:nvSpPr>
                                    <xdr:cNvPr id="924" name="Shape 116">
                                      <a:extLst>
                                        <a:ext uri="{FF2B5EF4-FFF2-40B4-BE49-F238E27FC236}">
                                          <a16:creationId xmlns:a16="http://schemas.microsoft.com/office/drawing/2014/main" id="{60EFA9EF-6F0C-3E1C-FD62-28BAE23FBD6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5" name="Shape 117">
                                      <a:extLst>
                                        <a:ext uri="{FF2B5EF4-FFF2-40B4-BE49-F238E27FC236}">
                                          <a16:creationId xmlns:a16="http://schemas.microsoft.com/office/drawing/2014/main" id="{5AB6EC9E-C91D-83A6-B40C-B69D3EA9FD4F}"/>
                                        </a:ext>
                                      </a:extLst>
                                    </xdr:cNvPr>
                                    <xdr:cNvGrpSpPr/>
                                  </xdr:nvGrpSpPr>
                                  <xdr:grpSpPr>
                                    <a:xfrm>
                                      <a:off x="5326950" y="1894050"/>
                                      <a:ext cx="38100" cy="7136663"/>
                                      <a:chOff x="5326950" y="1894050"/>
                                      <a:chExt cx="38100" cy="7136663"/>
                                    </a:xfrm>
                                  </xdr:grpSpPr>
                                  <xdr:sp macro="" textlink="">
                                    <xdr:nvSpPr>
                                      <xdr:cNvPr id="926" name="Shape 118">
                                        <a:extLst>
                                          <a:ext uri="{FF2B5EF4-FFF2-40B4-BE49-F238E27FC236}">
                                            <a16:creationId xmlns:a16="http://schemas.microsoft.com/office/drawing/2014/main" id="{21CD4060-3823-05DF-A48A-A43F3766E7E6}"/>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7" name="Shape 119">
                                        <a:extLst>
                                          <a:ext uri="{FF2B5EF4-FFF2-40B4-BE49-F238E27FC236}">
                                            <a16:creationId xmlns:a16="http://schemas.microsoft.com/office/drawing/2014/main" id="{1A265EFD-88C7-3708-606C-4080A5EDE6E0}"/>
                                          </a:ext>
                                        </a:extLst>
                                      </xdr:cNvPr>
                                      <xdr:cNvGrpSpPr/>
                                    </xdr:nvGrpSpPr>
                                    <xdr:grpSpPr>
                                      <a:xfrm>
                                        <a:off x="5326950" y="1894050"/>
                                        <a:ext cx="38100" cy="7136663"/>
                                        <a:chOff x="5326950" y="1894050"/>
                                        <a:chExt cx="38100" cy="7136663"/>
                                      </a:xfrm>
                                    </xdr:grpSpPr>
                                    <xdr:sp macro="" textlink="">
                                      <xdr:nvSpPr>
                                        <xdr:cNvPr id="928" name="Shape 120">
                                          <a:extLst>
                                            <a:ext uri="{FF2B5EF4-FFF2-40B4-BE49-F238E27FC236}">
                                              <a16:creationId xmlns:a16="http://schemas.microsoft.com/office/drawing/2014/main" id="{E83AA798-66EE-BAE1-41BC-43A75A20A18D}"/>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9" name="Shape 121">
                                          <a:extLst>
                                            <a:ext uri="{FF2B5EF4-FFF2-40B4-BE49-F238E27FC236}">
                                              <a16:creationId xmlns:a16="http://schemas.microsoft.com/office/drawing/2014/main" id="{2CD24FF8-FB84-CFDD-539A-89321C2527D0}"/>
                                            </a:ext>
                                          </a:extLst>
                                        </xdr:cNvPr>
                                        <xdr:cNvGrpSpPr/>
                                      </xdr:nvGrpSpPr>
                                      <xdr:grpSpPr>
                                        <a:xfrm>
                                          <a:off x="5326950" y="1894050"/>
                                          <a:ext cx="38100" cy="7136663"/>
                                          <a:chOff x="5326950" y="1894050"/>
                                          <a:chExt cx="38100" cy="7136663"/>
                                        </a:xfrm>
                                      </xdr:grpSpPr>
                                      <xdr:sp macro="" textlink="">
                                        <xdr:nvSpPr>
                                          <xdr:cNvPr id="930" name="Shape 122">
                                            <a:extLst>
                                              <a:ext uri="{FF2B5EF4-FFF2-40B4-BE49-F238E27FC236}">
                                                <a16:creationId xmlns:a16="http://schemas.microsoft.com/office/drawing/2014/main" id="{5EF502B9-24E6-A919-65F9-1B7147518B7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31" name="Shape 123">
                                            <a:extLst>
                                              <a:ext uri="{FF2B5EF4-FFF2-40B4-BE49-F238E27FC236}">
                                                <a16:creationId xmlns:a16="http://schemas.microsoft.com/office/drawing/2014/main" id="{CF0E0761-CC60-E10F-71FA-40F851CDF7CE}"/>
                                              </a:ext>
                                            </a:extLst>
                                          </xdr:cNvPr>
                                          <xdr:cNvGrpSpPr/>
                                        </xdr:nvGrpSpPr>
                                        <xdr:grpSpPr>
                                          <a:xfrm>
                                            <a:off x="5326950" y="1894050"/>
                                            <a:ext cx="38100" cy="7136663"/>
                                            <a:chOff x="5326950" y="1894050"/>
                                            <a:chExt cx="38100" cy="7136663"/>
                                          </a:xfrm>
                                        </xdr:grpSpPr>
                                        <xdr:sp macro="" textlink="">
                                          <xdr:nvSpPr>
                                            <xdr:cNvPr id="932" name="Shape 124">
                                              <a:extLst>
                                                <a:ext uri="{FF2B5EF4-FFF2-40B4-BE49-F238E27FC236}">
                                                  <a16:creationId xmlns:a16="http://schemas.microsoft.com/office/drawing/2014/main" id="{9D993E32-1096-1B88-F38C-1D642831C7B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33" name="Shape 125">
                                              <a:extLst>
                                                <a:ext uri="{FF2B5EF4-FFF2-40B4-BE49-F238E27FC236}">
                                                  <a16:creationId xmlns:a16="http://schemas.microsoft.com/office/drawing/2014/main" id="{65D04F5A-A14D-D927-A1E8-1C8564A724BB}"/>
                                                </a:ext>
                                              </a:extLst>
                                            </xdr:cNvPr>
                                            <xdr:cNvGrpSpPr/>
                                          </xdr:nvGrpSpPr>
                                          <xdr:grpSpPr>
                                            <a:xfrm>
                                              <a:off x="5326950" y="1894050"/>
                                              <a:ext cx="38100" cy="7136663"/>
                                              <a:chOff x="5326950" y="1894050"/>
                                              <a:chExt cx="38100" cy="7136663"/>
                                            </a:xfrm>
                                          </xdr:grpSpPr>
                                          <xdr:sp macro="" textlink="">
                                            <xdr:nvSpPr>
                                              <xdr:cNvPr id="934" name="Shape 126">
                                                <a:extLst>
                                                  <a:ext uri="{FF2B5EF4-FFF2-40B4-BE49-F238E27FC236}">
                                                    <a16:creationId xmlns:a16="http://schemas.microsoft.com/office/drawing/2014/main" id="{313F340B-05F3-25B2-ED48-C30B512EB4EB}"/>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35" name="Shape 127">
                                                <a:extLst>
                                                  <a:ext uri="{FF2B5EF4-FFF2-40B4-BE49-F238E27FC236}">
                                                    <a16:creationId xmlns:a16="http://schemas.microsoft.com/office/drawing/2014/main" id="{CB25BA8C-B1DD-B692-EDE3-5BA78C70A47D}"/>
                                                  </a:ext>
                                                </a:extLst>
                                              </xdr:cNvPr>
                                              <xdr:cNvGrpSpPr/>
                                            </xdr:nvGrpSpPr>
                                            <xdr:grpSpPr>
                                              <a:xfrm>
                                                <a:off x="5326950" y="1894050"/>
                                                <a:ext cx="38100" cy="7136663"/>
                                                <a:chOff x="5326950" y="1894050"/>
                                                <a:chExt cx="38100" cy="7136663"/>
                                              </a:xfrm>
                                            </xdr:grpSpPr>
                                            <xdr:sp macro="" textlink="">
                                              <xdr:nvSpPr>
                                                <xdr:cNvPr id="936" name="Shape 128">
                                                  <a:extLst>
                                                    <a:ext uri="{FF2B5EF4-FFF2-40B4-BE49-F238E27FC236}">
                                                      <a16:creationId xmlns:a16="http://schemas.microsoft.com/office/drawing/2014/main" id="{ECF7708B-C0C3-9E0B-D8D4-033EC0BF2FA7}"/>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37" name="Shape 129">
                                                  <a:extLst>
                                                    <a:ext uri="{FF2B5EF4-FFF2-40B4-BE49-F238E27FC236}">
                                                      <a16:creationId xmlns:a16="http://schemas.microsoft.com/office/drawing/2014/main" id="{17D96CBC-3234-8DAE-6087-1D990C8CE2BA}"/>
                                                    </a:ext>
                                                  </a:extLst>
                                                </xdr:cNvPr>
                                                <xdr:cNvGrpSpPr/>
                                              </xdr:nvGrpSpPr>
                                              <xdr:grpSpPr>
                                                <a:xfrm>
                                                  <a:off x="5326950" y="1894050"/>
                                                  <a:ext cx="38100" cy="7136663"/>
                                                  <a:chOff x="5326950" y="1894050"/>
                                                  <a:chExt cx="38100" cy="7136663"/>
                                                </a:xfrm>
                                              </xdr:grpSpPr>
                                              <xdr:sp macro="" textlink="">
                                                <xdr:nvSpPr>
                                                  <xdr:cNvPr id="938" name="Shape 130">
                                                    <a:extLst>
                                                      <a:ext uri="{FF2B5EF4-FFF2-40B4-BE49-F238E27FC236}">
                                                        <a16:creationId xmlns:a16="http://schemas.microsoft.com/office/drawing/2014/main" id="{A6F2FC3B-55D2-A724-8AF1-EC5B75973B5B}"/>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39" name="Shape 131">
                                                    <a:extLst>
                                                      <a:ext uri="{FF2B5EF4-FFF2-40B4-BE49-F238E27FC236}">
                                                        <a16:creationId xmlns:a16="http://schemas.microsoft.com/office/drawing/2014/main" id="{85510E0D-34BB-4D12-9B6D-FD7390684E82}"/>
                                                      </a:ext>
                                                    </a:extLst>
                                                  </xdr:cNvPr>
                                                  <xdr:cNvGrpSpPr/>
                                                </xdr:nvGrpSpPr>
                                                <xdr:grpSpPr>
                                                  <a:xfrm>
                                                    <a:off x="5326950" y="1894050"/>
                                                    <a:ext cx="38100" cy="7136663"/>
                                                    <a:chOff x="5326950" y="1894050"/>
                                                    <a:chExt cx="38100" cy="7136663"/>
                                                  </a:xfrm>
                                                </xdr:grpSpPr>
                                                <xdr:sp macro="" textlink="">
                                                  <xdr:nvSpPr>
                                                    <xdr:cNvPr id="940" name="Shape 132">
                                                      <a:extLst>
                                                        <a:ext uri="{FF2B5EF4-FFF2-40B4-BE49-F238E27FC236}">
                                                          <a16:creationId xmlns:a16="http://schemas.microsoft.com/office/drawing/2014/main" id="{85DC9628-B9F5-8431-5270-58208776416F}"/>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1" name="Shape 133">
                                                      <a:extLst>
                                                        <a:ext uri="{FF2B5EF4-FFF2-40B4-BE49-F238E27FC236}">
                                                          <a16:creationId xmlns:a16="http://schemas.microsoft.com/office/drawing/2014/main" id="{F5C31831-8B38-EE0C-A3EE-2EE1DEDE72C0}"/>
                                                        </a:ext>
                                                      </a:extLst>
                                                    </xdr:cNvPr>
                                                    <xdr:cNvGrpSpPr/>
                                                  </xdr:nvGrpSpPr>
                                                  <xdr:grpSpPr>
                                                    <a:xfrm>
                                                      <a:off x="5326950" y="1894050"/>
                                                      <a:ext cx="38100" cy="7136663"/>
                                                      <a:chOff x="5326950" y="1894050"/>
                                                      <a:chExt cx="38100" cy="7136663"/>
                                                    </a:xfrm>
                                                  </xdr:grpSpPr>
                                                  <xdr:sp macro="" textlink="">
                                                    <xdr:nvSpPr>
                                                      <xdr:cNvPr id="942" name="Shape 134">
                                                        <a:extLst>
                                                          <a:ext uri="{FF2B5EF4-FFF2-40B4-BE49-F238E27FC236}">
                                                            <a16:creationId xmlns:a16="http://schemas.microsoft.com/office/drawing/2014/main" id="{16029F30-920E-566B-F616-E93D3935553D}"/>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3" name="Shape 135">
                                                        <a:extLst>
                                                          <a:ext uri="{FF2B5EF4-FFF2-40B4-BE49-F238E27FC236}">
                                                            <a16:creationId xmlns:a16="http://schemas.microsoft.com/office/drawing/2014/main" id="{41286C06-915D-BB0D-8261-F02B7ECA5FCE}"/>
                                                          </a:ext>
                                                        </a:extLst>
                                                      </xdr:cNvPr>
                                                      <xdr:cNvGrpSpPr/>
                                                    </xdr:nvGrpSpPr>
                                                    <xdr:grpSpPr>
                                                      <a:xfrm>
                                                        <a:off x="5326950" y="1894050"/>
                                                        <a:ext cx="38100" cy="7136663"/>
                                                        <a:chOff x="5326950" y="1894050"/>
                                                        <a:chExt cx="38100" cy="7136663"/>
                                                      </a:xfrm>
                                                    </xdr:grpSpPr>
                                                    <xdr:sp macro="" textlink="">
                                                      <xdr:nvSpPr>
                                                        <xdr:cNvPr id="944" name="Shape 136">
                                                          <a:extLst>
                                                            <a:ext uri="{FF2B5EF4-FFF2-40B4-BE49-F238E27FC236}">
                                                              <a16:creationId xmlns:a16="http://schemas.microsoft.com/office/drawing/2014/main" id="{9A3AE690-AD35-EC17-D95F-43B44A5FA74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5" name="Shape 137">
                                                          <a:extLst>
                                                            <a:ext uri="{FF2B5EF4-FFF2-40B4-BE49-F238E27FC236}">
                                                              <a16:creationId xmlns:a16="http://schemas.microsoft.com/office/drawing/2014/main" id="{FB47F6B8-BD22-7850-D48D-A4198390CBE4}"/>
                                                            </a:ext>
                                                          </a:extLst>
                                                        </xdr:cNvPr>
                                                        <xdr:cNvGrpSpPr/>
                                                      </xdr:nvGrpSpPr>
                                                      <xdr:grpSpPr>
                                                        <a:xfrm>
                                                          <a:off x="5326950" y="1894050"/>
                                                          <a:ext cx="38100" cy="7136663"/>
                                                          <a:chOff x="5326950" y="1894050"/>
                                                          <a:chExt cx="38100" cy="7136663"/>
                                                        </a:xfrm>
                                                      </xdr:grpSpPr>
                                                      <xdr:sp macro="" textlink="">
                                                        <xdr:nvSpPr>
                                                          <xdr:cNvPr id="946" name="Shape 138">
                                                            <a:extLst>
                                                              <a:ext uri="{FF2B5EF4-FFF2-40B4-BE49-F238E27FC236}">
                                                                <a16:creationId xmlns:a16="http://schemas.microsoft.com/office/drawing/2014/main" id="{ABF56D9F-1C53-0C1A-AE3D-2B2DCBBA157C}"/>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7" name="Shape 139">
                                                            <a:extLst>
                                                              <a:ext uri="{FF2B5EF4-FFF2-40B4-BE49-F238E27FC236}">
                                                                <a16:creationId xmlns:a16="http://schemas.microsoft.com/office/drawing/2014/main" id="{268C5011-5E98-3C9E-B7AF-431F36BC1365}"/>
                                                              </a:ext>
                                                            </a:extLst>
                                                          </xdr:cNvPr>
                                                          <xdr:cNvGrpSpPr/>
                                                        </xdr:nvGrpSpPr>
                                                        <xdr:grpSpPr>
                                                          <a:xfrm>
                                                            <a:off x="5326950" y="1894050"/>
                                                            <a:ext cx="38100" cy="7136663"/>
                                                            <a:chOff x="5326950" y="1894050"/>
                                                            <a:chExt cx="38100" cy="7136663"/>
                                                          </a:xfrm>
                                                        </xdr:grpSpPr>
                                                        <xdr:sp macro="" textlink="">
                                                          <xdr:nvSpPr>
                                                            <xdr:cNvPr id="948" name="Shape 140">
                                                              <a:extLst>
                                                                <a:ext uri="{FF2B5EF4-FFF2-40B4-BE49-F238E27FC236}">
                                                                  <a16:creationId xmlns:a16="http://schemas.microsoft.com/office/drawing/2014/main" id="{95D0F4A0-1D42-D5E1-B7E1-ACA8AEB7F9F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9" name="Shape 141">
                                                              <a:extLst>
                                                                <a:ext uri="{FF2B5EF4-FFF2-40B4-BE49-F238E27FC236}">
                                                                  <a16:creationId xmlns:a16="http://schemas.microsoft.com/office/drawing/2014/main" id="{A51A1745-D421-7015-6914-0C59546D4EBA}"/>
                                                                </a:ext>
                                                              </a:extLst>
                                                            </xdr:cNvPr>
                                                            <xdr:cNvGrpSpPr/>
                                                          </xdr:nvGrpSpPr>
                                                          <xdr:grpSpPr>
                                                            <a:xfrm>
                                                              <a:off x="5326950" y="1894050"/>
                                                              <a:ext cx="38100" cy="7136663"/>
                                                              <a:chOff x="5326950" y="1894050"/>
                                                              <a:chExt cx="38100" cy="7136663"/>
                                                            </a:xfrm>
                                                          </xdr:grpSpPr>
                                                          <xdr:sp macro="" textlink="">
                                                            <xdr:nvSpPr>
                                                              <xdr:cNvPr id="950" name="Shape 142">
                                                                <a:extLst>
                                                                  <a:ext uri="{FF2B5EF4-FFF2-40B4-BE49-F238E27FC236}">
                                                                    <a16:creationId xmlns:a16="http://schemas.microsoft.com/office/drawing/2014/main" id="{ABAB2822-B1CB-BD6A-945D-AAA3BE0E2EAA}"/>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51" name="Shape 143">
                                                                <a:extLst>
                                                                  <a:ext uri="{FF2B5EF4-FFF2-40B4-BE49-F238E27FC236}">
                                                                    <a16:creationId xmlns:a16="http://schemas.microsoft.com/office/drawing/2014/main" id="{8759FB09-CA47-E4B5-4BA3-2A9EBDC99700}"/>
                                                                  </a:ext>
                                                                </a:extLst>
                                                              </xdr:cNvPr>
                                                              <xdr:cNvGrpSpPr/>
                                                            </xdr:nvGrpSpPr>
                                                            <xdr:grpSpPr>
                                                              <a:xfrm>
                                                                <a:off x="5326950" y="1894050"/>
                                                                <a:ext cx="38100" cy="7136663"/>
                                                                <a:chOff x="5326950" y="1894050"/>
                                                                <a:chExt cx="38100" cy="7136663"/>
                                                              </a:xfrm>
                                                            </xdr:grpSpPr>
                                                            <xdr:sp macro="" textlink="">
                                                              <xdr:nvSpPr>
                                                                <xdr:cNvPr id="952" name="Shape 144">
                                                                  <a:extLst>
                                                                    <a:ext uri="{FF2B5EF4-FFF2-40B4-BE49-F238E27FC236}">
                                                                      <a16:creationId xmlns:a16="http://schemas.microsoft.com/office/drawing/2014/main" id="{02231296-F5EA-DE5C-8480-3C0C555C22DB}"/>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53" name="Shape 145">
                                                                  <a:extLst>
                                                                    <a:ext uri="{FF2B5EF4-FFF2-40B4-BE49-F238E27FC236}">
                                                                      <a16:creationId xmlns:a16="http://schemas.microsoft.com/office/drawing/2014/main" id="{59235B35-10FB-DAD0-1EBB-9DD8522CA9E0}"/>
                                                                    </a:ext>
                                                                  </a:extLst>
                                                                </xdr:cNvPr>
                                                                <xdr:cNvGrpSpPr/>
                                                              </xdr:nvGrpSpPr>
                                                              <xdr:grpSpPr>
                                                                <a:xfrm>
                                                                  <a:off x="5326950" y="1894050"/>
                                                                  <a:ext cx="38100" cy="7136663"/>
                                                                  <a:chOff x="5326950" y="1894050"/>
                                                                  <a:chExt cx="38100" cy="7136663"/>
                                                                </a:xfrm>
                                                              </xdr:grpSpPr>
                                                              <xdr:sp macro="" textlink="">
                                                                <xdr:nvSpPr>
                                                                  <xdr:cNvPr id="954" name="Shape 146">
                                                                    <a:extLst>
                                                                      <a:ext uri="{FF2B5EF4-FFF2-40B4-BE49-F238E27FC236}">
                                                                        <a16:creationId xmlns:a16="http://schemas.microsoft.com/office/drawing/2014/main" id="{9F8A815D-A76E-AC41-8E94-1B8A4A7E9E45}"/>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55" name="Shape 147">
                                                                    <a:extLst>
                                                                      <a:ext uri="{FF2B5EF4-FFF2-40B4-BE49-F238E27FC236}">
                                                                        <a16:creationId xmlns:a16="http://schemas.microsoft.com/office/drawing/2014/main" id="{FD387A47-7CFF-2B38-52E3-15B4EEF0D003}"/>
                                                                      </a:ext>
                                                                    </a:extLst>
                                                                  </xdr:cNvPr>
                                                                  <xdr:cNvGrpSpPr/>
                                                                </xdr:nvGrpSpPr>
                                                                <xdr:grpSpPr>
                                                                  <a:xfrm>
                                                                    <a:off x="5326950" y="1894050"/>
                                                                    <a:ext cx="38100" cy="7136663"/>
                                                                    <a:chOff x="5326950" y="1894050"/>
                                                                    <a:chExt cx="38100" cy="7136663"/>
                                                                  </a:xfrm>
                                                                </xdr:grpSpPr>
                                                                <xdr:sp macro="" textlink="">
                                                                  <xdr:nvSpPr>
                                                                    <xdr:cNvPr id="956" name="Shape 148">
                                                                      <a:extLst>
                                                                        <a:ext uri="{FF2B5EF4-FFF2-40B4-BE49-F238E27FC236}">
                                                                          <a16:creationId xmlns:a16="http://schemas.microsoft.com/office/drawing/2014/main" id="{B30BA069-8AC5-4A26-B760-4F000AF130A8}"/>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57" name="Shape 149">
                                                                      <a:extLst>
                                                                        <a:ext uri="{FF2B5EF4-FFF2-40B4-BE49-F238E27FC236}">
                                                                          <a16:creationId xmlns:a16="http://schemas.microsoft.com/office/drawing/2014/main" id="{7F44A5B5-D363-D248-80AD-B21D8C823548}"/>
                                                                        </a:ext>
                                                                      </a:extLst>
                                                                    </xdr:cNvPr>
                                                                    <xdr:cNvGrpSpPr/>
                                                                  </xdr:nvGrpSpPr>
                                                                  <xdr:grpSpPr>
                                                                    <a:xfrm>
                                                                      <a:off x="5326950" y="1894050"/>
                                                                      <a:ext cx="38100" cy="7136663"/>
                                                                      <a:chOff x="5326950" y="1894050"/>
                                                                      <a:chExt cx="38100" cy="7136663"/>
                                                                    </a:xfrm>
                                                                  </xdr:grpSpPr>
                                                                  <xdr:sp macro="" textlink="">
                                                                    <xdr:nvSpPr>
                                                                      <xdr:cNvPr id="958" name="Shape 150">
                                                                        <a:extLst>
                                                                          <a:ext uri="{FF2B5EF4-FFF2-40B4-BE49-F238E27FC236}">
                                                                            <a16:creationId xmlns:a16="http://schemas.microsoft.com/office/drawing/2014/main" id="{4D3C5DBF-1D40-FF91-F345-610BC82F5775}"/>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59" name="Shape 151">
                                                                        <a:extLst>
                                                                          <a:ext uri="{FF2B5EF4-FFF2-40B4-BE49-F238E27FC236}">
                                                                            <a16:creationId xmlns:a16="http://schemas.microsoft.com/office/drawing/2014/main" id="{EFB28963-EB46-2AF9-A9C5-FEFD3DE4C707}"/>
                                                                          </a:ext>
                                                                        </a:extLst>
                                                                      </xdr:cNvPr>
                                                                      <xdr:cNvGrpSpPr/>
                                                                    </xdr:nvGrpSpPr>
                                                                    <xdr:grpSpPr>
                                                                      <a:xfrm>
                                                                        <a:off x="5326950" y="1894050"/>
                                                                        <a:ext cx="38100" cy="7136663"/>
                                                                        <a:chOff x="5326950" y="1894050"/>
                                                                        <a:chExt cx="38100" cy="7136663"/>
                                                                      </a:xfrm>
                                                                    </xdr:grpSpPr>
                                                                    <xdr:sp macro="" textlink="">
                                                                      <xdr:nvSpPr>
                                                                        <xdr:cNvPr id="960" name="Shape 152">
                                                                          <a:extLst>
                                                                            <a:ext uri="{FF2B5EF4-FFF2-40B4-BE49-F238E27FC236}">
                                                                              <a16:creationId xmlns:a16="http://schemas.microsoft.com/office/drawing/2014/main" id="{13FC76EA-5A6E-4610-D202-238862EBA01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1" name="Shape 153">
                                                                          <a:extLst>
                                                                            <a:ext uri="{FF2B5EF4-FFF2-40B4-BE49-F238E27FC236}">
                                                                              <a16:creationId xmlns:a16="http://schemas.microsoft.com/office/drawing/2014/main" id="{A1588E8B-C0B0-D650-ECCA-FEC4C1363744}"/>
                                                                            </a:ext>
                                                                          </a:extLst>
                                                                        </xdr:cNvPr>
                                                                        <xdr:cNvGrpSpPr/>
                                                                      </xdr:nvGrpSpPr>
                                                                      <xdr:grpSpPr>
                                                                        <a:xfrm>
                                                                          <a:off x="5326950" y="1894050"/>
                                                                          <a:ext cx="38100" cy="7136663"/>
                                                                          <a:chOff x="5326950" y="1894050"/>
                                                                          <a:chExt cx="38100" cy="7136663"/>
                                                                        </a:xfrm>
                                                                      </xdr:grpSpPr>
                                                                      <xdr:sp macro="" textlink="">
                                                                        <xdr:nvSpPr>
                                                                          <xdr:cNvPr id="962" name="Shape 154">
                                                                            <a:extLst>
                                                                              <a:ext uri="{FF2B5EF4-FFF2-40B4-BE49-F238E27FC236}">
                                                                                <a16:creationId xmlns:a16="http://schemas.microsoft.com/office/drawing/2014/main" id="{1E9F614E-ACF7-2EDD-100C-5BAAF946629E}"/>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3" name="Shape 155">
                                                                            <a:extLst>
                                                                              <a:ext uri="{FF2B5EF4-FFF2-40B4-BE49-F238E27FC236}">
                                                                                <a16:creationId xmlns:a16="http://schemas.microsoft.com/office/drawing/2014/main" id="{F0CB1B50-E465-D6CF-96A0-DE76D6394E3F}"/>
                                                                              </a:ext>
                                                                            </a:extLst>
                                                                          </xdr:cNvPr>
                                                                          <xdr:cNvGrpSpPr/>
                                                                        </xdr:nvGrpSpPr>
                                                                        <xdr:grpSpPr>
                                                                          <a:xfrm>
                                                                            <a:off x="5326950" y="1894050"/>
                                                                            <a:ext cx="38100" cy="7136663"/>
                                                                            <a:chOff x="5326950" y="1894050"/>
                                                                            <a:chExt cx="38100" cy="7136663"/>
                                                                          </a:xfrm>
                                                                        </xdr:grpSpPr>
                                                                        <xdr:sp macro="" textlink="">
                                                                          <xdr:nvSpPr>
                                                                            <xdr:cNvPr id="964" name="Shape 156">
                                                                              <a:extLst>
                                                                                <a:ext uri="{FF2B5EF4-FFF2-40B4-BE49-F238E27FC236}">
                                                                                  <a16:creationId xmlns:a16="http://schemas.microsoft.com/office/drawing/2014/main" id="{A99CEECF-71DD-06F2-3FA9-D049608442E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5" name="Shape 157">
                                                                              <a:extLst>
                                                                                <a:ext uri="{FF2B5EF4-FFF2-40B4-BE49-F238E27FC236}">
                                                                                  <a16:creationId xmlns:a16="http://schemas.microsoft.com/office/drawing/2014/main" id="{8770B602-16D9-D2D5-C6F3-74B06F04ED86}"/>
                                                                                </a:ext>
                                                                              </a:extLst>
                                                                            </xdr:cNvPr>
                                                                            <xdr:cNvGrpSpPr/>
                                                                          </xdr:nvGrpSpPr>
                                                                          <xdr:grpSpPr>
                                                                            <a:xfrm>
                                                                              <a:off x="5326950" y="1894050"/>
                                                                              <a:ext cx="38100" cy="7136663"/>
                                                                              <a:chOff x="5326950" y="1894050"/>
                                                                              <a:chExt cx="38100" cy="7136663"/>
                                                                            </a:xfrm>
                                                                          </xdr:grpSpPr>
                                                                          <xdr:sp macro="" textlink="">
                                                                            <xdr:nvSpPr>
                                                                              <xdr:cNvPr id="966" name="Shape 158">
                                                                                <a:extLst>
                                                                                  <a:ext uri="{FF2B5EF4-FFF2-40B4-BE49-F238E27FC236}">
                                                                                    <a16:creationId xmlns:a16="http://schemas.microsoft.com/office/drawing/2014/main" id="{3A43D945-5861-7758-5914-A008EDE56AE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7" name="Shape 159">
                                                                                <a:extLst>
                                                                                  <a:ext uri="{FF2B5EF4-FFF2-40B4-BE49-F238E27FC236}">
                                                                                    <a16:creationId xmlns:a16="http://schemas.microsoft.com/office/drawing/2014/main" id="{9AF84DA3-0AF7-906C-90F5-1939620E201D}"/>
                                                                                  </a:ext>
                                                                                </a:extLst>
                                                                              </xdr:cNvPr>
                                                                              <xdr:cNvGrpSpPr/>
                                                                            </xdr:nvGrpSpPr>
                                                                            <xdr:grpSpPr>
                                                                              <a:xfrm>
                                                                                <a:off x="5326950" y="1894050"/>
                                                                                <a:ext cx="38100" cy="7136663"/>
                                                                                <a:chOff x="5326950" y="1894050"/>
                                                                                <a:chExt cx="38100" cy="7136663"/>
                                                                              </a:xfrm>
                                                                            </xdr:grpSpPr>
                                                                            <xdr:sp macro="" textlink="">
                                                                              <xdr:nvSpPr>
                                                                                <xdr:cNvPr id="968" name="Shape 160">
                                                                                  <a:extLst>
                                                                                    <a:ext uri="{FF2B5EF4-FFF2-40B4-BE49-F238E27FC236}">
                                                                                      <a16:creationId xmlns:a16="http://schemas.microsoft.com/office/drawing/2014/main" id="{87547F0E-F295-99BB-B9D3-D629A35014FE}"/>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9" name="Shape 161">
                                                                                  <a:extLst>
                                                                                    <a:ext uri="{FF2B5EF4-FFF2-40B4-BE49-F238E27FC236}">
                                                                                      <a16:creationId xmlns:a16="http://schemas.microsoft.com/office/drawing/2014/main" id="{4A6097D9-F688-E05E-5806-7797E6CEBFF1}"/>
                                                                                    </a:ext>
                                                                                  </a:extLst>
                                                                                </xdr:cNvPr>
                                                                                <xdr:cNvGrpSpPr/>
                                                                              </xdr:nvGrpSpPr>
                                                                              <xdr:grpSpPr>
                                                                                <a:xfrm>
                                                                                  <a:off x="5326950" y="1894050"/>
                                                                                  <a:ext cx="38100" cy="7136663"/>
                                                                                  <a:chOff x="5326950" y="1894050"/>
                                                                                  <a:chExt cx="38100" cy="7136663"/>
                                                                                </a:xfrm>
                                                                              </xdr:grpSpPr>
                                                                              <xdr:sp macro="" textlink="">
                                                                                <xdr:nvSpPr>
                                                                                  <xdr:cNvPr id="970" name="Shape 162">
                                                                                    <a:extLst>
                                                                                      <a:ext uri="{FF2B5EF4-FFF2-40B4-BE49-F238E27FC236}">
                                                                                        <a16:creationId xmlns:a16="http://schemas.microsoft.com/office/drawing/2014/main" id="{9447E411-7766-E5C3-7DD5-9F578BD77FEC}"/>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71" name="Shape 163">
                                                                                    <a:extLst>
                                                                                      <a:ext uri="{FF2B5EF4-FFF2-40B4-BE49-F238E27FC236}">
                                                                                        <a16:creationId xmlns:a16="http://schemas.microsoft.com/office/drawing/2014/main" id="{6B160298-D485-9C69-3CCB-B834EC7B1FDE}"/>
                                                                                      </a:ext>
                                                                                    </a:extLst>
                                                                                  </xdr:cNvPr>
                                                                                  <xdr:cNvGrpSpPr/>
                                                                                </xdr:nvGrpSpPr>
                                                                                <xdr:grpSpPr>
                                                                                  <a:xfrm>
                                                                                    <a:off x="5326950" y="1894050"/>
                                                                                    <a:ext cx="38100" cy="7136663"/>
                                                                                    <a:chOff x="5326950" y="1894050"/>
                                                                                    <a:chExt cx="38100" cy="7136663"/>
                                                                                  </a:xfrm>
                                                                                </xdr:grpSpPr>
                                                                                <xdr:sp macro="" textlink="">
                                                                                  <xdr:nvSpPr>
                                                                                    <xdr:cNvPr id="972" name="Shape 164">
                                                                                      <a:extLst>
                                                                                        <a:ext uri="{FF2B5EF4-FFF2-40B4-BE49-F238E27FC236}">
                                                                                          <a16:creationId xmlns:a16="http://schemas.microsoft.com/office/drawing/2014/main" id="{2AA48DDD-B7B7-9FA4-F830-CB3E8325342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73" name="Shape 165">
                                                                                      <a:extLst>
                                                                                        <a:ext uri="{FF2B5EF4-FFF2-40B4-BE49-F238E27FC236}">
                                                                                          <a16:creationId xmlns:a16="http://schemas.microsoft.com/office/drawing/2014/main" id="{096ACACD-5870-F707-07D0-C2C4E83E5C83}"/>
                                                                                        </a:ext>
                                                                                      </a:extLst>
                                                                                    </xdr:cNvPr>
                                                                                    <xdr:cNvGrpSpPr/>
                                                                                  </xdr:nvGrpSpPr>
                                                                                  <xdr:grpSpPr>
                                                                                    <a:xfrm>
                                                                                      <a:off x="5326950" y="1894050"/>
                                                                                      <a:ext cx="38100" cy="7136663"/>
                                                                                      <a:chOff x="5326950" y="1894050"/>
                                                                                      <a:chExt cx="38100" cy="7136663"/>
                                                                                    </a:xfrm>
                                                                                  </xdr:grpSpPr>
                                                                                  <xdr:sp macro="" textlink="">
                                                                                    <xdr:nvSpPr>
                                                                                      <xdr:cNvPr id="974" name="Shape 166">
                                                                                        <a:extLst>
                                                                                          <a:ext uri="{FF2B5EF4-FFF2-40B4-BE49-F238E27FC236}">
                                                                                            <a16:creationId xmlns:a16="http://schemas.microsoft.com/office/drawing/2014/main" id="{22C34C90-4186-4564-450E-572BA627B37E}"/>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75" name="Shape 167">
                                                                                        <a:extLst>
                                                                                          <a:ext uri="{FF2B5EF4-FFF2-40B4-BE49-F238E27FC236}">
                                                                                            <a16:creationId xmlns:a16="http://schemas.microsoft.com/office/drawing/2014/main" id="{431C4A54-8C33-2C2B-0256-F14C53DAD807}"/>
                                                                                          </a:ext>
                                                                                        </a:extLst>
                                                                                      </xdr:cNvPr>
                                                                                      <xdr:cNvGrpSpPr/>
                                                                                    </xdr:nvGrpSpPr>
                                                                                    <xdr:grpSpPr>
                                                                                      <a:xfrm>
                                                                                        <a:off x="5326950" y="1894050"/>
                                                                                        <a:ext cx="38100" cy="7136663"/>
                                                                                        <a:chOff x="5326950" y="1894050"/>
                                                                                        <a:chExt cx="38100" cy="7136663"/>
                                                                                      </a:xfrm>
                                                                                    </xdr:grpSpPr>
                                                                                    <xdr:sp macro="" textlink="">
                                                                                      <xdr:nvSpPr>
                                                                                        <xdr:cNvPr id="976" name="Shape 168">
                                                                                          <a:extLst>
                                                                                            <a:ext uri="{FF2B5EF4-FFF2-40B4-BE49-F238E27FC236}">
                                                                                              <a16:creationId xmlns:a16="http://schemas.microsoft.com/office/drawing/2014/main" id="{DDAF7CA9-F21F-5518-B7E9-00EA282DA085}"/>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77" name="Shape 169">
                                                                                          <a:extLst>
                                                                                            <a:ext uri="{FF2B5EF4-FFF2-40B4-BE49-F238E27FC236}">
                                                                                              <a16:creationId xmlns:a16="http://schemas.microsoft.com/office/drawing/2014/main" id="{B274CC32-E177-1DF4-E3C8-DCF7178D6692}"/>
                                                                                            </a:ext>
                                                                                          </a:extLst>
                                                                                        </xdr:cNvPr>
                                                                                        <xdr:cNvGrpSpPr/>
                                                                                      </xdr:nvGrpSpPr>
                                                                                      <xdr:grpSpPr>
                                                                                        <a:xfrm>
                                                                                          <a:off x="5326950" y="1894050"/>
                                                                                          <a:ext cx="38100" cy="7136663"/>
                                                                                          <a:chOff x="5326950" y="1894050"/>
                                                                                          <a:chExt cx="38100" cy="7136663"/>
                                                                                        </a:xfrm>
                                                                                      </xdr:grpSpPr>
                                                                                      <xdr:sp macro="" textlink="">
                                                                                        <xdr:nvSpPr>
                                                                                          <xdr:cNvPr id="978" name="Shape 170">
                                                                                            <a:extLst>
                                                                                              <a:ext uri="{FF2B5EF4-FFF2-40B4-BE49-F238E27FC236}">
                                                                                                <a16:creationId xmlns:a16="http://schemas.microsoft.com/office/drawing/2014/main" id="{093DA9D4-2145-C50F-DFBC-FEC8B4BD3052}"/>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79" name="Shape 171">
                                                                                            <a:extLst>
                                                                                              <a:ext uri="{FF2B5EF4-FFF2-40B4-BE49-F238E27FC236}">
                                                                                                <a16:creationId xmlns:a16="http://schemas.microsoft.com/office/drawing/2014/main" id="{E313DEBF-BBD1-3517-F611-5AAEC00778D5}"/>
                                                                                              </a:ext>
                                                                                            </a:extLst>
                                                                                          </xdr:cNvPr>
                                                                                          <xdr:cNvGrpSpPr/>
                                                                                        </xdr:nvGrpSpPr>
                                                                                        <xdr:grpSpPr>
                                                                                          <a:xfrm>
                                                                                            <a:off x="5326950" y="1894050"/>
                                                                                            <a:ext cx="38100" cy="7136663"/>
                                                                                            <a:chOff x="5326950" y="1894050"/>
                                                                                            <a:chExt cx="38100" cy="7136663"/>
                                                                                          </a:xfrm>
                                                                                        </xdr:grpSpPr>
                                                                                        <xdr:sp macro="" textlink="">
                                                                                          <xdr:nvSpPr>
                                                                                            <xdr:cNvPr id="980" name="Shape 172">
                                                                                              <a:extLst>
                                                                                                <a:ext uri="{FF2B5EF4-FFF2-40B4-BE49-F238E27FC236}">
                                                                                                  <a16:creationId xmlns:a16="http://schemas.microsoft.com/office/drawing/2014/main" id="{CDC445D4-AF44-448D-B126-DEBAF24E3C77}"/>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81" name="Shape 173">
                                                                                              <a:extLst>
                                                                                                <a:ext uri="{FF2B5EF4-FFF2-40B4-BE49-F238E27FC236}">
                                                                                                  <a16:creationId xmlns:a16="http://schemas.microsoft.com/office/drawing/2014/main" id="{2FF147B1-D026-DCE5-23D7-A703B2419EB9}"/>
                                                                                                </a:ext>
                                                                                              </a:extLst>
                                                                                            </xdr:cNvPr>
                                                                                            <xdr:cNvGrpSpPr/>
                                                                                          </xdr:nvGrpSpPr>
                                                                                          <xdr:grpSpPr>
                                                                                            <a:xfrm>
                                                                                              <a:off x="5326950" y="1894050"/>
                                                                                              <a:ext cx="38100" cy="7136663"/>
                                                                                              <a:chOff x="5326950" y="1894050"/>
                                                                                              <a:chExt cx="38100" cy="7136663"/>
                                                                                            </a:xfrm>
                                                                                          </xdr:grpSpPr>
                                                                                          <xdr:sp macro="" textlink="">
                                                                                            <xdr:nvSpPr>
                                                                                              <xdr:cNvPr id="982" name="Shape 174">
                                                                                                <a:extLst>
                                                                                                  <a:ext uri="{FF2B5EF4-FFF2-40B4-BE49-F238E27FC236}">
                                                                                                    <a16:creationId xmlns:a16="http://schemas.microsoft.com/office/drawing/2014/main" id="{7F0CF8F6-91D0-FD6B-6E9E-815A4B6AE8CC}"/>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83" name="Shape 175">
                                                                                                <a:extLst>
                                                                                                  <a:ext uri="{FF2B5EF4-FFF2-40B4-BE49-F238E27FC236}">
                                                                                                    <a16:creationId xmlns:a16="http://schemas.microsoft.com/office/drawing/2014/main" id="{1AC071BC-19A2-8AD3-6A07-FC6D1125DD1C}"/>
                                                                                                  </a:ext>
                                                                                                </a:extLst>
                                                                                              </xdr:cNvPr>
                                                                                              <xdr:cNvGrpSpPr/>
                                                                                            </xdr:nvGrpSpPr>
                                                                                            <xdr:grpSpPr>
                                                                                              <a:xfrm>
                                                                                                <a:off x="5326950" y="1894050"/>
                                                                                                <a:ext cx="38100" cy="7136663"/>
                                                                                                <a:chOff x="5336475" y="1894050"/>
                                                                                                <a:chExt cx="19050" cy="7136663"/>
                                                                                              </a:xfrm>
                                                                                            </xdr:grpSpPr>
                                                                                            <xdr:sp macro="" textlink="">
                                                                                              <xdr:nvSpPr>
                                                                                                <xdr:cNvPr id="984" name="Shape 176">
                                                                                                  <a:extLst>
                                                                                                    <a:ext uri="{FF2B5EF4-FFF2-40B4-BE49-F238E27FC236}">
                                                                                                      <a16:creationId xmlns:a16="http://schemas.microsoft.com/office/drawing/2014/main" id="{4366BBC4-5F0E-F9CC-8216-EAA5CE623FA0}"/>
                                                                                                    </a:ext>
                                                                                                  </a:extLst>
                                                                                                </xdr:cNvPr>
                                                                                                <xdr:cNvSpPr/>
                                                                                              </xdr:nvSpPr>
                                                                                              <xdr:spPr>
                                                                                                <a:xfrm>
                                                                                                  <a:off x="5336475" y="1894050"/>
                                                                                                  <a:ext cx="1905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85" name="Shape 177">
                                                                                                  <a:extLst>
                                                                                                    <a:ext uri="{FF2B5EF4-FFF2-40B4-BE49-F238E27FC236}">
                                                                                                      <a16:creationId xmlns:a16="http://schemas.microsoft.com/office/drawing/2014/main" id="{4577BF85-B490-08D6-2379-BFF919BB8DED}"/>
                                                                                                    </a:ext>
                                                                                                  </a:extLst>
                                                                                                </xdr:cNvPr>
                                                                                                <xdr:cNvCxnSpPr>
                                                                                                  <a:stCxn id="964" idx="0"/>
                                                                                                </xdr:cNvCxnSpPr>
                                                                                              </xdr:nvCxnSpPr>
                                                                                              <xdr:spPr>
                                                                                                <a:xfrm flipH="1">
                                                                                                  <a:off x="5343000" y="1894050"/>
                                                                                                  <a:ext cx="3000" cy="7136663"/>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8</xdr:col>
      <xdr:colOff>485775</xdr:colOff>
      <xdr:row>85</xdr:row>
      <xdr:rowOff>38100</xdr:rowOff>
    </xdr:from>
    <xdr:ext cx="3238500" cy="552450"/>
    <xdr:sp macro="" textlink="">
      <xdr:nvSpPr>
        <xdr:cNvPr id="986" name="Shape 178">
          <a:extLst>
            <a:ext uri="{FF2B5EF4-FFF2-40B4-BE49-F238E27FC236}">
              <a16:creationId xmlns:a16="http://schemas.microsoft.com/office/drawing/2014/main" id="{5F9F81F2-CE07-4CB3-9A81-1185F137C82F}"/>
            </a:ext>
          </a:extLst>
        </xdr:cNvPr>
        <xdr:cNvSpPr/>
      </xdr:nvSpPr>
      <xdr:spPr>
        <a:xfrm>
          <a:off x="4897755" y="20505420"/>
          <a:ext cx="3238500" cy="552450"/>
        </a:xfrm>
        <a:prstGeom prst="roundRect">
          <a:avLst>
            <a:gd name="adj" fmla="val 16667"/>
          </a:avLst>
        </a:prstGeom>
        <a:solidFill>
          <a:srgbClr val="68A042"/>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2400"/>
            <a:buFont typeface="Quattrocento Sans"/>
            <a:buNone/>
          </a:pPr>
          <a:r>
            <a:rPr lang="en-US" sz="2400" b="1">
              <a:solidFill>
                <a:schemeClr val="dk1"/>
              </a:solidFill>
              <a:latin typeface="Quattrocento Sans"/>
              <a:ea typeface="Quattrocento Sans"/>
              <a:cs typeface="Quattrocento Sans"/>
              <a:sym typeface="Quattrocento Sans"/>
            </a:rPr>
            <a:t>BALANÇO MENSAL</a:t>
          </a:r>
          <a:endParaRPr sz="1400"/>
        </a:p>
      </xdr:txBody>
    </xdr:sp>
    <xdr:clientData fLocksWithSheet="0"/>
  </xdr:oneCellAnchor>
  <xdr:oneCellAnchor>
    <xdr:from>
      <xdr:col>11</xdr:col>
      <xdr:colOff>276225</xdr:colOff>
      <xdr:row>89</xdr:row>
      <xdr:rowOff>66675</xdr:rowOff>
    </xdr:from>
    <xdr:ext cx="38100" cy="4171950"/>
    <xdr:grpSp>
      <xdr:nvGrpSpPr>
        <xdr:cNvPr id="987" name="Shape 2">
          <a:extLst>
            <a:ext uri="{FF2B5EF4-FFF2-40B4-BE49-F238E27FC236}">
              <a16:creationId xmlns:a16="http://schemas.microsoft.com/office/drawing/2014/main" id="{6F4C7A48-B070-4AE9-8430-36B56FA70443}"/>
            </a:ext>
          </a:extLst>
        </xdr:cNvPr>
        <xdr:cNvGrpSpPr/>
      </xdr:nvGrpSpPr>
      <xdr:grpSpPr>
        <a:xfrm>
          <a:off x="6506281" y="22778508"/>
          <a:ext cx="38100" cy="4171950"/>
          <a:chOff x="5326950" y="1694025"/>
          <a:chExt cx="38100" cy="4171950"/>
        </a:xfrm>
      </xdr:grpSpPr>
      <xdr:grpSp>
        <xdr:nvGrpSpPr>
          <xdr:cNvPr id="988" name="Shape 179">
            <a:extLst>
              <a:ext uri="{FF2B5EF4-FFF2-40B4-BE49-F238E27FC236}">
                <a16:creationId xmlns:a16="http://schemas.microsoft.com/office/drawing/2014/main" id="{FDDA30DC-2FF7-32AC-7568-197B7AB17F85}"/>
              </a:ext>
            </a:extLst>
          </xdr:cNvPr>
          <xdr:cNvGrpSpPr/>
        </xdr:nvGrpSpPr>
        <xdr:grpSpPr>
          <a:xfrm>
            <a:off x="5326950" y="1694025"/>
            <a:ext cx="38100" cy="4171950"/>
            <a:chOff x="5326950" y="1694025"/>
            <a:chExt cx="38100" cy="4171950"/>
          </a:xfrm>
        </xdr:grpSpPr>
        <xdr:sp macro="" textlink="">
          <xdr:nvSpPr>
            <xdr:cNvPr id="989" name="Shape 5">
              <a:extLst>
                <a:ext uri="{FF2B5EF4-FFF2-40B4-BE49-F238E27FC236}">
                  <a16:creationId xmlns:a16="http://schemas.microsoft.com/office/drawing/2014/main" id="{51C53891-D790-D5F3-B527-69FAC5864CA6}"/>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90" name="Shape 180">
              <a:extLst>
                <a:ext uri="{FF2B5EF4-FFF2-40B4-BE49-F238E27FC236}">
                  <a16:creationId xmlns:a16="http://schemas.microsoft.com/office/drawing/2014/main" id="{835427C8-FAF6-A8B3-EB8F-7F9E878B3AA2}"/>
                </a:ext>
              </a:extLst>
            </xdr:cNvPr>
            <xdr:cNvGrpSpPr/>
          </xdr:nvGrpSpPr>
          <xdr:grpSpPr>
            <a:xfrm>
              <a:off x="5326950" y="1694025"/>
              <a:ext cx="38100" cy="4171950"/>
              <a:chOff x="5326950" y="1694025"/>
              <a:chExt cx="38100" cy="4171950"/>
            </a:xfrm>
          </xdr:grpSpPr>
          <xdr:sp macro="" textlink="">
            <xdr:nvSpPr>
              <xdr:cNvPr id="991" name="Shape 181">
                <a:extLst>
                  <a:ext uri="{FF2B5EF4-FFF2-40B4-BE49-F238E27FC236}">
                    <a16:creationId xmlns:a16="http://schemas.microsoft.com/office/drawing/2014/main" id="{99914B50-CFAB-6C53-3197-A0550D4A9A20}"/>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92" name="Shape 182">
                <a:extLst>
                  <a:ext uri="{FF2B5EF4-FFF2-40B4-BE49-F238E27FC236}">
                    <a16:creationId xmlns:a16="http://schemas.microsoft.com/office/drawing/2014/main" id="{A9CDF3A1-3FCA-65C1-81EE-3D0C5F464C63}"/>
                  </a:ext>
                </a:extLst>
              </xdr:cNvPr>
              <xdr:cNvGrpSpPr/>
            </xdr:nvGrpSpPr>
            <xdr:grpSpPr>
              <a:xfrm>
                <a:off x="5326950" y="1694025"/>
                <a:ext cx="38100" cy="4171950"/>
                <a:chOff x="5326950" y="1694025"/>
                <a:chExt cx="38100" cy="4171950"/>
              </a:xfrm>
            </xdr:grpSpPr>
            <xdr:sp macro="" textlink="">
              <xdr:nvSpPr>
                <xdr:cNvPr id="993" name="Shape 183">
                  <a:extLst>
                    <a:ext uri="{FF2B5EF4-FFF2-40B4-BE49-F238E27FC236}">
                      <a16:creationId xmlns:a16="http://schemas.microsoft.com/office/drawing/2014/main" id="{228352B1-F1EC-6E37-8D6B-8CAF9E790333}"/>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94" name="Shape 184">
                  <a:extLst>
                    <a:ext uri="{FF2B5EF4-FFF2-40B4-BE49-F238E27FC236}">
                      <a16:creationId xmlns:a16="http://schemas.microsoft.com/office/drawing/2014/main" id="{9C64FD8C-FAC6-4EF2-7D23-B2DA18D1BFCD}"/>
                    </a:ext>
                  </a:extLst>
                </xdr:cNvPr>
                <xdr:cNvGrpSpPr/>
              </xdr:nvGrpSpPr>
              <xdr:grpSpPr>
                <a:xfrm>
                  <a:off x="5326950" y="1694025"/>
                  <a:ext cx="38100" cy="4171950"/>
                  <a:chOff x="5326950" y="1694025"/>
                  <a:chExt cx="38100" cy="4171950"/>
                </a:xfrm>
              </xdr:grpSpPr>
              <xdr:sp macro="" textlink="">
                <xdr:nvSpPr>
                  <xdr:cNvPr id="995" name="Shape 185">
                    <a:extLst>
                      <a:ext uri="{FF2B5EF4-FFF2-40B4-BE49-F238E27FC236}">
                        <a16:creationId xmlns:a16="http://schemas.microsoft.com/office/drawing/2014/main" id="{347A44C6-4751-5B40-305F-31DE6154AD4C}"/>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96" name="Shape 186">
                    <a:extLst>
                      <a:ext uri="{FF2B5EF4-FFF2-40B4-BE49-F238E27FC236}">
                        <a16:creationId xmlns:a16="http://schemas.microsoft.com/office/drawing/2014/main" id="{1DF47548-B01E-68F9-25A2-F2C34D251EFE}"/>
                      </a:ext>
                    </a:extLst>
                  </xdr:cNvPr>
                  <xdr:cNvGrpSpPr/>
                </xdr:nvGrpSpPr>
                <xdr:grpSpPr>
                  <a:xfrm>
                    <a:off x="5326950" y="1694025"/>
                    <a:ext cx="38100" cy="4171950"/>
                    <a:chOff x="5326950" y="1694025"/>
                    <a:chExt cx="38100" cy="4171950"/>
                  </a:xfrm>
                </xdr:grpSpPr>
                <xdr:sp macro="" textlink="">
                  <xdr:nvSpPr>
                    <xdr:cNvPr id="997" name="Shape 187">
                      <a:extLst>
                        <a:ext uri="{FF2B5EF4-FFF2-40B4-BE49-F238E27FC236}">
                          <a16:creationId xmlns:a16="http://schemas.microsoft.com/office/drawing/2014/main" id="{5C248A8C-0329-4290-5B31-B9062E736C1E}"/>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98" name="Shape 188">
                      <a:extLst>
                        <a:ext uri="{FF2B5EF4-FFF2-40B4-BE49-F238E27FC236}">
                          <a16:creationId xmlns:a16="http://schemas.microsoft.com/office/drawing/2014/main" id="{01AD213B-10C3-7030-AB90-DA1CEF8974F7}"/>
                        </a:ext>
                      </a:extLst>
                    </xdr:cNvPr>
                    <xdr:cNvGrpSpPr/>
                  </xdr:nvGrpSpPr>
                  <xdr:grpSpPr>
                    <a:xfrm>
                      <a:off x="5326950" y="1694025"/>
                      <a:ext cx="38100" cy="4171950"/>
                      <a:chOff x="5326950" y="1694025"/>
                      <a:chExt cx="38100" cy="4171950"/>
                    </a:xfrm>
                  </xdr:grpSpPr>
                  <xdr:sp macro="" textlink="">
                    <xdr:nvSpPr>
                      <xdr:cNvPr id="999" name="Shape 189">
                        <a:extLst>
                          <a:ext uri="{FF2B5EF4-FFF2-40B4-BE49-F238E27FC236}">
                            <a16:creationId xmlns:a16="http://schemas.microsoft.com/office/drawing/2014/main" id="{B6B84FD8-C6FA-F42E-688E-5E7838B291E1}"/>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00" name="Shape 190">
                        <a:extLst>
                          <a:ext uri="{FF2B5EF4-FFF2-40B4-BE49-F238E27FC236}">
                            <a16:creationId xmlns:a16="http://schemas.microsoft.com/office/drawing/2014/main" id="{3EDDB8D5-7BDF-633F-D715-D535ED292541}"/>
                          </a:ext>
                        </a:extLst>
                      </xdr:cNvPr>
                      <xdr:cNvGrpSpPr/>
                    </xdr:nvGrpSpPr>
                    <xdr:grpSpPr>
                      <a:xfrm>
                        <a:off x="5326950" y="1694025"/>
                        <a:ext cx="38100" cy="4171950"/>
                        <a:chOff x="5326950" y="1694025"/>
                        <a:chExt cx="38100" cy="4171950"/>
                      </a:xfrm>
                    </xdr:grpSpPr>
                    <xdr:sp macro="" textlink="">
                      <xdr:nvSpPr>
                        <xdr:cNvPr id="1001" name="Shape 191">
                          <a:extLst>
                            <a:ext uri="{FF2B5EF4-FFF2-40B4-BE49-F238E27FC236}">
                              <a16:creationId xmlns:a16="http://schemas.microsoft.com/office/drawing/2014/main" id="{40513913-DEC8-F123-FE5C-1C6337D5CA7C}"/>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02" name="Shape 192">
                          <a:extLst>
                            <a:ext uri="{FF2B5EF4-FFF2-40B4-BE49-F238E27FC236}">
                              <a16:creationId xmlns:a16="http://schemas.microsoft.com/office/drawing/2014/main" id="{92AC32AF-A3FE-B5F8-AB80-5253AA62F76F}"/>
                            </a:ext>
                          </a:extLst>
                        </xdr:cNvPr>
                        <xdr:cNvGrpSpPr/>
                      </xdr:nvGrpSpPr>
                      <xdr:grpSpPr>
                        <a:xfrm>
                          <a:off x="5326950" y="1694025"/>
                          <a:ext cx="38100" cy="4171950"/>
                          <a:chOff x="5326950" y="1694025"/>
                          <a:chExt cx="38100" cy="4171950"/>
                        </a:xfrm>
                      </xdr:grpSpPr>
                      <xdr:sp macro="" textlink="">
                        <xdr:nvSpPr>
                          <xdr:cNvPr id="1003" name="Shape 193">
                            <a:extLst>
                              <a:ext uri="{FF2B5EF4-FFF2-40B4-BE49-F238E27FC236}">
                                <a16:creationId xmlns:a16="http://schemas.microsoft.com/office/drawing/2014/main" id="{537F5ABA-AB2B-425D-2D86-43E3266D54B5}"/>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04" name="Shape 194">
                            <a:extLst>
                              <a:ext uri="{FF2B5EF4-FFF2-40B4-BE49-F238E27FC236}">
                                <a16:creationId xmlns:a16="http://schemas.microsoft.com/office/drawing/2014/main" id="{6E6363A4-F8C0-22BD-62FD-683D9C918B1D}"/>
                              </a:ext>
                            </a:extLst>
                          </xdr:cNvPr>
                          <xdr:cNvGrpSpPr/>
                        </xdr:nvGrpSpPr>
                        <xdr:grpSpPr>
                          <a:xfrm>
                            <a:off x="5326950" y="1694025"/>
                            <a:ext cx="38100" cy="4171950"/>
                            <a:chOff x="5326950" y="1692000"/>
                            <a:chExt cx="38100" cy="4176000"/>
                          </a:xfrm>
                        </xdr:grpSpPr>
                        <xdr:sp macro="" textlink="">
                          <xdr:nvSpPr>
                            <xdr:cNvPr id="1005" name="Shape 195">
                              <a:extLst>
                                <a:ext uri="{FF2B5EF4-FFF2-40B4-BE49-F238E27FC236}">
                                  <a16:creationId xmlns:a16="http://schemas.microsoft.com/office/drawing/2014/main" id="{44BBC9F2-EBCC-49B4-9C9F-976219EF1F79}"/>
                                </a:ext>
                              </a:extLst>
                            </xdr:cNvPr>
                            <xdr:cNvSpPr/>
                          </xdr:nvSpPr>
                          <xdr:spPr>
                            <a:xfrm>
                              <a:off x="5326950" y="1692000"/>
                              <a:ext cx="38100" cy="41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06" name="Shape 196">
                              <a:extLst>
                                <a:ext uri="{FF2B5EF4-FFF2-40B4-BE49-F238E27FC236}">
                                  <a16:creationId xmlns:a16="http://schemas.microsoft.com/office/drawing/2014/main" id="{35E537D8-4186-E3B1-956B-55004A14E695}"/>
                                </a:ext>
                              </a:extLst>
                            </xdr:cNvPr>
                            <xdr:cNvGrpSpPr/>
                          </xdr:nvGrpSpPr>
                          <xdr:grpSpPr>
                            <a:xfrm>
                              <a:off x="5326950" y="1692000"/>
                              <a:ext cx="38100" cy="4176000"/>
                              <a:chOff x="5326950" y="2132175"/>
                              <a:chExt cx="38100" cy="4320000"/>
                            </a:xfrm>
                          </xdr:grpSpPr>
                          <xdr:sp macro="" textlink="">
                            <xdr:nvSpPr>
                              <xdr:cNvPr id="1007" name="Shape 197">
                                <a:extLst>
                                  <a:ext uri="{FF2B5EF4-FFF2-40B4-BE49-F238E27FC236}">
                                    <a16:creationId xmlns:a16="http://schemas.microsoft.com/office/drawing/2014/main" id="{24E57BDB-F278-B44A-B46C-68DFF96B80DF}"/>
                                  </a:ext>
                                </a:extLst>
                              </xdr:cNvPr>
                              <xdr:cNvSpPr/>
                            </xdr:nvSpPr>
                            <xdr:spPr>
                              <a:xfrm>
                                <a:off x="5326950" y="2132175"/>
                                <a:ext cx="38100" cy="432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08" name="Shape 198">
                                <a:extLst>
                                  <a:ext uri="{FF2B5EF4-FFF2-40B4-BE49-F238E27FC236}">
                                    <a16:creationId xmlns:a16="http://schemas.microsoft.com/office/drawing/2014/main" id="{E1D1EC18-9DEE-9B91-F168-14E07FD9C2AF}"/>
                                  </a:ext>
                                </a:extLst>
                              </xdr:cNvPr>
                              <xdr:cNvGrpSpPr/>
                            </xdr:nvGrpSpPr>
                            <xdr:grpSpPr>
                              <a:xfrm>
                                <a:off x="5326950" y="2132175"/>
                                <a:ext cx="38100" cy="4168110"/>
                                <a:chOff x="5326950" y="2132175"/>
                                <a:chExt cx="38100" cy="4168110"/>
                              </a:xfrm>
                            </xdr:grpSpPr>
                            <xdr:sp macro="" textlink="">
                              <xdr:nvSpPr>
                                <xdr:cNvPr id="1009" name="Shape 199">
                                  <a:extLst>
                                    <a:ext uri="{FF2B5EF4-FFF2-40B4-BE49-F238E27FC236}">
                                      <a16:creationId xmlns:a16="http://schemas.microsoft.com/office/drawing/2014/main" id="{F7735C81-E15D-FDA8-9235-DBA6FB8D804E}"/>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10" name="Shape 200">
                                  <a:extLst>
                                    <a:ext uri="{FF2B5EF4-FFF2-40B4-BE49-F238E27FC236}">
                                      <a16:creationId xmlns:a16="http://schemas.microsoft.com/office/drawing/2014/main" id="{C1D08584-3EDA-494C-B941-A74C5E1DA86F}"/>
                                    </a:ext>
                                  </a:extLst>
                                </xdr:cNvPr>
                                <xdr:cNvGrpSpPr/>
                              </xdr:nvGrpSpPr>
                              <xdr:grpSpPr>
                                <a:xfrm>
                                  <a:off x="5326950" y="2132175"/>
                                  <a:ext cx="38100" cy="4168110"/>
                                  <a:chOff x="5326950" y="2132175"/>
                                  <a:chExt cx="38100" cy="4168110"/>
                                </a:xfrm>
                              </xdr:grpSpPr>
                              <xdr:sp macro="" textlink="">
                                <xdr:nvSpPr>
                                  <xdr:cNvPr id="1011" name="Shape 201">
                                    <a:extLst>
                                      <a:ext uri="{FF2B5EF4-FFF2-40B4-BE49-F238E27FC236}">
                                        <a16:creationId xmlns:a16="http://schemas.microsoft.com/office/drawing/2014/main" id="{6B58BC49-4FA6-2762-7DE6-AFF5971461AA}"/>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12" name="Shape 202">
                                    <a:extLst>
                                      <a:ext uri="{FF2B5EF4-FFF2-40B4-BE49-F238E27FC236}">
                                        <a16:creationId xmlns:a16="http://schemas.microsoft.com/office/drawing/2014/main" id="{AF3A519D-3344-9C49-4E0C-4367D460E3DE}"/>
                                      </a:ext>
                                    </a:extLst>
                                  </xdr:cNvPr>
                                  <xdr:cNvGrpSpPr/>
                                </xdr:nvGrpSpPr>
                                <xdr:grpSpPr>
                                  <a:xfrm>
                                    <a:off x="5326950" y="2132175"/>
                                    <a:ext cx="38100" cy="4168110"/>
                                    <a:chOff x="5326950" y="2132175"/>
                                    <a:chExt cx="38100" cy="4168110"/>
                                  </a:xfrm>
                                </xdr:grpSpPr>
                                <xdr:sp macro="" textlink="">
                                  <xdr:nvSpPr>
                                    <xdr:cNvPr id="1013" name="Shape 203">
                                      <a:extLst>
                                        <a:ext uri="{FF2B5EF4-FFF2-40B4-BE49-F238E27FC236}">
                                          <a16:creationId xmlns:a16="http://schemas.microsoft.com/office/drawing/2014/main" id="{24C668BC-947C-DDC7-7946-4E80A37BADA1}"/>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14" name="Shape 204">
                                      <a:extLst>
                                        <a:ext uri="{FF2B5EF4-FFF2-40B4-BE49-F238E27FC236}">
                                          <a16:creationId xmlns:a16="http://schemas.microsoft.com/office/drawing/2014/main" id="{5CC18080-0330-BCB9-3D40-0DE7FBD54DA8}"/>
                                        </a:ext>
                                      </a:extLst>
                                    </xdr:cNvPr>
                                    <xdr:cNvGrpSpPr/>
                                  </xdr:nvGrpSpPr>
                                  <xdr:grpSpPr>
                                    <a:xfrm>
                                      <a:off x="5326950" y="2132175"/>
                                      <a:ext cx="38100" cy="4168110"/>
                                      <a:chOff x="5326950" y="2132175"/>
                                      <a:chExt cx="38100" cy="4168110"/>
                                    </a:xfrm>
                                  </xdr:grpSpPr>
                                  <xdr:sp macro="" textlink="">
                                    <xdr:nvSpPr>
                                      <xdr:cNvPr id="1015" name="Shape 205">
                                        <a:extLst>
                                          <a:ext uri="{FF2B5EF4-FFF2-40B4-BE49-F238E27FC236}">
                                            <a16:creationId xmlns:a16="http://schemas.microsoft.com/office/drawing/2014/main" id="{8F05CE44-3553-F20D-0111-672CF6A9EDF3}"/>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16" name="Shape 206">
                                        <a:extLst>
                                          <a:ext uri="{FF2B5EF4-FFF2-40B4-BE49-F238E27FC236}">
                                            <a16:creationId xmlns:a16="http://schemas.microsoft.com/office/drawing/2014/main" id="{0E72F00D-4243-0FFB-99ED-0EDB1FD596BD}"/>
                                          </a:ext>
                                        </a:extLst>
                                      </xdr:cNvPr>
                                      <xdr:cNvGrpSpPr/>
                                    </xdr:nvGrpSpPr>
                                    <xdr:grpSpPr>
                                      <a:xfrm>
                                        <a:off x="5326950" y="2132175"/>
                                        <a:ext cx="38100" cy="4168110"/>
                                        <a:chOff x="5326950" y="2132175"/>
                                        <a:chExt cx="38100" cy="4168110"/>
                                      </a:xfrm>
                                    </xdr:grpSpPr>
                                    <xdr:sp macro="" textlink="">
                                      <xdr:nvSpPr>
                                        <xdr:cNvPr id="1017" name="Shape 207">
                                          <a:extLst>
                                            <a:ext uri="{FF2B5EF4-FFF2-40B4-BE49-F238E27FC236}">
                                              <a16:creationId xmlns:a16="http://schemas.microsoft.com/office/drawing/2014/main" id="{476C7F06-F1A4-AEDF-D1B5-3A490469E9A6}"/>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18" name="Shape 208">
                                          <a:extLst>
                                            <a:ext uri="{FF2B5EF4-FFF2-40B4-BE49-F238E27FC236}">
                                              <a16:creationId xmlns:a16="http://schemas.microsoft.com/office/drawing/2014/main" id="{26C4C8BF-1048-0E1E-AFAB-29F22128C388}"/>
                                            </a:ext>
                                          </a:extLst>
                                        </xdr:cNvPr>
                                        <xdr:cNvGrpSpPr/>
                                      </xdr:nvGrpSpPr>
                                      <xdr:grpSpPr>
                                        <a:xfrm>
                                          <a:off x="5326950" y="2132175"/>
                                          <a:ext cx="38100" cy="4168110"/>
                                          <a:chOff x="5326950" y="2132175"/>
                                          <a:chExt cx="38100" cy="4168110"/>
                                        </a:xfrm>
                                      </xdr:grpSpPr>
                                      <xdr:sp macro="" textlink="">
                                        <xdr:nvSpPr>
                                          <xdr:cNvPr id="1019" name="Shape 209">
                                            <a:extLst>
                                              <a:ext uri="{FF2B5EF4-FFF2-40B4-BE49-F238E27FC236}">
                                                <a16:creationId xmlns:a16="http://schemas.microsoft.com/office/drawing/2014/main" id="{AB0BBAA3-A141-41FF-9475-115DD390D048}"/>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0" name="Shape 210">
                                            <a:extLst>
                                              <a:ext uri="{FF2B5EF4-FFF2-40B4-BE49-F238E27FC236}">
                                                <a16:creationId xmlns:a16="http://schemas.microsoft.com/office/drawing/2014/main" id="{571C1A52-998F-1C32-1467-C12BB9D80D40}"/>
                                              </a:ext>
                                            </a:extLst>
                                          </xdr:cNvPr>
                                          <xdr:cNvGrpSpPr/>
                                        </xdr:nvGrpSpPr>
                                        <xdr:grpSpPr>
                                          <a:xfrm>
                                            <a:off x="5326950" y="2132175"/>
                                            <a:ext cx="38100" cy="4168110"/>
                                            <a:chOff x="5326950" y="2132175"/>
                                            <a:chExt cx="38100" cy="4168110"/>
                                          </a:xfrm>
                                        </xdr:grpSpPr>
                                        <xdr:sp macro="" textlink="">
                                          <xdr:nvSpPr>
                                            <xdr:cNvPr id="1021" name="Shape 211">
                                              <a:extLst>
                                                <a:ext uri="{FF2B5EF4-FFF2-40B4-BE49-F238E27FC236}">
                                                  <a16:creationId xmlns:a16="http://schemas.microsoft.com/office/drawing/2014/main" id="{19F2FB18-B057-4EE6-9EAC-C6151201FC9F}"/>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2" name="Shape 212">
                                              <a:extLst>
                                                <a:ext uri="{FF2B5EF4-FFF2-40B4-BE49-F238E27FC236}">
                                                  <a16:creationId xmlns:a16="http://schemas.microsoft.com/office/drawing/2014/main" id="{D8C6D942-C1A4-1513-EF11-457044D5A032}"/>
                                                </a:ext>
                                              </a:extLst>
                                            </xdr:cNvPr>
                                            <xdr:cNvGrpSpPr/>
                                          </xdr:nvGrpSpPr>
                                          <xdr:grpSpPr>
                                            <a:xfrm>
                                              <a:off x="5326950" y="2132175"/>
                                              <a:ext cx="38100" cy="4168110"/>
                                              <a:chOff x="5326950" y="2132175"/>
                                              <a:chExt cx="38100" cy="4168110"/>
                                            </a:xfrm>
                                          </xdr:grpSpPr>
                                          <xdr:sp macro="" textlink="">
                                            <xdr:nvSpPr>
                                              <xdr:cNvPr id="1023" name="Shape 213">
                                                <a:extLst>
                                                  <a:ext uri="{FF2B5EF4-FFF2-40B4-BE49-F238E27FC236}">
                                                    <a16:creationId xmlns:a16="http://schemas.microsoft.com/office/drawing/2014/main" id="{87B50900-4A8A-C01D-730B-E96464460656}"/>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4" name="Shape 214">
                                                <a:extLst>
                                                  <a:ext uri="{FF2B5EF4-FFF2-40B4-BE49-F238E27FC236}">
                                                    <a16:creationId xmlns:a16="http://schemas.microsoft.com/office/drawing/2014/main" id="{BA97FF94-A62E-18FF-7E75-382F293B0401}"/>
                                                  </a:ext>
                                                </a:extLst>
                                              </xdr:cNvPr>
                                              <xdr:cNvGrpSpPr/>
                                            </xdr:nvGrpSpPr>
                                            <xdr:grpSpPr>
                                              <a:xfrm>
                                                <a:off x="5326950" y="2132175"/>
                                                <a:ext cx="38100" cy="4168110"/>
                                                <a:chOff x="5326950" y="2132175"/>
                                                <a:chExt cx="38100" cy="4168110"/>
                                              </a:xfrm>
                                            </xdr:grpSpPr>
                                            <xdr:sp macro="" textlink="">
                                              <xdr:nvSpPr>
                                                <xdr:cNvPr id="1025" name="Shape 215">
                                                  <a:extLst>
                                                    <a:ext uri="{FF2B5EF4-FFF2-40B4-BE49-F238E27FC236}">
                                                      <a16:creationId xmlns:a16="http://schemas.microsoft.com/office/drawing/2014/main" id="{BEB3D91B-3701-B69A-DFA6-F241B530C3D9}"/>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6" name="Shape 216">
                                                  <a:extLst>
                                                    <a:ext uri="{FF2B5EF4-FFF2-40B4-BE49-F238E27FC236}">
                                                      <a16:creationId xmlns:a16="http://schemas.microsoft.com/office/drawing/2014/main" id="{1239CD22-7EE9-0A1C-2DE7-6689D1E96568}"/>
                                                    </a:ext>
                                                  </a:extLst>
                                                </xdr:cNvPr>
                                                <xdr:cNvGrpSpPr/>
                                              </xdr:nvGrpSpPr>
                                              <xdr:grpSpPr>
                                                <a:xfrm>
                                                  <a:off x="5326950" y="2132175"/>
                                                  <a:ext cx="38100" cy="4168110"/>
                                                  <a:chOff x="5326950" y="2132175"/>
                                                  <a:chExt cx="38100" cy="4168110"/>
                                                </a:xfrm>
                                              </xdr:grpSpPr>
                                              <xdr:sp macro="" textlink="">
                                                <xdr:nvSpPr>
                                                  <xdr:cNvPr id="1027" name="Shape 217">
                                                    <a:extLst>
                                                      <a:ext uri="{FF2B5EF4-FFF2-40B4-BE49-F238E27FC236}">
                                                        <a16:creationId xmlns:a16="http://schemas.microsoft.com/office/drawing/2014/main" id="{26119228-9430-3EF4-A74B-940F49B722AB}"/>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8" name="Shape 218">
                                                    <a:extLst>
                                                      <a:ext uri="{FF2B5EF4-FFF2-40B4-BE49-F238E27FC236}">
                                                        <a16:creationId xmlns:a16="http://schemas.microsoft.com/office/drawing/2014/main" id="{420D4AF3-AEB2-AAE6-A435-15A39C0DDD66}"/>
                                                      </a:ext>
                                                    </a:extLst>
                                                  </xdr:cNvPr>
                                                  <xdr:cNvGrpSpPr/>
                                                </xdr:nvGrpSpPr>
                                                <xdr:grpSpPr>
                                                  <a:xfrm>
                                                    <a:off x="5326950" y="2132175"/>
                                                    <a:ext cx="38100" cy="4168110"/>
                                                    <a:chOff x="5326950" y="2132175"/>
                                                    <a:chExt cx="38100" cy="4168110"/>
                                                  </a:xfrm>
                                                </xdr:grpSpPr>
                                                <xdr:sp macro="" textlink="">
                                                  <xdr:nvSpPr>
                                                    <xdr:cNvPr id="1029" name="Shape 219">
                                                      <a:extLst>
                                                        <a:ext uri="{FF2B5EF4-FFF2-40B4-BE49-F238E27FC236}">
                                                          <a16:creationId xmlns:a16="http://schemas.microsoft.com/office/drawing/2014/main" id="{178C624E-A453-14B2-1551-4DE81ADEFDE8}"/>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30" name="Shape 220">
                                                      <a:extLst>
                                                        <a:ext uri="{FF2B5EF4-FFF2-40B4-BE49-F238E27FC236}">
                                                          <a16:creationId xmlns:a16="http://schemas.microsoft.com/office/drawing/2014/main" id="{A756714F-3907-5F81-2318-835E13D07F38}"/>
                                                        </a:ext>
                                                      </a:extLst>
                                                    </xdr:cNvPr>
                                                    <xdr:cNvGrpSpPr/>
                                                  </xdr:nvGrpSpPr>
                                                  <xdr:grpSpPr>
                                                    <a:xfrm>
                                                      <a:off x="5326950" y="2132175"/>
                                                      <a:ext cx="38100" cy="4168110"/>
                                                      <a:chOff x="5326950" y="2132175"/>
                                                      <a:chExt cx="38100" cy="4168110"/>
                                                    </a:xfrm>
                                                  </xdr:grpSpPr>
                                                  <xdr:sp macro="" textlink="">
                                                    <xdr:nvSpPr>
                                                      <xdr:cNvPr id="1031" name="Shape 221">
                                                        <a:extLst>
                                                          <a:ext uri="{FF2B5EF4-FFF2-40B4-BE49-F238E27FC236}">
                                                            <a16:creationId xmlns:a16="http://schemas.microsoft.com/office/drawing/2014/main" id="{002CD2D3-05D9-5CEF-59B2-5FEB32EB9ED2}"/>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32" name="Shape 222">
                                                        <a:extLst>
                                                          <a:ext uri="{FF2B5EF4-FFF2-40B4-BE49-F238E27FC236}">
                                                            <a16:creationId xmlns:a16="http://schemas.microsoft.com/office/drawing/2014/main" id="{5952ACFC-3602-032F-B895-252A810F215A}"/>
                                                          </a:ext>
                                                        </a:extLst>
                                                      </xdr:cNvPr>
                                                      <xdr:cNvGrpSpPr/>
                                                    </xdr:nvGrpSpPr>
                                                    <xdr:grpSpPr>
                                                      <a:xfrm>
                                                        <a:off x="5326950" y="2132175"/>
                                                        <a:ext cx="38100" cy="4168110"/>
                                                        <a:chOff x="5326950" y="2132175"/>
                                                        <a:chExt cx="38100" cy="4168110"/>
                                                      </a:xfrm>
                                                    </xdr:grpSpPr>
                                                    <xdr:sp macro="" textlink="">
                                                      <xdr:nvSpPr>
                                                        <xdr:cNvPr id="1033" name="Shape 223">
                                                          <a:extLst>
                                                            <a:ext uri="{FF2B5EF4-FFF2-40B4-BE49-F238E27FC236}">
                                                              <a16:creationId xmlns:a16="http://schemas.microsoft.com/office/drawing/2014/main" id="{F16DDDED-1E29-F82B-B026-EFCB4FB74D32}"/>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34" name="Shape 224">
                                                          <a:extLst>
                                                            <a:ext uri="{FF2B5EF4-FFF2-40B4-BE49-F238E27FC236}">
                                                              <a16:creationId xmlns:a16="http://schemas.microsoft.com/office/drawing/2014/main" id="{F779D69A-FC41-5EF1-D2F3-3016D256FC55}"/>
                                                            </a:ext>
                                                          </a:extLst>
                                                        </xdr:cNvPr>
                                                        <xdr:cNvGrpSpPr/>
                                                      </xdr:nvGrpSpPr>
                                                      <xdr:grpSpPr>
                                                        <a:xfrm>
                                                          <a:off x="5326950" y="2132175"/>
                                                          <a:ext cx="38100" cy="4168110"/>
                                                          <a:chOff x="5326950" y="2132175"/>
                                                          <a:chExt cx="38100" cy="4168110"/>
                                                        </a:xfrm>
                                                      </xdr:grpSpPr>
                                                      <xdr:sp macro="" textlink="">
                                                        <xdr:nvSpPr>
                                                          <xdr:cNvPr id="1035" name="Shape 225">
                                                            <a:extLst>
                                                              <a:ext uri="{FF2B5EF4-FFF2-40B4-BE49-F238E27FC236}">
                                                                <a16:creationId xmlns:a16="http://schemas.microsoft.com/office/drawing/2014/main" id="{06DE02AD-73BC-E3DF-8659-17956324C606}"/>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36" name="Shape 226">
                                                            <a:extLst>
                                                              <a:ext uri="{FF2B5EF4-FFF2-40B4-BE49-F238E27FC236}">
                                                                <a16:creationId xmlns:a16="http://schemas.microsoft.com/office/drawing/2014/main" id="{1B2C458C-BD27-0138-B722-A3FD9930717E}"/>
                                                              </a:ext>
                                                            </a:extLst>
                                                          </xdr:cNvPr>
                                                          <xdr:cNvGrpSpPr/>
                                                        </xdr:nvGrpSpPr>
                                                        <xdr:grpSpPr>
                                                          <a:xfrm>
                                                            <a:off x="5326950" y="2132175"/>
                                                            <a:ext cx="38100" cy="4168110"/>
                                                            <a:chOff x="5326950" y="2132175"/>
                                                            <a:chExt cx="38100" cy="4168110"/>
                                                          </a:xfrm>
                                                        </xdr:grpSpPr>
                                                        <xdr:sp macro="" textlink="">
                                                          <xdr:nvSpPr>
                                                            <xdr:cNvPr id="1037" name="Shape 227">
                                                              <a:extLst>
                                                                <a:ext uri="{FF2B5EF4-FFF2-40B4-BE49-F238E27FC236}">
                                                                  <a16:creationId xmlns:a16="http://schemas.microsoft.com/office/drawing/2014/main" id="{A0B986F7-F420-EEF6-0E58-CC26AAD021D8}"/>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38" name="Shape 228">
                                                              <a:extLst>
                                                                <a:ext uri="{FF2B5EF4-FFF2-40B4-BE49-F238E27FC236}">
                                                                  <a16:creationId xmlns:a16="http://schemas.microsoft.com/office/drawing/2014/main" id="{4E2E70C1-442C-469F-5D85-0BD9B3229C1F}"/>
                                                                </a:ext>
                                                              </a:extLst>
                                                            </xdr:cNvPr>
                                                            <xdr:cNvGrpSpPr/>
                                                          </xdr:nvGrpSpPr>
                                                          <xdr:grpSpPr>
                                                            <a:xfrm>
                                                              <a:off x="5326950" y="2132175"/>
                                                              <a:ext cx="38100" cy="4168110"/>
                                                              <a:chOff x="5326950" y="2132175"/>
                                                              <a:chExt cx="38100" cy="4168110"/>
                                                            </a:xfrm>
                                                          </xdr:grpSpPr>
                                                          <xdr:sp macro="" textlink="">
                                                            <xdr:nvSpPr>
                                                              <xdr:cNvPr id="1039" name="Shape 229">
                                                                <a:extLst>
                                                                  <a:ext uri="{FF2B5EF4-FFF2-40B4-BE49-F238E27FC236}">
                                                                    <a16:creationId xmlns:a16="http://schemas.microsoft.com/office/drawing/2014/main" id="{0B5BA34C-5453-C2B8-9477-1B6803FB29CC}"/>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40" name="Shape 230">
                                                                <a:extLst>
                                                                  <a:ext uri="{FF2B5EF4-FFF2-40B4-BE49-F238E27FC236}">
                                                                    <a16:creationId xmlns:a16="http://schemas.microsoft.com/office/drawing/2014/main" id="{A9384D2F-AFBE-EF24-DDC5-9A4CC18E9548}"/>
                                                                  </a:ext>
                                                                </a:extLst>
                                                              </xdr:cNvPr>
                                                              <xdr:cNvGrpSpPr/>
                                                            </xdr:nvGrpSpPr>
                                                            <xdr:grpSpPr>
                                                              <a:xfrm>
                                                                <a:off x="5326950" y="2132175"/>
                                                                <a:ext cx="38100" cy="4168110"/>
                                                                <a:chOff x="5326950" y="2132175"/>
                                                                <a:chExt cx="38100" cy="4168110"/>
                                                              </a:xfrm>
                                                            </xdr:grpSpPr>
                                                            <xdr:sp macro="" textlink="">
                                                              <xdr:nvSpPr>
                                                                <xdr:cNvPr id="1041" name="Shape 231">
                                                                  <a:extLst>
                                                                    <a:ext uri="{FF2B5EF4-FFF2-40B4-BE49-F238E27FC236}">
                                                                      <a16:creationId xmlns:a16="http://schemas.microsoft.com/office/drawing/2014/main" id="{51A641E1-09FD-1807-4C29-FC391C4F3E18}"/>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42" name="Shape 232">
                                                                  <a:extLst>
                                                                    <a:ext uri="{FF2B5EF4-FFF2-40B4-BE49-F238E27FC236}">
                                                                      <a16:creationId xmlns:a16="http://schemas.microsoft.com/office/drawing/2014/main" id="{B7C4FC41-96D8-D722-6D58-6FD4A3D23910}"/>
                                                                    </a:ext>
                                                                  </a:extLst>
                                                                </xdr:cNvPr>
                                                                <xdr:cNvGrpSpPr/>
                                                              </xdr:nvGrpSpPr>
                                                              <xdr:grpSpPr>
                                                                <a:xfrm>
                                                                  <a:off x="5326950" y="2132175"/>
                                                                  <a:ext cx="38100" cy="4168110"/>
                                                                  <a:chOff x="5326950" y="2132175"/>
                                                                  <a:chExt cx="38100" cy="4168110"/>
                                                                </a:xfrm>
                                                              </xdr:grpSpPr>
                                                              <xdr:sp macro="" textlink="">
                                                                <xdr:nvSpPr>
                                                                  <xdr:cNvPr id="1043" name="Shape 233">
                                                                    <a:extLst>
                                                                      <a:ext uri="{FF2B5EF4-FFF2-40B4-BE49-F238E27FC236}">
                                                                        <a16:creationId xmlns:a16="http://schemas.microsoft.com/office/drawing/2014/main" id="{F9727B84-B5EE-EB20-1A23-A15E81DFF1DD}"/>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44" name="Shape 234">
                                                                    <a:extLst>
                                                                      <a:ext uri="{FF2B5EF4-FFF2-40B4-BE49-F238E27FC236}">
                                                                        <a16:creationId xmlns:a16="http://schemas.microsoft.com/office/drawing/2014/main" id="{C7B467B3-C746-8C8B-E2ED-A6828278EE80}"/>
                                                                      </a:ext>
                                                                    </a:extLst>
                                                                  </xdr:cNvPr>
                                                                  <xdr:cNvGrpSpPr/>
                                                                </xdr:nvGrpSpPr>
                                                                <xdr:grpSpPr>
                                                                  <a:xfrm>
                                                                    <a:off x="5326950" y="2132175"/>
                                                                    <a:ext cx="38100" cy="4168110"/>
                                                                    <a:chOff x="5326950" y="2132175"/>
                                                                    <a:chExt cx="38100" cy="4168110"/>
                                                                  </a:xfrm>
                                                                </xdr:grpSpPr>
                                                                <xdr:sp macro="" textlink="">
                                                                  <xdr:nvSpPr>
                                                                    <xdr:cNvPr id="1045" name="Shape 235">
                                                                      <a:extLst>
                                                                        <a:ext uri="{FF2B5EF4-FFF2-40B4-BE49-F238E27FC236}">
                                                                          <a16:creationId xmlns:a16="http://schemas.microsoft.com/office/drawing/2014/main" id="{167063E0-B1FA-A394-F5CA-81FD24FE4477}"/>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46" name="Shape 236">
                                                                      <a:extLst>
                                                                        <a:ext uri="{FF2B5EF4-FFF2-40B4-BE49-F238E27FC236}">
                                                                          <a16:creationId xmlns:a16="http://schemas.microsoft.com/office/drawing/2014/main" id="{9D192659-CD3D-A4B0-2BB8-251E7738E867}"/>
                                                                        </a:ext>
                                                                      </a:extLst>
                                                                    </xdr:cNvPr>
                                                                    <xdr:cNvGrpSpPr/>
                                                                  </xdr:nvGrpSpPr>
                                                                  <xdr:grpSpPr>
                                                                    <a:xfrm>
                                                                      <a:off x="5326950" y="2132175"/>
                                                                      <a:ext cx="38100" cy="4168110"/>
                                                                      <a:chOff x="5326950" y="2132175"/>
                                                                      <a:chExt cx="38100" cy="4168110"/>
                                                                    </a:xfrm>
                                                                  </xdr:grpSpPr>
                                                                  <xdr:sp macro="" textlink="">
                                                                    <xdr:nvSpPr>
                                                                      <xdr:cNvPr id="1047" name="Shape 237">
                                                                        <a:extLst>
                                                                          <a:ext uri="{FF2B5EF4-FFF2-40B4-BE49-F238E27FC236}">
                                                                            <a16:creationId xmlns:a16="http://schemas.microsoft.com/office/drawing/2014/main" id="{95E60F33-3FF2-E57B-65FD-75803085364C}"/>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48" name="Shape 238">
                                                                        <a:extLst>
                                                                          <a:ext uri="{FF2B5EF4-FFF2-40B4-BE49-F238E27FC236}">
                                                                            <a16:creationId xmlns:a16="http://schemas.microsoft.com/office/drawing/2014/main" id="{5E5526EF-F6E2-123A-F168-9C01883BC8F9}"/>
                                                                          </a:ext>
                                                                        </a:extLst>
                                                                      </xdr:cNvPr>
                                                                      <xdr:cNvGrpSpPr/>
                                                                    </xdr:nvGrpSpPr>
                                                                    <xdr:grpSpPr>
                                                                      <a:xfrm>
                                                                        <a:off x="5326950" y="2132175"/>
                                                                        <a:ext cx="38100" cy="4168110"/>
                                                                        <a:chOff x="5326950" y="2132175"/>
                                                                        <a:chExt cx="38100" cy="4168110"/>
                                                                      </a:xfrm>
                                                                    </xdr:grpSpPr>
                                                                    <xdr:sp macro="" textlink="">
                                                                      <xdr:nvSpPr>
                                                                        <xdr:cNvPr id="1049" name="Shape 239">
                                                                          <a:extLst>
                                                                            <a:ext uri="{FF2B5EF4-FFF2-40B4-BE49-F238E27FC236}">
                                                                              <a16:creationId xmlns:a16="http://schemas.microsoft.com/office/drawing/2014/main" id="{2E5AC747-6C7E-F1B2-7A20-3403A4FD893A}"/>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50" name="Shape 240">
                                                                          <a:extLst>
                                                                            <a:ext uri="{FF2B5EF4-FFF2-40B4-BE49-F238E27FC236}">
                                                                              <a16:creationId xmlns:a16="http://schemas.microsoft.com/office/drawing/2014/main" id="{338E0134-137C-87DD-5E89-036AF8C80D9C}"/>
                                                                            </a:ext>
                                                                          </a:extLst>
                                                                        </xdr:cNvPr>
                                                                        <xdr:cNvGrpSpPr/>
                                                                      </xdr:nvGrpSpPr>
                                                                      <xdr:grpSpPr>
                                                                        <a:xfrm>
                                                                          <a:off x="5326950" y="2132175"/>
                                                                          <a:ext cx="38100" cy="4168110"/>
                                                                          <a:chOff x="5326950" y="2132175"/>
                                                                          <a:chExt cx="38100" cy="4168110"/>
                                                                        </a:xfrm>
                                                                      </xdr:grpSpPr>
                                                                      <xdr:sp macro="" textlink="">
                                                                        <xdr:nvSpPr>
                                                                          <xdr:cNvPr id="1051" name="Shape 241">
                                                                            <a:extLst>
                                                                              <a:ext uri="{FF2B5EF4-FFF2-40B4-BE49-F238E27FC236}">
                                                                                <a16:creationId xmlns:a16="http://schemas.microsoft.com/office/drawing/2014/main" id="{4EE2892D-28D8-F3B7-9479-9BB58BBD4758}"/>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52" name="Shape 242">
                                                                            <a:extLst>
                                                                              <a:ext uri="{FF2B5EF4-FFF2-40B4-BE49-F238E27FC236}">
                                                                                <a16:creationId xmlns:a16="http://schemas.microsoft.com/office/drawing/2014/main" id="{B78E9C31-757B-AAF8-A75A-6B0111EAA358}"/>
                                                                              </a:ext>
                                                                            </a:extLst>
                                                                          </xdr:cNvPr>
                                                                          <xdr:cNvGrpSpPr/>
                                                                        </xdr:nvGrpSpPr>
                                                                        <xdr:grpSpPr>
                                                                          <a:xfrm>
                                                                            <a:off x="5326950" y="2132175"/>
                                                                            <a:ext cx="38100" cy="4168110"/>
                                                                            <a:chOff x="5326950" y="2132175"/>
                                                                            <a:chExt cx="38100" cy="4168110"/>
                                                                          </a:xfrm>
                                                                        </xdr:grpSpPr>
                                                                        <xdr:sp macro="" textlink="">
                                                                          <xdr:nvSpPr>
                                                                            <xdr:cNvPr id="1053" name="Shape 243">
                                                                              <a:extLst>
                                                                                <a:ext uri="{FF2B5EF4-FFF2-40B4-BE49-F238E27FC236}">
                                                                                  <a16:creationId xmlns:a16="http://schemas.microsoft.com/office/drawing/2014/main" id="{24B03734-C91E-74F5-72A0-BC64545846F6}"/>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54" name="Shape 244">
                                                                              <a:extLst>
                                                                                <a:ext uri="{FF2B5EF4-FFF2-40B4-BE49-F238E27FC236}">
                                                                                  <a16:creationId xmlns:a16="http://schemas.microsoft.com/office/drawing/2014/main" id="{B0E2542A-F9F8-3E1F-6E73-1F1956EEC673}"/>
                                                                                </a:ext>
                                                                              </a:extLst>
                                                                            </xdr:cNvPr>
                                                                            <xdr:cNvGrpSpPr/>
                                                                          </xdr:nvGrpSpPr>
                                                                          <xdr:grpSpPr>
                                                                            <a:xfrm>
                                                                              <a:off x="5326950" y="2132175"/>
                                                                              <a:ext cx="38100" cy="4168110"/>
                                                                              <a:chOff x="5326950" y="2132175"/>
                                                                              <a:chExt cx="38100" cy="4168110"/>
                                                                            </a:xfrm>
                                                                          </xdr:grpSpPr>
                                                                          <xdr:sp macro="" textlink="">
                                                                            <xdr:nvSpPr>
                                                                              <xdr:cNvPr id="1055" name="Shape 245">
                                                                                <a:extLst>
                                                                                  <a:ext uri="{FF2B5EF4-FFF2-40B4-BE49-F238E27FC236}">
                                                                                    <a16:creationId xmlns:a16="http://schemas.microsoft.com/office/drawing/2014/main" id="{48526220-5D10-33B8-D723-2DE5753DBDD3}"/>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56" name="Shape 246">
                                                                                <a:extLst>
                                                                                  <a:ext uri="{FF2B5EF4-FFF2-40B4-BE49-F238E27FC236}">
                                                                                    <a16:creationId xmlns:a16="http://schemas.microsoft.com/office/drawing/2014/main" id="{625893E8-D3A1-DFE8-B093-36785BD8F703}"/>
                                                                                  </a:ext>
                                                                                </a:extLst>
                                                                              </xdr:cNvPr>
                                                                              <xdr:cNvGrpSpPr/>
                                                                            </xdr:nvGrpSpPr>
                                                                            <xdr:grpSpPr>
                                                                              <a:xfrm>
                                                                                <a:off x="5326950" y="2132175"/>
                                                                                <a:ext cx="38100" cy="4168110"/>
                                                                                <a:chOff x="5326950" y="2132175"/>
                                                                                <a:chExt cx="38100" cy="4168110"/>
                                                                              </a:xfrm>
                                                                            </xdr:grpSpPr>
                                                                            <xdr:sp macro="" textlink="">
                                                                              <xdr:nvSpPr>
                                                                                <xdr:cNvPr id="1057" name="Shape 247">
                                                                                  <a:extLst>
                                                                                    <a:ext uri="{FF2B5EF4-FFF2-40B4-BE49-F238E27FC236}">
                                                                                      <a16:creationId xmlns:a16="http://schemas.microsoft.com/office/drawing/2014/main" id="{C1E18DE1-0C46-9D74-D3C7-31828F56CCDC}"/>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58" name="Shape 248">
                                                                                  <a:extLst>
                                                                                    <a:ext uri="{FF2B5EF4-FFF2-40B4-BE49-F238E27FC236}">
                                                                                      <a16:creationId xmlns:a16="http://schemas.microsoft.com/office/drawing/2014/main" id="{E145C46B-4792-1D93-058C-854776AB64A8}"/>
                                                                                    </a:ext>
                                                                                  </a:extLst>
                                                                                </xdr:cNvPr>
                                                                                <xdr:cNvGrpSpPr/>
                                                                              </xdr:nvGrpSpPr>
                                                                              <xdr:grpSpPr>
                                                                                <a:xfrm>
                                                                                  <a:off x="5326950" y="2132175"/>
                                                                                  <a:ext cx="38100" cy="4168110"/>
                                                                                  <a:chOff x="5326950" y="2132175"/>
                                                                                  <a:chExt cx="38100" cy="4168110"/>
                                                                                </a:xfrm>
                                                                              </xdr:grpSpPr>
                                                                              <xdr:sp macro="" textlink="">
                                                                                <xdr:nvSpPr>
                                                                                  <xdr:cNvPr id="1059" name="Shape 249">
                                                                                    <a:extLst>
                                                                                      <a:ext uri="{FF2B5EF4-FFF2-40B4-BE49-F238E27FC236}">
                                                                                        <a16:creationId xmlns:a16="http://schemas.microsoft.com/office/drawing/2014/main" id="{E9581422-D209-2A7D-293B-B0EE5A4F457F}"/>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0" name="Shape 250">
                                                                                    <a:extLst>
                                                                                      <a:ext uri="{FF2B5EF4-FFF2-40B4-BE49-F238E27FC236}">
                                                                                        <a16:creationId xmlns:a16="http://schemas.microsoft.com/office/drawing/2014/main" id="{4C361878-0179-4C52-695C-145A21E96447}"/>
                                                                                      </a:ext>
                                                                                    </a:extLst>
                                                                                  </xdr:cNvPr>
                                                                                  <xdr:cNvGrpSpPr/>
                                                                                </xdr:nvGrpSpPr>
                                                                                <xdr:grpSpPr>
                                                                                  <a:xfrm>
                                                                                    <a:off x="5326950" y="2132175"/>
                                                                                    <a:ext cx="38100" cy="4168110"/>
                                                                                    <a:chOff x="5326950" y="2132175"/>
                                                                                    <a:chExt cx="38100" cy="4168110"/>
                                                                                  </a:xfrm>
                                                                                </xdr:grpSpPr>
                                                                                <xdr:sp macro="" textlink="">
                                                                                  <xdr:nvSpPr>
                                                                                    <xdr:cNvPr id="1061" name="Shape 251">
                                                                                      <a:extLst>
                                                                                        <a:ext uri="{FF2B5EF4-FFF2-40B4-BE49-F238E27FC236}">
                                                                                          <a16:creationId xmlns:a16="http://schemas.microsoft.com/office/drawing/2014/main" id="{847BDBFF-B8F7-FF91-DBAB-454CD85606CF}"/>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2" name="Shape 252">
                                                                                      <a:extLst>
                                                                                        <a:ext uri="{FF2B5EF4-FFF2-40B4-BE49-F238E27FC236}">
                                                                                          <a16:creationId xmlns:a16="http://schemas.microsoft.com/office/drawing/2014/main" id="{906A3F45-FD3A-62B8-B7E4-B066214A82B7}"/>
                                                                                        </a:ext>
                                                                                      </a:extLst>
                                                                                    </xdr:cNvPr>
                                                                                    <xdr:cNvGrpSpPr/>
                                                                                  </xdr:nvGrpSpPr>
                                                                                  <xdr:grpSpPr>
                                                                                    <a:xfrm>
                                                                                      <a:off x="5326950" y="2132175"/>
                                                                                      <a:ext cx="38100" cy="4168110"/>
                                                                                      <a:chOff x="5326950" y="2132175"/>
                                                                                      <a:chExt cx="38100" cy="4168110"/>
                                                                                    </a:xfrm>
                                                                                  </xdr:grpSpPr>
                                                                                  <xdr:sp macro="" textlink="">
                                                                                    <xdr:nvSpPr>
                                                                                      <xdr:cNvPr id="1063" name="Shape 253">
                                                                                        <a:extLst>
                                                                                          <a:ext uri="{FF2B5EF4-FFF2-40B4-BE49-F238E27FC236}">
                                                                                            <a16:creationId xmlns:a16="http://schemas.microsoft.com/office/drawing/2014/main" id="{C7639416-C708-06BB-E1DB-86C3241DB382}"/>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4" name="Shape 254">
                                                                                        <a:extLst>
                                                                                          <a:ext uri="{FF2B5EF4-FFF2-40B4-BE49-F238E27FC236}">
                                                                                            <a16:creationId xmlns:a16="http://schemas.microsoft.com/office/drawing/2014/main" id="{0120B045-3347-F2B5-01F3-97A7F3C5DE37}"/>
                                                                                          </a:ext>
                                                                                        </a:extLst>
                                                                                      </xdr:cNvPr>
                                                                                      <xdr:cNvGrpSpPr/>
                                                                                    </xdr:nvGrpSpPr>
                                                                                    <xdr:grpSpPr>
                                                                                      <a:xfrm>
                                                                                        <a:off x="5326950" y="2132175"/>
                                                                                        <a:ext cx="38100" cy="4168110"/>
                                                                                        <a:chOff x="5326950" y="2132175"/>
                                                                                        <a:chExt cx="38100" cy="4168110"/>
                                                                                      </a:xfrm>
                                                                                    </xdr:grpSpPr>
                                                                                    <xdr:sp macro="" textlink="">
                                                                                      <xdr:nvSpPr>
                                                                                        <xdr:cNvPr id="1065" name="Shape 255">
                                                                                          <a:extLst>
                                                                                            <a:ext uri="{FF2B5EF4-FFF2-40B4-BE49-F238E27FC236}">
                                                                                              <a16:creationId xmlns:a16="http://schemas.microsoft.com/office/drawing/2014/main" id="{25507053-FCF7-EB51-81F0-AA0B8F5B559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6" name="Shape 256">
                                                                                          <a:extLst>
                                                                                            <a:ext uri="{FF2B5EF4-FFF2-40B4-BE49-F238E27FC236}">
                                                                                              <a16:creationId xmlns:a16="http://schemas.microsoft.com/office/drawing/2014/main" id="{CEF8DEFB-7F54-9967-6B1D-CAB9D5DCB0A8}"/>
                                                                                            </a:ext>
                                                                                          </a:extLst>
                                                                                        </xdr:cNvPr>
                                                                                        <xdr:cNvGrpSpPr/>
                                                                                      </xdr:nvGrpSpPr>
                                                                                      <xdr:grpSpPr>
                                                                                        <a:xfrm>
                                                                                          <a:off x="5326950" y="2132175"/>
                                                                                          <a:ext cx="38100" cy="4168110"/>
                                                                                          <a:chOff x="5326950" y="2132175"/>
                                                                                          <a:chExt cx="38100" cy="4168110"/>
                                                                                        </a:xfrm>
                                                                                      </xdr:grpSpPr>
                                                                                      <xdr:sp macro="" textlink="">
                                                                                        <xdr:nvSpPr>
                                                                                          <xdr:cNvPr id="1067" name="Shape 257">
                                                                                            <a:extLst>
                                                                                              <a:ext uri="{FF2B5EF4-FFF2-40B4-BE49-F238E27FC236}">
                                                                                                <a16:creationId xmlns:a16="http://schemas.microsoft.com/office/drawing/2014/main" id="{BEFD564F-E4B9-0FEB-AA3C-6D6EA6C414DE}"/>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8" name="Shape 258">
                                                                                            <a:extLst>
                                                                                              <a:ext uri="{FF2B5EF4-FFF2-40B4-BE49-F238E27FC236}">
                                                                                                <a16:creationId xmlns:a16="http://schemas.microsoft.com/office/drawing/2014/main" id="{D36B4EA0-A454-B445-A9E4-DE04EF5BA06C}"/>
                                                                                              </a:ext>
                                                                                            </a:extLst>
                                                                                          </xdr:cNvPr>
                                                                                          <xdr:cNvGrpSpPr/>
                                                                                        </xdr:nvGrpSpPr>
                                                                                        <xdr:grpSpPr>
                                                                                          <a:xfrm>
                                                                                            <a:off x="5326950" y="2132175"/>
                                                                                            <a:ext cx="38100" cy="4168110"/>
                                                                                            <a:chOff x="5326950" y="2132175"/>
                                                                                            <a:chExt cx="38100" cy="4168110"/>
                                                                                          </a:xfrm>
                                                                                        </xdr:grpSpPr>
                                                                                        <xdr:sp macro="" textlink="">
                                                                                          <xdr:nvSpPr>
                                                                                            <xdr:cNvPr id="1069" name="Shape 259">
                                                                                              <a:extLst>
                                                                                                <a:ext uri="{FF2B5EF4-FFF2-40B4-BE49-F238E27FC236}">
                                                                                                  <a16:creationId xmlns:a16="http://schemas.microsoft.com/office/drawing/2014/main" id="{64F00A26-2148-D9E9-8104-F215C24D31CD}"/>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70" name="Shape 260">
                                                                                              <a:extLst>
                                                                                                <a:ext uri="{FF2B5EF4-FFF2-40B4-BE49-F238E27FC236}">
                                                                                                  <a16:creationId xmlns:a16="http://schemas.microsoft.com/office/drawing/2014/main" id="{05EAFEA5-5775-114B-C347-03F944BAC609}"/>
                                                                                                </a:ext>
                                                                                              </a:extLst>
                                                                                            </xdr:cNvPr>
                                                                                            <xdr:cNvGrpSpPr/>
                                                                                          </xdr:nvGrpSpPr>
                                                                                          <xdr:grpSpPr>
                                                                                            <a:xfrm>
                                                                                              <a:off x="5326950" y="2132175"/>
                                                                                              <a:ext cx="38100" cy="4168110"/>
                                                                                              <a:chOff x="5326950" y="2132175"/>
                                                                                              <a:chExt cx="38100" cy="4168110"/>
                                                                                            </a:xfrm>
                                                                                          </xdr:grpSpPr>
                                                                                          <xdr:sp macro="" textlink="">
                                                                                            <xdr:nvSpPr>
                                                                                              <xdr:cNvPr id="1071" name="Shape 261">
                                                                                                <a:extLst>
                                                                                                  <a:ext uri="{FF2B5EF4-FFF2-40B4-BE49-F238E27FC236}">
                                                                                                    <a16:creationId xmlns:a16="http://schemas.microsoft.com/office/drawing/2014/main" id="{1945CDB8-2126-A1EC-5857-18109E88C015}"/>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72" name="Shape 262">
                                                                                                <a:extLst>
                                                                                                  <a:ext uri="{FF2B5EF4-FFF2-40B4-BE49-F238E27FC236}">
                                                                                                    <a16:creationId xmlns:a16="http://schemas.microsoft.com/office/drawing/2014/main" id="{DF2E7698-59C9-2885-CB78-702E52324AF5}"/>
                                                                                                  </a:ext>
                                                                                                </a:extLst>
                                                                                              </xdr:cNvPr>
                                                                                              <xdr:cNvGrpSpPr/>
                                                                                            </xdr:nvGrpSpPr>
                                                                                            <xdr:grpSpPr>
                                                                                              <a:xfrm>
                                                                                                <a:off x="5326950" y="2132175"/>
                                                                                                <a:ext cx="38100" cy="4168110"/>
                                                                                                <a:chOff x="5336475" y="2132175"/>
                                                                                                <a:chExt cx="19050" cy="4168110"/>
                                                                                              </a:xfrm>
                                                                                            </xdr:grpSpPr>
                                                                                            <xdr:sp macro="" textlink="">
                                                                                              <xdr:nvSpPr>
                                                                                                <xdr:cNvPr id="1073" name="Shape 263">
                                                                                                  <a:extLst>
                                                                                                    <a:ext uri="{FF2B5EF4-FFF2-40B4-BE49-F238E27FC236}">
                                                                                                      <a16:creationId xmlns:a16="http://schemas.microsoft.com/office/drawing/2014/main" id="{3CA8C443-D6EB-80E7-A075-7414C8F42B38}"/>
                                                                                                    </a:ext>
                                                                                                  </a:extLst>
                                                                                                </xdr:cNvPr>
                                                                                                <xdr:cNvSpPr/>
                                                                                              </xdr:nvSpPr>
                                                                                              <xdr:spPr>
                                                                                                <a:xfrm>
                                                                                                  <a:off x="5336475" y="2132175"/>
                                                                                                  <a:ext cx="1905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74" name="Shape 264">
                                                                                                  <a:extLst>
                                                                                                    <a:ext uri="{FF2B5EF4-FFF2-40B4-BE49-F238E27FC236}">
                                                                                                      <a16:creationId xmlns:a16="http://schemas.microsoft.com/office/drawing/2014/main" id="{72F8CCDB-D20C-15FB-692B-A8A770116A28}"/>
                                                                                                    </a:ext>
                                                                                                  </a:extLst>
                                                                                                </xdr:cNvPr>
                                                                                                <xdr:cNvCxnSpPr>
                                                                                                  <a:stCxn id="1033" idx="0"/>
                                                                                                </xdr:cNvCxnSpPr>
                                                                                              </xdr:nvCxnSpPr>
                                                                                              <xdr:spPr>
                                                                                                <a:xfrm>
                                                                                                  <a:off x="5346000" y="2132175"/>
                                                                                                  <a:ext cx="4763" cy="4168110"/>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9</xdr:col>
      <xdr:colOff>257175</xdr:colOff>
      <xdr:row>35</xdr:row>
      <xdr:rowOff>0</xdr:rowOff>
    </xdr:from>
    <xdr:ext cx="2371725" cy="561975"/>
    <xdr:sp macro="" textlink="">
      <xdr:nvSpPr>
        <xdr:cNvPr id="1075" name="Shape 3">
          <a:extLst>
            <a:ext uri="{FF2B5EF4-FFF2-40B4-BE49-F238E27FC236}">
              <a16:creationId xmlns:a16="http://schemas.microsoft.com/office/drawing/2014/main" id="{AB3F1B72-4D19-4ACB-930B-1E2F6D34C504}"/>
            </a:ext>
          </a:extLst>
        </xdr:cNvPr>
        <xdr:cNvSpPr/>
      </xdr:nvSpPr>
      <xdr:spPr>
        <a:xfrm>
          <a:off x="5286375" y="8465820"/>
          <a:ext cx="2371725" cy="561975"/>
        </a:xfrm>
        <a:prstGeom prst="roundRect">
          <a:avLst>
            <a:gd name="adj" fmla="val 16667"/>
          </a:avLst>
        </a:prstGeom>
        <a:solidFill>
          <a:srgbClr val="8DA9DB"/>
        </a:solid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2400"/>
            <a:buFont typeface="Quattrocento Sans"/>
            <a:buNone/>
          </a:pPr>
          <a:r>
            <a:rPr lang="en-US" sz="2400" b="1">
              <a:solidFill>
                <a:schemeClr val="dk1"/>
              </a:solidFill>
              <a:latin typeface="Quattrocento Sans"/>
              <a:ea typeface="Quattrocento Sans"/>
              <a:cs typeface="Quattrocento Sans"/>
              <a:sym typeface="Quattrocento Sans"/>
            </a:rPr>
            <a:t>RECEITAS:</a:t>
          </a:r>
          <a:endParaRPr sz="1400">
            <a:solidFill>
              <a:schemeClr val="dk1"/>
            </a:solidFill>
          </a:endParaRPr>
        </a:p>
      </xdr:txBody>
    </xdr:sp>
    <xdr:clientData fLocksWithSheet="0"/>
  </xdr:oneCellAnchor>
  <xdr:oneCellAnchor>
    <xdr:from>
      <xdr:col>9</xdr:col>
      <xdr:colOff>323850</xdr:colOff>
      <xdr:row>55</xdr:row>
      <xdr:rowOff>66675</xdr:rowOff>
    </xdr:from>
    <xdr:ext cx="2352675" cy="552450"/>
    <xdr:sp macro="" textlink="">
      <xdr:nvSpPr>
        <xdr:cNvPr id="1076" name="Shape 87">
          <a:extLst>
            <a:ext uri="{FF2B5EF4-FFF2-40B4-BE49-F238E27FC236}">
              <a16:creationId xmlns:a16="http://schemas.microsoft.com/office/drawing/2014/main" id="{7A4EAA0D-8B62-49EE-93A8-164D91CF01D3}"/>
            </a:ext>
          </a:extLst>
        </xdr:cNvPr>
        <xdr:cNvSpPr/>
      </xdr:nvSpPr>
      <xdr:spPr>
        <a:xfrm>
          <a:off x="5353050" y="12913995"/>
          <a:ext cx="2352675" cy="552450"/>
        </a:xfrm>
        <a:prstGeom prst="roundRect">
          <a:avLst>
            <a:gd name="adj" fmla="val 16667"/>
          </a:avLst>
        </a:prstGeom>
        <a:solidFill>
          <a:srgbClr val="F4B08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2400"/>
            <a:buFont typeface="Quattrocento Sans"/>
            <a:buNone/>
          </a:pPr>
          <a:r>
            <a:rPr lang="en-US" sz="2400" b="1">
              <a:solidFill>
                <a:schemeClr val="dk1"/>
              </a:solidFill>
              <a:latin typeface="Quattrocento Sans"/>
              <a:ea typeface="Quattrocento Sans"/>
              <a:cs typeface="Quattrocento Sans"/>
              <a:sym typeface="Quattrocento Sans"/>
            </a:rPr>
            <a:t>DESPESAS:</a:t>
          </a:r>
          <a:endParaRPr sz="1400">
            <a:solidFill>
              <a:schemeClr val="dk1"/>
            </a:solidFill>
          </a:endParaRPr>
        </a:p>
      </xdr:txBody>
    </xdr:sp>
    <xdr:clientData fLocksWithSheet="0"/>
  </xdr:oneCellAnchor>
  <xdr:oneCellAnchor>
    <xdr:from>
      <xdr:col>11</xdr:col>
      <xdr:colOff>276225</xdr:colOff>
      <xdr:row>59</xdr:row>
      <xdr:rowOff>142875</xdr:rowOff>
    </xdr:from>
    <xdr:ext cx="38100" cy="6257925"/>
    <xdr:grpSp>
      <xdr:nvGrpSpPr>
        <xdr:cNvPr id="1077" name="Shape 2">
          <a:extLst>
            <a:ext uri="{FF2B5EF4-FFF2-40B4-BE49-F238E27FC236}">
              <a16:creationId xmlns:a16="http://schemas.microsoft.com/office/drawing/2014/main" id="{A4922B8B-EA5C-4612-ACA5-773B709C020D}"/>
            </a:ext>
          </a:extLst>
        </xdr:cNvPr>
        <xdr:cNvGrpSpPr/>
      </xdr:nvGrpSpPr>
      <xdr:grpSpPr>
        <a:xfrm>
          <a:off x="6506281" y="14176375"/>
          <a:ext cx="38100" cy="6257925"/>
          <a:chOff x="5326950" y="651038"/>
          <a:chExt cx="38100" cy="6257925"/>
        </a:xfrm>
      </xdr:grpSpPr>
      <xdr:grpSp>
        <xdr:nvGrpSpPr>
          <xdr:cNvPr id="1078" name="Shape 88">
            <a:extLst>
              <a:ext uri="{FF2B5EF4-FFF2-40B4-BE49-F238E27FC236}">
                <a16:creationId xmlns:a16="http://schemas.microsoft.com/office/drawing/2014/main" id="{021E3631-048D-F003-C0AC-053990E8FE1D}"/>
              </a:ext>
            </a:extLst>
          </xdr:cNvPr>
          <xdr:cNvGrpSpPr/>
        </xdr:nvGrpSpPr>
        <xdr:grpSpPr>
          <a:xfrm>
            <a:off x="5326950" y="651038"/>
            <a:ext cx="38100" cy="6257925"/>
            <a:chOff x="5326950" y="651038"/>
            <a:chExt cx="38100" cy="6257925"/>
          </a:xfrm>
        </xdr:grpSpPr>
        <xdr:sp macro="" textlink="">
          <xdr:nvSpPr>
            <xdr:cNvPr id="1079" name="Shape 5">
              <a:extLst>
                <a:ext uri="{FF2B5EF4-FFF2-40B4-BE49-F238E27FC236}">
                  <a16:creationId xmlns:a16="http://schemas.microsoft.com/office/drawing/2014/main" id="{01D82379-18D4-754C-6537-32E87419F2D3}"/>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80" name="Shape 89">
              <a:extLst>
                <a:ext uri="{FF2B5EF4-FFF2-40B4-BE49-F238E27FC236}">
                  <a16:creationId xmlns:a16="http://schemas.microsoft.com/office/drawing/2014/main" id="{39974F64-FA0A-7F36-92BE-A5445D345D74}"/>
                </a:ext>
              </a:extLst>
            </xdr:cNvPr>
            <xdr:cNvGrpSpPr/>
          </xdr:nvGrpSpPr>
          <xdr:grpSpPr>
            <a:xfrm>
              <a:off x="5326950" y="651038"/>
              <a:ext cx="38100" cy="6257925"/>
              <a:chOff x="5326950" y="651038"/>
              <a:chExt cx="38100" cy="6257925"/>
            </a:xfrm>
          </xdr:grpSpPr>
          <xdr:sp macro="" textlink="">
            <xdr:nvSpPr>
              <xdr:cNvPr id="1081" name="Shape 90">
                <a:extLst>
                  <a:ext uri="{FF2B5EF4-FFF2-40B4-BE49-F238E27FC236}">
                    <a16:creationId xmlns:a16="http://schemas.microsoft.com/office/drawing/2014/main" id="{02CE8BE3-FAF4-3188-B38B-82B3C535A1BC}"/>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82" name="Shape 91">
                <a:extLst>
                  <a:ext uri="{FF2B5EF4-FFF2-40B4-BE49-F238E27FC236}">
                    <a16:creationId xmlns:a16="http://schemas.microsoft.com/office/drawing/2014/main" id="{F6BFE1CD-3110-ED4A-FEFC-7E05C05A706B}"/>
                  </a:ext>
                </a:extLst>
              </xdr:cNvPr>
              <xdr:cNvGrpSpPr/>
            </xdr:nvGrpSpPr>
            <xdr:grpSpPr>
              <a:xfrm>
                <a:off x="5326950" y="651038"/>
                <a:ext cx="38100" cy="6257925"/>
                <a:chOff x="5326950" y="651038"/>
                <a:chExt cx="38100" cy="6257925"/>
              </a:xfrm>
            </xdr:grpSpPr>
            <xdr:sp macro="" textlink="">
              <xdr:nvSpPr>
                <xdr:cNvPr id="1083" name="Shape 92">
                  <a:extLst>
                    <a:ext uri="{FF2B5EF4-FFF2-40B4-BE49-F238E27FC236}">
                      <a16:creationId xmlns:a16="http://schemas.microsoft.com/office/drawing/2014/main" id="{6DA8792B-DD34-A95E-4E30-001C9F374BE5}"/>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84" name="Shape 93">
                  <a:extLst>
                    <a:ext uri="{FF2B5EF4-FFF2-40B4-BE49-F238E27FC236}">
                      <a16:creationId xmlns:a16="http://schemas.microsoft.com/office/drawing/2014/main" id="{CC9CFE51-4D82-E6B8-F895-09DA92D51D81}"/>
                    </a:ext>
                  </a:extLst>
                </xdr:cNvPr>
                <xdr:cNvGrpSpPr/>
              </xdr:nvGrpSpPr>
              <xdr:grpSpPr>
                <a:xfrm>
                  <a:off x="5326950" y="651038"/>
                  <a:ext cx="38100" cy="6257925"/>
                  <a:chOff x="5326950" y="651038"/>
                  <a:chExt cx="38100" cy="6257925"/>
                </a:xfrm>
              </xdr:grpSpPr>
              <xdr:sp macro="" textlink="">
                <xdr:nvSpPr>
                  <xdr:cNvPr id="1085" name="Shape 94">
                    <a:extLst>
                      <a:ext uri="{FF2B5EF4-FFF2-40B4-BE49-F238E27FC236}">
                        <a16:creationId xmlns:a16="http://schemas.microsoft.com/office/drawing/2014/main" id="{FDD0CD57-2857-A1A7-2D9F-D208E3F3AA18}"/>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86" name="Shape 95">
                    <a:extLst>
                      <a:ext uri="{FF2B5EF4-FFF2-40B4-BE49-F238E27FC236}">
                        <a16:creationId xmlns:a16="http://schemas.microsoft.com/office/drawing/2014/main" id="{C6DF8F39-FF93-887E-62EB-2B88EBE26B12}"/>
                      </a:ext>
                    </a:extLst>
                  </xdr:cNvPr>
                  <xdr:cNvGrpSpPr/>
                </xdr:nvGrpSpPr>
                <xdr:grpSpPr>
                  <a:xfrm>
                    <a:off x="5326950" y="651038"/>
                    <a:ext cx="38100" cy="6257925"/>
                    <a:chOff x="5326950" y="651038"/>
                    <a:chExt cx="38100" cy="6257925"/>
                  </a:xfrm>
                </xdr:grpSpPr>
                <xdr:sp macro="" textlink="">
                  <xdr:nvSpPr>
                    <xdr:cNvPr id="1087" name="Shape 96">
                      <a:extLst>
                        <a:ext uri="{FF2B5EF4-FFF2-40B4-BE49-F238E27FC236}">
                          <a16:creationId xmlns:a16="http://schemas.microsoft.com/office/drawing/2014/main" id="{4F1D9C2F-9D1B-1126-7F91-20016281744B}"/>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88" name="Shape 97">
                      <a:extLst>
                        <a:ext uri="{FF2B5EF4-FFF2-40B4-BE49-F238E27FC236}">
                          <a16:creationId xmlns:a16="http://schemas.microsoft.com/office/drawing/2014/main" id="{91419CF7-ECE4-70AB-A1DF-E3DC8D8A6D6B}"/>
                        </a:ext>
                      </a:extLst>
                    </xdr:cNvPr>
                    <xdr:cNvGrpSpPr/>
                  </xdr:nvGrpSpPr>
                  <xdr:grpSpPr>
                    <a:xfrm>
                      <a:off x="5326950" y="651038"/>
                      <a:ext cx="38100" cy="6257925"/>
                      <a:chOff x="5326950" y="651038"/>
                      <a:chExt cx="38100" cy="6257925"/>
                    </a:xfrm>
                  </xdr:grpSpPr>
                  <xdr:sp macro="" textlink="">
                    <xdr:nvSpPr>
                      <xdr:cNvPr id="1089" name="Shape 98">
                        <a:extLst>
                          <a:ext uri="{FF2B5EF4-FFF2-40B4-BE49-F238E27FC236}">
                            <a16:creationId xmlns:a16="http://schemas.microsoft.com/office/drawing/2014/main" id="{CA88CBE1-5B06-21F2-B97E-DC8BE10EEC89}"/>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90" name="Shape 99">
                        <a:extLst>
                          <a:ext uri="{FF2B5EF4-FFF2-40B4-BE49-F238E27FC236}">
                            <a16:creationId xmlns:a16="http://schemas.microsoft.com/office/drawing/2014/main" id="{B1A2B0F8-92F8-A3CD-2936-B80BDC6A478F}"/>
                          </a:ext>
                        </a:extLst>
                      </xdr:cNvPr>
                      <xdr:cNvGrpSpPr/>
                    </xdr:nvGrpSpPr>
                    <xdr:grpSpPr>
                      <a:xfrm>
                        <a:off x="5326950" y="651038"/>
                        <a:ext cx="38100" cy="6257925"/>
                        <a:chOff x="5326950" y="647228"/>
                        <a:chExt cx="38100" cy="6265525"/>
                      </a:xfrm>
                    </xdr:grpSpPr>
                    <xdr:sp macro="" textlink="">
                      <xdr:nvSpPr>
                        <xdr:cNvPr id="1091" name="Shape 100">
                          <a:extLst>
                            <a:ext uri="{FF2B5EF4-FFF2-40B4-BE49-F238E27FC236}">
                              <a16:creationId xmlns:a16="http://schemas.microsoft.com/office/drawing/2014/main" id="{31356B31-ECA7-0EC3-530A-DF01FCB6BF92}"/>
                            </a:ext>
                          </a:extLst>
                        </xdr:cNvPr>
                        <xdr:cNvSpPr/>
                      </xdr:nvSpPr>
                      <xdr:spPr>
                        <a:xfrm>
                          <a:off x="5326950" y="647228"/>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92" name="Shape 101">
                          <a:extLst>
                            <a:ext uri="{FF2B5EF4-FFF2-40B4-BE49-F238E27FC236}">
                              <a16:creationId xmlns:a16="http://schemas.microsoft.com/office/drawing/2014/main" id="{FAE10116-8D4F-D6EC-16BC-3893AE326D47}"/>
                            </a:ext>
                          </a:extLst>
                        </xdr:cNvPr>
                        <xdr:cNvGrpSpPr/>
                      </xdr:nvGrpSpPr>
                      <xdr:grpSpPr>
                        <a:xfrm>
                          <a:off x="5326950" y="647228"/>
                          <a:ext cx="38100" cy="6265525"/>
                          <a:chOff x="5326950" y="1894050"/>
                          <a:chExt cx="38100" cy="6265525"/>
                        </a:xfrm>
                      </xdr:grpSpPr>
                      <xdr:sp macro="" textlink="">
                        <xdr:nvSpPr>
                          <xdr:cNvPr id="1093" name="Shape 102">
                            <a:extLst>
                              <a:ext uri="{FF2B5EF4-FFF2-40B4-BE49-F238E27FC236}">
                                <a16:creationId xmlns:a16="http://schemas.microsoft.com/office/drawing/2014/main" id="{561E873F-9286-47DF-F11F-7B256A8C5061}"/>
                              </a:ext>
                            </a:extLst>
                          </xdr:cNvPr>
                          <xdr:cNvSpPr/>
                        </xdr:nvSpPr>
                        <xdr:spPr>
                          <a:xfrm>
                            <a:off x="5326950" y="1894050"/>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94" name="Shape 103">
                            <a:extLst>
                              <a:ext uri="{FF2B5EF4-FFF2-40B4-BE49-F238E27FC236}">
                                <a16:creationId xmlns:a16="http://schemas.microsoft.com/office/drawing/2014/main" id="{5745FF4C-9A0F-C7A9-05CD-6BAA924A3649}"/>
                              </a:ext>
                            </a:extLst>
                          </xdr:cNvPr>
                          <xdr:cNvGrpSpPr/>
                        </xdr:nvGrpSpPr>
                        <xdr:grpSpPr>
                          <a:xfrm>
                            <a:off x="5326950" y="1894050"/>
                            <a:ext cx="38100" cy="3771900"/>
                            <a:chOff x="5326950" y="1894050"/>
                            <a:chExt cx="38100" cy="3771900"/>
                          </a:xfrm>
                        </xdr:grpSpPr>
                        <xdr:sp macro="" textlink="">
                          <xdr:nvSpPr>
                            <xdr:cNvPr id="1095" name="Shape 104">
                              <a:extLst>
                                <a:ext uri="{FF2B5EF4-FFF2-40B4-BE49-F238E27FC236}">
                                  <a16:creationId xmlns:a16="http://schemas.microsoft.com/office/drawing/2014/main" id="{F5E29B8F-C540-FF94-16F6-458498449D8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96" name="Shape 105">
                              <a:extLst>
                                <a:ext uri="{FF2B5EF4-FFF2-40B4-BE49-F238E27FC236}">
                                  <a16:creationId xmlns:a16="http://schemas.microsoft.com/office/drawing/2014/main" id="{E61542F9-A22A-669C-A473-EBE0D9B22147}"/>
                                </a:ext>
                              </a:extLst>
                            </xdr:cNvPr>
                            <xdr:cNvGrpSpPr/>
                          </xdr:nvGrpSpPr>
                          <xdr:grpSpPr>
                            <a:xfrm>
                              <a:off x="5326950" y="1894050"/>
                              <a:ext cx="38100" cy="3771900"/>
                              <a:chOff x="5326950" y="1894050"/>
                              <a:chExt cx="38100" cy="3771900"/>
                            </a:xfrm>
                          </xdr:grpSpPr>
                          <xdr:sp macro="" textlink="">
                            <xdr:nvSpPr>
                              <xdr:cNvPr id="1097" name="Shape 106">
                                <a:extLst>
                                  <a:ext uri="{FF2B5EF4-FFF2-40B4-BE49-F238E27FC236}">
                                    <a16:creationId xmlns:a16="http://schemas.microsoft.com/office/drawing/2014/main" id="{DB3123C8-1DAF-5441-D7AB-8C875AF7B50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98" name="Shape 107">
                                <a:extLst>
                                  <a:ext uri="{FF2B5EF4-FFF2-40B4-BE49-F238E27FC236}">
                                    <a16:creationId xmlns:a16="http://schemas.microsoft.com/office/drawing/2014/main" id="{4BD4BD77-8C91-BF51-1906-06B36DE1D0E9}"/>
                                  </a:ext>
                                </a:extLst>
                              </xdr:cNvPr>
                              <xdr:cNvGrpSpPr/>
                            </xdr:nvGrpSpPr>
                            <xdr:grpSpPr>
                              <a:xfrm>
                                <a:off x="5326950" y="1894050"/>
                                <a:ext cx="38100" cy="3771900"/>
                                <a:chOff x="5326950" y="1894050"/>
                                <a:chExt cx="38100" cy="3771900"/>
                              </a:xfrm>
                            </xdr:grpSpPr>
                            <xdr:sp macro="" textlink="">
                              <xdr:nvSpPr>
                                <xdr:cNvPr id="1099" name="Shape 108">
                                  <a:extLst>
                                    <a:ext uri="{FF2B5EF4-FFF2-40B4-BE49-F238E27FC236}">
                                      <a16:creationId xmlns:a16="http://schemas.microsoft.com/office/drawing/2014/main" id="{A2C8D69F-AB68-2E03-C672-B99226E56BB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0" name="Shape 109">
                                  <a:extLst>
                                    <a:ext uri="{FF2B5EF4-FFF2-40B4-BE49-F238E27FC236}">
                                      <a16:creationId xmlns:a16="http://schemas.microsoft.com/office/drawing/2014/main" id="{491B101E-F2C4-97B0-1BF4-12B7A81A73BC}"/>
                                    </a:ext>
                                  </a:extLst>
                                </xdr:cNvPr>
                                <xdr:cNvGrpSpPr/>
                              </xdr:nvGrpSpPr>
                              <xdr:grpSpPr>
                                <a:xfrm>
                                  <a:off x="5326950" y="1894050"/>
                                  <a:ext cx="38100" cy="3771900"/>
                                  <a:chOff x="5326950" y="1894050"/>
                                  <a:chExt cx="38100" cy="3771900"/>
                                </a:xfrm>
                              </xdr:grpSpPr>
                              <xdr:sp macro="" textlink="">
                                <xdr:nvSpPr>
                                  <xdr:cNvPr id="1101" name="Shape 110">
                                    <a:extLst>
                                      <a:ext uri="{FF2B5EF4-FFF2-40B4-BE49-F238E27FC236}">
                                        <a16:creationId xmlns:a16="http://schemas.microsoft.com/office/drawing/2014/main" id="{2134A612-6D58-0DAA-2866-64C8AC38A388}"/>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2" name="Shape 111">
                                    <a:extLst>
                                      <a:ext uri="{FF2B5EF4-FFF2-40B4-BE49-F238E27FC236}">
                                        <a16:creationId xmlns:a16="http://schemas.microsoft.com/office/drawing/2014/main" id="{51ED6D05-C421-45EE-0F6B-8112ED514B86}"/>
                                      </a:ext>
                                    </a:extLst>
                                  </xdr:cNvPr>
                                  <xdr:cNvGrpSpPr/>
                                </xdr:nvGrpSpPr>
                                <xdr:grpSpPr>
                                  <a:xfrm>
                                    <a:off x="5326950" y="1894050"/>
                                    <a:ext cx="38100" cy="3771900"/>
                                    <a:chOff x="5326950" y="1894050"/>
                                    <a:chExt cx="38100" cy="3771900"/>
                                  </a:xfrm>
                                </xdr:grpSpPr>
                                <xdr:sp macro="" textlink="">
                                  <xdr:nvSpPr>
                                    <xdr:cNvPr id="1103" name="Shape 112">
                                      <a:extLst>
                                        <a:ext uri="{FF2B5EF4-FFF2-40B4-BE49-F238E27FC236}">
                                          <a16:creationId xmlns:a16="http://schemas.microsoft.com/office/drawing/2014/main" id="{CE72E0C7-3674-B4A8-F9CA-E557637D617E}"/>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4" name="Shape 113">
                                      <a:extLst>
                                        <a:ext uri="{FF2B5EF4-FFF2-40B4-BE49-F238E27FC236}">
                                          <a16:creationId xmlns:a16="http://schemas.microsoft.com/office/drawing/2014/main" id="{F700531D-8AE8-7A25-BAE1-0B4257CAD5CF}"/>
                                        </a:ext>
                                      </a:extLst>
                                    </xdr:cNvPr>
                                    <xdr:cNvGrpSpPr/>
                                  </xdr:nvGrpSpPr>
                                  <xdr:grpSpPr>
                                    <a:xfrm>
                                      <a:off x="5326950" y="1894050"/>
                                      <a:ext cx="38100" cy="3771900"/>
                                      <a:chOff x="5326950" y="1894050"/>
                                      <a:chExt cx="38100" cy="3771900"/>
                                    </a:xfrm>
                                  </xdr:grpSpPr>
                                  <xdr:sp macro="" textlink="">
                                    <xdr:nvSpPr>
                                      <xdr:cNvPr id="1105" name="Shape 114">
                                        <a:extLst>
                                          <a:ext uri="{FF2B5EF4-FFF2-40B4-BE49-F238E27FC236}">
                                            <a16:creationId xmlns:a16="http://schemas.microsoft.com/office/drawing/2014/main" id="{941C3FA8-717B-2E09-18FE-71B507DBABAA}"/>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6" name="Shape 115">
                                        <a:extLst>
                                          <a:ext uri="{FF2B5EF4-FFF2-40B4-BE49-F238E27FC236}">
                                            <a16:creationId xmlns:a16="http://schemas.microsoft.com/office/drawing/2014/main" id="{84996159-2646-E8F8-D04B-47C00103353F}"/>
                                          </a:ext>
                                        </a:extLst>
                                      </xdr:cNvPr>
                                      <xdr:cNvGrpSpPr/>
                                    </xdr:nvGrpSpPr>
                                    <xdr:grpSpPr>
                                      <a:xfrm>
                                        <a:off x="5326950" y="1894050"/>
                                        <a:ext cx="38100" cy="3771900"/>
                                        <a:chOff x="5326950" y="1894050"/>
                                        <a:chExt cx="38100" cy="3771900"/>
                                      </a:xfrm>
                                    </xdr:grpSpPr>
                                    <xdr:sp macro="" textlink="">
                                      <xdr:nvSpPr>
                                        <xdr:cNvPr id="1107" name="Shape 116">
                                          <a:extLst>
                                            <a:ext uri="{FF2B5EF4-FFF2-40B4-BE49-F238E27FC236}">
                                              <a16:creationId xmlns:a16="http://schemas.microsoft.com/office/drawing/2014/main" id="{6F51936D-B82E-3736-7D5E-2B7CDB0A7AEC}"/>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08" name="Shape 117">
                                          <a:extLst>
                                            <a:ext uri="{FF2B5EF4-FFF2-40B4-BE49-F238E27FC236}">
                                              <a16:creationId xmlns:a16="http://schemas.microsoft.com/office/drawing/2014/main" id="{128FE6C1-3E3B-67B8-9BC4-E0132D6BD3C1}"/>
                                            </a:ext>
                                          </a:extLst>
                                        </xdr:cNvPr>
                                        <xdr:cNvGrpSpPr/>
                                      </xdr:nvGrpSpPr>
                                      <xdr:grpSpPr>
                                        <a:xfrm>
                                          <a:off x="5326950" y="1894050"/>
                                          <a:ext cx="38100" cy="3771900"/>
                                          <a:chOff x="5326950" y="1894050"/>
                                          <a:chExt cx="38100" cy="3771900"/>
                                        </a:xfrm>
                                      </xdr:grpSpPr>
                                      <xdr:sp macro="" textlink="">
                                        <xdr:nvSpPr>
                                          <xdr:cNvPr id="1109" name="Shape 118">
                                            <a:extLst>
                                              <a:ext uri="{FF2B5EF4-FFF2-40B4-BE49-F238E27FC236}">
                                                <a16:creationId xmlns:a16="http://schemas.microsoft.com/office/drawing/2014/main" id="{9557A309-2C5B-274C-8252-6024D40946F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0" name="Shape 119">
                                            <a:extLst>
                                              <a:ext uri="{FF2B5EF4-FFF2-40B4-BE49-F238E27FC236}">
                                                <a16:creationId xmlns:a16="http://schemas.microsoft.com/office/drawing/2014/main" id="{02E29D32-B975-6DCA-FB1F-52CFD1655B66}"/>
                                              </a:ext>
                                            </a:extLst>
                                          </xdr:cNvPr>
                                          <xdr:cNvGrpSpPr/>
                                        </xdr:nvGrpSpPr>
                                        <xdr:grpSpPr>
                                          <a:xfrm>
                                            <a:off x="5326950" y="1894050"/>
                                            <a:ext cx="38100" cy="3771900"/>
                                            <a:chOff x="5326950" y="1894050"/>
                                            <a:chExt cx="38100" cy="3771900"/>
                                          </a:xfrm>
                                        </xdr:grpSpPr>
                                        <xdr:sp macro="" textlink="">
                                          <xdr:nvSpPr>
                                            <xdr:cNvPr id="1111" name="Shape 120">
                                              <a:extLst>
                                                <a:ext uri="{FF2B5EF4-FFF2-40B4-BE49-F238E27FC236}">
                                                  <a16:creationId xmlns:a16="http://schemas.microsoft.com/office/drawing/2014/main" id="{08FA390E-3927-DCD6-3D6F-EB25BFDAB0D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2" name="Shape 121">
                                              <a:extLst>
                                                <a:ext uri="{FF2B5EF4-FFF2-40B4-BE49-F238E27FC236}">
                                                  <a16:creationId xmlns:a16="http://schemas.microsoft.com/office/drawing/2014/main" id="{8C1F7430-3FD7-5FE4-2F2E-DBD99C8E85FE}"/>
                                                </a:ext>
                                              </a:extLst>
                                            </xdr:cNvPr>
                                            <xdr:cNvGrpSpPr/>
                                          </xdr:nvGrpSpPr>
                                          <xdr:grpSpPr>
                                            <a:xfrm>
                                              <a:off x="5326950" y="1894050"/>
                                              <a:ext cx="38100" cy="3771900"/>
                                              <a:chOff x="5326950" y="1894050"/>
                                              <a:chExt cx="38100" cy="3771900"/>
                                            </a:xfrm>
                                          </xdr:grpSpPr>
                                          <xdr:sp macro="" textlink="">
                                            <xdr:nvSpPr>
                                              <xdr:cNvPr id="1113" name="Shape 122">
                                                <a:extLst>
                                                  <a:ext uri="{FF2B5EF4-FFF2-40B4-BE49-F238E27FC236}">
                                                    <a16:creationId xmlns:a16="http://schemas.microsoft.com/office/drawing/2014/main" id="{0883A38E-904C-4ADC-8BE3-9A4FFCFCC1D8}"/>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4" name="Shape 123">
                                                <a:extLst>
                                                  <a:ext uri="{FF2B5EF4-FFF2-40B4-BE49-F238E27FC236}">
                                                    <a16:creationId xmlns:a16="http://schemas.microsoft.com/office/drawing/2014/main" id="{D86C7BB9-8B56-7142-5AE1-405A31B02AF0}"/>
                                                  </a:ext>
                                                </a:extLst>
                                              </xdr:cNvPr>
                                              <xdr:cNvGrpSpPr/>
                                            </xdr:nvGrpSpPr>
                                            <xdr:grpSpPr>
                                              <a:xfrm>
                                                <a:off x="5326950" y="1894050"/>
                                                <a:ext cx="38100" cy="3771900"/>
                                                <a:chOff x="5326950" y="1894050"/>
                                                <a:chExt cx="38100" cy="3771900"/>
                                              </a:xfrm>
                                            </xdr:grpSpPr>
                                            <xdr:sp macro="" textlink="">
                                              <xdr:nvSpPr>
                                                <xdr:cNvPr id="1115" name="Shape 124">
                                                  <a:extLst>
                                                    <a:ext uri="{FF2B5EF4-FFF2-40B4-BE49-F238E27FC236}">
                                                      <a16:creationId xmlns:a16="http://schemas.microsoft.com/office/drawing/2014/main" id="{C1A420DE-EE82-BD61-3219-CBF32C4BD50B}"/>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6" name="Shape 125">
                                                  <a:extLst>
                                                    <a:ext uri="{FF2B5EF4-FFF2-40B4-BE49-F238E27FC236}">
                                                      <a16:creationId xmlns:a16="http://schemas.microsoft.com/office/drawing/2014/main" id="{F2BBDCE0-743C-F039-1188-37C9066DB84F}"/>
                                                    </a:ext>
                                                  </a:extLst>
                                                </xdr:cNvPr>
                                                <xdr:cNvGrpSpPr/>
                                              </xdr:nvGrpSpPr>
                                              <xdr:grpSpPr>
                                                <a:xfrm>
                                                  <a:off x="5326950" y="1894050"/>
                                                  <a:ext cx="38100" cy="3771900"/>
                                                  <a:chOff x="5326950" y="1894050"/>
                                                  <a:chExt cx="38100" cy="3771900"/>
                                                </a:xfrm>
                                              </xdr:grpSpPr>
                                              <xdr:sp macro="" textlink="">
                                                <xdr:nvSpPr>
                                                  <xdr:cNvPr id="1117" name="Shape 126">
                                                    <a:extLst>
                                                      <a:ext uri="{FF2B5EF4-FFF2-40B4-BE49-F238E27FC236}">
                                                        <a16:creationId xmlns:a16="http://schemas.microsoft.com/office/drawing/2014/main" id="{E4FA988A-C52C-CAE5-EAFF-0E5369905E4A}"/>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8" name="Shape 127">
                                                    <a:extLst>
                                                      <a:ext uri="{FF2B5EF4-FFF2-40B4-BE49-F238E27FC236}">
                                                        <a16:creationId xmlns:a16="http://schemas.microsoft.com/office/drawing/2014/main" id="{A4760656-39E7-FD7B-4B7E-15F96D132835}"/>
                                                      </a:ext>
                                                    </a:extLst>
                                                  </xdr:cNvPr>
                                                  <xdr:cNvGrpSpPr/>
                                                </xdr:nvGrpSpPr>
                                                <xdr:grpSpPr>
                                                  <a:xfrm>
                                                    <a:off x="5326950" y="1894050"/>
                                                    <a:ext cx="38100" cy="3771900"/>
                                                    <a:chOff x="5326950" y="1894050"/>
                                                    <a:chExt cx="38100" cy="3771900"/>
                                                  </a:xfrm>
                                                </xdr:grpSpPr>
                                                <xdr:sp macro="" textlink="">
                                                  <xdr:nvSpPr>
                                                    <xdr:cNvPr id="1119" name="Shape 128">
                                                      <a:extLst>
                                                        <a:ext uri="{FF2B5EF4-FFF2-40B4-BE49-F238E27FC236}">
                                                          <a16:creationId xmlns:a16="http://schemas.microsoft.com/office/drawing/2014/main" id="{335F268B-7699-6A53-412E-1BDB378437C8}"/>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20" name="Shape 129">
                                                      <a:extLst>
                                                        <a:ext uri="{FF2B5EF4-FFF2-40B4-BE49-F238E27FC236}">
                                                          <a16:creationId xmlns:a16="http://schemas.microsoft.com/office/drawing/2014/main" id="{AE5B4BA4-61DE-3DE8-7057-225CB354DD70}"/>
                                                        </a:ext>
                                                      </a:extLst>
                                                    </xdr:cNvPr>
                                                    <xdr:cNvGrpSpPr/>
                                                  </xdr:nvGrpSpPr>
                                                  <xdr:grpSpPr>
                                                    <a:xfrm>
                                                      <a:off x="5326950" y="1894050"/>
                                                      <a:ext cx="38100" cy="3771900"/>
                                                      <a:chOff x="5326950" y="1894050"/>
                                                      <a:chExt cx="38100" cy="3771900"/>
                                                    </a:xfrm>
                                                  </xdr:grpSpPr>
                                                  <xdr:sp macro="" textlink="">
                                                    <xdr:nvSpPr>
                                                      <xdr:cNvPr id="1121" name="Shape 130">
                                                        <a:extLst>
                                                          <a:ext uri="{FF2B5EF4-FFF2-40B4-BE49-F238E27FC236}">
                                                            <a16:creationId xmlns:a16="http://schemas.microsoft.com/office/drawing/2014/main" id="{5DF73A7A-EE13-B6C6-B17A-53F6983DA122}"/>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22" name="Shape 131">
                                                        <a:extLst>
                                                          <a:ext uri="{FF2B5EF4-FFF2-40B4-BE49-F238E27FC236}">
                                                            <a16:creationId xmlns:a16="http://schemas.microsoft.com/office/drawing/2014/main" id="{6DA9FFA6-3945-2384-D47F-4A50F8792C18}"/>
                                                          </a:ext>
                                                        </a:extLst>
                                                      </xdr:cNvPr>
                                                      <xdr:cNvGrpSpPr/>
                                                    </xdr:nvGrpSpPr>
                                                    <xdr:grpSpPr>
                                                      <a:xfrm>
                                                        <a:off x="5326950" y="1894050"/>
                                                        <a:ext cx="38100" cy="3771900"/>
                                                        <a:chOff x="5326950" y="1894050"/>
                                                        <a:chExt cx="38100" cy="3771900"/>
                                                      </a:xfrm>
                                                    </xdr:grpSpPr>
                                                    <xdr:sp macro="" textlink="">
                                                      <xdr:nvSpPr>
                                                        <xdr:cNvPr id="1123" name="Shape 132">
                                                          <a:extLst>
                                                            <a:ext uri="{FF2B5EF4-FFF2-40B4-BE49-F238E27FC236}">
                                                              <a16:creationId xmlns:a16="http://schemas.microsoft.com/office/drawing/2014/main" id="{8CCA0F10-0BE2-642D-9097-85B691A745C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24" name="Shape 133">
                                                          <a:extLst>
                                                            <a:ext uri="{FF2B5EF4-FFF2-40B4-BE49-F238E27FC236}">
                                                              <a16:creationId xmlns:a16="http://schemas.microsoft.com/office/drawing/2014/main" id="{751C8349-0EBE-4D18-C93A-8996F3ED016A}"/>
                                                            </a:ext>
                                                          </a:extLst>
                                                        </xdr:cNvPr>
                                                        <xdr:cNvGrpSpPr/>
                                                      </xdr:nvGrpSpPr>
                                                      <xdr:grpSpPr>
                                                        <a:xfrm>
                                                          <a:off x="5326950" y="1894050"/>
                                                          <a:ext cx="38100" cy="3771900"/>
                                                          <a:chOff x="5326950" y="1894050"/>
                                                          <a:chExt cx="38100" cy="3771900"/>
                                                        </a:xfrm>
                                                      </xdr:grpSpPr>
                                                      <xdr:sp macro="" textlink="">
                                                        <xdr:nvSpPr>
                                                          <xdr:cNvPr id="1125" name="Shape 134">
                                                            <a:extLst>
                                                              <a:ext uri="{FF2B5EF4-FFF2-40B4-BE49-F238E27FC236}">
                                                                <a16:creationId xmlns:a16="http://schemas.microsoft.com/office/drawing/2014/main" id="{C763785A-14BF-BBEA-207E-36516900F42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26" name="Shape 135">
                                                            <a:extLst>
                                                              <a:ext uri="{FF2B5EF4-FFF2-40B4-BE49-F238E27FC236}">
                                                                <a16:creationId xmlns:a16="http://schemas.microsoft.com/office/drawing/2014/main" id="{BCBE12B8-92CD-DB33-7E42-481751297F05}"/>
                                                              </a:ext>
                                                            </a:extLst>
                                                          </xdr:cNvPr>
                                                          <xdr:cNvGrpSpPr/>
                                                        </xdr:nvGrpSpPr>
                                                        <xdr:grpSpPr>
                                                          <a:xfrm>
                                                            <a:off x="5326950" y="1894050"/>
                                                            <a:ext cx="38100" cy="3771900"/>
                                                            <a:chOff x="5326950" y="1894050"/>
                                                            <a:chExt cx="38100" cy="3771900"/>
                                                          </a:xfrm>
                                                        </xdr:grpSpPr>
                                                        <xdr:sp macro="" textlink="">
                                                          <xdr:nvSpPr>
                                                            <xdr:cNvPr id="1127" name="Shape 136">
                                                              <a:extLst>
                                                                <a:ext uri="{FF2B5EF4-FFF2-40B4-BE49-F238E27FC236}">
                                                                  <a16:creationId xmlns:a16="http://schemas.microsoft.com/office/drawing/2014/main" id="{731E59FE-2A12-7938-3F2D-3ECFE2BFF917}"/>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28" name="Shape 137">
                                                              <a:extLst>
                                                                <a:ext uri="{FF2B5EF4-FFF2-40B4-BE49-F238E27FC236}">
                                                                  <a16:creationId xmlns:a16="http://schemas.microsoft.com/office/drawing/2014/main" id="{DEAF68CE-23EA-6D25-83AC-C4FC81362E98}"/>
                                                                </a:ext>
                                                              </a:extLst>
                                                            </xdr:cNvPr>
                                                            <xdr:cNvGrpSpPr/>
                                                          </xdr:nvGrpSpPr>
                                                          <xdr:grpSpPr>
                                                            <a:xfrm>
                                                              <a:off x="5326950" y="1894050"/>
                                                              <a:ext cx="38100" cy="3771900"/>
                                                              <a:chOff x="5326950" y="1894050"/>
                                                              <a:chExt cx="38100" cy="3771900"/>
                                                            </a:xfrm>
                                                          </xdr:grpSpPr>
                                                          <xdr:sp macro="" textlink="">
                                                            <xdr:nvSpPr>
                                                              <xdr:cNvPr id="1129" name="Shape 138">
                                                                <a:extLst>
                                                                  <a:ext uri="{FF2B5EF4-FFF2-40B4-BE49-F238E27FC236}">
                                                                    <a16:creationId xmlns:a16="http://schemas.microsoft.com/office/drawing/2014/main" id="{98E542D2-426F-627A-54DC-C8EC6BA2C7EE}"/>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30" name="Shape 139">
                                                                <a:extLst>
                                                                  <a:ext uri="{FF2B5EF4-FFF2-40B4-BE49-F238E27FC236}">
                                                                    <a16:creationId xmlns:a16="http://schemas.microsoft.com/office/drawing/2014/main" id="{F545E83A-2BB3-E065-25D0-517A67306D98}"/>
                                                                  </a:ext>
                                                                </a:extLst>
                                                              </xdr:cNvPr>
                                                              <xdr:cNvGrpSpPr/>
                                                            </xdr:nvGrpSpPr>
                                                            <xdr:grpSpPr>
                                                              <a:xfrm>
                                                                <a:off x="5326950" y="1894050"/>
                                                                <a:ext cx="38100" cy="3771900"/>
                                                                <a:chOff x="5326950" y="1894050"/>
                                                                <a:chExt cx="38100" cy="3771900"/>
                                                              </a:xfrm>
                                                            </xdr:grpSpPr>
                                                            <xdr:sp macro="" textlink="">
                                                              <xdr:nvSpPr>
                                                                <xdr:cNvPr id="1131" name="Shape 140">
                                                                  <a:extLst>
                                                                    <a:ext uri="{FF2B5EF4-FFF2-40B4-BE49-F238E27FC236}">
                                                                      <a16:creationId xmlns:a16="http://schemas.microsoft.com/office/drawing/2014/main" id="{0168A311-BF08-7E18-1BE5-E2E3F3F4C98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32" name="Shape 141">
                                                                  <a:extLst>
                                                                    <a:ext uri="{FF2B5EF4-FFF2-40B4-BE49-F238E27FC236}">
                                                                      <a16:creationId xmlns:a16="http://schemas.microsoft.com/office/drawing/2014/main" id="{05287F36-DE2A-AB40-A2C4-0B2B7887A907}"/>
                                                                    </a:ext>
                                                                  </a:extLst>
                                                                </xdr:cNvPr>
                                                                <xdr:cNvGrpSpPr/>
                                                              </xdr:nvGrpSpPr>
                                                              <xdr:grpSpPr>
                                                                <a:xfrm>
                                                                  <a:off x="5326950" y="1894050"/>
                                                                  <a:ext cx="38100" cy="3771900"/>
                                                                  <a:chOff x="5326950" y="1894050"/>
                                                                  <a:chExt cx="38100" cy="3771900"/>
                                                                </a:xfrm>
                                                              </xdr:grpSpPr>
                                                              <xdr:sp macro="" textlink="">
                                                                <xdr:nvSpPr>
                                                                  <xdr:cNvPr id="1133" name="Shape 142">
                                                                    <a:extLst>
                                                                      <a:ext uri="{FF2B5EF4-FFF2-40B4-BE49-F238E27FC236}">
                                                                        <a16:creationId xmlns:a16="http://schemas.microsoft.com/office/drawing/2014/main" id="{3C10EA92-93AF-83B9-987A-43CFD6F659B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34" name="Shape 143">
                                                                    <a:extLst>
                                                                      <a:ext uri="{FF2B5EF4-FFF2-40B4-BE49-F238E27FC236}">
                                                                        <a16:creationId xmlns:a16="http://schemas.microsoft.com/office/drawing/2014/main" id="{82CA7691-51A0-1EA2-F83C-6CAC2AF5095B}"/>
                                                                      </a:ext>
                                                                    </a:extLst>
                                                                  </xdr:cNvPr>
                                                                  <xdr:cNvGrpSpPr/>
                                                                </xdr:nvGrpSpPr>
                                                                <xdr:grpSpPr>
                                                                  <a:xfrm>
                                                                    <a:off x="5326950" y="1894050"/>
                                                                    <a:ext cx="38100" cy="3771900"/>
                                                                    <a:chOff x="5326950" y="1894050"/>
                                                                    <a:chExt cx="38100" cy="3771900"/>
                                                                  </a:xfrm>
                                                                </xdr:grpSpPr>
                                                                <xdr:sp macro="" textlink="">
                                                                  <xdr:nvSpPr>
                                                                    <xdr:cNvPr id="1135" name="Shape 144">
                                                                      <a:extLst>
                                                                        <a:ext uri="{FF2B5EF4-FFF2-40B4-BE49-F238E27FC236}">
                                                                          <a16:creationId xmlns:a16="http://schemas.microsoft.com/office/drawing/2014/main" id="{20F9453B-5BA8-C8AB-D2DB-0B11371D22AE}"/>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36" name="Shape 145">
                                                                      <a:extLst>
                                                                        <a:ext uri="{FF2B5EF4-FFF2-40B4-BE49-F238E27FC236}">
                                                                          <a16:creationId xmlns:a16="http://schemas.microsoft.com/office/drawing/2014/main" id="{1493A1C5-D6AB-9E74-C9C6-739BB2283F8C}"/>
                                                                        </a:ext>
                                                                      </a:extLst>
                                                                    </xdr:cNvPr>
                                                                    <xdr:cNvGrpSpPr/>
                                                                  </xdr:nvGrpSpPr>
                                                                  <xdr:grpSpPr>
                                                                    <a:xfrm>
                                                                      <a:off x="5326950" y="1894050"/>
                                                                      <a:ext cx="38100" cy="3771900"/>
                                                                      <a:chOff x="5326950" y="1894050"/>
                                                                      <a:chExt cx="38100" cy="3771900"/>
                                                                    </a:xfrm>
                                                                  </xdr:grpSpPr>
                                                                  <xdr:sp macro="" textlink="">
                                                                    <xdr:nvSpPr>
                                                                      <xdr:cNvPr id="1137" name="Shape 146">
                                                                        <a:extLst>
                                                                          <a:ext uri="{FF2B5EF4-FFF2-40B4-BE49-F238E27FC236}">
                                                                            <a16:creationId xmlns:a16="http://schemas.microsoft.com/office/drawing/2014/main" id="{C0437DB3-9D77-2524-7282-65B502F29CD9}"/>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38" name="Shape 147">
                                                                        <a:extLst>
                                                                          <a:ext uri="{FF2B5EF4-FFF2-40B4-BE49-F238E27FC236}">
                                                                            <a16:creationId xmlns:a16="http://schemas.microsoft.com/office/drawing/2014/main" id="{897E0E74-8CEF-D71B-5648-C03B60A6A08A}"/>
                                                                          </a:ext>
                                                                        </a:extLst>
                                                                      </xdr:cNvPr>
                                                                      <xdr:cNvGrpSpPr/>
                                                                    </xdr:nvGrpSpPr>
                                                                    <xdr:grpSpPr>
                                                                      <a:xfrm>
                                                                        <a:off x="5326950" y="1894050"/>
                                                                        <a:ext cx="38100" cy="3771900"/>
                                                                        <a:chOff x="5326950" y="1894050"/>
                                                                        <a:chExt cx="38100" cy="3771900"/>
                                                                      </a:xfrm>
                                                                    </xdr:grpSpPr>
                                                                    <xdr:sp macro="" textlink="">
                                                                      <xdr:nvSpPr>
                                                                        <xdr:cNvPr id="1139" name="Shape 148">
                                                                          <a:extLst>
                                                                            <a:ext uri="{FF2B5EF4-FFF2-40B4-BE49-F238E27FC236}">
                                                                              <a16:creationId xmlns:a16="http://schemas.microsoft.com/office/drawing/2014/main" id="{A5F93DB0-F7EF-DF20-48C8-B41EC4459905}"/>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40" name="Shape 149">
                                                                          <a:extLst>
                                                                            <a:ext uri="{FF2B5EF4-FFF2-40B4-BE49-F238E27FC236}">
                                                                              <a16:creationId xmlns:a16="http://schemas.microsoft.com/office/drawing/2014/main" id="{57318A7C-B2A3-D447-94DB-C679F1902BB0}"/>
                                                                            </a:ext>
                                                                          </a:extLst>
                                                                        </xdr:cNvPr>
                                                                        <xdr:cNvGrpSpPr/>
                                                                      </xdr:nvGrpSpPr>
                                                                      <xdr:grpSpPr>
                                                                        <a:xfrm>
                                                                          <a:off x="5326950" y="1894050"/>
                                                                          <a:ext cx="38100" cy="3771900"/>
                                                                          <a:chOff x="5326950" y="1894050"/>
                                                                          <a:chExt cx="38100" cy="3771900"/>
                                                                        </a:xfrm>
                                                                      </xdr:grpSpPr>
                                                                      <xdr:sp macro="" textlink="">
                                                                        <xdr:nvSpPr>
                                                                          <xdr:cNvPr id="1141" name="Shape 150">
                                                                            <a:extLst>
                                                                              <a:ext uri="{FF2B5EF4-FFF2-40B4-BE49-F238E27FC236}">
                                                                                <a16:creationId xmlns:a16="http://schemas.microsoft.com/office/drawing/2014/main" id="{6D305DD1-E1A7-0FED-F90D-B3F3F24E2752}"/>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42" name="Shape 151">
                                                                            <a:extLst>
                                                                              <a:ext uri="{FF2B5EF4-FFF2-40B4-BE49-F238E27FC236}">
                                                                                <a16:creationId xmlns:a16="http://schemas.microsoft.com/office/drawing/2014/main" id="{4A8C2F68-0E87-63EC-581A-05376788B4AF}"/>
                                                                              </a:ext>
                                                                            </a:extLst>
                                                                          </xdr:cNvPr>
                                                                          <xdr:cNvGrpSpPr/>
                                                                        </xdr:nvGrpSpPr>
                                                                        <xdr:grpSpPr>
                                                                          <a:xfrm>
                                                                            <a:off x="5326950" y="1894050"/>
                                                                            <a:ext cx="38100" cy="3771900"/>
                                                                            <a:chOff x="5326950" y="1894050"/>
                                                                            <a:chExt cx="38100" cy="3771900"/>
                                                                          </a:xfrm>
                                                                        </xdr:grpSpPr>
                                                                        <xdr:sp macro="" textlink="">
                                                                          <xdr:nvSpPr>
                                                                            <xdr:cNvPr id="1143" name="Shape 152">
                                                                              <a:extLst>
                                                                                <a:ext uri="{FF2B5EF4-FFF2-40B4-BE49-F238E27FC236}">
                                                                                  <a16:creationId xmlns:a16="http://schemas.microsoft.com/office/drawing/2014/main" id="{8ED19FFA-3331-ACEF-6B58-108119F4B3C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44" name="Shape 153">
                                                                              <a:extLst>
                                                                                <a:ext uri="{FF2B5EF4-FFF2-40B4-BE49-F238E27FC236}">
                                                                                  <a16:creationId xmlns:a16="http://schemas.microsoft.com/office/drawing/2014/main" id="{24A480E9-C89B-2DAC-A8C6-5A659CC03B9C}"/>
                                                                                </a:ext>
                                                                              </a:extLst>
                                                                            </xdr:cNvPr>
                                                                            <xdr:cNvGrpSpPr/>
                                                                          </xdr:nvGrpSpPr>
                                                                          <xdr:grpSpPr>
                                                                            <a:xfrm>
                                                                              <a:off x="5326950" y="1894050"/>
                                                                              <a:ext cx="38100" cy="3771900"/>
                                                                              <a:chOff x="5326950" y="1894050"/>
                                                                              <a:chExt cx="38100" cy="3771900"/>
                                                                            </a:xfrm>
                                                                          </xdr:grpSpPr>
                                                                          <xdr:sp macro="" textlink="">
                                                                            <xdr:nvSpPr>
                                                                              <xdr:cNvPr id="1145" name="Shape 154">
                                                                                <a:extLst>
                                                                                  <a:ext uri="{FF2B5EF4-FFF2-40B4-BE49-F238E27FC236}">
                                                                                    <a16:creationId xmlns:a16="http://schemas.microsoft.com/office/drawing/2014/main" id="{295A1F6B-753F-77A4-B4C1-0EC0DE482E1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46" name="Shape 155">
                                                                                <a:extLst>
                                                                                  <a:ext uri="{FF2B5EF4-FFF2-40B4-BE49-F238E27FC236}">
                                                                                    <a16:creationId xmlns:a16="http://schemas.microsoft.com/office/drawing/2014/main" id="{2323C025-3428-D10B-A749-A8F165F9679A}"/>
                                                                                  </a:ext>
                                                                                </a:extLst>
                                                                              </xdr:cNvPr>
                                                                              <xdr:cNvGrpSpPr/>
                                                                            </xdr:nvGrpSpPr>
                                                                            <xdr:grpSpPr>
                                                                              <a:xfrm>
                                                                                <a:off x="5326950" y="1894050"/>
                                                                                <a:ext cx="38100" cy="3771900"/>
                                                                                <a:chOff x="5326950" y="1894050"/>
                                                                                <a:chExt cx="38100" cy="3771900"/>
                                                                              </a:xfrm>
                                                                            </xdr:grpSpPr>
                                                                            <xdr:sp macro="" textlink="">
                                                                              <xdr:nvSpPr>
                                                                                <xdr:cNvPr id="1147" name="Shape 156">
                                                                                  <a:extLst>
                                                                                    <a:ext uri="{FF2B5EF4-FFF2-40B4-BE49-F238E27FC236}">
                                                                                      <a16:creationId xmlns:a16="http://schemas.microsoft.com/office/drawing/2014/main" id="{79755C99-A759-7F80-845C-0F6DD87D7E22}"/>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48" name="Shape 157">
                                                                                  <a:extLst>
                                                                                    <a:ext uri="{FF2B5EF4-FFF2-40B4-BE49-F238E27FC236}">
                                                                                      <a16:creationId xmlns:a16="http://schemas.microsoft.com/office/drawing/2014/main" id="{1CE88E4C-377D-1EED-F617-B3BCC09E2377}"/>
                                                                                    </a:ext>
                                                                                  </a:extLst>
                                                                                </xdr:cNvPr>
                                                                                <xdr:cNvGrpSpPr/>
                                                                              </xdr:nvGrpSpPr>
                                                                              <xdr:grpSpPr>
                                                                                <a:xfrm>
                                                                                  <a:off x="5326950" y="1894050"/>
                                                                                  <a:ext cx="38100" cy="3771900"/>
                                                                                  <a:chOff x="5326950" y="1894050"/>
                                                                                  <a:chExt cx="38100" cy="3771900"/>
                                                                                </a:xfrm>
                                                                              </xdr:grpSpPr>
                                                                              <xdr:sp macro="" textlink="">
                                                                                <xdr:nvSpPr>
                                                                                  <xdr:cNvPr id="1149" name="Shape 158">
                                                                                    <a:extLst>
                                                                                      <a:ext uri="{FF2B5EF4-FFF2-40B4-BE49-F238E27FC236}">
                                                                                        <a16:creationId xmlns:a16="http://schemas.microsoft.com/office/drawing/2014/main" id="{EFB49D6A-5978-DB96-BF13-5F9FDA0E2A22}"/>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50" name="Shape 159">
                                                                                    <a:extLst>
                                                                                      <a:ext uri="{FF2B5EF4-FFF2-40B4-BE49-F238E27FC236}">
                                                                                        <a16:creationId xmlns:a16="http://schemas.microsoft.com/office/drawing/2014/main" id="{76EBBB9F-508D-3B1D-FF59-21AE686EDEAD}"/>
                                                                                      </a:ext>
                                                                                    </a:extLst>
                                                                                  </xdr:cNvPr>
                                                                                  <xdr:cNvGrpSpPr/>
                                                                                </xdr:nvGrpSpPr>
                                                                                <xdr:grpSpPr>
                                                                                  <a:xfrm>
                                                                                    <a:off x="5326950" y="1894050"/>
                                                                                    <a:ext cx="38100" cy="3771900"/>
                                                                                    <a:chOff x="5326950" y="1894050"/>
                                                                                    <a:chExt cx="38100" cy="3771900"/>
                                                                                  </a:xfrm>
                                                                                </xdr:grpSpPr>
                                                                                <xdr:sp macro="" textlink="">
                                                                                  <xdr:nvSpPr>
                                                                                    <xdr:cNvPr id="1151" name="Shape 160">
                                                                                      <a:extLst>
                                                                                        <a:ext uri="{FF2B5EF4-FFF2-40B4-BE49-F238E27FC236}">
                                                                                          <a16:creationId xmlns:a16="http://schemas.microsoft.com/office/drawing/2014/main" id="{AE983572-B149-6B3F-E829-76DA5E102CCA}"/>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52" name="Shape 161">
                                                                                      <a:extLst>
                                                                                        <a:ext uri="{FF2B5EF4-FFF2-40B4-BE49-F238E27FC236}">
                                                                                          <a16:creationId xmlns:a16="http://schemas.microsoft.com/office/drawing/2014/main" id="{8FDBEBB7-4DD5-4DBA-DB93-549C34CD8C7F}"/>
                                                                                        </a:ext>
                                                                                      </a:extLst>
                                                                                    </xdr:cNvPr>
                                                                                    <xdr:cNvGrpSpPr/>
                                                                                  </xdr:nvGrpSpPr>
                                                                                  <xdr:grpSpPr>
                                                                                    <a:xfrm>
                                                                                      <a:off x="5326950" y="1894050"/>
                                                                                      <a:ext cx="38100" cy="3771900"/>
                                                                                      <a:chOff x="5326950" y="1894050"/>
                                                                                      <a:chExt cx="38100" cy="3771900"/>
                                                                                    </a:xfrm>
                                                                                  </xdr:grpSpPr>
                                                                                  <xdr:sp macro="" textlink="">
                                                                                    <xdr:nvSpPr>
                                                                                      <xdr:cNvPr id="1153" name="Shape 162">
                                                                                        <a:extLst>
                                                                                          <a:ext uri="{FF2B5EF4-FFF2-40B4-BE49-F238E27FC236}">
                                                                                            <a16:creationId xmlns:a16="http://schemas.microsoft.com/office/drawing/2014/main" id="{B7886C69-0C05-A4AE-8344-F4E9A1844649}"/>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54" name="Shape 163">
                                                                                        <a:extLst>
                                                                                          <a:ext uri="{FF2B5EF4-FFF2-40B4-BE49-F238E27FC236}">
                                                                                            <a16:creationId xmlns:a16="http://schemas.microsoft.com/office/drawing/2014/main" id="{3D0387FD-8FDB-D0A6-B6CD-5EE1481B561F}"/>
                                                                                          </a:ext>
                                                                                        </a:extLst>
                                                                                      </xdr:cNvPr>
                                                                                      <xdr:cNvGrpSpPr/>
                                                                                    </xdr:nvGrpSpPr>
                                                                                    <xdr:grpSpPr>
                                                                                      <a:xfrm>
                                                                                        <a:off x="5326950" y="1894050"/>
                                                                                        <a:ext cx="38100" cy="3771900"/>
                                                                                        <a:chOff x="5326950" y="1894050"/>
                                                                                        <a:chExt cx="38100" cy="3771900"/>
                                                                                      </a:xfrm>
                                                                                    </xdr:grpSpPr>
                                                                                    <xdr:sp macro="" textlink="">
                                                                                      <xdr:nvSpPr>
                                                                                        <xdr:cNvPr id="1155" name="Shape 164">
                                                                                          <a:extLst>
                                                                                            <a:ext uri="{FF2B5EF4-FFF2-40B4-BE49-F238E27FC236}">
                                                                                              <a16:creationId xmlns:a16="http://schemas.microsoft.com/office/drawing/2014/main" id="{525BFD78-0714-1583-305E-D1B9ED5D1108}"/>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56" name="Shape 165">
                                                                                          <a:extLst>
                                                                                            <a:ext uri="{FF2B5EF4-FFF2-40B4-BE49-F238E27FC236}">
                                                                                              <a16:creationId xmlns:a16="http://schemas.microsoft.com/office/drawing/2014/main" id="{9A8B9094-C970-0BA2-68BB-EDE659D42384}"/>
                                                                                            </a:ext>
                                                                                          </a:extLst>
                                                                                        </xdr:cNvPr>
                                                                                        <xdr:cNvGrpSpPr/>
                                                                                      </xdr:nvGrpSpPr>
                                                                                      <xdr:grpSpPr>
                                                                                        <a:xfrm>
                                                                                          <a:off x="5326950" y="1894050"/>
                                                                                          <a:ext cx="38100" cy="3771900"/>
                                                                                          <a:chOff x="5326950" y="1894050"/>
                                                                                          <a:chExt cx="38100" cy="3771900"/>
                                                                                        </a:xfrm>
                                                                                      </xdr:grpSpPr>
                                                                                      <xdr:sp macro="" textlink="">
                                                                                        <xdr:nvSpPr>
                                                                                          <xdr:cNvPr id="1157" name="Shape 166">
                                                                                            <a:extLst>
                                                                                              <a:ext uri="{FF2B5EF4-FFF2-40B4-BE49-F238E27FC236}">
                                                                                                <a16:creationId xmlns:a16="http://schemas.microsoft.com/office/drawing/2014/main" id="{08C7BA15-8689-2940-67F0-4EF7D3EE1B3F}"/>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158" name="Shape 168">
                                                                                            <a:extLst>
                                                                                              <a:ext uri="{FF2B5EF4-FFF2-40B4-BE49-F238E27FC236}">
                                                                                                <a16:creationId xmlns:a16="http://schemas.microsoft.com/office/drawing/2014/main" id="{B12205AC-AB14-1A90-36C9-205F48A84C77}"/>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1</xdr:col>
      <xdr:colOff>0</xdr:colOff>
      <xdr:row>95</xdr:row>
      <xdr:rowOff>123825</xdr:rowOff>
    </xdr:from>
    <xdr:ext cx="13077825" cy="38100"/>
    <xdr:grpSp>
      <xdr:nvGrpSpPr>
        <xdr:cNvPr id="1159" name="Shape 2">
          <a:extLst>
            <a:ext uri="{FF2B5EF4-FFF2-40B4-BE49-F238E27FC236}">
              <a16:creationId xmlns:a16="http://schemas.microsoft.com/office/drawing/2014/main" id="{CB538958-2BAD-4216-A3BF-8B9923FD663E}"/>
            </a:ext>
          </a:extLst>
        </xdr:cNvPr>
        <xdr:cNvGrpSpPr/>
      </xdr:nvGrpSpPr>
      <xdr:grpSpPr>
        <a:xfrm>
          <a:off x="91722" y="24655992"/>
          <a:ext cx="13077825" cy="38100"/>
          <a:chOff x="0" y="3760950"/>
          <a:chExt cx="10692000" cy="38100"/>
        </a:xfrm>
      </xdr:grpSpPr>
      <xdr:grpSp>
        <xdr:nvGrpSpPr>
          <xdr:cNvPr id="1160" name="Shape 253">
            <a:extLst>
              <a:ext uri="{FF2B5EF4-FFF2-40B4-BE49-F238E27FC236}">
                <a16:creationId xmlns:a16="http://schemas.microsoft.com/office/drawing/2014/main" id="{FE0099E7-5F2B-13C5-5E0A-933D5FAAC24B}"/>
              </a:ext>
            </a:extLst>
          </xdr:cNvPr>
          <xdr:cNvGrpSpPr/>
        </xdr:nvGrpSpPr>
        <xdr:grpSpPr>
          <a:xfrm>
            <a:off x="0" y="3760950"/>
            <a:ext cx="10692000" cy="38100"/>
            <a:chOff x="0" y="3760950"/>
            <a:chExt cx="10692000" cy="38100"/>
          </a:xfrm>
        </xdr:grpSpPr>
        <xdr:sp macro="" textlink="">
          <xdr:nvSpPr>
            <xdr:cNvPr id="1161" name="Shape 5">
              <a:extLst>
                <a:ext uri="{FF2B5EF4-FFF2-40B4-BE49-F238E27FC236}">
                  <a16:creationId xmlns:a16="http://schemas.microsoft.com/office/drawing/2014/main" id="{C843A691-E392-E753-65E7-5E2BE9846BB8}"/>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162" name="Shape 254">
              <a:extLst>
                <a:ext uri="{FF2B5EF4-FFF2-40B4-BE49-F238E27FC236}">
                  <a16:creationId xmlns:a16="http://schemas.microsoft.com/office/drawing/2014/main" id="{9618C948-7A7B-BA15-611C-49A50D6983B0}"/>
                </a:ext>
              </a:extLst>
            </xdr:cNvPr>
            <xdr:cNvGrpSpPr/>
          </xdr:nvGrpSpPr>
          <xdr:grpSpPr>
            <a:xfrm>
              <a:off x="0" y="3760950"/>
              <a:ext cx="10692000" cy="38100"/>
              <a:chOff x="0" y="3760950"/>
              <a:chExt cx="10692000" cy="38100"/>
            </a:xfrm>
          </xdr:grpSpPr>
          <xdr:sp macro="" textlink="">
            <xdr:nvSpPr>
              <xdr:cNvPr id="1163" name="Shape 255">
                <a:extLst>
                  <a:ext uri="{FF2B5EF4-FFF2-40B4-BE49-F238E27FC236}">
                    <a16:creationId xmlns:a16="http://schemas.microsoft.com/office/drawing/2014/main" id="{66402968-1DC3-EB5F-B206-5406283D2BA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64" name="Shape 256">
                <a:extLst>
                  <a:ext uri="{FF2B5EF4-FFF2-40B4-BE49-F238E27FC236}">
                    <a16:creationId xmlns:a16="http://schemas.microsoft.com/office/drawing/2014/main" id="{2074EA04-370B-2D7D-B4E8-BBA0E88FEB8B}"/>
                  </a:ext>
                </a:extLst>
              </xdr:cNvPr>
              <xdr:cNvGrpSpPr/>
            </xdr:nvGrpSpPr>
            <xdr:grpSpPr>
              <a:xfrm>
                <a:off x="0" y="3760950"/>
                <a:ext cx="10692000" cy="38100"/>
                <a:chOff x="0" y="3760950"/>
                <a:chExt cx="10692000" cy="38100"/>
              </a:xfrm>
            </xdr:grpSpPr>
            <xdr:sp macro="" textlink="">
              <xdr:nvSpPr>
                <xdr:cNvPr id="1165" name="Shape 257">
                  <a:extLst>
                    <a:ext uri="{FF2B5EF4-FFF2-40B4-BE49-F238E27FC236}">
                      <a16:creationId xmlns:a16="http://schemas.microsoft.com/office/drawing/2014/main" id="{3A8A00A2-D49F-CA8A-6B2D-08BEE8BACCDE}"/>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66" name="Shape 258">
                  <a:extLst>
                    <a:ext uri="{FF2B5EF4-FFF2-40B4-BE49-F238E27FC236}">
                      <a16:creationId xmlns:a16="http://schemas.microsoft.com/office/drawing/2014/main" id="{318EF80D-7C61-8985-463C-59F9CE78EEAD}"/>
                    </a:ext>
                  </a:extLst>
                </xdr:cNvPr>
                <xdr:cNvGrpSpPr/>
              </xdr:nvGrpSpPr>
              <xdr:grpSpPr>
                <a:xfrm>
                  <a:off x="0" y="3760950"/>
                  <a:ext cx="10692000" cy="38100"/>
                  <a:chOff x="0" y="3760950"/>
                  <a:chExt cx="10692000" cy="38100"/>
                </a:xfrm>
              </xdr:grpSpPr>
              <xdr:sp macro="" textlink="">
                <xdr:nvSpPr>
                  <xdr:cNvPr id="1167" name="Shape 259">
                    <a:extLst>
                      <a:ext uri="{FF2B5EF4-FFF2-40B4-BE49-F238E27FC236}">
                        <a16:creationId xmlns:a16="http://schemas.microsoft.com/office/drawing/2014/main" id="{92A78439-6E83-08EE-B9EE-2FD963445C75}"/>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68" name="Shape 260">
                    <a:extLst>
                      <a:ext uri="{FF2B5EF4-FFF2-40B4-BE49-F238E27FC236}">
                        <a16:creationId xmlns:a16="http://schemas.microsoft.com/office/drawing/2014/main" id="{F8E01037-91B7-FE06-3182-57481CDE348B}"/>
                      </a:ext>
                    </a:extLst>
                  </xdr:cNvPr>
                  <xdr:cNvGrpSpPr/>
                </xdr:nvGrpSpPr>
                <xdr:grpSpPr>
                  <a:xfrm>
                    <a:off x="0" y="3760950"/>
                    <a:ext cx="10692000" cy="38100"/>
                    <a:chOff x="0" y="3760950"/>
                    <a:chExt cx="10692000" cy="38100"/>
                  </a:xfrm>
                </xdr:grpSpPr>
                <xdr:sp macro="" textlink="">
                  <xdr:nvSpPr>
                    <xdr:cNvPr id="1169" name="Shape 261">
                      <a:extLst>
                        <a:ext uri="{FF2B5EF4-FFF2-40B4-BE49-F238E27FC236}">
                          <a16:creationId xmlns:a16="http://schemas.microsoft.com/office/drawing/2014/main" id="{E6DDD193-D342-F426-E91C-3AFA78FD7393}"/>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70" name="Shape 262">
                      <a:extLst>
                        <a:ext uri="{FF2B5EF4-FFF2-40B4-BE49-F238E27FC236}">
                          <a16:creationId xmlns:a16="http://schemas.microsoft.com/office/drawing/2014/main" id="{27F270F2-4EFC-976C-B664-EA1DD033F18B}"/>
                        </a:ext>
                      </a:extLst>
                    </xdr:cNvPr>
                    <xdr:cNvGrpSpPr/>
                  </xdr:nvGrpSpPr>
                  <xdr:grpSpPr>
                    <a:xfrm>
                      <a:off x="0" y="3760950"/>
                      <a:ext cx="10692000" cy="38100"/>
                      <a:chOff x="0" y="3760950"/>
                      <a:chExt cx="10692000" cy="38100"/>
                    </a:xfrm>
                  </xdr:grpSpPr>
                  <xdr:sp macro="" textlink="">
                    <xdr:nvSpPr>
                      <xdr:cNvPr id="1171" name="Shape 263">
                        <a:extLst>
                          <a:ext uri="{FF2B5EF4-FFF2-40B4-BE49-F238E27FC236}">
                            <a16:creationId xmlns:a16="http://schemas.microsoft.com/office/drawing/2014/main" id="{EF84C55A-BA5C-454D-DC90-6FF5343AE691}"/>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72" name="Shape 264">
                        <a:extLst>
                          <a:ext uri="{FF2B5EF4-FFF2-40B4-BE49-F238E27FC236}">
                            <a16:creationId xmlns:a16="http://schemas.microsoft.com/office/drawing/2014/main" id="{E99C2446-7E11-ACDD-3CAB-22301730F247}"/>
                          </a:ext>
                        </a:extLst>
                      </xdr:cNvPr>
                      <xdr:cNvGrpSpPr/>
                    </xdr:nvGrpSpPr>
                    <xdr:grpSpPr>
                      <a:xfrm>
                        <a:off x="0" y="3760950"/>
                        <a:ext cx="10692000" cy="38100"/>
                        <a:chOff x="0" y="3760950"/>
                        <a:chExt cx="10692000" cy="38100"/>
                      </a:xfrm>
                    </xdr:grpSpPr>
                    <xdr:sp macro="" textlink="">
                      <xdr:nvSpPr>
                        <xdr:cNvPr id="1173" name="Shape 265">
                          <a:extLst>
                            <a:ext uri="{FF2B5EF4-FFF2-40B4-BE49-F238E27FC236}">
                              <a16:creationId xmlns:a16="http://schemas.microsoft.com/office/drawing/2014/main" id="{CC122840-57F1-1E64-86D6-915F8CAFF47C}"/>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74" name="Shape 266">
                          <a:extLst>
                            <a:ext uri="{FF2B5EF4-FFF2-40B4-BE49-F238E27FC236}">
                              <a16:creationId xmlns:a16="http://schemas.microsoft.com/office/drawing/2014/main" id="{43153196-FCCB-9244-2EE3-4EF644AF924E}"/>
                            </a:ext>
                          </a:extLst>
                        </xdr:cNvPr>
                        <xdr:cNvGrpSpPr/>
                      </xdr:nvGrpSpPr>
                      <xdr:grpSpPr>
                        <a:xfrm>
                          <a:off x="0" y="3760950"/>
                          <a:ext cx="10692000" cy="38100"/>
                          <a:chOff x="0" y="3760950"/>
                          <a:chExt cx="10692000" cy="38100"/>
                        </a:xfrm>
                      </xdr:grpSpPr>
                      <xdr:sp macro="" textlink="">
                        <xdr:nvSpPr>
                          <xdr:cNvPr id="1175" name="Shape 267">
                            <a:extLst>
                              <a:ext uri="{FF2B5EF4-FFF2-40B4-BE49-F238E27FC236}">
                                <a16:creationId xmlns:a16="http://schemas.microsoft.com/office/drawing/2014/main" id="{0CAA6445-64FA-2EBD-5B03-1318A31DCA8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76" name="Shape 268">
                            <a:extLst>
                              <a:ext uri="{FF2B5EF4-FFF2-40B4-BE49-F238E27FC236}">
                                <a16:creationId xmlns:a16="http://schemas.microsoft.com/office/drawing/2014/main" id="{FC3F3E8A-5981-F74E-440F-311F93251818}"/>
                              </a:ext>
                            </a:extLst>
                          </xdr:cNvPr>
                          <xdr:cNvGrpSpPr/>
                        </xdr:nvGrpSpPr>
                        <xdr:grpSpPr>
                          <a:xfrm>
                            <a:off x="0" y="3760950"/>
                            <a:ext cx="10692000" cy="38100"/>
                            <a:chOff x="0" y="3760950"/>
                            <a:chExt cx="10692000" cy="38100"/>
                          </a:xfrm>
                        </xdr:grpSpPr>
                        <xdr:sp macro="" textlink="">
                          <xdr:nvSpPr>
                            <xdr:cNvPr id="1177" name="Shape 269">
                              <a:extLst>
                                <a:ext uri="{FF2B5EF4-FFF2-40B4-BE49-F238E27FC236}">
                                  <a16:creationId xmlns:a16="http://schemas.microsoft.com/office/drawing/2014/main" id="{5974D53F-4BC8-D36E-0072-13F8EC517A22}"/>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78" name="Shape 270">
                              <a:extLst>
                                <a:ext uri="{FF2B5EF4-FFF2-40B4-BE49-F238E27FC236}">
                                  <a16:creationId xmlns:a16="http://schemas.microsoft.com/office/drawing/2014/main" id="{277388B8-3C44-FFB2-DA7E-17E9D22E8591}"/>
                                </a:ext>
                              </a:extLst>
                            </xdr:cNvPr>
                            <xdr:cNvGrpSpPr/>
                          </xdr:nvGrpSpPr>
                          <xdr:grpSpPr>
                            <a:xfrm>
                              <a:off x="0" y="3760950"/>
                              <a:ext cx="10692000" cy="38100"/>
                              <a:chOff x="0" y="3760950"/>
                              <a:chExt cx="10692000" cy="38100"/>
                            </a:xfrm>
                          </xdr:grpSpPr>
                          <xdr:sp macro="" textlink="">
                            <xdr:nvSpPr>
                              <xdr:cNvPr id="1179" name="Shape 271">
                                <a:extLst>
                                  <a:ext uri="{FF2B5EF4-FFF2-40B4-BE49-F238E27FC236}">
                                    <a16:creationId xmlns:a16="http://schemas.microsoft.com/office/drawing/2014/main" id="{B05C4B1B-C52D-F2EA-0B79-99E8AB0137F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80" name="Shape 272">
                                <a:extLst>
                                  <a:ext uri="{FF2B5EF4-FFF2-40B4-BE49-F238E27FC236}">
                                    <a16:creationId xmlns:a16="http://schemas.microsoft.com/office/drawing/2014/main" id="{EED7FA31-CFED-FCAB-359B-B752CBDD4AC5}"/>
                                  </a:ext>
                                </a:extLst>
                              </xdr:cNvPr>
                              <xdr:cNvGrpSpPr/>
                            </xdr:nvGrpSpPr>
                            <xdr:grpSpPr>
                              <a:xfrm>
                                <a:off x="0" y="3760950"/>
                                <a:ext cx="10692000" cy="38100"/>
                                <a:chOff x="0" y="3760950"/>
                                <a:chExt cx="10692000" cy="38100"/>
                              </a:xfrm>
                            </xdr:grpSpPr>
                            <xdr:sp macro="" textlink="">
                              <xdr:nvSpPr>
                                <xdr:cNvPr id="1181" name="Shape 273">
                                  <a:extLst>
                                    <a:ext uri="{FF2B5EF4-FFF2-40B4-BE49-F238E27FC236}">
                                      <a16:creationId xmlns:a16="http://schemas.microsoft.com/office/drawing/2014/main" id="{220A2291-84A0-315B-D3F5-E9B97C064B9B}"/>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82" name="Shape 274">
                                  <a:extLst>
                                    <a:ext uri="{FF2B5EF4-FFF2-40B4-BE49-F238E27FC236}">
                                      <a16:creationId xmlns:a16="http://schemas.microsoft.com/office/drawing/2014/main" id="{6EDA4613-6F0C-F000-572A-62C13D937CC0}"/>
                                    </a:ext>
                                  </a:extLst>
                                </xdr:cNvPr>
                                <xdr:cNvGrpSpPr/>
                              </xdr:nvGrpSpPr>
                              <xdr:grpSpPr>
                                <a:xfrm>
                                  <a:off x="0" y="3760950"/>
                                  <a:ext cx="10692000" cy="38100"/>
                                  <a:chOff x="0" y="3760950"/>
                                  <a:chExt cx="10692000" cy="38100"/>
                                </a:xfrm>
                              </xdr:grpSpPr>
                              <xdr:sp macro="" textlink="">
                                <xdr:nvSpPr>
                                  <xdr:cNvPr id="1183" name="Shape 275">
                                    <a:extLst>
                                      <a:ext uri="{FF2B5EF4-FFF2-40B4-BE49-F238E27FC236}">
                                        <a16:creationId xmlns:a16="http://schemas.microsoft.com/office/drawing/2014/main" id="{AF424B30-132F-2EBC-6C25-C2DD5CB1CF6B}"/>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84" name="Shape 276">
                                    <a:extLst>
                                      <a:ext uri="{FF2B5EF4-FFF2-40B4-BE49-F238E27FC236}">
                                        <a16:creationId xmlns:a16="http://schemas.microsoft.com/office/drawing/2014/main" id="{F252881C-6923-57C6-644D-F60E14924248}"/>
                                      </a:ext>
                                    </a:extLst>
                                  </xdr:cNvPr>
                                  <xdr:cNvGrpSpPr/>
                                </xdr:nvGrpSpPr>
                                <xdr:grpSpPr>
                                  <a:xfrm>
                                    <a:off x="0" y="3760950"/>
                                    <a:ext cx="10692000" cy="38100"/>
                                    <a:chOff x="0" y="3760950"/>
                                    <a:chExt cx="10692000" cy="38100"/>
                                  </a:xfrm>
                                </xdr:grpSpPr>
                                <xdr:sp macro="" textlink="">
                                  <xdr:nvSpPr>
                                    <xdr:cNvPr id="1185" name="Shape 277">
                                      <a:extLst>
                                        <a:ext uri="{FF2B5EF4-FFF2-40B4-BE49-F238E27FC236}">
                                          <a16:creationId xmlns:a16="http://schemas.microsoft.com/office/drawing/2014/main" id="{AB7A6F50-5820-6C21-FFE0-440AE52B540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86" name="Shape 278">
                                      <a:extLst>
                                        <a:ext uri="{FF2B5EF4-FFF2-40B4-BE49-F238E27FC236}">
                                          <a16:creationId xmlns:a16="http://schemas.microsoft.com/office/drawing/2014/main" id="{DB652FC3-E695-44EE-A013-B81C2DE6BC97}"/>
                                        </a:ext>
                                      </a:extLst>
                                    </xdr:cNvPr>
                                    <xdr:cNvGrpSpPr/>
                                  </xdr:nvGrpSpPr>
                                  <xdr:grpSpPr>
                                    <a:xfrm>
                                      <a:off x="0" y="3760950"/>
                                      <a:ext cx="10692000" cy="38100"/>
                                      <a:chOff x="0" y="3760950"/>
                                      <a:chExt cx="10692000" cy="38100"/>
                                    </a:xfrm>
                                  </xdr:grpSpPr>
                                  <xdr:sp macro="" textlink="">
                                    <xdr:nvSpPr>
                                      <xdr:cNvPr id="1187" name="Shape 279">
                                        <a:extLst>
                                          <a:ext uri="{FF2B5EF4-FFF2-40B4-BE49-F238E27FC236}">
                                            <a16:creationId xmlns:a16="http://schemas.microsoft.com/office/drawing/2014/main" id="{68F9D173-A2D6-B87F-AEBC-6254199092BC}"/>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88" name="Shape 280">
                                        <a:extLst>
                                          <a:ext uri="{FF2B5EF4-FFF2-40B4-BE49-F238E27FC236}">
                                            <a16:creationId xmlns:a16="http://schemas.microsoft.com/office/drawing/2014/main" id="{3E9B949C-7080-3B69-5CE5-5D639057CF5A}"/>
                                          </a:ext>
                                        </a:extLst>
                                      </xdr:cNvPr>
                                      <xdr:cNvGrpSpPr/>
                                    </xdr:nvGrpSpPr>
                                    <xdr:grpSpPr>
                                      <a:xfrm>
                                        <a:off x="0" y="3760950"/>
                                        <a:ext cx="10692000" cy="38100"/>
                                        <a:chOff x="0" y="3760950"/>
                                        <a:chExt cx="10692000" cy="38100"/>
                                      </a:xfrm>
                                    </xdr:grpSpPr>
                                    <xdr:sp macro="" textlink="">
                                      <xdr:nvSpPr>
                                        <xdr:cNvPr id="1189" name="Shape 281">
                                          <a:extLst>
                                            <a:ext uri="{FF2B5EF4-FFF2-40B4-BE49-F238E27FC236}">
                                              <a16:creationId xmlns:a16="http://schemas.microsoft.com/office/drawing/2014/main" id="{7FCBF6BC-6E2A-E829-3CB8-E2BB83C4685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0" name="Shape 282">
                                          <a:extLst>
                                            <a:ext uri="{FF2B5EF4-FFF2-40B4-BE49-F238E27FC236}">
                                              <a16:creationId xmlns:a16="http://schemas.microsoft.com/office/drawing/2014/main" id="{953188E8-1368-6367-7205-31DD43DF94D2}"/>
                                            </a:ext>
                                          </a:extLst>
                                        </xdr:cNvPr>
                                        <xdr:cNvGrpSpPr/>
                                      </xdr:nvGrpSpPr>
                                      <xdr:grpSpPr>
                                        <a:xfrm>
                                          <a:off x="0" y="3760950"/>
                                          <a:ext cx="10692000" cy="38100"/>
                                          <a:chOff x="0" y="3760950"/>
                                          <a:chExt cx="10692000" cy="38100"/>
                                        </a:xfrm>
                                      </xdr:grpSpPr>
                                      <xdr:sp macro="" textlink="">
                                        <xdr:nvSpPr>
                                          <xdr:cNvPr id="1191" name="Shape 283">
                                            <a:extLst>
                                              <a:ext uri="{FF2B5EF4-FFF2-40B4-BE49-F238E27FC236}">
                                                <a16:creationId xmlns:a16="http://schemas.microsoft.com/office/drawing/2014/main" id="{694F9C77-9B01-ADDA-2490-BB761C84E45F}"/>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2" name="Shape 284">
                                            <a:extLst>
                                              <a:ext uri="{FF2B5EF4-FFF2-40B4-BE49-F238E27FC236}">
                                                <a16:creationId xmlns:a16="http://schemas.microsoft.com/office/drawing/2014/main" id="{6E413B7F-0161-1C6B-2921-59733EA78F65}"/>
                                              </a:ext>
                                            </a:extLst>
                                          </xdr:cNvPr>
                                          <xdr:cNvGrpSpPr/>
                                        </xdr:nvGrpSpPr>
                                        <xdr:grpSpPr>
                                          <a:xfrm>
                                            <a:off x="0" y="3760950"/>
                                            <a:ext cx="10692000" cy="38100"/>
                                            <a:chOff x="0" y="3760950"/>
                                            <a:chExt cx="10692000" cy="38100"/>
                                          </a:xfrm>
                                        </xdr:grpSpPr>
                                        <xdr:sp macro="" textlink="">
                                          <xdr:nvSpPr>
                                            <xdr:cNvPr id="1193" name="Shape 285">
                                              <a:extLst>
                                                <a:ext uri="{FF2B5EF4-FFF2-40B4-BE49-F238E27FC236}">
                                                  <a16:creationId xmlns:a16="http://schemas.microsoft.com/office/drawing/2014/main" id="{9E9F33C4-EE24-F9F6-FF48-99C307ED5A78}"/>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4" name="Shape 286">
                                              <a:extLst>
                                                <a:ext uri="{FF2B5EF4-FFF2-40B4-BE49-F238E27FC236}">
                                                  <a16:creationId xmlns:a16="http://schemas.microsoft.com/office/drawing/2014/main" id="{140D4768-83F1-55D3-A611-2E4605D31F31}"/>
                                                </a:ext>
                                              </a:extLst>
                                            </xdr:cNvPr>
                                            <xdr:cNvGrpSpPr/>
                                          </xdr:nvGrpSpPr>
                                          <xdr:grpSpPr>
                                            <a:xfrm>
                                              <a:off x="0" y="3760950"/>
                                              <a:ext cx="10692000" cy="38100"/>
                                              <a:chOff x="0" y="3760950"/>
                                              <a:chExt cx="10692000" cy="38100"/>
                                            </a:xfrm>
                                          </xdr:grpSpPr>
                                          <xdr:sp macro="" textlink="">
                                            <xdr:nvSpPr>
                                              <xdr:cNvPr id="1195" name="Shape 287">
                                                <a:extLst>
                                                  <a:ext uri="{FF2B5EF4-FFF2-40B4-BE49-F238E27FC236}">
                                                    <a16:creationId xmlns:a16="http://schemas.microsoft.com/office/drawing/2014/main" id="{2220AA5A-BB43-9E58-A492-20D10CD49DD8}"/>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6" name="Shape 288">
                                                <a:extLst>
                                                  <a:ext uri="{FF2B5EF4-FFF2-40B4-BE49-F238E27FC236}">
                                                    <a16:creationId xmlns:a16="http://schemas.microsoft.com/office/drawing/2014/main" id="{AEEC558E-74EC-F4F6-9B5E-6B898F1BB5A5}"/>
                                                  </a:ext>
                                                </a:extLst>
                                              </xdr:cNvPr>
                                              <xdr:cNvGrpSpPr/>
                                            </xdr:nvGrpSpPr>
                                            <xdr:grpSpPr>
                                              <a:xfrm>
                                                <a:off x="0" y="3760950"/>
                                                <a:ext cx="10692000" cy="38100"/>
                                                <a:chOff x="0" y="3760950"/>
                                                <a:chExt cx="10692000" cy="38100"/>
                                              </a:xfrm>
                                            </xdr:grpSpPr>
                                            <xdr:sp macro="" textlink="">
                                              <xdr:nvSpPr>
                                                <xdr:cNvPr id="1197" name="Shape 289">
                                                  <a:extLst>
                                                    <a:ext uri="{FF2B5EF4-FFF2-40B4-BE49-F238E27FC236}">
                                                      <a16:creationId xmlns:a16="http://schemas.microsoft.com/office/drawing/2014/main" id="{4E31FA59-294F-E653-7D65-0E0694DF09B7}"/>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8" name="Shape 290">
                                                  <a:extLst>
                                                    <a:ext uri="{FF2B5EF4-FFF2-40B4-BE49-F238E27FC236}">
                                                      <a16:creationId xmlns:a16="http://schemas.microsoft.com/office/drawing/2014/main" id="{1069BF65-A148-D81E-2CAB-2345D1B4C59E}"/>
                                                    </a:ext>
                                                  </a:extLst>
                                                </xdr:cNvPr>
                                                <xdr:cNvGrpSpPr/>
                                              </xdr:nvGrpSpPr>
                                              <xdr:grpSpPr>
                                                <a:xfrm>
                                                  <a:off x="0" y="3760950"/>
                                                  <a:ext cx="10692000" cy="38100"/>
                                                  <a:chOff x="0" y="3760950"/>
                                                  <a:chExt cx="10692000" cy="38100"/>
                                                </a:xfrm>
                                              </xdr:grpSpPr>
                                              <xdr:sp macro="" textlink="">
                                                <xdr:nvSpPr>
                                                  <xdr:cNvPr id="1199" name="Shape 291">
                                                    <a:extLst>
                                                      <a:ext uri="{FF2B5EF4-FFF2-40B4-BE49-F238E27FC236}">
                                                        <a16:creationId xmlns:a16="http://schemas.microsoft.com/office/drawing/2014/main" id="{E6465CDA-54AD-3221-0E5B-341C8F33F6C1}"/>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00" name="Shape 292">
                                                    <a:extLst>
                                                      <a:ext uri="{FF2B5EF4-FFF2-40B4-BE49-F238E27FC236}">
                                                        <a16:creationId xmlns:a16="http://schemas.microsoft.com/office/drawing/2014/main" id="{E5273DCC-3DAC-C07F-C457-C9C1ACDDF009}"/>
                                                      </a:ext>
                                                    </a:extLst>
                                                  </xdr:cNvPr>
                                                  <xdr:cNvGrpSpPr/>
                                                </xdr:nvGrpSpPr>
                                                <xdr:grpSpPr>
                                                  <a:xfrm>
                                                    <a:off x="0" y="3760950"/>
                                                    <a:ext cx="10692000" cy="38100"/>
                                                    <a:chOff x="0" y="3760950"/>
                                                    <a:chExt cx="10692000" cy="38100"/>
                                                  </a:xfrm>
                                                </xdr:grpSpPr>
                                                <xdr:sp macro="" textlink="">
                                                  <xdr:nvSpPr>
                                                    <xdr:cNvPr id="1201" name="Shape 293">
                                                      <a:extLst>
                                                        <a:ext uri="{FF2B5EF4-FFF2-40B4-BE49-F238E27FC236}">
                                                          <a16:creationId xmlns:a16="http://schemas.microsoft.com/office/drawing/2014/main" id="{56969652-CFDA-9654-0D56-EC3E2E565FD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02" name="Shape 294">
                                                      <a:extLst>
                                                        <a:ext uri="{FF2B5EF4-FFF2-40B4-BE49-F238E27FC236}">
                                                          <a16:creationId xmlns:a16="http://schemas.microsoft.com/office/drawing/2014/main" id="{3B838E16-201C-B0B8-1553-6386E34A797D}"/>
                                                        </a:ext>
                                                      </a:extLst>
                                                    </xdr:cNvPr>
                                                    <xdr:cNvGrpSpPr/>
                                                  </xdr:nvGrpSpPr>
                                                  <xdr:grpSpPr>
                                                    <a:xfrm>
                                                      <a:off x="0" y="3760950"/>
                                                      <a:ext cx="10692000" cy="38100"/>
                                                      <a:chOff x="0" y="3760950"/>
                                                      <a:chExt cx="10692000" cy="38100"/>
                                                    </a:xfrm>
                                                  </xdr:grpSpPr>
                                                  <xdr:sp macro="" textlink="">
                                                    <xdr:nvSpPr>
                                                      <xdr:cNvPr id="1203" name="Shape 295">
                                                        <a:extLst>
                                                          <a:ext uri="{FF2B5EF4-FFF2-40B4-BE49-F238E27FC236}">
                                                            <a16:creationId xmlns:a16="http://schemas.microsoft.com/office/drawing/2014/main" id="{8A82A4B9-E17F-1915-2C91-7B51B285BDA1}"/>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04" name="Shape 296">
                                                        <a:extLst>
                                                          <a:ext uri="{FF2B5EF4-FFF2-40B4-BE49-F238E27FC236}">
                                                            <a16:creationId xmlns:a16="http://schemas.microsoft.com/office/drawing/2014/main" id="{24408745-EA57-863C-E8D1-B92353CF9E52}"/>
                                                          </a:ext>
                                                        </a:extLst>
                                                      </xdr:cNvPr>
                                                      <xdr:cNvGrpSpPr/>
                                                    </xdr:nvGrpSpPr>
                                                    <xdr:grpSpPr>
                                                      <a:xfrm>
                                                        <a:off x="0" y="3760950"/>
                                                        <a:ext cx="10692000" cy="38100"/>
                                                        <a:chOff x="0" y="3760950"/>
                                                        <a:chExt cx="10692000" cy="38100"/>
                                                      </a:xfrm>
                                                    </xdr:grpSpPr>
                                                    <xdr:sp macro="" textlink="">
                                                      <xdr:nvSpPr>
                                                        <xdr:cNvPr id="1205" name="Shape 297">
                                                          <a:extLst>
                                                            <a:ext uri="{FF2B5EF4-FFF2-40B4-BE49-F238E27FC236}">
                                                              <a16:creationId xmlns:a16="http://schemas.microsoft.com/office/drawing/2014/main" id="{2696E20F-DEAE-CA5D-9E90-DE8BC0AD7E05}"/>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06" name="Shape 298">
                                                          <a:extLst>
                                                            <a:ext uri="{FF2B5EF4-FFF2-40B4-BE49-F238E27FC236}">
                                                              <a16:creationId xmlns:a16="http://schemas.microsoft.com/office/drawing/2014/main" id="{81B1FAD1-15D2-21F4-8FFD-19938C82D240}"/>
                                                            </a:ext>
                                                          </a:extLst>
                                                        </xdr:cNvPr>
                                                        <xdr:cNvGrpSpPr/>
                                                      </xdr:nvGrpSpPr>
                                                      <xdr:grpSpPr>
                                                        <a:xfrm>
                                                          <a:off x="0" y="3760950"/>
                                                          <a:ext cx="10692000" cy="38100"/>
                                                          <a:chOff x="0" y="3760950"/>
                                                          <a:chExt cx="10692000" cy="38100"/>
                                                        </a:xfrm>
                                                      </xdr:grpSpPr>
                                                      <xdr:sp macro="" textlink="">
                                                        <xdr:nvSpPr>
                                                          <xdr:cNvPr id="1207" name="Shape 299">
                                                            <a:extLst>
                                                              <a:ext uri="{FF2B5EF4-FFF2-40B4-BE49-F238E27FC236}">
                                                                <a16:creationId xmlns:a16="http://schemas.microsoft.com/office/drawing/2014/main" id="{B26D203A-2364-FB82-1E32-E4B9DB6B3F09}"/>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08" name="Shape 300">
                                                            <a:extLst>
                                                              <a:ext uri="{FF2B5EF4-FFF2-40B4-BE49-F238E27FC236}">
                                                                <a16:creationId xmlns:a16="http://schemas.microsoft.com/office/drawing/2014/main" id="{CBE43A31-4FEE-11D2-4BF5-DA83F20CEFC8}"/>
                                                              </a:ext>
                                                            </a:extLst>
                                                          </xdr:cNvPr>
                                                          <xdr:cNvGrpSpPr/>
                                                        </xdr:nvGrpSpPr>
                                                        <xdr:grpSpPr>
                                                          <a:xfrm>
                                                            <a:off x="0" y="3760950"/>
                                                            <a:ext cx="10692000" cy="38100"/>
                                                            <a:chOff x="0" y="3760950"/>
                                                            <a:chExt cx="10692000" cy="38100"/>
                                                          </a:xfrm>
                                                        </xdr:grpSpPr>
                                                        <xdr:sp macro="" textlink="">
                                                          <xdr:nvSpPr>
                                                            <xdr:cNvPr id="1209" name="Shape 301">
                                                              <a:extLst>
                                                                <a:ext uri="{FF2B5EF4-FFF2-40B4-BE49-F238E27FC236}">
                                                                  <a16:creationId xmlns:a16="http://schemas.microsoft.com/office/drawing/2014/main" id="{B68482CD-07A5-42BC-4CEC-F0E194E4084B}"/>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10" name="Shape 302">
                                                              <a:extLst>
                                                                <a:ext uri="{FF2B5EF4-FFF2-40B4-BE49-F238E27FC236}">
                                                                  <a16:creationId xmlns:a16="http://schemas.microsoft.com/office/drawing/2014/main" id="{F073AB10-C544-A3E7-D580-B7500CEE1907}"/>
                                                                </a:ext>
                                                              </a:extLst>
                                                            </xdr:cNvPr>
                                                            <xdr:cNvGrpSpPr/>
                                                          </xdr:nvGrpSpPr>
                                                          <xdr:grpSpPr>
                                                            <a:xfrm>
                                                              <a:off x="0" y="3760950"/>
                                                              <a:ext cx="10692000" cy="38100"/>
                                                              <a:chOff x="0" y="3760950"/>
                                                              <a:chExt cx="10692000" cy="38100"/>
                                                            </a:xfrm>
                                                          </xdr:grpSpPr>
                                                          <xdr:sp macro="" textlink="">
                                                            <xdr:nvSpPr>
                                                              <xdr:cNvPr id="1211" name="Shape 303">
                                                                <a:extLst>
                                                                  <a:ext uri="{FF2B5EF4-FFF2-40B4-BE49-F238E27FC236}">
                                                                    <a16:creationId xmlns:a16="http://schemas.microsoft.com/office/drawing/2014/main" id="{786E60A9-4DC6-79C0-299B-A7A26A0A7F0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12" name="Shape 304">
                                                                <a:extLst>
                                                                  <a:ext uri="{FF2B5EF4-FFF2-40B4-BE49-F238E27FC236}">
                                                                    <a16:creationId xmlns:a16="http://schemas.microsoft.com/office/drawing/2014/main" id="{50950381-AE52-7F35-9F30-2002B830D7E1}"/>
                                                                  </a:ext>
                                                                </a:extLst>
                                                              </xdr:cNvPr>
                                                              <xdr:cNvGrpSpPr/>
                                                            </xdr:nvGrpSpPr>
                                                            <xdr:grpSpPr>
                                                              <a:xfrm>
                                                                <a:off x="0" y="3760950"/>
                                                                <a:ext cx="10692000" cy="38100"/>
                                                                <a:chOff x="0" y="3760950"/>
                                                                <a:chExt cx="10692000" cy="38100"/>
                                                              </a:xfrm>
                                                            </xdr:grpSpPr>
                                                            <xdr:sp macro="" textlink="">
                                                              <xdr:nvSpPr>
                                                                <xdr:cNvPr id="1213" name="Shape 305">
                                                                  <a:extLst>
                                                                    <a:ext uri="{FF2B5EF4-FFF2-40B4-BE49-F238E27FC236}">
                                                                      <a16:creationId xmlns:a16="http://schemas.microsoft.com/office/drawing/2014/main" id="{090498DC-2745-FEF7-1548-3A437F4AAD4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14" name="Shape 306">
                                                                  <a:extLst>
                                                                    <a:ext uri="{FF2B5EF4-FFF2-40B4-BE49-F238E27FC236}">
                                                                      <a16:creationId xmlns:a16="http://schemas.microsoft.com/office/drawing/2014/main" id="{F84442AF-03E0-5156-A650-AB35E34F0B61}"/>
                                                                    </a:ext>
                                                                  </a:extLst>
                                                                </xdr:cNvPr>
                                                                <xdr:cNvGrpSpPr/>
                                                              </xdr:nvGrpSpPr>
                                                              <xdr:grpSpPr>
                                                                <a:xfrm>
                                                                  <a:off x="0" y="3760950"/>
                                                                  <a:ext cx="10692000" cy="38100"/>
                                                                  <a:chOff x="0" y="3760950"/>
                                                                  <a:chExt cx="10692000" cy="38100"/>
                                                                </a:xfrm>
                                                              </xdr:grpSpPr>
                                                              <xdr:sp macro="" textlink="">
                                                                <xdr:nvSpPr>
                                                                  <xdr:cNvPr id="1215" name="Shape 307">
                                                                    <a:extLst>
                                                                      <a:ext uri="{FF2B5EF4-FFF2-40B4-BE49-F238E27FC236}">
                                                                        <a16:creationId xmlns:a16="http://schemas.microsoft.com/office/drawing/2014/main" id="{2F32320B-6B9B-0AC0-D71E-9128B258D16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16" name="Shape 308">
                                                                    <a:extLst>
                                                                      <a:ext uri="{FF2B5EF4-FFF2-40B4-BE49-F238E27FC236}">
                                                                        <a16:creationId xmlns:a16="http://schemas.microsoft.com/office/drawing/2014/main" id="{6A58DAE4-10CF-77E1-CC8A-77EA54790C4C}"/>
                                                                      </a:ext>
                                                                    </a:extLst>
                                                                  </xdr:cNvPr>
                                                                  <xdr:cNvGrpSpPr/>
                                                                </xdr:nvGrpSpPr>
                                                                <xdr:grpSpPr>
                                                                  <a:xfrm>
                                                                    <a:off x="0" y="3760950"/>
                                                                    <a:ext cx="10692000" cy="38100"/>
                                                                    <a:chOff x="0" y="3760950"/>
                                                                    <a:chExt cx="10692000" cy="38100"/>
                                                                  </a:xfrm>
                                                                </xdr:grpSpPr>
                                                                <xdr:sp macro="" textlink="">
                                                                  <xdr:nvSpPr>
                                                                    <xdr:cNvPr id="1217" name="Shape 309">
                                                                      <a:extLst>
                                                                        <a:ext uri="{FF2B5EF4-FFF2-40B4-BE49-F238E27FC236}">
                                                                          <a16:creationId xmlns:a16="http://schemas.microsoft.com/office/drawing/2014/main" id="{E7E52836-1586-4728-5414-4F6A817B3952}"/>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18" name="Shape 310">
                                                                      <a:extLst>
                                                                        <a:ext uri="{FF2B5EF4-FFF2-40B4-BE49-F238E27FC236}">
                                                                          <a16:creationId xmlns:a16="http://schemas.microsoft.com/office/drawing/2014/main" id="{FDB141B8-8A71-3ADA-68B9-93C670C4C01A}"/>
                                                                        </a:ext>
                                                                      </a:extLst>
                                                                    </xdr:cNvPr>
                                                                    <xdr:cNvGrpSpPr/>
                                                                  </xdr:nvGrpSpPr>
                                                                  <xdr:grpSpPr>
                                                                    <a:xfrm>
                                                                      <a:off x="0" y="3760950"/>
                                                                      <a:ext cx="10692000" cy="38100"/>
                                                                      <a:chOff x="0" y="3760950"/>
                                                                      <a:chExt cx="10692000" cy="38100"/>
                                                                    </a:xfrm>
                                                                  </xdr:grpSpPr>
                                                                  <xdr:sp macro="" textlink="">
                                                                    <xdr:nvSpPr>
                                                                      <xdr:cNvPr id="1219" name="Shape 311">
                                                                        <a:extLst>
                                                                          <a:ext uri="{FF2B5EF4-FFF2-40B4-BE49-F238E27FC236}">
                                                                            <a16:creationId xmlns:a16="http://schemas.microsoft.com/office/drawing/2014/main" id="{B4C4F0E1-4A28-FD41-16D2-6F631DCBCADB}"/>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20" name="Shape 312">
                                                                        <a:extLst>
                                                                          <a:ext uri="{FF2B5EF4-FFF2-40B4-BE49-F238E27FC236}">
                                                                            <a16:creationId xmlns:a16="http://schemas.microsoft.com/office/drawing/2014/main" id="{6E7436CA-A581-BC58-15B7-A9EA7F344D5C}"/>
                                                                          </a:ext>
                                                                        </a:extLst>
                                                                      </xdr:cNvPr>
                                                                      <xdr:cNvGrpSpPr/>
                                                                    </xdr:nvGrpSpPr>
                                                                    <xdr:grpSpPr>
                                                                      <a:xfrm>
                                                                        <a:off x="0" y="3760950"/>
                                                                        <a:ext cx="10692000" cy="38100"/>
                                                                        <a:chOff x="0" y="3760950"/>
                                                                        <a:chExt cx="10692000" cy="38100"/>
                                                                      </a:xfrm>
                                                                    </xdr:grpSpPr>
                                                                    <xdr:sp macro="" textlink="">
                                                                      <xdr:nvSpPr>
                                                                        <xdr:cNvPr id="1221" name="Shape 313">
                                                                          <a:extLst>
                                                                            <a:ext uri="{FF2B5EF4-FFF2-40B4-BE49-F238E27FC236}">
                                                                              <a16:creationId xmlns:a16="http://schemas.microsoft.com/office/drawing/2014/main" id="{F8C2972D-1CC3-763D-3B8E-F59C1CB1BD58}"/>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22" name="Shape 314">
                                                                          <a:extLst>
                                                                            <a:ext uri="{FF2B5EF4-FFF2-40B4-BE49-F238E27FC236}">
                                                                              <a16:creationId xmlns:a16="http://schemas.microsoft.com/office/drawing/2014/main" id="{626FAB31-84C8-0B94-BE09-BE6333626F6D}"/>
                                                                            </a:ext>
                                                                          </a:extLst>
                                                                        </xdr:cNvPr>
                                                                        <xdr:cNvGrpSpPr/>
                                                                      </xdr:nvGrpSpPr>
                                                                      <xdr:grpSpPr>
                                                                        <a:xfrm>
                                                                          <a:off x="0" y="3760950"/>
                                                                          <a:ext cx="10692000" cy="38100"/>
                                                                          <a:chOff x="0" y="3760950"/>
                                                                          <a:chExt cx="10692000" cy="38100"/>
                                                                        </a:xfrm>
                                                                      </xdr:grpSpPr>
                                                                      <xdr:sp macro="" textlink="">
                                                                        <xdr:nvSpPr>
                                                                          <xdr:cNvPr id="1223" name="Shape 315">
                                                                            <a:extLst>
                                                                              <a:ext uri="{FF2B5EF4-FFF2-40B4-BE49-F238E27FC236}">
                                                                                <a16:creationId xmlns:a16="http://schemas.microsoft.com/office/drawing/2014/main" id="{97892CAE-1A98-DDD5-1E9B-E3B283D13F79}"/>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24" name="Shape 316">
                                                                            <a:extLst>
                                                                              <a:ext uri="{FF2B5EF4-FFF2-40B4-BE49-F238E27FC236}">
                                                                                <a16:creationId xmlns:a16="http://schemas.microsoft.com/office/drawing/2014/main" id="{40977107-D0B9-F31A-0868-7417C737CB2D}"/>
                                                                              </a:ext>
                                                                            </a:extLst>
                                                                          </xdr:cNvPr>
                                                                          <xdr:cNvGrpSpPr/>
                                                                        </xdr:nvGrpSpPr>
                                                                        <xdr:grpSpPr>
                                                                          <a:xfrm>
                                                                            <a:off x="0" y="3760950"/>
                                                                            <a:ext cx="10692000" cy="38100"/>
                                                                            <a:chOff x="0" y="3760950"/>
                                                                            <a:chExt cx="10692000" cy="38100"/>
                                                                          </a:xfrm>
                                                                        </xdr:grpSpPr>
                                                                        <xdr:sp macro="" textlink="">
                                                                          <xdr:nvSpPr>
                                                                            <xdr:cNvPr id="1225" name="Shape 317">
                                                                              <a:extLst>
                                                                                <a:ext uri="{FF2B5EF4-FFF2-40B4-BE49-F238E27FC236}">
                                                                                  <a16:creationId xmlns:a16="http://schemas.microsoft.com/office/drawing/2014/main" id="{77F7A1F4-517E-6976-6C6D-7AA1B7AF9179}"/>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26" name="Shape 318">
                                                                              <a:extLst>
                                                                                <a:ext uri="{FF2B5EF4-FFF2-40B4-BE49-F238E27FC236}">
                                                                                  <a16:creationId xmlns:a16="http://schemas.microsoft.com/office/drawing/2014/main" id="{3241024D-9DA9-09A2-5FF1-103FC03FAA6D}"/>
                                                                                </a:ext>
                                                                              </a:extLst>
                                                                            </xdr:cNvPr>
                                                                            <xdr:cNvGrpSpPr/>
                                                                          </xdr:nvGrpSpPr>
                                                                          <xdr:grpSpPr>
                                                                            <a:xfrm>
                                                                              <a:off x="0" y="3760950"/>
                                                                              <a:ext cx="10692000" cy="38100"/>
                                                                              <a:chOff x="0" y="3760950"/>
                                                                              <a:chExt cx="10692000" cy="38100"/>
                                                                            </a:xfrm>
                                                                          </xdr:grpSpPr>
                                                                          <xdr:sp macro="" textlink="">
                                                                            <xdr:nvSpPr>
                                                                              <xdr:cNvPr id="1227" name="Shape 319">
                                                                                <a:extLst>
                                                                                  <a:ext uri="{FF2B5EF4-FFF2-40B4-BE49-F238E27FC236}">
                                                                                    <a16:creationId xmlns:a16="http://schemas.microsoft.com/office/drawing/2014/main" id="{4DEBB6C8-750F-4865-0B22-355781E5319D}"/>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28" name="Shape 320">
                                                                                <a:extLst>
                                                                                  <a:ext uri="{FF2B5EF4-FFF2-40B4-BE49-F238E27FC236}">
                                                                                    <a16:creationId xmlns:a16="http://schemas.microsoft.com/office/drawing/2014/main" id="{06EA30F5-D7BC-3589-4DA5-162DBD87A06D}"/>
                                                                                  </a:ext>
                                                                                </a:extLst>
                                                                              </xdr:cNvPr>
                                                                              <xdr:cNvGrpSpPr/>
                                                                            </xdr:nvGrpSpPr>
                                                                            <xdr:grpSpPr>
                                                                              <a:xfrm>
                                                                                <a:off x="0" y="3760950"/>
                                                                                <a:ext cx="10692000" cy="38100"/>
                                                                                <a:chOff x="0" y="3760950"/>
                                                                                <a:chExt cx="10692000" cy="38100"/>
                                                                              </a:xfrm>
                                                                            </xdr:grpSpPr>
                                                                            <xdr:sp macro="" textlink="">
                                                                              <xdr:nvSpPr>
                                                                                <xdr:cNvPr id="1229" name="Shape 321">
                                                                                  <a:extLst>
                                                                                    <a:ext uri="{FF2B5EF4-FFF2-40B4-BE49-F238E27FC236}">
                                                                                      <a16:creationId xmlns:a16="http://schemas.microsoft.com/office/drawing/2014/main" id="{931C7F01-DA8B-4769-773D-CC7EC5D2FEE5}"/>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30" name="Shape 322">
                                                                                  <a:extLst>
                                                                                    <a:ext uri="{FF2B5EF4-FFF2-40B4-BE49-F238E27FC236}">
                                                                                      <a16:creationId xmlns:a16="http://schemas.microsoft.com/office/drawing/2014/main" id="{EF036CFB-5523-D0BC-17BE-D987891DDC6B}"/>
                                                                                    </a:ext>
                                                                                  </a:extLst>
                                                                                </xdr:cNvPr>
                                                                                <xdr:cNvGrpSpPr/>
                                                                              </xdr:nvGrpSpPr>
                                                                              <xdr:grpSpPr>
                                                                                <a:xfrm>
                                                                                  <a:off x="0" y="3760950"/>
                                                                                  <a:ext cx="10692000" cy="38100"/>
                                                                                  <a:chOff x="0" y="3760950"/>
                                                                                  <a:chExt cx="10692000" cy="38100"/>
                                                                                </a:xfrm>
                                                                              </xdr:grpSpPr>
                                                                              <xdr:sp macro="" textlink="">
                                                                                <xdr:nvSpPr>
                                                                                  <xdr:cNvPr id="1231" name="Shape 323">
                                                                                    <a:extLst>
                                                                                      <a:ext uri="{FF2B5EF4-FFF2-40B4-BE49-F238E27FC236}">
                                                                                        <a16:creationId xmlns:a16="http://schemas.microsoft.com/office/drawing/2014/main" id="{A876232C-5448-EAB7-4909-D0376ABE8E7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32" name="Shape 324">
                                                                                    <a:extLst>
                                                                                      <a:ext uri="{FF2B5EF4-FFF2-40B4-BE49-F238E27FC236}">
                                                                                        <a16:creationId xmlns:a16="http://schemas.microsoft.com/office/drawing/2014/main" id="{9AE2114C-0E4E-6F9D-3E77-156C72E9ACC6}"/>
                                                                                      </a:ext>
                                                                                    </a:extLst>
                                                                                  </xdr:cNvPr>
                                                                                  <xdr:cNvGrpSpPr/>
                                                                                </xdr:nvGrpSpPr>
                                                                                <xdr:grpSpPr>
                                                                                  <a:xfrm>
                                                                                    <a:off x="0" y="3760950"/>
                                                                                    <a:ext cx="10692000" cy="38100"/>
                                                                                    <a:chOff x="0" y="3760950"/>
                                                                                    <a:chExt cx="10692000" cy="38100"/>
                                                                                  </a:xfrm>
                                                                                </xdr:grpSpPr>
                                                                                <xdr:sp macro="" textlink="">
                                                                                  <xdr:nvSpPr>
                                                                                    <xdr:cNvPr id="1233" name="Shape 325">
                                                                                      <a:extLst>
                                                                                        <a:ext uri="{FF2B5EF4-FFF2-40B4-BE49-F238E27FC236}">
                                                                                          <a16:creationId xmlns:a16="http://schemas.microsoft.com/office/drawing/2014/main" id="{B0B00E44-1DC2-8703-C61D-7F8791D21107}"/>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34" name="Shape 326">
                                                                                      <a:extLst>
                                                                                        <a:ext uri="{FF2B5EF4-FFF2-40B4-BE49-F238E27FC236}">
                                                                                          <a16:creationId xmlns:a16="http://schemas.microsoft.com/office/drawing/2014/main" id="{6D3E85E0-51B5-2413-F08D-45FF3E4FE1CF}"/>
                                                                                        </a:ext>
                                                                                      </a:extLst>
                                                                                    </xdr:cNvPr>
                                                                                    <xdr:cNvGrpSpPr/>
                                                                                  </xdr:nvGrpSpPr>
                                                                                  <xdr:grpSpPr>
                                                                                    <a:xfrm>
                                                                                      <a:off x="0" y="3760950"/>
                                                                                      <a:ext cx="10692000" cy="38100"/>
                                                                                      <a:chOff x="0" y="3760950"/>
                                                                                      <a:chExt cx="10692000" cy="38100"/>
                                                                                    </a:xfrm>
                                                                                  </xdr:grpSpPr>
                                                                                  <xdr:sp macro="" textlink="">
                                                                                    <xdr:nvSpPr>
                                                                                      <xdr:cNvPr id="1235" name="Shape 327">
                                                                                        <a:extLst>
                                                                                          <a:ext uri="{FF2B5EF4-FFF2-40B4-BE49-F238E27FC236}">
                                                                                            <a16:creationId xmlns:a16="http://schemas.microsoft.com/office/drawing/2014/main" id="{EC623667-5504-DD86-1C2C-746CC2B3CC0B}"/>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36" name="Shape 328">
                                                                                        <a:extLst>
                                                                                          <a:ext uri="{FF2B5EF4-FFF2-40B4-BE49-F238E27FC236}">
                                                                                            <a16:creationId xmlns:a16="http://schemas.microsoft.com/office/drawing/2014/main" id="{407E4A11-B4CC-53AD-A613-DA6A5F51F82A}"/>
                                                                                          </a:ext>
                                                                                        </a:extLst>
                                                                                      </xdr:cNvPr>
                                                                                      <xdr:cNvGrpSpPr/>
                                                                                    </xdr:nvGrpSpPr>
                                                                                    <xdr:grpSpPr>
                                                                                      <a:xfrm>
                                                                                        <a:off x="0" y="3760950"/>
                                                                                        <a:ext cx="10692000" cy="38100"/>
                                                                                        <a:chOff x="0" y="3760950"/>
                                                                                        <a:chExt cx="10692000" cy="38100"/>
                                                                                      </a:xfrm>
                                                                                    </xdr:grpSpPr>
                                                                                    <xdr:sp macro="" textlink="">
                                                                                      <xdr:nvSpPr>
                                                                                        <xdr:cNvPr id="1237" name="Shape 329">
                                                                                          <a:extLst>
                                                                                            <a:ext uri="{FF2B5EF4-FFF2-40B4-BE49-F238E27FC236}">
                                                                                              <a16:creationId xmlns:a16="http://schemas.microsoft.com/office/drawing/2014/main" id="{EC36391D-9903-E45C-125B-67FF8929FBF7}"/>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38" name="Shape 330">
                                                                                          <a:extLst>
                                                                                            <a:ext uri="{FF2B5EF4-FFF2-40B4-BE49-F238E27FC236}">
                                                                                              <a16:creationId xmlns:a16="http://schemas.microsoft.com/office/drawing/2014/main" id="{654AB813-AD12-AD9B-4965-1F9CEC8BE7B7}"/>
                                                                                            </a:ext>
                                                                                          </a:extLst>
                                                                                        </xdr:cNvPr>
                                                                                        <xdr:cNvGrpSpPr/>
                                                                                      </xdr:nvGrpSpPr>
                                                                                      <xdr:grpSpPr>
                                                                                        <a:xfrm>
                                                                                          <a:off x="0" y="3760950"/>
                                                                                          <a:ext cx="10692000" cy="38100"/>
                                                                                          <a:chOff x="0" y="0"/>
                                                                                          <a:chExt cx="2147483647" cy="2147483647"/>
                                                                                        </a:xfrm>
                                                                                      </xdr:grpSpPr>
                                                                                      <xdr:sp macro="" textlink="">
                                                                                        <xdr:nvSpPr>
                                                                                          <xdr:cNvPr id="1239" name="Shape 331">
                                                                                            <a:extLst>
                                                                                              <a:ext uri="{FF2B5EF4-FFF2-40B4-BE49-F238E27FC236}">
                                                                                                <a16:creationId xmlns:a16="http://schemas.microsoft.com/office/drawing/2014/main" id="{74C861F2-041D-D6E1-3DD2-9911886AAC55}"/>
                                                                                              </a:ext>
                                                                                            </a:extLst>
                                                                                          </xdr:cNvPr>
                                                                                          <xdr:cNvSpPr/>
                                                                                        </xdr:nvSpPr>
                                                                                        <xdr:spPr>
                                                                                          <a:xfrm>
                                                                                            <a:off x="3240" y="0"/>
                                                                                            <a:ext cx="2147480406" cy="214748364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40" name="Shape 332">
                                                                                            <a:extLst>
                                                                                              <a:ext uri="{FF2B5EF4-FFF2-40B4-BE49-F238E27FC236}">
                                                                                                <a16:creationId xmlns:a16="http://schemas.microsoft.com/office/drawing/2014/main" id="{CF4282FD-89C8-2788-3854-F97B3164367E}"/>
                                                                                              </a:ext>
                                                                                            </a:extLst>
                                                                                          </xdr:cNvPr>
                                                                                          <xdr:cNvGrpSpPr/>
                                                                                        </xdr:nvGrpSpPr>
                                                                                        <xdr:grpSpPr>
                                                                                          <a:xfrm>
                                                                                            <a:off x="0" y="0"/>
                                                                                            <a:ext cx="2147480428" cy="2147483647"/>
                                                                                            <a:chOff x="-1192912" y="-2758912"/>
                                                                                            <a:chExt cx="13077825" cy="13077825"/>
                                                                                          </a:xfrm>
                                                                                        </xdr:grpSpPr>
                                                                                        <xdr:sp macro="" textlink="">
                                                                                          <xdr:nvSpPr>
                                                                                            <xdr:cNvPr id="1241" name="Shape 333">
                                                                                              <a:extLst>
                                                                                                <a:ext uri="{FF2B5EF4-FFF2-40B4-BE49-F238E27FC236}">
                                                                                                  <a16:creationId xmlns:a16="http://schemas.microsoft.com/office/drawing/2014/main" id="{5991B09F-A7BC-2F5B-3114-BDDA8716E05B}"/>
                                                                                                </a:ext>
                                                                                              </a:extLst>
                                                                                            </xdr:cNvPr>
                                                                                            <xdr:cNvSpPr/>
                                                                                          </xdr:nvSpPr>
                                                                                          <xdr:spPr>
                                                                                            <a:xfrm>
                                                                                              <a:off x="5340494" y="-2758912"/>
                                                                                              <a:ext cx="11000" cy="13077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242" name="Shape 334">
                                                                                              <a:extLst>
                                                                                                <a:ext uri="{FF2B5EF4-FFF2-40B4-BE49-F238E27FC236}">
                                                                                                  <a16:creationId xmlns:a16="http://schemas.microsoft.com/office/drawing/2014/main" id="{21DC9858-2CE7-C6CE-A229-C034F7F7D10C}"/>
                                                                                                </a:ext>
                                                                                              </a:extLst>
                                                                                            </xdr:cNvPr>
                                                                                            <xdr:cNvCxnSpPr/>
                                                                                          </xdr:nvCxnSpPr>
                                                                                          <xdr:spPr>
                                                                                            <a:xfrm rot="-5400000">
                                                                                              <a:off x="5340494" y="-2758912"/>
                                                                                              <a:ext cx="11012" cy="13077825"/>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9</xdr:col>
      <xdr:colOff>577215</xdr:colOff>
      <xdr:row>0</xdr:row>
      <xdr:rowOff>127635</xdr:rowOff>
    </xdr:from>
    <xdr:ext cx="2009775" cy="1167765"/>
    <xdr:pic>
      <xdr:nvPicPr>
        <xdr:cNvPr id="1243" name="image1.png" descr="O que é? – UDV-CIÊNCIA">
          <a:extLst>
            <a:ext uri="{FF2B5EF4-FFF2-40B4-BE49-F238E27FC236}">
              <a16:creationId xmlns:a16="http://schemas.microsoft.com/office/drawing/2014/main" id="{74143843-B4E3-442A-B0FF-FBE1A86F8D84}"/>
            </a:ext>
          </a:extLst>
        </xdr:cNvPr>
        <xdr:cNvPicPr preferRelativeResize="0"/>
      </xdr:nvPicPr>
      <xdr:blipFill rotWithShape="1">
        <a:blip xmlns:r="http://schemas.openxmlformats.org/officeDocument/2006/relationships" r:embed="rId1" cstate="print"/>
        <a:srcRect b="17274"/>
        <a:stretch>
          <a:fillRect/>
        </a:stretch>
      </xdr:blipFill>
      <xdr:spPr>
        <a:xfrm>
          <a:off x="5606415" y="127635"/>
          <a:ext cx="2009775" cy="1167765"/>
        </a:xfrm>
        <a:prstGeom prst="roundRect">
          <a:avLst/>
        </a:prstGeom>
        <a:noFill/>
      </xdr:spPr>
    </xdr:pic>
    <xdr:clientData fLocksWithSheet="0"/>
  </xdr:oneCellAnchor>
  <xdr:oneCellAnchor>
    <xdr:from>
      <xdr:col>10</xdr:col>
      <xdr:colOff>376518</xdr:colOff>
      <xdr:row>24</xdr:row>
      <xdr:rowOff>170330</xdr:rowOff>
    </xdr:from>
    <xdr:ext cx="1246095" cy="1237130"/>
    <xdr:pic>
      <xdr:nvPicPr>
        <xdr:cNvPr id="1244" name="image2.jpg" descr="Logotipo&#10;&#10;Descrição gerada automaticamente">
          <a:extLst>
            <a:ext uri="{FF2B5EF4-FFF2-40B4-BE49-F238E27FC236}">
              <a16:creationId xmlns:a16="http://schemas.microsoft.com/office/drawing/2014/main" id="{A1820C8F-9F2B-4B44-8744-F6FECB017AAE}"/>
            </a:ext>
          </a:extLst>
        </xdr:cNvPr>
        <xdr:cNvPicPr preferRelativeResize="0"/>
      </xdr:nvPicPr>
      <xdr:blipFill rotWithShape="1">
        <a:blip xmlns:r="http://schemas.openxmlformats.org/officeDocument/2006/relationships" r:embed="rId2" cstate="print"/>
        <a:srcRect l="6885" t="7637" r="8521" b="4535"/>
        <a:stretch>
          <a:fillRect/>
        </a:stretch>
      </xdr:blipFill>
      <xdr:spPr>
        <a:xfrm>
          <a:off x="6022938" y="6235850"/>
          <a:ext cx="1246095" cy="1237130"/>
        </a:xfrm>
        <a:prstGeom prst="ellipse">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eu%20Drive/Tri&#234;nio%202024-2026/1.%20Presta&#231;&#227;o%20de%20conta%20mensal/2025/04%20-%20ABRIL/RELAT&#211;RIOS/1.%20Controle%20Financeiro%20-%20N&#250;cleo%20Linha%20de%20Tucunac&#225;%20-%20Abr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nda a planilha"/>
      <sheetName val="Caixa"/>
      <sheetName val="Distrib. Valores"/>
      <sheetName val="Dinheiro"/>
      <sheetName val="Mov. entre Contas"/>
      <sheetName val="2023-DEZ-RECEITAS"/>
      <sheetName val="2023-DEZ-DESPESAS"/>
      <sheetName val="JAN-Receitas"/>
      <sheetName val="JAN-Despesas"/>
      <sheetName val="FEV-Receitas"/>
      <sheetName val="FEV-Despesas"/>
      <sheetName val="MAR-Receitas"/>
      <sheetName val="MAR-Despesas"/>
      <sheetName val="ABR-Receitas"/>
      <sheetName val="ABR-Despesas"/>
      <sheetName val="MAI-Receitas"/>
      <sheetName val="MAI-Despesas"/>
      <sheetName val="2024-ORÇAMENTO"/>
      <sheetName val="JUN-Receitas"/>
      <sheetName val="JUN-Despesas"/>
      <sheetName val="JUL-Receitas"/>
      <sheetName val="JUL-Despesas"/>
      <sheetName val="AGO-Receitas"/>
      <sheetName val="AGO-Despesas"/>
      <sheetName val="SET-Receitas"/>
      <sheetName val="SET-Despesas"/>
      <sheetName val="OUT-Receitas"/>
      <sheetName val="OUT-Despesas"/>
      <sheetName val="NOV-Receitas"/>
      <sheetName val="NOV-Despesas"/>
      <sheetName val="DEZ-Receitas"/>
      <sheetName val="DEZ-Despesas"/>
      <sheetName val="Reunião de Diretoria"/>
      <sheetName val="2024-Realizado anual"/>
      <sheetName val="SUC"/>
      <sheetName val="Plano de contas DG"/>
      <sheetName val="m-Despesas"/>
      <sheetName val="MA-Despesas"/>
      <sheetName val="J-Despesas"/>
      <sheetName val="FE-Despesas"/>
    </sheetNames>
    <sheetDataSet>
      <sheetData sheetId="0"/>
      <sheetData sheetId="1"/>
      <sheetData sheetId="2"/>
      <sheetData sheetId="3"/>
      <sheetData sheetId="4"/>
      <sheetData sheetId="5"/>
      <sheetData sheetId="6"/>
      <sheetData sheetId="7">
        <row r="6">
          <cell r="M6">
            <v>7065</v>
          </cell>
          <cell r="N6">
            <v>1621.62</v>
          </cell>
          <cell r="O6">
            <v>792</v>
          </cell>
          <cell r="P6">
            <v>152.36000000000001</v>
          </cell>
          <cell r="Q6">
            <v>155</v>
          </cell>
          <cell r="R6">
            <v>185</v>
          </cell>
          <cell r="S6">
            <v>217</v>
          </cell>
          <cell r="T6">
            <v>580</v>
          </cell>
          <cell r="U6">
            <v>2616</v>
          </cell>
        </row>
        <row r="128">
          <cell r="F128">
            <v>381.51</v>
          </cell>
        </row>
        <row r="131">
          <cell r="F131">
            <v>143</v>
          </cell>
        </row>
        <row r="135">
          <cell r="F135">
            <v>24756.86</v>
          </cell>
        </row>
        <row r="140">
          <cell r="F140">
            <v>325</v>
          </cell>
        </row>
        <row r="144">
          <cell r="F144">
            <v>0</v>
          </cell>
        </row>
        <row r="149">
          <cell r="F149">
            <v>1132.29</v>
          </cell>
        </row>
        <row r="154">
          <cell r="F154">
            <v>828</v>
          </cell>
        </row>
        <row r="159">
          <cell r="F159">
            <v>0</v>
          </cell>
        </row>
        <row r="163">
          <cell r="F163">
            <v>1469</v>
          </cell>
        </row>
        <row r="168">
          <cell r="F168">
            <v>6864.94</v>
          </cell>
        </row>
        <row r="172">
          <cell r="F172">
            <v>8.41</v>
          </cell>
        </row>
      </sheetData>
      <sheetData sheetId="8">
        <row r="7">
          <cell r="F7">
            <v>709.82</v>
          </cell>
        </row>
        <row r="8">
          <cell r="F8">
            <v>0</v>
          </cell>
        </row>
        <row r="9">
          <cell r="F9">
            <v>1026.95</v>
          </cell>
        </row>
        <row r="10">
          <cell r="F10">
            <v>286.14</v>
          </cell>
        </row>
        <row r="11">
          <cell r="F11">
            <v>40.119999999999997</v>
          </cell>
        </row>
        <row r="12">
          <cell r="F12">
            <v>64.849999999999994</v>
          </cell>
        </row>
        <row r="13">
          <cell r="F13">
            <v>0</v>
          </cell>
        </row>
        <row r="14">
          <cell r="F14">
            <v>54.99</v>
          </cell>
        </row>
        <row r="17">
          <cell r="F17">
            <v>1409.24</v>
          </cell>
        </row>
        <row r="18">
          <cell r="F18">
            <v>802.62</v>
          </cell>
        </row>
        <row r="19">
          <cell r="F19">
            <v>98</v>
          </cell>
        </row>
        <row r="20">
          <cell r="F20">
            <v>98</v>
          </cell>
        </row>
        <row r="21">
          <cell r="F21">
            <v>384</v>
          </cell>
        </row>
        <row r="22">
          <cell r="F22">
            <v>320.45999999999998</v>
          </cell>
        </row>
        <row r="23">
          <cell r="F23">
            <v>367.5</v>
          </cell>
        </row>
        <row r="24">
          <cell r="F24">
            <v>455.7</v>
          </cell>
        </row>
        <row r="25">
          <cell r="F25">
            <v>32.340000000000003</v>
          </cell>
        </row>
        <row r="26">
          <cell r="F26">
            <v>0</v>
          </cell>
        </row>
        <row r="27">
          <cell r="F27">
            <v>0</v>
          </cell>
        </row>
        <row r="28">
          <cell r="F28">
            <v>0</v>
          </cell>
        </row>
        <row r="29">
          <cell r="F29">
            <v>117</v>
          </cell>
        </row>
        <row r="31">
          <cell r="F31">
            <v>0</v>
          </cell>
        </row>
        <row r="32">
          <cell r="F32">
            <v>1383.48</v>
          </cell>
        </row>
        <row r="33">
          <cell r="F33">
            <v>0</v>
          </cell>
        </row>
        <row r="64">
          <cell r="F64">
            <v>161.38999999999999</v>
          </cell>
        </row>
        <row r="65">
          <cell r="F65">
            <v>31.8</v>
          </cell>
        </row>
        <row r="66">
          <cell r="F66">
            <v>45</v>
          </cell>
        </row>
        <row r="67">
          <cell r="F67">
            <v>86.71</v>
          </cell>
        </row>
        <row r="68">
          <cell r="F68">
            <v>80.489999999999995</v>
          </cell>
        </row>
        <row r="69">
          <cell r="F69">
            <v>67.959999999999994</v>
          </cell>
        </row>
        <row r="70">
          <cell r="F70">
            <v>279.75</v>
          </cell>
        </row>
        <row r="71">
          <cell r="F71">
            <v>95</v>
          </cell>
        </row>
        <row r="72">
          <cell r="F72">
            <v>57</v>
          </cell>
        </row>
        <row r="73">
          <cell r="F73">
            <v>102</v>
          </cell>
        </row>
        <row r="74">
          <cell r="F74">
            <v>209.47</v>
          </cell>
        </row>
        <row r="75">
          <cell r="F75">
            <v>50</v>
          </cell>
        </row>
        <row r="76">
          <cell r="F76">
            <v>574.95000000000005</v>
          </cell>
        </row>
        <row r="77">
          <cell r="F77">
            <v>45</v>
          </cell>
        </row>
        <row r="78">
          <cell r="F78">
            <v>0</v>
          </cell>
        </row>
        <row r="79">
          <cell r="F79">
            <v>0</v>
          </cell>
        </row>
        <row r="80">
          <cell r="F80">
            <v>29.97</v>
          </cell>
        </row>
        <row r="81">
          <cell r="F81">
            <v>59.8</v>
          </cell>
        </row>
        <row r="82">
          <cell r="F82">
            <v>34</v>
          </cell>
        </row>
        <row r="83">
          <cell r="F83">
            <v>44.5</v>
          </cell>
        </row>
        <row r="84">
          <cell r="F84">
            <v>253.53</v>
          </cell>
        </row>
        <row r="85">
          <cell r="F85">
            <v>176</v>
          </cell>
        </row>
        <row r="86">
          <cell r="F86">
            <v>0</v>
          </cell>
        </row>
        <row r="87">
          <cell r="F87">
            <v>266.42</v>
          </cell>
        </row>
        <row r="88">
          <cell r="F88">
            <v>33</v>
          </cell>
        </row>
        <row r="89">
          <cell r="F89">
            <v>0</v>
          </cell>
        </row>
        <row r="90">
          <cell r="F90">
            <v>0</v>
          </cell>
        </row>
        <row r="91">
          <cell r="F91">
            <v>0</v>
          </cell>
        </row>
        <row r="92">
          <cell r="F92">
            <v>0</v>
          </cell>
        </row>
        <row r="109">
          <cell r="F109">
            <v>0</v>
          </cell>
        </row>
        <row r="115">
          <cell r="F115">
            <v>1203.73</v>
          </cell>
        </row>
        <row r="125">
          <cell r="F125">
            <v>0</v>
          </cell>
        </row>
        <row r="136">
          <cell r="F136">
            <v>18774.73</v>
          </cell>
        </row>
        <row r="142">
          <cell r="F142">
            <v>0</v>
          </cell>
        </row>
        <row r="148">
          <cell r="F148">
            <v>0</v>
          </cell>
        </row>
        <row r="154">
          <cell r="F154">
            <v>0</v>
          </cell>
        </row>
        <row r="160">
          <cell r="F160">
            <v>0</v>
          </cell>
        </row>
        <row r="166">
          <cell r="F166">
            <v>0</v>
          </cell>
        </row>
        <row r="172">
          <cell r="F172">
            <v>0</v>
          </cell>
        </row>
        <row r="182">
          <cell r="F182">
            <v>0</v>
          </cell>
        </row>
        <row r="192">
          <cell r="F192">
            <v>357</v>
          </cell>
        </row>
        <row r="202">
          <cell r="F202">
            <v>160</v>
          </cell>
        </row>
        <row r="212">
          <cell r="F212">
            <v>0</v>
          </cell>
        </row>
        <row r="223">
          <cell r="F223">
            <v>880</v>
          </cell>
        </row>
        <row r="233">
          <cell r="F233">
            <v>0</v>
          </cell>
        </row>
        <row r="243">
          <cell r="F243">
            <v>17931.53</v>
          </cell>
        </row>
        <row r="261">
          <cell r="F261">
            <v>94.49</v>
          </cell>
        </row>
      </sheetData>
      <sheetData sheetId="9">
        <row r="6">
          <cell r="M6">
            <v>8734.2999999999993</v>
          </cell>
          <cell r="N6">
            <v>2137.59</v>
          </cell>
          <cell r="O6">
            <v>1044</v>
          </cell>
          <cell r="P6">
            <v>223.26</v>
          </cell>
          <cell r="Q6">
            <v>215</v>
          </cell>
          <cell r="R6">
            <v>260</v>
          </cell>
          <cell r="S6">
            <v>297</v>
          </cell>
          <cell r="T6">
            <v>610</v>
          </cell>
          <cell r="U6">
            <v>2354</v>
          </cell>
        </row>
        <row r="128">
          <cell r="F128">
            <v>0</v>
          </cell>
        </row>
        <row r="131">
          <cell r="F131">
            <v>1297.32</v>
          </cell>
        </row>
        <row r="135">
          <cell r="F135">
            <v>0</v>
          </cell>
        </row>
        <row r="139">
          <cell r="F139">
            <v>46</v>
          </cell>
        </row>
        <row r="143">
          <cell r="F143">
            <v>2675</v>
          </cell>
        </row>
        <row r="148">
          <cell r="F148">
            <v>633</v>
          </cell>
        </row>
        <row r="153">
          <cell r="F153">
            <v>1104.01</v>
          </cell>
        </row>
        <row r="158">
          <cell r="F158">
            <v>0</v>
          </cell>
        </row>
        <row r="162">
          <cell r="F162">
            <v>1025.79</v>
          </cell>
        </row>
        <row r="169">
          <cell r="F169">
            <v>0</v>
          </cell>
        </row>
        <row r="173">
          <cell r="F173">
            <v>2.2799999999999998</v>
          </cell>
        </row>
      </sheetData>
      <sheetData sheetId="10">
        <row r="7">
          <cell r="F7">
            <v>286.63</v>
          </cell>
        </row>
        <row r="8">
          <cell r="F8">
            <v>0</v>
          </cell>
        </row>
        <row r="9">
          <cell r="F9">
            <v>0</v>
          </cell>
        </row>
        <row r="10">
          <cell r="F10">
            <v>84.82</v>
          </cell>
        </row>
        <row r="11">
          <cell r="F11">
            <v>374.25</v>
          </cell>
        </row>
        <row r="12">
          <cell r="F12">
            <v>49.1</v>
          </cell>
        </row>
        <row r="13">
          <cell r="F13">
            <v>0</v>
          </cell>
        </row>
        <row r="14">
          <cell r="F14">
            <v>54.99</v>
          </cell>
        </row>
        <row r="15">
          <cell r="F15">
            <v>0</v>
          </cell>
        </row>
        <row r="17">
          <cell r="F17">
            <v>1380.48</v>
          </cell>
        </row>
        <row r="18">
          <cell r="F18">
            <v>786.24</v>
          </cell>
        </row>
        <row r="19">
          <cell r="F19">
            <v>96</v>
          </cell>
        </row>
        <row r="20">
          <cell r="F20">
            <v>96</v>
          </cell>
        </row>
        <row r="21">
          <cell r="F21">
            <v>384</v>
          </cell>
        </row>
        <row r="22">
          <cell r="F22">
            <v>313.92</v>
          </cell>
        </row>
        <row r="23">
          <cell r="F23">
            <v>360</v>
          </cell>
        </row>
        <row r="24">
          <cell r="F24">
            <v>446.4</v>
          </cell>
        </row>
        <row r="25">
          <cell r="F25">
            <v>31.68</v>
          </cell>
        </row>
        <row r="26">
          <cell r="F26">
            <v>0</v>
          </cell>
        </row>
        <row r="27">
          <cell r="F27">
            <v>0</v>
          </cell>
        </row>
        <row r="28">
          <cell r="F28">
            <v>0</v>
          </cell>
        </row>
        <row r="64">
          <cell r="F64">
            <v>70</v>
          </cell>
        </row>
        <row r="65">
          <cell r="F65">
            <v>60.32</v>
          </cell>
        </row>
        <row r="66">
          <cell r="F66">
            <v>45</v>
          </cell>
        </row>
        <row r="67">
          <cell r="F67">
            <v>95.65</v>
          </cell>
        </row>
        <row r="68">
          <cell r="F68">
            <v>148.25</v>
          </cell>
        </row>
        <row r="69">
          <cell r="F69">
            <v>0</v>
          </cell>
        </row>
        <row r="70">
          <cell r="F70">
            <v>0</v>
          </cell>
        </row>
        <row r="71">
          <cell r="F71">
            <v>0</v>
          </cell>
        </row>
        <row r="72">
          <cell r="F72">
            <v>316.76</v>
          </cell>
        </row>
        <row r="73">
          <cell r="F73">
            <v>140</v>
          </cell>
        </row>
        <row r="74">
          <cell r="F74">
            <v>131.69</v>
          </cell>
        </row>
        <row r="75">
          <cell r="F75">
            <v>45</v>
          </cell>
        </row>
        <row r="76">
          <cell r="F76">
            <v>335</v>
          </cell>
        </row>
        <row r="77">
          <cell r="F77">
            <v>0</v>
          </cell>
        </row>
        <row r="78">
          <cell r="F78">
            <v>0</v>
          </cell>
        </row>
        <row r="79">
          <cell r="F79">
            <v>0</v>
          </cell>
        </row>
        <row r="80">
          <cell r="F80">
            <v>145.57</v>
          </cell>
        </row>
        <row r="81">
          <cell r="F81">
            <v>267.7</v>
          </cell>
        </row>
        <row r="82">
          <cell r="F82">
            <v>98.95</v>
          </cell>
        </row>
        <row r="83">
          <cell r="F83">
            <v>164.9</v>
          </cell>
        </row>
        <row r="84">
          <cell r="F84">
            <v>0</v>
          </cell>
        </row>
        <row r="85">
          <cell r="F85">
            <v>184</v>
          </cell>
        </row>
        <row r="86">
          <cell r="F86">
            <v>0</v>
          </cell>
        </row>
        <row r="87">
          <cell r="F87">
            <v>331.4</v>
          </cell>
        </row>
        <row r="88">
          <cell r="F88">
            <v>48.38</v>
          </cell>
        </row>
        <row r="89">
          <cell r="F89">
            <v>225.49</v>
          </cell>
        </row>
        <row r="90">
          <cell r="F90">
            <v>405.61</v>
          </cell>
        </row>
        <row r="91">
          <cell r="F91">
            <v>59.94</v>
          </cell>
        </row>
        <row r="92">
          <cell r="F92">
            <v>118</v>
          </cell>
        </row>
        <row r="94">
          <cell r="F94">
            <v>0</v>
          </cell>
        </row>
        <row r="110">
          <cell r="F110">
            <v>0</v>
          </cell>
        </row>
        <row r="115">
          <cell r="F115">
            <v>0</v>
          </cell>
        </row>
        <row r="120">
          <cell r="F120">
            <v>0</v>
          </cell>
        </row>
        <row r="126">
          <cell r="F126">
            <v>1795.81</v>
          </cell>
        </row>
        <row r="137">
          <cell r="F137">
            <v>513.21</v>
          </cell>
        </row>
        <row r="148">
          <cell r="F148">
            <v>5921.85</v>
          </cell>
        </row>
        <row r="156">
          <cell r="F156">
            <v>0</v>
          </cell>
        </row>
        <row r="162">
          <cell r="F162">
            <v>0</v>
          </cell>
        </row>
        <row r="168">
          <cell r="F168">
            <v>0</v>
          </cell>
        </row>
        <row r="174">
          <cell r="F174">
            <v>0</v>
          </cell>
        </row>
        <row r="180">
          <cell r="F180">
            <v>94</v>
          </cell>
        </row>
        <row r="186">
          <cell r="F186">
            <v>100</v>
          </cell>
        </row>
        <row r="196">
          <cell r="F196">
            <v>0</v>
          </cell>
        </row>
        <row r="206">
          <cell r="F206">
            <v>0</v>
          </cell>
        </row>
        <row r="216">
          <cell r="F216">
            <v>0</v>
          </cell>
        </row>
        <row r="226">
          <cell r="F226">
            <v>0</v>
          </cell>
        </row>
        <row r="237">
          <cell r="F237">
            <v>0</v>
          </cell>
        </row>
        <row r="247">
          <cell r="F247">
            <v>1463.5</v>
          </cell>
        </row>
        <row r="257">
          <cell r="F257">
            <v>0</v>
          </cell>
        </row>
        <row r="267">
          <cell r="F267">
            <v>0</v>
          </cell>
        </row>
      </sheetData>
      <sheetData sheetId="11">
        <row r="6">
          <cell r="M6">
            <v>8869.8700000000008</v>
          </cell>
          <cell r="N6">
            <v>1842.75</v>
          </cell>
          <cell r="O6">
            <v>900</v>
          </cell>
          <cell r="P6">
            <v>178.94</v>
          </cell>
          <cell r="Q6">
            <v>170</v>
          </cell>
          <cell r="R6">
            <v>205</v>
          </cell>
          <cell r="S6">
            <v>262</v>
          </cell>
          <cell r="T6">
            <v>600</v>
          </cell>
          <cell r="U6">
            <v>4346</v>
          </cell>
        </row>
        <row r="128">
          <cell r="F128">
            <v>382.24</v>
          </cell>
        </row>
        <row r="131">
          <cell r="F131">
            <v>1083.6199999999999</v>
          </cell>
        </row>
        <row r="135">
          <cell r="F135">
            <v>2485.77</v>
          </cell>
        </row>
        <row r="140">
          <cell r="F140">
            <v>850</v>
          </cell>
        </row>
        <row r="147">
          <cell r="F147">
            <v>130</v>
          </cell>
        </row>
        <row r="152">
          <cell r="F152">
            <v>668</v>
          </cell>
        </row>
        <row r="157">
          <cell r="F157">
            <v>440</v>
          </cell>
        </row>
        <row r="162">
          <cell r="F162">
            <v>2276</v>
          </cell>
        </row>
        <row r="166">
          <cell r="F166">
            <v>50</v>
          </cell>
        </row>
        <row r="175">
          <cell r="F175">
            <v>0</v>
          </cell>
        </row>
        <row r="179">
          <cell r="F179">
            <v>5.16</v>
          </cell>
        </row>
      </sheetData>
      <sheetData sheetId="12">
        <row r="7">
          <cell r="F7">
            <v>419.99</v>
          </cell>
        </row>
        <row r="8">
          <cell r="F8">
            <v>0</v>
          </cell>
        </row>
        <row r="9">
          <cell r="F9">
            <v>0</v>
          </cell>
        </row>
        <row r="10">
          <cell r="F10">
            <v>306.18</v>
          </cell>
        </row>
        <row r="11">
          <cell r="F11">
            <v>48.78</v>
          </cell>
        </row>
        <row r="12">
          <cell r="F12">
            <v>69.39</v>
          </cell>
        </row>
        <row r="13">
          <cell r="F13">
            <v>0</v>
          </cell>
        </row>
        <row r="14">
          <cell r="F14">
            <v>56.1</v>
          </cell>
        </row>
        <row r="15">
          <cell r="F15">
            <v>0</v>
          </cell>
        </row>
        <row r="17">
          <cell r="F17">
            <v>1409.24</v>
          </cell>
        </row>
        <row r="18">
          <cell r="F18">
            <v>802.62</v>
          </cell>
        </row>
        <row r="19">
          <cell r="F19">
            <v>98</v>
          </cell>
        </row>
        <row r="20">
          <cell r="F20">
            <v>98</v>
          </cell>
        </row>
        <row r="21">
          <cell r="F21">
            <v>392</v>
          </cell>
        </row>
        <row r="22">
          <cell r="F22">
            <v>156.80000000000001</v>
          </cell>
        </row>
        <row r="23">
          <cell r="F23">
            <v>470.4</v>
          </cell>
        </row>
        <row r="24">
          <cell r="F24">
            <v>519.4</v>
          </cell>
        </row>
        <row r="25">
          <cell r="F25">
            <v>29.4</v>
          </cell>
        </row>
        <row r="26">
          <cell r="F26">
            <v>0</v>
          </cell>
        </row>
        <row r="27">
          <cell r="F27">
            <v>0</v>
          </cell>
        </row>
        <row r="28">
          <cell r="F28">
            <v>0</v>
          </cell>
        </row>
        <row r="64">
          <cell r="F64">
            <v>72.8</v>
          </cell>
        </row>
        <row r="65">
          <cell r="F65">
            <v>148.86000000000001</v>
          </cell>
        </row>
        <row r="66">
          <cell r="F66">
            <v>47.1</v>
          </cell>
        </row>
        <row r="67">
          <cell r="F67">
            <v>251.15</v>
          </cell>
        </row>
        <row r="68">
          <cell r="F68">
            <v>0</v>
          </cell>
        </row>
        <row r="69">
          <cell r="F69">
            <v>0</v>
          </cell>
        </row>
        <row r="70">
          <cell r="F70">
            <v>0</v>
          </cell>
        </row>
        <row r="71">
          <cell r="F71">
            <v>0</v>
          </cell>
        </row>
        <row r="72">
          <cell r="F72">
            <v>105</v>
          </cell>
        </row>
        <row r="73">
          <cell r="F73">
            <v>42.4</v>
          </cell>
        </row>
        <row r="74">
          <cell r="F74">
            <v>170.05</v>
          </cell>
        </row>
        <row r="75">
          <cell r="F75">
            <v>0</v>
          </cell>
        </row>
        <row r="76">
          <cell r="F76">
            <v>0</v>
          </cell>
        </row>
        <row r="77">
          <cell r="F77">
            <v>0</v>
          </cell>
        </row>
        <row r="78">
          <cell r="F78">
            <v>0</v>
          </cell>
        </row>
        <row r="79">
          <cell r="F79">
            <v>0</v>
          </cell>
        </row>
        <row r="80">
          <cell r="F80">
            <v>44.1</v>
          </cell>
        </row>
        <row r="81">
          <cell r="F81">
            <v>0</v>
          </cell>
        </row>
        <row r="82">
          <cell r="F82">
            <v>0</v>
          </cell>
        </row>
        <row r="83">
          <cell r="F83">
            <v>0</v>
          </cell>
        </row>
        <row r="84">
          <cell r="F84">
            <v>0</v>
          </cell>
        </row>
        <row r="85">
          <cell r="F85">
            <v>200</v>
          </cell>
        </row>
        <row r="86">
          <cell r="F86">
            <v>0</v>
          </cell>
        </row>
        <row r="87">
          <cell r="F87">
            <v>0</v>
          </cell>
        </row>
        <row r="88">
          <cell r="F88">
            <v>0</v>
          </cell>
        </row>
        <row r="89">
          <cell r="F89">
            <v>422.7</v>
          </cell>
        </row>
        <row r="90">
          <cell r="F90">
            <v>0</v>
          </cell>
        </row>
        <row r="91">
          <cell r="F91">
            <v>0</v>
          </cell>
        </row>
        <row r="92">
          <cell r="F92">
            <v>0</v>
          </cell>
        </row>
        <row r="94">
          <cell r="F94">
            <v>4696.1899999999996</v>
          </cell>
        </row>
        <row r="110">
          <cell r="F110">
            <v>475.98</v>
          </cell>
        </row>
        <row r="115">
          <cell r="F115">
            <v>0</v>
          </cell>
        </row>
        <row r="120">
          <cell r="F120">
            <v>796.6</v>
          </cell>
        </row>
        <row r="126">
          <cell r="F126">
            <v>2249.89</v>
          </cell>
        </row>
        <row r="136">
          <cell r="F136">
            <v>513.21</v>
          </cell>
        </row>
        <row r="146">
          <cell r="F146">
            <v>5666.73</v>
          </cell>
        </row>
        <row r="155">
          <cell r="G155"/>
        </row>
        <row r="161">
          <cell r="G161"/>
        </row>
        <row r="167">
          <cell r="G167"/>
        </row>
        <row r="173">
          <cell r="F173">
            <v>0</v>
          </cell>
        </row>
        <row r="179">
          <cell r="F179">
            <v>410.56</v>
          </cell>
        </row>
        <row r="185">
          <cell r="F185">
            <v>100</v>
          </cell>
        </row>
        <row r="195">
          <cell r="F195">
            <v>0</v>
          </cell>
        </row>
        <row r="205">
          <cell r="F205">
            <v>0</v>
          </cell>
        </row>
        <row r="215">
          <cell r="F215">
            <v>800</v>
          </cell>
        </row>
        <row r="225">
          <cell r="F225">
            <v>0</v>
          </cell>
        </row>
        <row r="236">
          <cell r="F236">
            <v>0</v>
          </cell>
        </row>
        <row r="246">
          <cell r="F246">
            <v>0</v>
          </cell>
        </row>
        <row r="256">
          <cell r="F256">
            <v>0</v>
          </cell>
        </row>
        <row r="266">
          <cell r="F266">
            <v>0</v>
          </cell>
        </row>
      </sheetData>
      <sheetData sheetId="13">
        <row r="6">
          <cell r="M6">
            <v>9979.3100000000013</v>
          </cell>
          <cell r="N6">
            <v>2014.7399999999986</v>
          </cell>
          <cell r="O6">
            <v>984</v>
          </cell>
          <cell r="P6">
            <v>185.99999999999997</v>
          </cell>
          <cell r="Q6">
            <v>175</v>
          </cell>
          <cell r="R6">
            <v>195</v>
          </cell>
          <cell r="S6">
            <v>282</v>
          </cell>
          <cell r="T6">
            <v>600</v>
          </cell>
          <cell r="U6">
            <v>4628.3999999999996</v>
          </cell>
        </row>
        <row r="127">
          <cell r="F127"/>
        </row>
        <row r="130">
          <cell r="F130"/>
        </row>
        <row r="134">
          <cell r="F134"/>
        </row>
        <row r="139">
          <cell r="F139"/>
        </row>
        <row r="146">
          <cell r="F146"/>
        </row>
        <row r="151">
          <cell r="F151"/>
        </row>
        <row r="156">
          <cell r="F156"/>
        </row>
        <row r="161">
          <cell r="F161"/>
        </row>
        <row r="165">
          <cell r="F165"/>
        </row>
        <row r="180">
          <cell r="F180"/>
        </row>
        <row r="184">
          <cell r="F184"/>
        </row>
      </sheetData>
      <sheetData sheetId="14">
        <row r="7">
          <cell r="F7">
            <v>407.4</v>
          </cell>
        </row>
        <row r="8">
          <cell r="F8">
            <v>69.39</v>
          </cell>
        </row>
        <row r="9">
          <cell r="F9">
            <v>48.78</v>
          </cell>
        </row>
        <row r="10">
          <cell r="F10">
            <v>306.18</v>
          </cell>
        </row>
        <row r="11">
          <cell r="F11">
            <v>200</v>
          </cell>
        </row>
        <row r="12">
          <cell r="F12">
            <v>6742.98</v>
          </cell>
        </row>
        <row r="13">
          <cell r="F13">
            <v>1423.62</v>
          </cell>
        </row>
        <row r="14">
          <cell r="F14">
            <v>810.81</v>
          </cell>
        </row>
        <row r="15">
          <cell r="F15">
            <v>99</v>
          </cell>
        </row>
        <row r="17">
          <cell r="F17">
            <v>396</v>
          </cell>
        </row>
        <row r="18">
          <cell r="F18">
            <v>158.4</v>
          </cell>
        </row>
        <row r="19">
          <cell r="F19">
            <v>475.2</v>
          </cell>
        </row>
        <row r="20">
          <cell r="F20">
            <v>524.70000000000005</v>
          </cell>
        </row>
        <row r="21">
          <cell r="F21">
            <v>29.7</v>
          </cell>
        </row>
        <row r="22">
          <cell r="F22">
            <v>117</v>
          </cell>
        </row>
        <row r="23">
          <cell r="F23">
            <v>2095.3000000000002</v>
          </cell>
        </row>
        <row r="24">
          <cell r="F24">
            <v>360</v>
          </cell>
        </row>
        <row r="25">
          <cell r="F25">
            <v>154.25</v>
          </cell>
        </row>
        <row r="26">
          <cell r="F26">
            <v>0.92999999999999994</v>
          </cell>
        </row>
        <row r="27">
          <cell r="F27">
            <v>0.92999999999999994</v>
          </cell>
        </row>
        <row r="28">
          <cell r="F28">
            <v>5053.03</v>
          </cell>
        </row>
        <row r="64">
          <cell r="F64">
            <v>5000</v>
          </cell>
        </row>
        <row r="65">
          <cell r="F65">
            <v>5000</v>
          </cell>
        </row>
        <row r="66">
          <cell r="F66">
            <v>3300.12</v>
          </cell>
        </row>
        <row r="67">
          <cell r="F67">
            <v>60</v>
          </cell>
        </row>
        <row r="68">
          <cell r="F68">
            <v>215</v>
          </cell>
        </row>
        <row r="69">
          <cell r="F69">
            <v>200</v>
          </cell>
        </row>
        <row r="70">
          <cell r="F70">
            <v>40</v>
          </cell>
        </row>
        <row r="71">
          <cell r="F71">
            <v>1148.24</v>
          </cell>
        </row>
        <row r="72">
          <cell r="F72">
            <v>41.39</v>
          </cell>
        </row>
        <row r="73">
          <cell r="F73">
            <v>40</v>
          </cell>
        </row>
        <row r="74">
          <cell r="F74">
            <v>600</v>
          </cell>
        </row>
        <row r="75">
          <cell r="F75">
            <v>60</v>
          </cell>
        </row>
        <row r="76">
          <cell r="F76">
            <v>213.49</v>
          </cell>
        </row>
        <row r="77">
          <cell r="F77">
            <v>318.35000000000002</v>
          </cell>
        </row>
        <row r="78">
          <cell r="F78">
            <v>313.64999999999998</v>
          </cell>
        </row>
        <row r="79">
          <cell r="F79">
            <v>50</v>
          </cell>
        </row>
        <row r="80">
          <cell r="F80">
            <v>100</v>
          </cell>
        </row>
        <row r="81">
          <cell r="F81">
            <v>100</v>
          </cell>
        </row>
        <row r="82">
          <cell r="F82">
            <v>1240</v>
          </cell>
        </row>
        <row r="83">
          <cell r="F83">
            <v>1160</v>
          </cell>
        </row>
        <row r="84">
          <cell r="F84">
            <v>80</v>
          </cell>
        </row>
        <row r="86">
          <cell r="F86">
            <v>200</v>
          </cell>
        </row>
        <row r="102">
          <cell r="F102"/>
        </row>
        <row r="107">
          <cell r="F107"/>
        </row>
        <row r="112">
          <cell r="F112"/>
        </row>
        <row r="118">
          <cell r="F118"/>
        </row>
        <row r="134">
          <cell r="F134"/>
        </row>
        <row r="145">
          <cell r="F145"/>
        </row>
        <row r="151">
          <cell r="H151"/>
        </row>
        <row r="157">
          <cell r="H157"/>
        </row>
        <row r="163">
          <cell r="H163"/>
        </row>
        <row r="169">
          <cell r="F169"/>
        </row>
        <row r="175">
          <cell r="F175"/>
        </row>
        <row r="204">
          <cell r="F204"/>
        </row>
        <row r="214">
          <cell r="F214"/>
        </row>
        <row r="224">
          <cell r="F224"/>
        </row>
        <row r="234">
          <cell r="F234"/>
        </row>
        <row r="244">
          <cell r="F244"/>
        </row>
        <row r="255">
          <cell r="F255"/>
        </row>
        <row r="265">
          <cell r="F265"/>
        </row>
        <row r="275">
          <cell r="F275"/>
        </row>
        <row r="285">
          <cell r="F285"/>
        </row>
      </sheetData>
      <sheetData sheetId="15"/>
      <sheetData sheetId="16"/>
      <sheetData sheetId="17"/>
      <sheetData sheetId="18">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3">
          <cell r="F153">
            <v>0</v>
          </cell>
        </row>
        <row r="158">
          <cell r="F158">
            <v>0</v>
          </cell>
        </row>
        <row r="163">
          <cell r="F163">
            <v>0</v>
          </cell>
        </row>
        <row r="167">
          <cell r="F167">
            <v>0</v>
          </cell>
        </row>
        <row r="182">
          <cell r="F182">
            <v>0</v>
          </cell>
        </row>
        <row r="186">
          <cell r="F186">
            <v>0</v>
          </cell>
        </row>
      </sheetData>
      <sheetData sheetId="19">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7">
          <cell r="F87">
            <v>0</v>
          </cell>
        </row>
        <row r="103">
          <cell r="F103">
            <v>0</v>
          </cell>
        </row>
        <row r="108">
          <cell r="F108">
            <v>0</v>
          </cell>
        </row>
        <row r="113">
          <cell r="F113">
            <v>0</v>
          </cell>
        </row>
        <row r="119">
          <cell r="F119">
            <v>0</v>
          </cell>
        </row>
        <row r="138">
          <cell r="F138">
            <v>0</v>
          </cell>
        </row>
        <row r="149">
          <cell r="H149"/>
        </row>
        <row r="155">
          <cell r="H155"/>
        </row>
        <row r="161">
          <cell r="H161"/>
        </row>
        <row r="167">
          <cell r="H167"/>
        </row>
        <row r="173">
          <cell r="F173">
            <v>0</v>
          </cell>
        </row>
        <row r="179">
          <cell r="F179">
            <v>0</v>
          </cell>
        </row>
        <row r="208">
          <cell r="F208">
            <v>0</v>
          </cell>
        </row>
        <row r="218">
          <cell r="F218">
            <v>0</v>
          </cell>
        </row>
        <row r="228">
          <cell r="F228">
            <v>0</v>
          </cell>
        </row>
        <row r="238">
          <cell r="F238">
            <v>0</v>
          </cell>
        </row>
        <row r="248">
          <cell r="F248">
            <v>0</v>
          </cell>
        </row>
        <row r="259">
          <cell r="F259">
            <v>0</v>
          </cell>
        </row>
        <row r="269">
          <cell r="F269">
            <v>0</v>
          </cell>
        </row>
        <row r="279">
          <cell r="F279">
            <v>0</v>
          </cell>
        </row>
        <row r="289">
          <cell r="F289">
            <v>0</v>
          </cell>
        </row>
        <row r="299">
          <cell r="F299">
            <v>0</v>
          </cell>
        </row>
      </sheetData>
      <sheetData sheetId="20">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1">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7">
          <cell r="F87">
            <v>0</v>
          </cell>
        </row>
        <row r="103">
          <cell r="F103">
            <v>0</v>
          </cell>
        </row>
        <row r="108">
          <cell r="F108">
            <v>0</v>
          </cell>
        </row>
        <row r="113">
          <cell r="F113">
            <v>0</v>
          </cell>
        </row>
        <row r="119">
          <cell r="F119">
            <v>0</v>
          </cell>
        </row>
        <row r="138">
          <cell r="F138">
            <v>0</v>
          </cell>
        </row>
        <row r="149">
          <cell r="H149"/>
        </row>
        <row r="155">
          <cell r="H155"/>
        </row>
        <row r="161">
          <cell r="H161"/>
        </row>
        <row r="167">
          <cell r="H167"/>
        </row>
        <row r="173">
          <cell r="F173">
            <v>0</v>
          </cell>
        </row>
        <row r="179">
          <cell r="F179">
            <v>0</v>
          </cell>
        </row>
        <row r="208">
          <cell r="F208">
            <v>0</v>
          </cell>
        </row>
        <row r="218">
          <cell r="F218">
            <v>0</v>
          </cell>
        </row>
        <row r="228">
          <cell r="F228">
            <v>0</v>
          </cell>
        </row>
        <row r="238">
          <cell r="F238">
            <v>0</v>
          </cell>
        </row>
        <row r="248">
          <cell r="F248">
            <v>0</v>
          </cell>
        </row>
        <row r="259">
          <cell r="F259">
            <v>0</v>
          </cell>
        </row>
        <row r="269">
          <cell r="F269">
            <v>0</v>
          </cell>
        </row>
        <row r="279">
          <cell r="F279">
            <v>0</v>
          </cell>
        </row>
        <row r="289">
          <cell r="F289">
            <v>0</v>
          </cell>
        </row>
        <row r="311">
          <cell r="F311">
            <v>0</v>
          </cell>
        </row>
      </sheetData>
      <sheetData sheetId="22">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3">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113">
          <cell r="F113">
            <v>0</v>
          </cell>
        </row>
        <row r="119">
          <cell r="F119">
            <v>0</v>
          </cell>
        </row>
        <row r="138">
          <cell r="F138">
            <v>0</v>
          </cell>
        </row>
        <row r="152">
          <cell r="F152">
            <v>0</v>
          </cell>
        </row>
        <row r="158">
          <cell r="F158">
            <v>0</v>
          </cell>
        </row>
        <row r="164">
          <cell r="F164">
            <v>0</v>
          </cell>
        </row>
        <row r="170">
          <cell r="F170">
            <v>0</v>
          </cell>
        </row>
        <row r="173">
          <cell r="F173">
            <v>0</v>
          </cell>
        </row>
        <row r="182">
          <cell r="F182">
            <v>0</v>
          </cell>
        </row>
        <row r="211">
          <cell r="F211">
            <v>0</v>
          </cell>
        </row>
        <row r="218">
          <cell r="F218">
            <v>0</v>
          </cell>
        </row>
        <row r="228">
          <cell r="F228">
            <v>0</v>
          </cell>
        </row>
        <row r="241">
          <cell r="F241">
            <v>0</v>
          </cell>
        </row>
        <row r="248">
          <cell r="F248">
            <v>0</v>
          </cell>
        </row>
        <row r="259">
          <cell r="F259">
            <v>0</v>
          </cell>
        </row>
        <row r="269">
          <cell r="F269">
            <v>0</v>
          </cell>
        </row>
        <row r="279">
          <cell r="F279">
            <v>0</v>
          </cell>
        </row>
        <row r="289">
          <cell r="F289">
            <v>0</v>
          </cell>
        </row>
        <row r="311">
          <cell r="F311">
            <v>0</v>
          </cell>
        </row>
      </sheetData>
      <sheetData sheetId="24">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5">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116">
          <cell r="F116">
            <v>0</v>
          </cell>
        </row>
        <row r="122">
          <cell r="F122">
            <v>0</v>
          </cell>
        </row>
        <row r="138">
          <cell r="F138">
            <v>0</v>
          </cell>
        </row>
        <row r="152">
          <cell r="F152">
            <v>0</v>
          </cell>
        </row>
        <row r="158">
          <cell r="G158"/>
        </row>
        <row r="164">
          <cell r="G164"/>
        </row>
        <row r="170">
          <cell r="G170"/>
        </row>
        <row r="173">
          <cell r="F173">
            <v>0</v>
          </cell>
        </row>
        <row r="182">
          <cell r="F182">
            <v>0</v>
          </cell>
        </row>
        <row r="211">
          <cell r="F211">
            <v>0</v>
          </cell>
        </row>
        <row r="221">
          <cell r="F221">
            <v>0</v>
          </cell>
        </row>
        <row r="231">
          <cell r="F231">
            <v>0</v>
          </cell>
        </row>
        <row r="241">
          <cell r="F241">
            <v>0</v>
          </cell>
        </row>
        <row r="251">
          <cell r="F251">
            <v>0</v>
          </cell>
        </row>
        <row r="259">
          <cell r="F259">
            <v>0</v>
          </cell>
        </row>
        <row r="269">
          <cell r="F269">
            <v>0</v>
          </cell>
        </row>
        <row r="279">
          <cell r="F279">
            <v>0</v>
          </cell>
        </row>
        <row r="289">
          <cell r="F289">
            <v>0</v>
          </cell>
        </row>
        <row r="311">
          <cell r="F311">
            <v>0</v>
          </cell>
        </row>
      </sheetData>
      <sheetData sheetId="26">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7">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90">
          <cell r="F90">
            <v>0</v>
          </cell>
        </row>
        <row r="106">
          <cell r="F106">
            <v>0</v>
          </cell>
        </row>
        <row r="111">
          <cell r="F111">
            <v>0</v>
          </cell>
        </row>
        <row r="116">
          <cell r="F116">
            <v>0</v>
          </cell>
        </row>
        <row r="122">
          <cell r="F122">
            <v>0</v>
          </cell>
        </row>
        <row r="138">
          <cell r="F138">
            <v>0</v>
          </cell>
        </row>
        <row r="152">
          <cell r="F152">
            <v>0</v>
          </cell>
        </row>
        <row r="158">
          <cell r="H158"/>
        </row>
        <row r="164">
          <cell r="H164"/>
        </row>
        <row r="170">
          <cell r="H170"/>
        </row>
        <row r="173">
          <cell r="F173">
            <v>0</v>
          </cell>
        </row>
        <row r="182">
          <cell r="F182">
            <v>0</v>
          </cell>
        </row>
        <row r="211">
          <cell r="F211">
            <v>0</v>
          </cell>
        </row>
        <row r="221">
          <cell r="F221">
            <v>0</v>
          </cell>
        </row>
        <row r="231">
          <cell r="F231">
            <v>0</v>
          </cell>
        </row>
        <row r="241">
          <cell r="F241">
            <v>0</v>
          </cell>
        </row>
        <row r="251">
          <cell r="F251">
            <v>0</v>
          </cell>
        </row>
        <row r="259">
          <cell r="F259">
            <v>0</v>
          </cell>
        </row>
        <row r="269">
          <cell r="F269">
            <v>0</v>
          </cell>
        </row>
        <row r="279">
          <cell r="F279">
            <v>0</v>
          </cell>
        </row>
        <row r="289">
          <cell r="F289">
            <v>0</v>
          </cell>
        </row>
        <row r="311">
          <cell r="F311">
            <v>0</v>
          </cell>
        </row>
      </sheetData>
      <sheetData sheetId="28">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5">
          <cell r="F145">
            <v>0</v>
          </cell>
        </row>
        <row r="155">
          <cell r="F155">
            <v>0</v>
          </cell>
        </row>
        <row r="160">
          <cell r="F160">
            <v>0</v>
          </cell>
        </row>
        <row r="164">
          <cell r="F164">
            <v>0</v>
          </cell>
        </row>
        <row r="169">
          <cell r="F169">
            <v>0</v>
          </cell>
        </row>
        <row r="183">
          <cell r="F183">
            <v>0</v>
          </cell>
        </row>
        <row r="187">
          <cell r="F187">
            <v>0</v>
          </cell>
        </row>
      </sheetData>
      <sheetData sheetId="29">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4">
          <cell r="F44">
            <v>0</v>
          </cell>
        </row>
        <row r="45">
          <cell r="F45">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G88"/>
        </row>
        <row r="89">
          <cell r="F89">
            <v>0</v>
          </cell>
        </row>
        <row r="91">
          <cell r="F91">
            <v>0</v>
          </cell>
        </row>
        <row r="107">
          <cell r="F107">
            <v>0</v>
          </cell>
        </row>
        <row r="112">
          <cell r="F112">
            <v>0</v>
          </cell>
        </row>
        <row r="117">
          <cell r="F117">
            <v>0</v>
          </cell>
        </row>
        <row r="125">
          <cell r="F125">
            <v>0</v>
          </cell>
        </row>
        <row r="144">
          <cell r="F144">
            <v>0</v>
          </cell>
        </row>
        <row r="155">
          <cell r="F155">
            <v>0</v>
          </cell>
        </row>
        <row r="161">
          <cell r="I161"/>
        </row>
        <row r="167">
          <cell r="I167"/>
        </row>
        <row r="173">
          <cell r="I173"/>
        </row>
        <row r="179">
          <cell r="F179">
            <v>0</v>
          </cell>
        </row>
        <row r="185">
          <cell r="F185">
            <v>0</v>
          </cell>
        </row>
        <row r="214">
          <cell r="F214">
            <v>0</v>
          </cell>
        </row>
        <row r="224">
          <cell r="F224">
            <v>0</v>
          </cell>
        </row>
        <row r="234">
          <cell r="F234">
            <v>0</v>
          </cell>
        </row>
        <row r="244">
          <cell r="F244">
            <v>0</v>
          </cell>
        </row>
        <row r="254">
          <cell r="F254">
            <v>0</v>
          </cell>
        </row>
        <row r="265">
          <cell r="F265">
            <v>0</v>
          </cell>
        </row>
        <row r="275">
          <cell r="F275">
            <v>0</v>
          </cell>
        </row>
        <row r="285">
          <cell r="F285">
            <v>0</v>
          </cell>
        </row>
        <row r="295">
          <cell r="F295">
            <v>0</v>
          </cell>
        </row>
        <row r="317">
          <cell r="F317">
            <v>0</v>
          </cell>
        </row>
      </sheetData>
      <sheetData sheetId="30"/>
      <sheetData sheetId="31"/>
      <sheetData sheetId="32"/>
      <sheetData sheetId="33"/>
      <sheetData sheetId="34"/>
      <sheetData sheetId="35"/>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Lrvz77hCs-9Ap-_hYtGDYxki1G3ANRlg/view?usp=drive_link" TargetMode="External"/><Relationship Id="rId13" Type="http://schemas.openxmlformats.org/officeDocument/2006/relationships/hyperlink" Target="https://drive.google.com/file/d/154fyTE2hE2-eF-mYvbl4PsFrIA4CvEBh/view?usp=drive_link" TargetMode="External"/><Relationship Id="rId18" Type="http://schemas.openxmlformats.org/officeDocument/2006/relationships/hyperlink" Target="https://drive.google.com/file/d/1_jNZMYCrAGGWzhMBq9-LhIw9GpW9Czv-/view?usp=drive_link" TargetMode="External"/><Relationship Id="rId26" Type="http://schemas.openxmlformats.org/officeDocument/2006/relationships/hyperlink" Target="https://drive.google.com/file/d/1PbaU7Fv5HFwiIWV5lBe7dhPBw8zMXLNt/view?usp=drive_link" TargetMode="External"/><Relationship Id="rId3" Type="http://schemas.openxmlformats.org/officeDocument/2006/relationships/hyperlink" Target="https://drive.google.com/file/d/1armK0m59uAYu4CUS54qTVAiGc4D58WRv/view?usp=drive_link" TargetMode="External"/><Relationship Id="rId21" Type="http://schemas.openxmlformats.org/officeDocument/2006/relationships/hyperlink" Target="https://drive.google.com/file/d/1xc_buoMPmLg1YUP_RRXDtoeCLwFWHc__/view?usp=drive_link" TargetMode="External"/><Relationship Id="rId7" Type="http://schemas.openxmlformats.org/officeDocument/2006/relationships/hyperlink" Target="https://drive.google.com/file/d/1Ze8pvPmSyC-jJebtaDGmWRAVg1EjtwxZ/view?usp=drive_link" TargetMode="External"/><Relationship Id="rId12" Type="http://schemas.openxmlformats.org/officeDocument/2006/relationships/hyperlink" Target="https://drive.google.com/file/d/1upTOtwJrjO-9QEwX0pEf6Xu4dDw0VTRX/view?usp=drive_link" TargetMode="External"/><Relationship Id="rId17" Type="http://schemas.openxmlformats.org/officeDocument/2006/relationships/hyperlink" Target="https://drive.google.com/file/d/1P-zr1Ezy8pcmrVnt_qoETRI434kGz9Bv/view?usp=drive_link" TargetMode="External"/><Relationship Id="rId25" Type="http://schemas.openxmlformats.org/officeDocument/2006/relationships/hyperlink" Target="https://drive.google.com/file/d/1ACoLhqqu2ElpFbC_vXT07BchQjtIdoa8/view?usp=drive_link" TargetMode="External"/><Relationship Id="rId2" Type="http://schemas.openxmlformats.org/officeDocument/2006/relationships/hyperlink" Target="https://drive.google.com/file/d/1K6wk-3aiUDrSIcQpIg07SrxvPGrFP-DY/view?usp=drive_link" TargetMode="External"/><Relationship Id="rId16" Type="http://schemas.openxmlformats.org/officeDocument/2006/relationships/hyperlink" Target="https://drive.google.com/file/d/1jqskAC3ezP8yULTHgRoYQmbM6N641kMA/view?usp=drive_link" TargetMode="External"/><Relationship Id="rId20" Type="http://schemas.openxmlformats.org/officeDocument/2006/relationships/hyperlink" Target="https://drive.google.com/file/d/1qLpnSY08jJAk3CFmmsoIEDw0Xywt6fEt/view?usp=drive_link" TargetMode="External"/><Relationship Id="rId1" Type="http://schemas.openxmlformats.org/officeDocument/2006/relationships/hyperlink" Target="https://drive.google.com/file/d/1HxfPZMes6T4DpkfQ9SN_bQakL0wH2ONT/view?usp=drive_link" TargetMode="External"/><Relationship Id="rId6" Type="http://schemas.openxmlformats.org/officeDocument/2006/relationships/hyperlink" Target="https://drive.google.com/file/d/1cHkb8Yo3pPerc3nasiot9hJr4l1NKzRr/view?usp=drive_link" TargetMode="External"/><Relationship Id="rId11" Type="http://schemas.openxmlformats.org/officeDocument/2006/relationships/hyperlink" Target="https://drive.google.com/file/d/1-wYPjr9-RuWpx8mwPbBKgbEW_-ao1nJ2/view?usp=drive_link" TargetMode="External"/><Relationship Id="rId24" Type="http://schemas.openxmlformats.org/officeDocument/2006/relationships/hyperlink" Target="https://drive.google.com/file/d/17ofvNPYapCSBzRT6DJjG04Tbx3xZDdXt/view?usp=drive_link" TargetMode="External"/><Relationship Id="rId5" Type="http://schemas.openxmlformats.org/officeDocument/2006/relationships/hyperlink" Target="https://drive.google.com/file/d/16meczPDHPc1QEuGSscL4d7D707LYwmfm/view?usp=drive_link" TargetMode="External"/><Relationship Id="rId15" Type="http://schemas.openxmlformats.org/officeDocument/2006/relationships/hyperlink" Target="https://drive.google.com/file/d/1I6z53UUGdn_2WHC0Wbf8Uboov-m0h4Gh/view?usp=drive_link" TargetMode="External"/><Relationship Id="rId23" Type="http://schemas.openxmlformats.org/officeDocument/2006/relationships/hyperlink" Target="https://drive.google.com/file/d/1srsaHG1w9NW11nyUj7jCVo-s_R4ZAOOd/view?usp=drive_link" TargetMode="External"/><Relationship Id="rId28" Type="http://schemas.openxmlformats.org/officeDocument/2006/relationships/hyperlink" Target="https://drive.google.com/file/d/1HSMhjl4rdP3_LjHIPlrOR2YMkMDpJEQn/view?usp=drive_link" TargetMode="External"/><Relationship Id="rId10" Type="http://schemas.openxmlformats.org/officeDocument/2006/relationships/hyperlink" Target="https://drive.google.com/file/d/19M0xZrZjCQjoBB2X8KbSUNgdb2ElEME8/view?usp=sharing" TargetMode="External"/><Relationship Id="rId19" Type="http://schemas.openxmlformats.org/officeDocument/2006/relationships/hyperlink" Target="https://drive.google.com/file/d/1-8_zDpcbXg1Q9ElAhbCwiAwIGBZzl8r3/view?usp=drive_link" TargetMode="External"/><Relationship Id="rId4" Type="http://schemas.openxmlformats.org/officeDocument/2006/relationships/hyperlink" Target="https://drive.google.com/file/d/1cArE6avLBdLZ_P5rT3rm_SHq9NEZyHHr/view?usp=drive_link" TargetMode="External"/><Relationship Id="rId9" Type="http://schemas.openxmlformats.org/officeDocument/2006/relationships/hyperlink" Target="https://drive.google.com/file/d/11LttsR061P4v40YjP52xj6kuSFCfOTYi/view?usp=drive_link" TargetMode="External"/><Relationship Id="rId14" Type="http://schemas.openxmlformats.org/officeDocument/2006/relationships/hyperlink" Target="https://drive.google.com/file/d/1XNnx8OvJv3e9g5t7kDyG_22UT3Gy9hE9/view?usp=drive_link" TargetMode="External"/><Relationship Id="rId22" Type="http://schemas.openxmlformats.org/officeDocument/2006/relationships/hyperlink" Target="https://drive.google.com/file/d/1NpPDi-qwRq7R9JU-bSLfTNE7-zPHKuta/view?usp=drive_link" TargetMode="External"/><Relationship Id="rId27" Type="http://schemas.openxmlformats.org/officeDocument/2006/relationships/hyperlink" Target="https://drive.google.com/file/d/1sKbLifz-t9XpX7_pDmbLDjWrFRa9m-r7/view?usp=drive_link"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drive.google.com/open?id=1n5Sig2je9s_93XrjjUNd4tGcIoglHbTJ&amp;usp=drive_fs" TargetMode="External"/><Relationship Id="rId21" Type="http://schemas.openxmlformats.org/officeDocument/2006/relationships/hyperlink" Target="https://drive.google.com/open?id=1hFSIHwRwuaQiYwWsWQxE8pSyVgKFTuLZ&amp;usp=drive_fs" TargetMode="External"/><Relationship Id="rId42" Type="http://schemas.openxmlformats.org/officeDocument/2006/relationships/hyperlink" Target="https://drive.google.com/open?id=1lqlQT10luc3ZSVa28ZmEQpVazP5bSNZr&amp;usp=drive_fs" TargetMode="External"/><Relationship Id="rId47" Type="http://schemas.openxmlformats.org/officeDocument/2006/relationships/hyperlink" Target="https://drive.google.com/open?id=1nACkBiXNK65b8tBh_LWg5ALxCACYpvtR&amp;usp=drive_fs" TargetMode="External"/><Relationship Id="rId63" Type="http://schemas.openxmlformats.org/officeDocument/2006/relationships/hyperlink" Target="https://drive.google.com/open?id=1_-QXwdDVIJyladXFPHZIopiaKUOK8wKo&amp;usp=drive_fs" TargetMode="External"/><Relationship Id="rId68" Type="http://schemas.openxmlformats.org/officeDocument/2006/relationships/hyperlink" Target="https://drive.google.com/open?id=1pwjilVpur0GjYfwe_WYd5MsZpcPNFx_4&amp;usp=drive_fs" TargetMode="External"/><Relationship Id="rId2" Type="http://schemas.openxmlformats.org/officeDocument/2006/relationships/hyperlink" Target="https://drive.google.com/open?id=1yfj64PilsAhg2ps6P13cPj6FSWgIed3F&amp;usp=drive_fs" TargetMode="External"/><Relationship Id="rId16" Type="http://schemas.openxmlformats.org/officeDocument/2006/relationships/hyperlink" Target="https://drive.google.com/open?id=1JiL4IMQV5qgjJVyaHpjfjyHxSF8AtRx5&amp;usp=drive_fs" TargetMode="External"/><Relationship Id="rId29" Type="http://schemas.openxmlformats.org/officeDocument/2006/relationships/hyperlink" Target="https://drive.google.com/open?id=1mDGly3g1G-oIK4Z7r4AbKZKPss2un1JF&amp;usp=drive_fs" TargetMode="External"/><Relationship Id="rId11" Type="http://schemas.openxmlformats.org/officeDocument/2006/relationships/hyperlink" Target="https://drive.google.com/open?id=1yEGIa44JRzSyB9hsDq2v5wHpRZ_ExjoJ&amp;usp=drive_fs" TargetMode="External"/><Relationship Id="rId24" Type="http://schemas.openxmlformats.org/officeDocument/2006/relationships/hyperlink" Target="https://drive.google.com/open?id=1hfgQ-3NbxUZ47dvLGHUXcz6AdKYhXVs2&amp;usp=drive_fs" TargetMode="External"/><Relationship Id="rId32" Type="http://schemas.openxmlformats.org/officeDocument/2006/relationships/hyperlink" Target="https://drive.google.com/open?id=1lrtlxjHHABv_0lSzyuQdEv0MUg-DHK_B&amp;usp=drive_fs" TargetMode="External"/><Relationship Id="rId37" Type="http://schemas.openxmlformats.org/officeDocument/2006/relationships/hyperlink" Target="https://drive.google.com/open?id=1V_yMQKaE-8HrCzyTw6m1CUmmSMgk0Pvq&amp;usp=drive_fs" TargetMode="External"/><Relationship Id="rId40" Type="http://schemas.openxmlformats.org/officeDocument/2006/relationships/hyperlink" Target="https://drive.google.com/open?id=1fmdjNaVxzj-GwXzVEc7xNRm7tR53xoyu&amp;usp=drive_fs" TargetMode="External"/><Relationship Id="rId45" Type="http://schemas.openxmlformats.org/officeDocument/2006/relationships/hyperlink" Target="https://drive.google.com/open?id=1hOLW8aRys29Dz7D_krTSIPwkKbWxN2rf&amp;usp=drive_fs" TargetMode="External"/><Relationship Id="rId53" Type="http://schemas.openxmlformats.org/officeDocument/2006/relationships/hyperlink" Target="https://drive.google.com/open?id=1xGfYtmbYoEjCNrh20oKAJs7Mj9xDzqXH&amp;usp=drive_fs" TargetMode="External"/><Relationship Id="rId58" Type="http://schemas.openxmlformats.org/officeDocument/2006/relationships/hyperlink" Target="https://drive.google.com/open?id=1lalNvA19Elxahysse10_3K8qDIzidrk6&amp;usp=drive_fs" TargetMode="External"/><Relationship Id="rId66" Type="http://schemas.openxmlformats.org/officeDocument/2006/relationships/hyperlink" Target="https://drive.google.com/open?id=1pgOu6736vf6oQYFM-5OvFJe78jvqDqVl&amp;usp=drive_fs" TargetMode="External"/><Relationship Id="rId74" Type="http://schemas.openxmlformats.org/officeDocument/2006/relationships/hyperlink" Target="https://drive.google.com/open?id=1D_8jc8oxRRyar3_wztfKm046aMM6r-LD&amp;usp=drive_fs" TargetMode="External"/><Relationship Id="rId5" Type="http://schemas.openxmlformats.org/officeDocument/2006/relationships/hyperlink" Target="https://drive.google.com/open?id=1gNhVwxUFoN7ZOYPVqARL9Bb276j9U7PY&amp;usp=drive_fs" TargetMode="External"/><Relationship Id="rId61" Type="http://schemas.openxmlformats.org/officeDocument/2006/relationships/hyperlink" Target="https://drive.google.com/open?id=1pJxIDTOCZvGAGjMypWsabulU2xbx2Zyo&amp;usp=drive_fs" TargetMode="External"/><Relationship Id="rId19" Type="http://schemas.openxmlformats.org/officeDocument/2006/relationships/hyperlink" Target="https://drive.google.com/open?id=1mpUqEgxj0ZB73Y__9pdBZeufFcqznfb8&amp;usp=drive_fs" TargetMode="External"/><Relationship Id="rId14" Type="http://schemas.openxmlformats.org/officeDocument/2006/relationships/hyperlink" Target="https://drive.google.com/open?id=1nYs5-oiWryI6gqMDbVz2yIXNsS9wlpfW&amp;usp=drive_fs" TargetMode="External"/><Relationship Id="rId22" Type="http://schemas.openxmlformats.org/officeDocument/2006/relationships/hyperlink" Target="https://drive.google.com/open?id=1hJdc66d6kGI8Rp3MXD8dxoc-6x3uS3Vg&amp;usp=drive_fs" TargetMode="External"/><Relationship Id="rId27" Type="http://schemas.openxmlformats.org/officeDocument/2006/relationships/hyperlink" Target="https://drive.google.com/open?id=1_YWVUPgvM0gwIOxfYsT1KfHs92QgjxHH&amp;usp=drive_fs" TargetMode="External"/><Relationship Id="rId30" Type="http://schemas.openxmlformats.org/officeDocument/2006/relationships/hyperlink" Target="https://drive.google.com/open?id=1lc-jV3MDu9Pt6VNBLSE32ETg1AvCE8zW&amp;usp=drive_fs" TargetMode="External"/><Relationship Id="rId35" Type="http://schemas.openxmlformats.org/officeDocument/2006/relationships/hyperlink" Target="https://drive.google.com/open?id=1hFi3kqDg5CmQZr_L5FGbK_r2kstkObQd&amp;usp=drive_fs" TargetMode="External"/><Relationship Id="rId43" Type="http://schemas.openxmlformats.org/officeDocument/2006/relationships/hyperlink" Target="https://drive.google.com/open?id=1gwBeZ6H1nLVGLwiukJEcg3jE-aREBIMl&amp;usp=drive_fs" TargetMode="External"/><Relationship Id="rId48" Type="http://schemas.openxmlformats.org/officeDocument/2006/relationships/hyperlink" Target="https://drive.google.com/open?id=1Ba0O1_G0GcO8prm7BuB2-NyEkjBZUq2J&amp;usp=drive_fs" TargetMode="External"/><Relationship Id="rId56" Type="http://schemas.openxmlformats.org/officeDocument/2006/relationships/hyperlink" Target="https://drive.google.com/open?id=1pnRl6FYlvq2PtVwCc68JgrFiG5Hbxx6o&amp;usp=drive_fs" TargetMode="External"/><Relationship Id="rId64" Type="http://schemas.openxmlformats.org/officeDocument/2006/relationships/hyperlink" Target="https://drive.google.com/open?id=1pTZbtSz7JYI6s4gAOfRmLJzLaSE52Lnj&amp;usp=drive_fs" TargetMode="External"/><Relationship Id="rId69" Type="http://schemas.openxmlformats.org/officeDocument/2006/relationships/hyperlink" Target="https://drive.google.com/open?id=1uQRGi02CzvSrPfwnP9jvLua9Y-5zSDEf&amp;usp=drive_fs" TargetMode="External"/><Relationship Id="rId8" Type="http://schemas.openxmlformats.org/officeDocument/2006/relationships/hyperlink" Target="https://drive.google.com/open?id=1me6oMu0QuwSOf0672D1h16itpT7CXm8W&amp;usp=drive_fs" TargetMode="External"/><Relationship Id="rId51" Type="http://schemas.openxmlformats.org/officeDocument/2006/relationships/hyperlink" Target="https://drive.google.com/open?id=1XlVADbZtcXWzEBTIqPWShhKUtzx-AXoK&amp;usp=drive_fs" TargetMode="External"/><Relationship Id="rId72" Type="http://schemas.openxmlformats.org/officeDocument/2006/relationships/hyperlink" Target="https://drive.google.com/open?id=1hP_LEXzyzw0kPQxSQK6Jl_eaQDG10TxE&amp;usp=drive_fs" TargetMode="External"/><Relationship Id="rId3" Type="http://schemas.openxmlformats.org/officeDocument/2006/relationships/hyperlink" Target="https://drive.google.com/open?id=1gRnlDb8DmOVHUU_-CiM9efxoSRDOjTjU&amp;usp=drive_fs" TargetMode="External"/><Relationship Id="rId12" Type="http://schemas.openxmlformats.org/officeDocument/2006/relationships/hyperlink" Target="https://drive.google.com/open?id=1jHVfJCXu0-ZoBNffO1AqvlkvOq2K4JJP&amp;usp=drive_fs" TargetMode="External"/><Relationship Id="rId17" Type="http://schemas.openxmlformats.org/officeDocument/2006/relationships/hyperlink" Target="https://drive.google.com/open?id=1DPX6Bl60DmNnWtEFQvRXFl9BbLOJk8gP&amp;usp=drive_fs" TargetMode="External"/><Relationship Id="rId25" Type="http://schemas.openxmlformats.org/officeDocument/2006/relationships/hyperlink" Target="https://drive.google.com/open?id=1nGrgfNljyrGW_1JiwA98QtZaCEVme198&amp;usp=drive_fs" TargetMode="External"/><Relationship Id="rId33" Type="http://schemas.openxmlformats.org/officeDocument/2006/relationships/hyperlink" Target="https://drive.google.com/open?id=1loYwaTNByUvK_K_8wluh6PeqwuE-Aggz&amp;usp=drive_fs" TargetMode="External"/><Relationship Id="rId38" Type="http://schemas.openxmlformats.org/officeDocument/2006/relationships/hyperlink" Target="https://drive.google.com/open?id=1lkx6NraSyx_G_Yzr3sATDslJtVm8JaXD&amp;usp=drive_fs" TargetMode="External"/><Relationship Id="rId46" Type="http://schemas.openxmlformats.org/officeDocument/2006/relationships/hyperlink" Target="https://drive.google.com/open?id=1Y6W2yJNEpxHpXnLCX9sMGYNQ1oQjsRJR&amp;usp=drive_fs" TargetMode="External"/><Relationship Id="rId59" Type="http://schemas.openxmlformats.org/officeDocument/2006/relationships/hyperlink" Target="https://drive.google.com/open?id=1g9J-n1ezrgL74FdGeAWzG4ps8beql_R3&amp;usp=drive_fs" TargetMode="External"/><Relationship Id="rId67" Type="http://schemas.openxmlformats.org/officeDocument/2006/relationships/hyperlink" Target="https://drive.google.com/open?id=1rdzI9yYRZa5ScdBgHjZyAC9I4uwyjhIZ&amp;usp=drive_fs" TargetMode="External"/><Relationship Id="rId20" Type="http://schemas.openxmlformats.org/officeDocument/2006/relationships/hyperlink" Target="https://drive.google.com/open?id=1kDFmKoVNN0aixKjQHsg4n42tlMbm3_W3&amp;usp=drive_fs" TargetMode="External"/><Relationship Id="rId41" Type="http://schemas.openxmlformats.org/officeDocument/2006/relationships/hyperlink" Target="https://drive.google.com/open?id=1nP-aw1axAorqtxZkqW0I4CQUtKTon4Am&amp;usp=drive_fs" TargetMode="External"/><Relationship Id="rId54" Type="http://schemas.openxmlformats.org/officeDocument/2006/relationships/hyperlink" Target="https://drive.google.com/open?id=1piCwfBSe8iLmfdSN_dqU813HQEF4cQjW&amp;usp=drive_fs" TargetMode="External"/><Relationship Id="rId62" Type="http://schemas.openxmlformats.org/officeDocument/2006/relationships/hyperlink" Target="https://drive.google.com/open?id=1pT8oj9iIK8QDJuUILv2IImjBVfugYSOH&amp;usp=drive_fs" TargetMode="External"/><Relationship Id="rId70" Type="http://schemas.openxmlformats.org/officeDocument/2006/relationships/hyperlink" Target="https://drive.google.com/open?id=1GC_AV_zi37Tn_YP3ksD8PAFHjWB18M4E&amp;usp=drive_fs" TargetMode="External"/><Relationship Id="rId1" Type="http://schemas.openxmlformats.org/officeDocument/2006/relationships/hyperlink" Target="https://drive.google.com/open?id=1mdcGvPCJ-b56kQcTTnv0NHR9lz6bhKaS&amp;usp=drive_fs" TargetMode="External"/><Relationship Id="rId6" Type="http://schemas.openxmlformats.org/officeDocument/2006/relationships/hyperlink" Target="https://drive.google.com/open?id=1IfoI9Iif_r_WmewDu7PzFevppvyzTPGY&amp;usp=drive_fs" TargetMode="External"/><Relationship Id="rId15" Type="http://schemas.openxmlformats.org/officeDocument/2006/relationships/hyperlink" Target="https://drive.google.com/open?id=1TFH-yvYsU0O4H-HXjX5jxifCZ1CRuV5i&amp;usp=drive_fs" TargetMode="External"/><Relationship Id="rId23" Type="http://schemas.openxmlformats.org/officeDocument/2006/relationships/hyperlink" Target="https://drive.google.com/open?id=1Y6W2yJNEpxHpXnLCX9sMGYNQ1oQjsRJR&amp;usp=drive_fs" TargetMode="External"/><Relationship Id="rId28" Type="http://schemas.openxmlformats.org/officeDocument/2006/relationships/hyperlink" Target="https://drive.google.com/open?id=1nRM5lAsZ2shANLHnOZCz6YEiS8DusuX7&amp;usp=drive_fs" TargetMode="External"/><Relationship Id="rId36" Type="http://schemas.openxmlformats.org/officeDocument/2006/relationships/hyperlink" Target="https://drive.google.com/open?id=1n8ST-46Lp7fm5G579i1O8uVfNhkLs-cU&amp;usp=drive_fs" TargetMode="External"/><Relationship Id="rId49" Type="http://schemas.openxmlformats.org/officeDocument/2006/relationships/hyperlink" Target="https://drive.google.com/open?id=1Ba0O1_G0GcO8prm7BuB2-NyEkjBZUq2J&amp;usp=drive_fs" TargetMode="External"/><Relationship Id="rId57" Type="http://schemas.openxmlformats.org/officeDocument/2006/relationships/hyperlink" Target="https://drive.google.com/open?id=1pmLoKOhchJF02ERjcydVFzpT1gJ80_v7&amp;usp=drive_fs" TargetMode="External"/><Relationship Id="rId10" Type="http://schemas.openxmlformats.org/officeDocument/2006/relationships/hyperlink" Target="https://drive.google.com/open?id=1XlVADbZtcXWzEBTIqPWShhKUtzx-AXoK&amp;usp=drive_fs" TargetMode="External"/><Relationship Id="rId31" Type="http://schemas.openxmlformats.org/officeDocument/2006/relationships/hyperlink" Target="https://drive.google.com/open?id=1m8TSvmL1_wmdN1UY5ImRRMfsPN415Beu&amp;usp=drive_fs" TargetMode="External"/><Relationship Id="rId44" Type="http://schemas.openxmlformats.org/officeDocument/2006/relationships/hyperlink" Target="https://drive.google.com/open?id=1hMwMj1gPVzaAn6Eb0d_7OIVv74IrNpRL&amp;usp=drive_fs" TargetMode="External"/><Relationship Id="rId52" Type="http://schemas.openxmlformats.org/officeDocument/2006/relationships/hyperlink" Target="https://drive.google.com/open?id=1yEGIa44JRzSyB9hsDq2v5wHpRZ_ExjoJ&amp;usp=drive_fs" TargetMode="External"/><Relationship Id="rId60" Type="http://schemas.openxmlformats.org/officeDocument/2006/relationships/hyperlink" Target="https://drive.google.com/open?id=1pLOHQt3TvyK1_3UlIhYJ9Qo_qoGj7TwU&amp;usp=drive_fs" TargetMode="External"/><Relationship Id="rId65" Type="http://schemas.openxmlformats.org/officeDocument/2006/relationships/hyperlink" Target="https://drive.google.com/open?id=1pZoXKIvNFzE6oajBsKIee0TZ-_HZZcFu&amp;usp=drive_fs" TargetMode="External"/><Relationship Id="rId73" Type="http://schemas.openxmlformats.org/officeDocument/2006/relationships/hyperlink" Target="https://drive.google.com/open?id=1hP1CNZnfLiGktgCD62HFqG3j9ps86Lk-&amp;usp=drive_fs" TargetMode="External"/><Relationship Id="rId4" Type="http://schemas.openxmlformats.org/officeDocument/2006/relationships/hyperlink" Target="https://drive.google.com/open?id=1gVthgjd-xQLy4bzTITepW9-LSo7JZLV9&amp;usp=drive_fs" TargetMode="External"/><Relationship Id="rId9" Type="http://schemas.openxmlformats.org/officeDocument/2006/relationships/hyperlink" Target="https://drive.google.com/open?id=1fneKxS8fcSCEk6941q_y4bYQB-3y2aNp&amp;usp=drive_fs" TargetMode="External"/><Relationship Id="rId13" Type="http://schemas.openxmlformats.org/officeDocument/2006/relationships/hyperlink" Target="https://drive.google.com/open?id=1ma8w6Q6gU7pvYjO6f4zoUEVNUEMJ0uEg&amp;usp=drive_fs" TargetMode="External"/><Relationship Id="rId18" Type="http://schemas.openxmlformats.org/officeDocument/2006/relationships/hyperlink" Target="https://drive.google.com/open?id=1kTqwFs699bV9KwPZoXSmRktkBrO9pzuU&amp;usp=drive_fs" TargetMode="External"/><Relationship Id="rId39" Type="http://schemas.openxmlformats.org/officeDocument/2006/relationships/hyperlink" Target="https://drive.google.com/open?id=1twIVgKAhncKi0Zxz9x_9R7frN1L99vBe&amp;usp=drive_fs" TargetMode="External"/><Relationship Id="rId34" Type="http://schemas.openxmlformats.org/officeDocument/2006/relationships/hyperlink" Target="https://drive.google.com/open?id=1Y6W2yJNEpxHpXnLCX9sMGYNQ1oQjsRJR&amp;usp=drive_fs" TargetMode="External"/><Relationship Id="rId50" Type="http://schemas.openxmlformats.org/officeDocument/2006/relationships/hyperlink" Target="https://drive.google.com/open?id=1fgWEY9rV9cmFpVN-52CIpkfpQg7cCtAl&amp;usp=drive_fs" TargetMode="External"/><Relationship Id="rId55" Type="http://schemas.openxmlformats.org/officeDocument/2006/relationships/hyperlink" Target="https://drive.google.com/open?id=1mWgTGAK_PAItjfDSCNCjOYkJ1Nwk8B9i&amp;usp=drive_fs" TargetMode="External"/><Relationship Id="rId7" Type="http://schemas.openxmlformats.org/officeDocument/2006/relationships/hyperlink" Target="https://drive.google.com/open?id=1qyuapgNjKzGYut8sjI4isL4ao-Dil0W5&amp;usp=drive_fs" TargetMode="External"/><Relationship Id="rId71" Type="http://schemas.openxmlformats.org/officeDocument/2006/relationships/hyperlink" Target="https://drive.google.com/open?id=1hVk4DWqVmKcg7dmK7YWz6tlRfIkbolkI&amp;usp=drive_fs"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drive.google.com/open?id=14jgG_XXs40B0Jlmq5Yxj--UPkQR2N7Na&amp;usp=drive_fs" TargetMode="External"/><Relationship Id="rId21" Type="http://schemas.openxmlformats.org/officeDocument/2006/relationships/hyperlink" Target="https://drive.google.com/open?id=1ixgRGpDpS0EhZzTfMdQBWWsyol3anVpR&amp;usp=drive_fs" TargetMode="External"/><Relationship Id="rId34" Type="http://schemas.openxmlformats.org/officeDocument/2006/relationships/hyperlink" Target="https://drive.google.com/open?id=1aoGS2cof2HrfgBlzqg1FKHIxtXyOSVP-&amp;usp=drive_fs" TargetMode="External"/><Relationship Id="rId42" Type="http://schemas.openxmlformats.org/officeDocument/2006/relationships/hyperlink" Target="https://drive.google.com/open?id=1bfkKkev6CsRLnMhwPksk3ZmEBVsrgOOE&amp;usp=drive_fs" TargetMode="External"/><Relationship Id="rId47" Type="http://schemas.openxmlformats.org/officeDocument/2006/relationships/hyperlink" Target="https://drive.google.com/open?id=1_TWPCUVzLwWKHlX-88PTaaeEBZ_ujD-5&amp;usp=drive_fs" TargetMode="External"/><Relationship Id="rId50" Type="http://schemas.openxmlformats.org/officeDocument/2006/relationships/hyperlink" Target="https://drive.google.com/open?id=1d7-T7EdJDqrYYholeAwwMsolyxHWvcGC&amp;usp=drive_fs" TargetMode="External"/><Relationship Id="rId55" Type="http://schemas.openxmlformats.org/officeDocument/2006/relationships/hyperlink" Target="https://drive.google.com/open?id=105G3h7ysijD6VtOreWfw2TXY8x5NAIgF&amp;usp=drive_fs" TargetMode="External"/><Relationship Id="rId63" Type="http://schemas.openxmlformats.org/officeDocument/2006/relationships/hyperlink" Target="https://drive.google.com/open?id=122i0I7wm6O6-epUyDacT0Jj4KqI9rU0y&amp;usp=drive_fs" TargetMode="External"/><Relationship Id="rId68" Type="http://schemas.openxmlformats.org/officeDocument/2006/relationships/hyperlink" Target="https://drive.google.com/open?id=1OBzidJYfKfV2VLztIIVPpIpErUW60QEZ&amp;usp=drive_fs" TargetMode="External"/><Relationship Id="rId7" Type="http://schemas.openxmlformats.org/officeDocument/2006/relationships/hyperlink" Target="https://drive.google.com/open?id=1Qev215rRAFtb-WX8wlSxfiZmjf01B-uq&amp;usp=drive_fs" TargetMode="External"/><Relationship Id="rId2" Type="http://schemas.openxmlformats.org/officeDocument/2006/relationships/hyperlink" Target="https://drive.google.com/open?id=1_6Fp_ExyTvjqF1-M_cFw6x_XHF5SBwfd&amp;usp=drive_fs" TargetMode="External"/><Relationship Id="rId16" Type="http://schemas.openxmlformats.org/officeDocument/2006/relationships/hyperlink" Target="https://drive.google.com/open?id=1SWRPL_XQ4U3I_el6ODCAtdMV9hiBqS0C&amp;usp=drive_fs" TargetMode="External"/><Relationship Id="rId29" Type="http://schemas.openxmlformats.org/officeDocument/2006/relationships/hyperlink" Target="https://drive.google.com/open?id=12uTj9_HSjfZGk17GE1L7DM8xHNgbjwjm&amp;usp=drive_fs" TargetMode="External"/><Relationship Id="rId11" Type="http://schemas.openxmlformats.org/officeDocument/2006/relationships/hyperlink" Target="https://drive.google.com/open?id=1lkLy44LTEH8bIakW8xjzsl2Dvq7Pj4nw&amp;usp=drive_fs" TargetMode="External"/><Relationship Id="rId24" Type="http://schemas.openxmlformats.org/officeDocument/2006/relationships/hyperlink" Target="https://drive.google.com/open?id=1XSPaxZsHs2ETNkZoubdK1KuQGDslR2YT&amp;usp=drive_fs" TargetMode="External"/><Relationship Id="rId32" Type="http://schemas.openxmlformats.org/officeDocument/2006/relationships/hyperlink" Target="https://drive.google.com/open?id=14jgG_XXs40B0Jlmq5Yxj--UPkQR2N7Na&amp;usp=drive_fs" TargetMode="External"/><Relationship Id="rId37" Type="http://schemas.openxmlformats.org/officeDocument/2006/relationships/hyperlink" Target="https://drive.google.com/open?id=1OT9YzvdI1mWv1rx0oVZ4jJLktVxkSDdK&amp;usp=drive_fs" TargetMode="External"/><Relationship Id="rId40" Type="http://schemas.openxmlformats.org/officeDocument/2006/relationships/hyperlink" Target="https://drive.google.com/open?id=1ALkyGby2dS61gylsutVZ8UFpExH25KBF&amp;usp=drive_fs" TargetMode="External"/><Relationship Id="rId45" Type="http://schemas.openxmlformats.org/officeDocument/2006/relationships/hyperlink" Target="https://drive.google.com/open?id=1RaRLgBJ0MZ6pTZRpu5eFBQclsKnLWDny&amp;usp=drive_fs" TargetMode="External"/><Relationship Id="rId53" Type="http://schemas.openxmlformats.org/officeDocument/2006/relationships/hyperlink" Target="https://drive.google.com/open?id=14jgG_XXs40B0Jlmq5Yxj--UPkQR2N7Na&amp;usp=drive_fs" TargetMode="External"/><Relationship Id="rId58" Type="http://schemas.openxmlformats.org/officeDocument/2006/relationships/hyperlink" Target="https://drive.google.com/open?id=1iMuv3-WaovSp2-_OfKHDR8AB3aOIpfFn&amp;usp=drive_fs" TargetMode="External"/><Relationship Id="rId66" Type="http://schemas.openxmlformats.org/officeDocument/2006/relationships/hyperlink" Target="https://drive.google.com/open?id=1PsoTTDdrvVABgPMQYjPKx3uW-SKUNGbI&amp;usp=drive_fs" TargetMode="External"/><Relationship Id="rId5" Type="http://schemas.openxmlformats.org/officeDocument/2006/relationships/hyperlink" Target="https://drive.google.com/open?id=1hHruZaR6cC30sU6q-7R-YHFyKmrXFSAy&amp;usp=drive_fs" TargetMode="External"/><Relationship Id="rId61" Type="http://schemas.openxmlformats.org/officeDocument/2006/relationships/hyperlink" Target="https://drive.google.com/open?id=1H-Zwh5q9hnnzWG6yszV-6s-jsPljVrgW&amp;usp=drive_fs" TargetMode="External"/><Relationship Id="rId19" Type="http://schemas.openxmlformats.org/officeDocument/2006/relationships/hyperlink" Target="https://drive.google.com/open?id=1yPQau5DqlkuT8rzI-LREwJYI2W27Wi0X&amp;usp=drive_fs" TargetMode="External"/><Relationship Id="rId14" Type="http://schemas.openxmlformats.org/officeDocument/2006/relationships/hyperlink" Target="https://drive.google.com/open?id=1qM0bmoZb2tRtYR_dkQ9EOIt2CY2QrEgp&amp;usp=drive_fs" TargetMode="External"/><Relationship Id="rId22" Type="http://schemas.openxmlformats.org/officeDocument/2006/relationships/hyperlink" Target="https://drive.google.com/open?id=1vrjrq3eoP7iM4XdbTcyIheWhbMVvzfiD&amp;usp=drive_fs" TargetMode="External"/><Relationship Id="rId27" Type="http://schemas.openxmlformats.org/officeDocument/2006/relationships/hyperlink" Target="https://drive.google.com/open?id=1vN2OKmi72TDB89I6IjHdlHYd4Z1gYPqY&amp;usp=drive_fs" TargetMode="External"/><Relationship Id="rId30" Type="http://schemas.openxmlformats.org/officeDocument/2006/relationships/hyperlink" Target="https://drive.google.com/open?id=1QAB4baNTSUL2lGZqyEa8DpuraAYJ5o6G&amp;usp=drive_fs" TargetMode="External"/><Relationship Id="rId35" Type="http://schemas.openxmlformats.org/officeDocument/2006/relationships/hyperlink" Target="https://drive.google.com/open?id=1GkzUtyqCyzEFSaSKpa1622qQTh5RlHTg&amp;usp=drive_fs" TargetMode="External"/><Relationship Id="rId43" Type="http://schemas.openxmlformats.org/officeDocument/2006/relationships/hyperlink" Target="https://drive.google.com/open?id=1PColXYGRBBEw6Ey2f2UV0Tcb5uDUB4Yc&amp;usp=drive_fs" TargetMode="External"/><Relationship Id="rId48" Type="http://schemas.openxmlformats.org/officeDocument/2006/relationships/hyperlink" Target="https://drive.google.com/open?id=1LOpjoV75K40D3b6N1YDOnCKt30AC0tZA&amp;usp=drive_fs" TargetMode="External"/><Relationship Id="rId56" Type="http://schemas.openxmlformats.org/officeDocument/2006/relationships/hyperlink" Target="https://drive.google.com/open?id=1mFbBXTGg2N9BsiYV4iBqvHD0YVlVDECs&amp;usp=drive_fs" TargetMode="External"/><Relationship Id="rId64" Type="http://schemas.openxmlformats.org/officeDocument/2006/relationships/hyperlink" Target="https://drive.google.com/open?id=1_oZcJkqSTGdAnZ9xtOtEGy_jqIpctnPW&amp;usp=drive_fs" TargetMode="External"/><Relationship Id="rId8" Type="http://schemas.openxmlformats.org/officeDocument/2006/relationships/hyperlink" Target="https://drive.google.com/open?id=1a5hTa8y0XMozRz-dSa0UfTNgd1TXVSNN&amp;usp=drive_fs" TargetMode="External"/><Relationship Id="rId51" Type="http://schemas.openxmlformats.org/officeDocument/2006/relationships/hyperlink" Target="https://drive.google.com/open?id=12N3VS1kyj0K-JZ15H6D8Q-Dc3vmKHE83&amp;usp=drive_fs" TargetMode="External"/><Relationship Id="rId3" Type="http://schemas.openxmlformats.org/officeDocument/2006/relationships/hyperlink" Target="https://drive.google.com/open?id=1PRSSbRhljf-e9cOSeCLfcLlcya7A-WGn&amp;usp=drive_fs" TargetMode="External"/><Relationship Id="rId12" Type="http://schemas.openxmlformats.org/officeDocument/2006/relationships/hyperlink" Target="https://drive.google.com/open?id=1DkfAoPGLAksRJx39XhQZ5I7U-PW2DCPH&amp;usp=drive_fs" TargetMode="External"/><Relationship Id="rId17" Type="http://schemas.openxmlformats.org/officeDocument/2006/relationships/hyperlink" Target="https://drive.google.com/open?id=1RERbl7w2UXAn8Ac0mJoHHC54Q4ufAls7&amp;usp=drive_fs" TargetMode="External"/><Relationship Id="rId25" Type="http://schemas.openxmlformats.org/officeDocument/2006/relationships/hyperlink" Target="https://drive.google.com/open?id=1wxOUDpvD9hlGn7MskIi_K76SpL1YDx_2&amp;usp=drive_fs" TargetMode="External"/><Relationship Id="rId33" Type="http://schemas.openxmlformats.org/officeDocument/2006/relationships/hyperlink" Target="https://drive.google.com/open?id=1Mngk9E_Ns0wD52FbMvIKCsvUQGplnmZk&amp;usp=drive_fs" TargetMode="External"/><Relationship Id="rId38" Type="http://schemas.openxmlformats.org/officeDocument/2006/relationships/hyperlink" Target="https://drive.google.com/open?id=1pB6eTF_KtxS_i5oNsKg3N36kF7mtycv2&amp;usp=drive_fs" TargetMode="External"/><Relationship Id="rId46" Type="http://schemas.openxmlformats.org/officeDocument/2006/relationships/hyperlink" Target="https://drive.google.com/open?id=1ju2VdDn5dYFTK9ikvfIioHPvI5UvzkRE&amp;usp=drive_fs" TargetMode="External"/><Relationship Id="rId59" Type="http://schemas.openxmlformats.org/officeDocument/2006/relationships/hyperlink" Target="https://drive.google.com/open?id=1TxffYxWhye3P4I3Nvk3RkuONabNYvNPn&amp;usp=drive_fs" TargetMode="External"/><Relationship Id="rId67" Type="http://schemas.openxmlformats.org/officeDocument/2006/relationships/hyperlink" Target="https://drive.google.com/open?id=1KdCqwEoeLcVmY5ubxWHf_ztPnsvSOfaB&amp;usp=drive_fs" TargetMode="External"/><Relationship Id="rId20" Type="http://schemas.openxmlformats.org/officeDocument/2006/relationships/hyperlink" Target="https://drive.google.com/open?id=1AaH7sYx4Us13jdMCTKjkWbtzMP-EAgqB&amp;usp=drive_fs" TargetMode="External"/><Relationship Id="rId41" Type="http://schemas.openxmlformats.org/officeDocument/2006/relationships/hyperlink" Target="https://drive.google.com/open?id=1snO2Uwa30PnDb8AlJxmSmHoolqxnp2Lf&amp;usp=drive_fs" TargetMode="External"/><Relationship Id="rId54" Type="http://schemas.openxmlformats.org/officeDocument/2006/relationships/hyperlink" Target="https://drive.google.com/open?id=1GK5pxJVo6nBsCc-qqDyMmiBWE_av7GvX&amp;usp=drive_fs" TargetMode="External"/><Relationship Id="rId62" Type="http://schemas.openxmlformats.org/officeDocument/2006/relationships/hyperlink" Target="https://drive.google.com/open?id=1I7L4jAF_omtn4RinazhSocnFgKHTW8sE&amp;usp=drive_fs" TargetMode="External"/><Relationship Id="rId1" Type="http://schemas.openxmlformats.org/officeDocument/2006/relationships/hyperlink" Target="https://drive.google.com/open?id=1O6wt_FJqQeu9sRaLffH-7f8S0G1oTxGT&amp;usp=drive_fs" TargetMode="External"/><Relationship Id="rId6" Type="http://schemas.openxmlformats.org/officeDocument/2006/relationships/hyperlink" Target="https://drive.google.com/open?id=1BV1TM7EJJOxGzv3O6dWUL6FCUk_S1IqE&amp;usp=drive_fs" TargetMode="External"/><Relationship Id="rId15" Type="http://schemas.openxmlformats.org/officeDocument/2006/relationships/hyperlink" Target="https://drive.google.com/open?id=1fv7DPHWgAJ90vz5Z9Nz1vYkK6QuHHFIC&amp;usp=drive_fs" TargetMode="External"/><Relationship Id="rId23" Type="http://schemas.openxmlformats.org/officeDocument/2006/relationships/hyperlink" Target="https://drive.google.com/open?id=1QtmrmcrHAkMPqWUwvUavu2A0tPnRZ9Vo&amp;usp=drive_fs" TargetMode="External"/><Relationship Id="rId28" Type="http://schemas.openxmlformats.org/officeDocument/2006/relationships/hyperlink" Target="https://drive.google.com/open?id=1XFikbqKy32SczPI25V1bLCLRh10mhQrw&amp;usp=drive_fs" TargetMode="External"/><Relationship Id="rId36" Type="http://schemas.openxmlformats.org/officeDocument/2006/relationships/hyperlink" Target="https://drive.google.com/open?id=1bKloDsyijPDLPydlWzB_LxxuX_EuElZV&amp;usp=drive_fs" TargetMode="External"/><Relationship Id="rId49" Type="http://schemas.openxmlformats.org/officeDocument/2006/relationships/hyperlink" Target="https://drive.google.com/open?id=1Jg6q5ZIPIJd2UFg9KWyCPz2kQeqS_BmL&amp;usp=drive_fs" TargetMode="External"/><Relationship Id="rId57" Type="http://schemas.openxmlformats.org/officeDocument/2006/relationships/hyperlink" Target="https://drive.google.com/open?id=1Evsb34W9f55DQQ_PplvtHzv9WqsdsFjZ&amp;usp=drive_fs" TargetMode="External"/><Relationship Id="rId10" Type="http://schemas.openxmlformats.org/officeDocument/2006/relationships/hyperlink" Target="https://drive.google.com/open?id=1EZKxuF5v6r4e1MWObNeB-OSTAhOjh2so&amp;usp=drive_fs" TargetMode="External"/><Relationship Id="rId31" Type="http://schemas.openxmlformats.org/officeDocument/2006/relationships/hyperlink" Target="https://drive.google.com/open?id=1hmXMNMTl1tTJibMrNkII57pzEc9QhNLq&amp;usp=drive_fs" TargetMode="External"/><Relationship Id="rId44" Type="http://schemas.openxmlformats.org/officeDocument/2006/relationships/hyperlink" Target="https://drive.google.com/open?id=1mfOvRjwW3fWcb9QDBEjTSfh9L2jIGf24&amp;usp=drive_fs" TargetMode="External"/><Relationship Id="rId52" Type="http://schemas.openxmlformats.org/officeDocument/2006/relationships/hyperlink" Target="https://drive.google.com/open?id=1nxjkDBVWYQE2DunT3pK3jW0FJ3AJP_t_&amp;usp=drive_fs" TargetMode="External"/><Relationship Id="rId60" Type="http://schemas.openxmlformats.org/officeDocument/2006/relationships/hyperlink" Target="https://drive.google.com/open?id=1zr2oV5_ndmu6HWU2hIdTM-Vv8-RDfa4l&amp;usp=drive_fs" TargetMode="External"/><Relationship Id="rId65" Type="http://schemas.openxmlformats.org/officeDocument/2006/relationships/hyperlink" Target="https://drive.google.com/open?id=1idwxXUenUSIBIw_F3q624K83GqrLqRx0&amp;usp=drive_fs" TargetMode="External"/><Relationship Id="rId4" Type="http://schemas.openxmlformats.org/officeDocument/2006/relationships/hyperlink" Target="https://drive.google.com/open?id=1C0yr4ScNd5mr0j4PNPd0eYK7pwse8o-v&amp;usp=drive_fs" TargetMode="External"/><Relationship Id="rId9" Type="http://schemas.openxmlformats.org/officeDocument/2006/relationships/hyperlink" Target="https://drive.google.com/open?id=1yMIEbscznedImJATd1aMtLmE74IOR5Pc&amp;usp=drive_fs" TargetMode="External"/><Relationship Id="rId13" Type="http://schemas.openxmlformats.org/officeDocument/2006/relationships/hyperlink" Target="https://drive.google.com/open?id=1zcTOhjziZmZOazHr9soDf0vj6t6FzluS&amp;usp=drive_fs" TargetMode="External"/><Relationship Id="rId18" Type="http://schemas.openxmlformats.org/officeDocument/2006/relationships/hyperlink" Target="https://drive.google.com/open?id=1UcpZH2PTAFgTZ04X04oZikW8sWlTBVHr&amp;usp=drive_fs" TargetMode="External"/><Relationship Id="rId39" Type="http://schemas.openxmlformats.org/officeDocument/2006/relationships/hyperlink" Target="https://drive.google.com/open?id=1O8g7NtH-cgVJu5t9f-0d8ZdEkyEIYQmH&amp;usp=drive_fs"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drive.google.com/open?id=1oM3KLcnd8tq9RDMA5nJpUM5OatHGqR6j&amp;usp=drive_fs" TargetMode="External"/><Relationship Id="rId21" Type="http://schemas.openxmlformats.org/officeDocument/2006/relationships/hyperlink" Target="https://drive.google.com/open?id=1y-p9-lG1XFZ7aF3EvQcBgbO4F1gk0qfc&amp;usp=drive_fs" TargetMode="External"/><Relationship Id="rId42" Type="http://schemas.openxmlformats.org/officeDocument/2006/relationships/hyperlink" Target="https://drive.google.com/open?id=12C3nswHQ4kNxkAtze4u2EXvzqgXrgHWu&amp;usp=drive_fs" TargetMode="External"/><Relationship Id="rId47" Type="http://schemas.openxmlformats.org/officeDocument/2006/relationships/hyperlink" Target="https://drive.google.com/open?id=1Y4O9wGLxmUEmYmvmYFnzRBPckRNxKIco&amp;usp=drive_fs" TargetMode="External"/><Relationship Id="rId63" Type="http://schemas.openxmlformats.org/officeDocument/2006/relationships/hyperlink" Target="https://drive.google.com/open?id=118c-PovRQANfnBTIOc7xFIDg8B_roEn6&amp;usp=drive_fs" TargetMode="External"/><Relationship Id="rId68" Type="http://schemas.openxmlformats.org/officeDocument/2006/relationships/hyperlink" Target="https://drive.google.com/open?id=1K5mFp7A3FVxcYMHbb3k8zNur6m80cR8F&amp;usp=drive_fs" TargetMode="External"/><Relationship Id="rId7" Type="http://schemas.openxmlformats.org/officeDocument/2006/relationships/hyperlink" Target="https://drive.google.com/open?id=1_w3yvOraYiL9W74LOHJAwwS1SUtF0bvu&amp;usp=drive_fs" TargetMode="External"/><Relationship Id="rId71" Type="http://schemas.openxmlformats.org/officeDocument/2006/relationships/hyperlink" Target="https://drive.google.com/open?id=1yyelNGxZjCmazl_yfQhTwTuW8lQ8fvKc&amp;usp=drive_fs" TargetMode="External"/><Relationship Id="rId2" Type="http://schemas.openxmlformats.org/officeDocument/2006/relationships/hyperlink" Target="https://drive.google.com/open?id=1ujI8a_oqLUc7rBoVDx2ID3eC7bRUnfiA&amp;usp=drive_fs" TargetMode="External"/><Relationship Id="rId16" Type="http://schemas.openxmlformats.org/officeDocument/2006/relationships/hyperlink" Target="https://drive.google.com/open?id=1Or3Q7XhqjMYfiOfmMAIDggZaQN9hNSf3&amp;usp=drive_fs" TargetMode="External"/><Relationship Id="rId29" Type="http://schemas.openxmlformats.org/officeDocument/2006/relationships/hyperlink" Target="https://drive.google.com/open?id=1ijJUdGpbtHb5OimNrr_Z_TGHvpyJzHqS&amp;usp=drive_fs" TargetMode="External"/><Relationship Id="rId11" Type="http://schemas.openxmlformats.org/officeDocument/2006/relationships/hyperlink" Target="https://drive.google.com/open?id=1Gc8-Qpk12tJJ_wmZPKelNBjv30Ab7bBi&amp;usp=drive_fs" TargetMode="External"/><Relationship Id="rId24" Type="http://schemas.openxmlformats.org/officeDocument/2006/relationships/hyperlink" Target="https://drive.google.com/open?id=1uCkrRpjS3H0ytof71IfnD5oItG2Km5ch&amp;usp=drive_fs" TargetMode="External"/><Relationship Id="rId32" Type="http://schemas.openxmlformats.org/officeDocument/2006/relationships/hyperlink" Target="https://drive.google.com/open?id=1Hi9MLyopnibbCMvW7cQTgLet-OR4mjre&amp;usp=drive_fs" TargetMode="External"/><Relationship Id="rId37" Type="http://schemas.openxmlformats.org/officeDocument/2006/relationships/hyperlink" Target="https://drive.google.com/open?id=1qRZPy3tRa86OWLWSbJtRIlHAbVKEjlJK&amp;usp=drive_fs" TargetMode="External"/><Relationship Id="rId40" Type="http://schemas.openxmlformats.org/officeDocument/2006/relationships/hyperlink" Target="https://drive.google.com/open?id=10JUSSJKeNHq86EJmHsobMYgj9e-zP6m1&amp;usp=drive_fs" TargetMode="External"/><Relationship Id="rId45" Type="http://schemas.openxmlformats.org/officeDocument/2006/relationships/hyperlink" Target="https://drive.google.com/open?id=1Y-hAVItXEI66dUIXv0B6c4USWqH6WKd8&amp;usp=drive_fs" TargetMode="External"/><Relationship Id="rId53" Type="http://schemas.openxmlformats.org/officeDocument/2006/relationships/hyperlink" Target="https://drive.google.com/open?id=1m5vmAlh97_Y7zQEp3ntVygez_Cn8gZBU&amp;usp=drive_fs" TargetMode="External"/><Relationship Id="rId58" Type="http://schemas.openxmlformats.org/officeDocument/2006/relationships/hyperlink" Target="https://drive.google.com/open?id=1Y5bTo2B2PUcaI3yKUkyAoy_m33-rMlPi&amp;usp=drive_fs" TargetMode="External"/><Relationship Id="rId66" Type="http://schemas.openxmlformats.org/officeDocument/2006/relationships/hyperlink" Target="https://drive.google.com/open?id=1fuvlSOX2yCOS5OCJ-p2hnDPW-5w8cqBs&amp;usp=drive_fs" TargetMode="External"/><Relationship Id="rId5" Type="http://schemas.openxmlformats.org/officeDocument/2006/relationships/hyperlink" Target="https://drive.google.com/open?id=1HZeT-0vjuUnvsLH1BVHF24c9WWwKRCMN&amp;usp=drive_fs" TargetMode="External"/><Relationship Id="rId61" Type="http://schemas.openxmlformats.org/officeDocument/2006/relationships/hyperlink" Target="https://drive.google.com/open?id=1Jr8uYzRwRQ-oI8yB9FTSWHB1BL5x0iRY&amp;usp=drive_fs" TargetMode="External"/><Relationship Id="rId19" Type="http://schemas.openxmlformats.org/officeDocument/2006/relationships/hyperlink" Target="https://drive.google.com/open?id=1xOKm4Ot2q3UTCvRZuoMSd8uGlxj0K37E&amp;usp=drive_fs" TargetMode="External"/><Relationship Id="rId14" Type="http://schemas.openxmlformats.org/officeDocument/2006/relationships/hyperlink" Target="https://drive.google.com/open?id=1sEhktvxUnQlyX6DU1arvU_nUpKPO_HYa&amp;usp=drive_fs" TargetMode="External"/><Relationship Id="rId22" Type="http://schemas.openxmlformats.org/officeDocument/2006/relationships/hyperlink" Target="https://drive.google.com/open?id=1_JHnJJk7UBPOl3fGLzVvbdlom0eze2di&amp;usp=drive_fs" TargetMode="External"/><Relationship Id="rId27" Type="http://schemas.openxmlformats.org/officeDocument/2006/relationships/hyperlink" Target="https://drive.google.com/open?id=14pZceNRMOPJo9VyTXvH1MjP8oO5tR5ei&amp;usp=drive_fs" TargetMode="External"/><Relationship Id="rId30" Type="http://schemas.openxmlformats.org/officeDocument/2006/relationships/hyperlink" Target="https://drive.google.com/open?id=1VCpDae0NkLBpWAkga8_wv_8DMlMCHfu3&amp;usp=drive_fs" TargetMode="External"/><Relationship Id="rId35" Type="http://schemas.openxmlformats.org/officeDocument/2006/relationships/hyperlink" Target="https://drive.google.com/open?id=1RlkGl09sAsY1zYNlNRE04aWmL_azr_zx&amp;usp=drive_fs" TargetMode="External"/><Relationship Id="rId43" Type="http://schemas.openxmlformats.org/officeDocument/2006/relationships/hyperlink" Target="https://drive.google.com/open?id=1c03QkjV-6fT9VC6qe9L1FplNIBZPAh5k&amp;usp=drive_fs" TargetMode="External"/><Relationship Id="rId48" Type="http://schemas.openxmlformats.org/officeDocument/2006/relationships/hyperlink" Target="https://drive.google.com/open?id=1TvYSXT2wcVdYFxors7ow2TucmE8fIY5w&amp;usp=drive_fs" TargetMode="External"/><Relationship Id="rId56" Type="http://schemas.openxmlformats.org/officeDocument/2006/relationships/hyperlink" Target="https://drive.google.com/open?id=15a6t3mMUwwsUCq8aD2LxkDUx6Y_9Cz_6&amp;usp=drive_fs" TargetMode="External"/><Relationship Id="rId64" Type="http://schemas.openxmlformats.org/officeDocument/2006/relationships/hyperlink" Target="https://drive.google.com/open?id=1QQSujWV9WD-xp_RpnZrJ9hSglfCFxAdg&amp;usp=drive_fs" TargetMode="External"/><Relationship Id="rId69" Type="http://schemas.openxmlformats.org/officeDocument/2006/relationships/hyperlink" Target="https://drive.google.com/open?id=1V6WBjREGSD7_ubezViKIoWUVeQCYJVEW&amp;usp=drive_fs" TargetMode="External"/><Relationship Id="rId8" Type="http://schemas.openxmlformats.org/officeDocument/2006/relationships/hyperlink" Target="https://drive.google.com/open?id=1ZA8Eu3RD1CVG-OALm-lLaz8oRin4YY-h&amp;usp=drive_fs" TargetMode="External"/><Relationship Id="rId51" Type="http://schemas.openxmlformats.org/officeDocument/2006/relationships/hyperlink" Target="https://drive.google.com/open?id=1nJ35Kbkv8FNi8m6KxCWKc0hZNbihAiw2&amp;usp=drive_fs" TargetMode="External"/><Relationship Id="rId3" Type="http://schemas.openxmlformats.org/officeDocument/2006/relationships/hyperlink" Target="https://drive.google.com/open?id=1h8bEikVp70kfoP7PSGh-yFuZOL5F9XL2&amp;usp=drive_fs" TargetMode="External"/><Relationship Id="rId12" Type="http://schemas.openxmlformats.org/officeDocument/2006/relationships/hyperlink" Target="https://drive.google.com/open?id=1VRZP7gs3U0fw_iGlSf54lAyYvdmCSMc_&amp;usp=drive_fs" TargetMode="External"/><Relationship Id="rId17" Type="http://schemas.openxmlformats.org/officeDocument/2006/relationships/hyperlink" Target="https://drive.google.com/open?id=17hEaooT4ucV9iKNYornCBHsuoWscC0pT&amp;usp=drive_fs" TargetMode="External"/><Relationship Id="rId25" Type="http://schemas.openxmlformats.org/officeDocument/2006/relationships/hyperlink" Target="https://drive.google.com/open?id=1ntGxVOIQkvHJHSp48qxqP2GZLM18XQnp&amp;usp=drive_fs" TargetMode="External"/><Relationship Id="rId33" Type="http://schemas.openxmlformats.org/officeDocument/2006/relationships/hyperlink" Target="https://drive.google.com/open?id=1o0GErQ6OLMu7dLCG_4bZFoPdnK-0oP_h&amp;usp=drive_fs" TargetMode="External"/><Relationship Id="rId38" Type="http://schemas.openxmlformats.org/officeDocument/2006/relationships/hyperlink" Target="https://drive.google.com/open?id=1kRsnOIIcYjfqZUpr1Lcvo-IPm9980pKo&amp;usp=drive_fs" TargetMode="External"/><Relationship Id="rId46" Type="http://schemas.openxmlformats.org/officeDocument/2006/relationships/hyperlink" Target="https://drive.google.com/open?id=1mHICL6uiYMQuPIzxm53PUjiawaxkPV8m&amp;usp=drive_fs" TargetMode="External"/><Relationship Id="rId59" Type="http://schemas.openxmlformats.org/officeDocument/2006/relationships/hyperlink" Target="https://drive.google.com/open?id=1PyQ9_b4Uu_pEqMDCwk_xGfibhibHSyue&amp;usp=drive_fs" TargetMode="External"/><Relationship Id="rId67" Type="http://schemas.openxmlformats.org/officeDocument/2006/relationships/hyperlink" Target="https://drive.google.com/open?id=1tS73BhX93PvfljCmvOfLhL6CHe2En50Q&amp;usp=drive_fs" TargetMode="External"/><Relationship Id="rId20" Type="http://schemas.openxmlformats.org/officeDocument/2006/relationships/hyperlink" Target="https://drive.google.com/open?id=1Sq_xNV3din5fFxqX4lH0caI6L3PTCcO-&amp;usp=drive_fs" TargetMode="External"/><Relationship Id="rId41" Type="http://schemas.openxmlformats.org/officeDocument/2006/relationships/hyperlink" Target="https://drive.google.com/open?id=1yPzkqx1vP1KrZO1mr0rm2axlEi7xqk0W&amp;usp=drive_fs" TargetMode="External"/><Relationship Id="rId54" Type="http://schemas.openxmlformats.org/officeDocument/2006/relationships/hyperlink" Target="https://drive.google.com/open?id=12TYc6zFLipcq97ZsAxzkkXiTx8lsWUZX&amp;usp=drive_fs" TargetMode="External"/><Relationship Id="rId62" Type="http://schemas.openxmlformats.org/officeDocument/2006/relationships/hyperlink" Target="https://drive.google.com/open?id=1nKvdcRb9teOUIqe0IwSf72KyIw4-R4mo&amp;usp=drive_fs" TargetMode="External"/><Relationship Id="rId70" Type="http://schemas.openxmlformats.org/officeDocument/2006/relationships/hyperlink" Target="https://drive.google.com/open?id=1yyelNGxZjCmazl_yfQhTwTuW8lQ8fvKc&amp;usp=drive_fs" TargetMode="External"/><Relationship Id="rId1" Type="http://schemas.openxmlformats.org/officeDocument/2006/relationships/hyperlink" Target="https://drive.google.com/open?id=1fmOa5s2GyDuKg45561JpFUSxt65QzzOb&amp;usp=drive_fs" TargetMode="External"/><Relationship Id="rId6" Type="http://schemas.openxmlformats.org/officeDocument/2006/relationships/hyperlink" Target="https://drive.google.com/open?id=1H7R8gAec_-3_KmmdeGkNCXwj7r1Ool6Z&amp;usp=drive_fs" TargetMode="External"/><Relationship Id="rId15" Type="http://schemas.openxmlformats.org/officeDocument/2006/relationships/hyperlink" Target="https://drive.google.com/open?id=1sOMlr0Qp62v23MFr9Ze4sJPNGGB2VW_H&amp;usp=drive_fs" TargetMode="External"/><Relationship Id="rId23" Type="http://schemas.openxmlformats.org/officeDocument/2006/relationships/hyperlink" Target="https://drive.google.com/open?id=1kiGnYxitYMqkzIOoCSGIZQUnTCJqqTBr&amp;usp=drive_fs" TargetMode="External"/><Relationship Id="rId28" Type="http://schemas.openxmlformats.org/officeDocument/2006/relationships/hyperlink" Target="https://drive.google.com/open?id=19OCpZtKoc2-fXBrLLzS2K8DvDA7irdV8&amp;usp=drive_fs" TargetMode="External"/><Relationship Id="rId36" Type="http://schemas.openxmlformats.org/officeDocument/2006/relationships/hyperlink" Target="https://drive.google.com/open?id=1l_RnGkvrrKfDvbjPJCF34TTvYQS2ozIT&amp;usp=drive_fs" TargetMode="External"/><Relationship Id="rId49" Type="http://schemas.openxmlformats.org/officeDocument/2006/relationships/hyperlink" Target="https://drive.google.com/open?id=1m1hKSntVlzotRRX9xAUh0RrWedSlxfpR&amp;usp=drive_fs" TargetMode="External"/><Relationship Id="rId57" Type="http://schemas.openxmlformats.org/officeDocument/2006/relationships/hyperlink" Target="https://drive.google.com/open?id=1V-yjGBi62eIWDSDWi9pRRAaKRSHIkbQI&amp;usp=drive_fs" TargetMode="External"/><Relationship Id="rId10" Type="http://schemas.openxmlformats.org/officeDocument/2006/relationships/hyperlink" Target="https://drive.google.com/open?id=1yyelNGxZjCmazl_yfQhTwTuW8lQ8fvKc&amp;usp=drive_fs" TargetMode="External"/><Relationship Id="rId31" Type="http://schemas.openxmlformats.org/officeDocument/2006/relationships/hyperlink" Target="https://drive.google.com/open?id=1MVn5m26XBsy-rCtBpXHPgRQNx6A5cH8n&amp;usp=drive_fs" TargetMode="External"/><Relationship Id="rId44" Type="http://schemas.openxmlformats.org/officeDocument/2006/relationships/hyperlink" Target="https://drive.google.com/open?id=1YKCcSiOdWUNKunuWtMUhNbcc_W8DU2XO&amp;usp=drive_fs" TargetMode="External"/><Relationship Id="rId52" Type="http://schemas.openxmlformats.org/officeDocument/2006/relationships/hyperlink" Target="https://drive.google.com/open?id=1vtfGThki1D96lsNtD_4heypUL_dyAwpB&amp;usp=drive_fs" TargetMode="External"/><Relationship Id="rId60" Type="http://schemas.openxmlformats.org/officeDocument/2006/relationships/hyperlink" Target="https://drive.google.com/open?id=1Kr9DNbBRkzlkOc0QaJvPf_S2pRbKOP5V&amp;usp=drive_fs" TargetMode="External"/><Relationship Id="rId65" Type="http://schemas.openxmlformats.org/officeDocument/2006/relationships/hyperlink" Target="https://drive.google.com/open?id=1wvjfgdRbMG8xFuk5rVkhd6fjg7w8SaAE&amp;usp=drive_fs" TargetMode="External"/><Relationship Id="rId4" Type="http://schemas.openxmlformats.org/officeDocument/2006/relationships/hyperlink" Target="https://drive.google.com/open?id=1RjGAo_VKAbbsi5CPsU_l7wiuv07SFlId&amp;usp=drive_fs" TargetMode="External"/><Relationship Id="rId9" Type="http://schemas.openxmlformats.org/officeDocument/2006/relationships/hyperlink" Target="https://drive.google.com/open?id=1V6WBjREGSD7_ubezViKIoWUVeQCYJVEW&amp;usp=drive_fs" TargetMode="External"/><Relationship Id="rId13" Type="http://schemas.openxmlformats.org/officeDocument/2006/relationships/hyperlink" Target="https://drive.google.com/open?id=1oy9tBo7fUsPW6jDP0L6i6vCJc21DHrxm&amp;usp=drive_fs" TargetMode="External"/><Relationship Id="rId18" Type="http://schemas.openxmlformats.org/officeDocument/2006/relationships/hyperlink" Target="https://drive.google.com/open?id=1d_bbK1dhE9Eai7Yk2CjZ84ksB092AqlO&amp;usp=drive_fs" TargetMode="External"/><Relationship Id="rId39" Type="http://schemas.openxmlformats.org/officeDocument/2006/relationships/hyperlink" Target="https://drive.google.com/open?id=1vtfGThki1D96lsNtD_4heypUL_dyAwpB&amp;usp=drive_fs" TargetMode="External"/><Relationship Id="rId34" Type="http://schemas.openxmlformats.org/officeDocument/2006/relationships/hyperlink" Target="https://drive.google.com/open?id=1FTRc57VnPh0jK2TKTGP9hPekh6D0sdv4&amp;usp=drive_fs" TargetMode="External"/><Relationship Id="rId50" Type="http://schemas.openxmlformats.org/officeDocument/2006/relationships/hyperlink" Target="https://drive.google.com/open?id=1hF3zelfEsnLBZCaCP6NLiHrcmWgFpd5W&amp;usp=drive_fs" TargetMode="External"/><Relationship Id="rId55" Type="http://schemas.openxmlformats.org/officeDocument/2006/relationships/hyperlink" Target="https://drive.google.com/open?id=1tWUb-AaDrteFcf9SmDTWQTAAUmcxouQ3&amp;usp=drive_fs"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drive.google.com/open?id=1xTBBjmys9W-C6DjjozMqC614xzPRLOPi&amp;usp=drive_fs" TargetMode="External"/><Relationship Id="rId18" Type="http://schemas.openxmlformats.org/officeDocument/2006/relationships/hyperlink" Target="https://drive.google.com/open?id=1IXFCZxIRFbhi4rsl4krBykiNXYSwN3rR&amp;usp=drive_fs" TargetMode="External"/><Relationship Id="rId26" Type="http://schemas.openxmlformats.org/officeDocument/2006/relationships/hyperlink" Target="https://drive.google.com/open?id=1_AP_KFcoiE0fuXwmNi38eZXszSgArqe5&amp;usp=drive_fs" TargetMode="External"/><Relationship Id="rId39" Type="http://schemas.openxmlformats.org/officeDocument/2006/relationships/hyperlink" Target="https://drive.google.com/open?id=1cANSGmgXQvn9V6ooLOSZP4zqCL8cwTLY&amp;usp=drive_fs" TargetMode="External"/><Relationship Id="rId21" Type="http://schemas.openxmlformats.org/officeDocument/2006/relationships/hyperlink" Target="https://drive.google.com/open?id=15nTbCiyJWzBoMmMRCI6kphwxcdWmoIoF&amp;usp=drive_fs" TargetMode="External"/><Relationship Id="rId34" Type="http://schemas.openxmlformats.org/officeDocument/2006/relationships/hyperlink" Target="https://drive.google.com/open?id=1nyqywGT9C9tsE8v9a-YnjpT5A7Rwu0kB&amp;usp=drive_fs" TargetMode="External"/><Relationship Id="rId42" Type="http://schemas.openxmlformats.org/officeDocument/2006/relationships/hyperlink" Target="https://drive.google.com/open?id=19UwExT1TGIGGIvcoUpthcnqn6BvNcBv1&amp;usp=drive_fs" TargetMode="External"/><Relationship Id="rId47" Type="http://schemas.openxmlformats.org/officeDocument/2006/relationships/hyperlink" Target="https://drive.google.com/open?id=14dxKdBrO8M-O-YqHAu4pGyylunhXLUEY&amp;usp=drive_fs" TargetMode="External"/><Relationship Id="rId50" Type="http://schemas.openxmlformats.org/officeDocument/2006/relationships/hyperlink" Target="https://drive.google.com/open?id=1COGmuFXIdDHPWGi_pmfA98cAZHYm5402&amp;usp=drive_fs" TargetMode="External"/><Relationship Id="rId55" Type="http://schemas.openxmlformats.org/officeDocument/2006/relationships/hyperlink" Target="https://drive.google.com/open?id=19x6_RXsVYiE_nhchICRpScAnAM__PLkS&amp;usp=drive_fs" TargetMode="External"/><Relationship Id="rId7" Type="http://schemas.openxmlformats.org/officeDocument/2006/relationships/hyperlink" Target="https://drive.google.com/open?id=1v7H994GbiHZXaRLt0mczP6YxnXlTmc4e&amp;usp=drive_fs" TargetMode="External"/><Relationship Id="rId2" Type="http://schemas.openxmlformats.org/officeDocument/2006/relationships/hyperlink" Target="https://drive.google.com/open?id=1u4KazLleMGK0KpPDssEd2p1O2DHlKfa2&amp;usp=drive_fs" TargetMode="External"/><Relationship Id="rId16" Type="http://schemas.openxmlformats.org/officeDocument/2006/relationships/hyperlink" Target="https://drive.google.com/open?id=1W_ulAYrr4sSWbuKur_qIoQPmDbxSnJdw&amp;usp=drive_fs" TargetMode="External"/><Relationship Id="rId29" Type="http://schemas.openxmlformats.org/officeDocument/2006/relationships/hyperlink" Target="https://drive.google.com/open?id=1g-1buuvp7XQPLiuA90tYXArSZYNk_rau&amp;usp=drive_fs" TargetMode="External"/><Relationship Id="rId11" Type="http://schemas.openxmlformats.org/officeDocument/2006/relationships/hyperlink" Target="https://drive.google.com/open?id=1obcjfohXSZasuQzF7NgduORTLP4SSS8-&amp;usp=drive_fs" TargetMode="External"/><Relationship Id="rId24" Type="http://schemas.openxmlformats.org/officeDocument/2006/relationships/hyperlink" Target="https://drive.google.com/open?id=1cI56F2xxZ6tEK-Qnn_xWH8mrpwW019yp&amp;usp=drive_fs" TargetMode="External"/><Relationship Id="rId32" Type="http://schemas.openxmlformats.org/officeDocument/2006/relationships/hyperlink" Target="https://drive.google.com/open?id=1S2JmM1y44O142VVM-JblzkSNl9PrzrQ6&amp;usp=drive_fs" TargetMode="External"/><Relationship Id="rId37" Type="http://schemas.openxmlformats.org/officeDocument/2006/relationships/hyperlink" Target="https://drive.google.com/open?id=1GLSEjfAEqn873Bg5dvBwtbNUqhGBZu-H&amp;usp=drive_fs" TargetMode="External"/><Relationship Id="rId40" Type="http://schemas.openxmlformats.org/officeDocument/2006/relationships/hyperlink" Target="https://drive.google.com/open?id=1o44aHFcEaPHOPXlTReK4nPLjoUG1ZSEa&amp;usp=drive_fs" TargetMode="External"/><Relationship Id="rId45" Type="http://schemas.openxmlformats.org/officeDocument/2006/relationships/hyperlink" Target="https://drive.google.com/open?id=1QbeXO2DoFcgWNeXmtTXQYEDGOj1fq6zt&amp;usp=drive_fs" TargetMode="External"/><Relationship Id="rId53" Type="http://schemas.openxmlformats.org/officeDocument/2006/relationships/hyperlink" Target="https://drive.google.com/open?id=1iPLSJChTWm-7F8dG0b1iuf8j0LtG6DRu&amp;usp=drive_fs" TargetMode="External"/><Relationship Id="rId58" Type="http://schemas.openxmlformats.org/officeDocument/2006/relationships/hyperlink" Target="https://drive.google.com/open?id=1a5MPHrO60u173kF8IR2BPWtoVhD-u_bB&amp;usp=drive_fs" TargetMode="External"/><Relationship Id="rId5" Type="http://schemas.openxmlformats.org/officeDocument/2006/relationships/hyperlink" Target="https://drive.google.com/open?id=1WgavmHoEFi7uen8N09_rqzlaqsLjFcfA&amp;usp=drive_fs" TargetMode="External"/><Relationship Id="rId19" Type="http://schemas.openxmlformats.org/officeDocument/2006/relationships/hyperlink" Target="https://drive.google.com/open?id=1u-8PlcHX1ol-0bbGfIGW9za3vMgKYOl3&amp;usp=drive_fs" TargetMode="External"/><Relationship Id="rId4" Type="http://schemas.openxmlformats.org/officeDocument/2006/relationships/hyperlink" Target="https://drive.google.com/open?id=17M5gDsHLW2Q71pP8rDrwXOiWgc4hLcL_&amp;usp=drive_fs" TargetMode="External"/><Relationship Id="rId9" Type="http://schemas.openxmlformats.org/officeDocument/2006/relationships/hyperlink" Target="https://drive.google.com/open?id=1HVo3w40oFp4NP-X1IgXPwzwIJuVasjD5&amp;usp=drive_fs" TargetMode="External"/><Relationship Id="rId14" Type="http://schemas.openxmlformats.org/officeDocument/2006/relationships/hyperlink" Target="https://drive.google.com/open?id=1j_1DlCU0Idtq9FhitWgmur-g-56Fb8pH&amp;usp=drive_fs" TargetMode="External"/><Relationship Id="rId22" Type="http://schemas.openxmlformats.org/officeDocument/2006/relationships/hyperlink" Target="https://drive.google.com/open?id=1sWCArhTeuzaNcQBvm8dZdszN38DzwZrD&amp;usp=drive_fs" TargetMode="External"/><Relationship Id="rId27" Type="http://schemas.openxmlformats.org/officeDocument/2006/relationships/hyperlink" Target="https://drive.google.com/open?id=1lXcuXaz9K1yV4R_G4Rq4rRIcg9ERyxnm&amp;usp=drive_fs" TargetMode="External"/><Relationship Id="rId30" Type="http://schemas.openxmlformats.org/officeDocument/2006/relationships/hyperlink" Target="https://drive.google.com/open?id=1MHuaVt3ecki1CZf1SW2uwfUZ0WxjxJ9J&amp;usp=drive_fs" TargetMode="External"/><Relationship Id="rId35" Type="http://schemas.openxmlformats.org/officeDocument/2006/relationships/hyperlink" Target="https://drive.google.com/open?id=1cxCkqEjlUWStp2-T-iOV8BSpqc0NQTp0&amp;usp=drive_fs" TargetMode="External"/><Relationship Id="rId43" Type="http://schemas.openxmlformats.org/officeDocument/2006/relationships/hyperlink" Target="https://drive.google.com/open?id=19UwExT1TGIGGIvcoUpthcnqn6BvNcBv1&amp;usp=drive_fs" TargetMode="External"/><Relationship Id="rId48" Type="http://schemas.openxmlformats.org/officeDocument/2006/relationships/hyperlink" Target="https://drive.google.com/open?id=1eH2tWzB0Q5HmY66H8c1T_lnJTlPxx3iZ&amp;usp=drive_fs" TargetMode="External"/><Relationship Id="rId56" Type="http://schemas.openxmlformats.org/officeDocument/2006/relationships/hyperlink" Target="https://drive.google.com/open?id=1HVo3w40oFp4NP-X1IgXPwzwIJuVasjD5&amp;usp=drive_fs" TargetMode="External"/><Relationship Id="rId8" Type="http://schemas.openxmlformats.org/officeDocument/2006/relationships/hyperlink" Target="https://drive.google.com/open?id=1odUmahm6zRdMS4_eARcyAyfprwHwDRiz&amp;usp=drive_fs" TargetMode="External"/><Relationship Id="rId51" Type="http://schemas.openxmlformats.org/officeDocument/2006/relationships/hyperlink" Target="https://drive.google.com/open?id=1B6k8UMUEpOWkDZ7lM53UkDBSdNdzr1vI&amp;usp=drive_fs" TargetMode="External"/><Relationship Id="rId3" Type="http://schemas.openxmlformats.org/officeDocument/2006/relationships/hyperlink" Target="https://drive.google.com/open?id=1TJOUmYE9fiQcjUVMAkNGiedb2jmHEnru&amp;usp=drive_fs" TargetMode="External"/><Relationship Id="rId12" Type="http://schemas.openxmlformats.org/officeDocument/2006/relationships/hyperlink" Target="https://drive.google.com/open?id=1g7ZmxkgE-Pcpp_CWD4JIpxowTnut1SLv&amp;usp=drive_fs" TargetMode="External"/><Relationship Id="rId17" Type="http://schemas.openxmlformats.org/officeDocument/2006/relationships/hyperlink" Target="https://drive.google.com/open?id=1RmAfwN3_oT2KTr59TgjbbNa0mLIKLDwl&amp;usp=drive_fs" TargetMode="External"/><Relationship Id="rId25" Type="http://schemas.openxmlformats.org/officeDocument/2006/relationships/hyperlink" Target="https://drive.google.com/open?id=1KepkIkMmjuXwTcsYaYaeHWbgzl8Wnq46&amp;usp=drive_fs" TargetMode="External"/><Relationship Id="rId33" Type="http://schemas.openxmlformats.org/officeDocument/2006/relationships/hyperlink" Target="https://drive.google.com/open?id=1rH4iyYokSOy3J3hWXyVSq-YR9hguOT_Y&amp;usp=drive_fs" TargetMode="External"/><Relationship Id="rId38" Type="http://schemas.openxmlformats.org/officeDocument/2006/relationships/hyperlink" Target="https://drive.google.com/open?id=1wvA0i1ND5MokCUuxZaRSyDegpf20pyoR&amp;usp=drive_fs" TargetMode="External"/><Relationship Id="rId46" Type="http://schemas.openxmlformats.org/officeDocument/2006/relationships/hyperlink" Target="https://drive.google.com/open?id=17aiOmdLypcdI-2_amEn2UFk5pl4LtJhM&amp;usp=drive_fs" TargetMode="External"/><Relationship Id="rId59" Type="http://schemas.openxmlformats.org/officeDocument/2006/relationships/hyperlink" Target="https://drive.google.com/open?id=1bT3kyFPnL2X6_LTHyiudGLsMGcWTeJ4x&amp;usp=drive_fs" TargetMode="External"/><Relationship Id="rId20" Type="http://schemas.openxmlformats.org/officeDocument/2006/relationships/hyperlink" Target="https://drive.google.com/open?id=1n4NRzF61foviqEhL_J-pLm9YZHnKgKtY&amp;usp=drive_fs" TargetMode="External"/><Relationship Id="rId41" Type="http://schemas.openxmlformats.org/officeDocument/2006/relationships/hyperlink" Target="https://drive.google.com/open?id=1CXBCMoY-ZdqPNPptgDmtjS3EByr5AiS8&amp;usp=drive_fs" TargetMode="External"/><Relationship Id="rId54" Type="http://schemas.openxmlformats.org/officeDocument/2006/relationships/hyperlink" Target="https://drive.google.com/open?id=1_9Dkd1vUD6BjqUDD4tr2LLVQstHWm5jC&amp;usp=drive_fs" TargetMode="External"/><Relationship Id="rId1" Type="http://schemas.openxmlformats.org/officeDocument/2006/relationships/hyperlink" Target="https://drive.google.com/open?id=1RvkO-7c-uW6wZ2Sfo6MNuVGD6mbkkHv_&amp;usp=drive_fs" TargetMode="External"/><Relationship Id="rId6" Type="http://schemas.openxmlformats.org/officeDocument/2006/relationships/hyperlink" Target="https://drive.google.com/open?id=1hbzosf11pZcG_etLi_nUtMaXzIKHahdK&amp;usp=drive_fs" TargetMode="External"/><Relationship Id="rId15" Type="http://schemas.openxmlformats.org/officeDocument/2006/relationships/hyperlink" Target="https://drive.google.com/open?id=1UCiFvx3MILIl11HQFXFnnWYKfLEj7Nhb&amp;usp=drive_fs" TargetMode="External"/><Relationship Id="rId23" Type="http://schemas.openxmlformats.org/officeDocument/2006/relationships/hyperlink" Target="https://drive.google.com/open?id=1rbE6c1RO3Pq9veoFYM4hw19M7m_w-k1w&amp;usp=drive_fs" TargetMode="External"/><Relationship Id="rId28" Type="http://schemas.openxmlformats.org/officeDocument/2006/relationships/hyperlink" Target="https://drive.google.com/open?id=1nA_GZf-ly8DSKk71z8jMuobC9U4pjOVo&amp;usp=drive_fs" TargetMode="External"/><Relationship Id="rId36" Type="http://schemas.openxmlformats.org/officeDocument/2006/relationships/hyperlink" Target="https://drive.google.com/open?id=1jh0XzEWfNzrQfL-pYfQBpKP2pgB30-Z8&amp;usp=drive_fs" TargetMode="External"/><Relationship Id="rId49" Type="http://schemas.openxmlformats.org/officeDocument/2006/relationships/hyperlink" Target="https://drive.google.com/open?id=1AHtHlx_Gj2rA2EBcFJnH6dMdy8ZrTXNw&amp;usp=drive_fs" TargetMode="External"/><Relationship Id="rId57" Type="http://schemas.openxmlformats.org/officeDocument/2006/relationships/hyperlink" Target="https://drive.google.com/open?id=1HVo3w40oFp4NP-X1IgXPwzwIJuVasjD5&amp;usp=drive_fs" TargetMode="External"/><Relationship Id="rId10" Type="http://schemas.openxmlformats.org/officeDocument/2006/relationships/hyperlink" Target="https://drive.google.com/open?id=11p0-Ck2K51_c6H1aXAptZ6Nu1lDXxm0L&amp;usp=drive_fs" TargetMode="External"/><Relationship Id="rId31" Type="http://schemas.openxmlformats.org/officeDocument/2006/relationships/hyperlink" Target="https://drive.google.com/open?id=1myHBvgDWheNE2gZ2z5WKazLQm48VKwTG&amp;usp=drive_fs" TargetMode="External"/><Relationship Id="rId44" Type="http://schemas.openxmlformats.org/officeDocument/2006/relationships/hyperlink" Target="https://drive.google.com/open?id=1w9eV6LGck8yq52XUAp0MXjBTsB6O6Ty5&amp;usp=drive_fs" TargetMode="External"/><Relationship Id="rId52" Type="http://schemas.openxmlformats.org/officeDocument/2006/relationships/hyperlink" Target="https://drive.google.com/open?id=1JL92FJ8RQ1zqW-_Bi1YKwFm7t1SGDBjL&amp;usp=drive_fs"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drive.google.com/open?id=1yYQmXmlSJAorAIJ5_gsi8lOZk2OtxPT5&amp;usp=drive_fs" TargetMode="External"/><Relationship Id="rId18" Type="http://schemas.openxmlformats.org/officeDocument/2006/relationships/hyperlink" Target="https://drive.google.com/open?id=10W-gj7i_0VI2RqLLTHEMjoUKWDECGcBB&amp;usp=drive_fs" TargetMode="External"/><Relationship Id="rId26" Type="http://schemas.openxmlformats.org/officeDocument/2006/relationships/hyperlink" Target="https://drive.google.com/open?id=1Og2vJDqzXn4P3ETGiYbaffHgPy83HaD8&amp;usp=drive_fs" TargetMode="External"/><Relationship Id="rId39" Type="http://schemas.openxmlformats.org/officeDocument/2006/relationships/hyperlink" Target="https://drive.google.com/open?id=1RLC3Tn7k43Uze9jhcKMsqyFM12qPgKTk&amp;usp=drive_fs" TargetMode="External"/><Relationship Id="rId21" Type="http://schemas.openxmlformats.org/officeDocument/2006/relationships/hyperlink" Target="https://drive.google.com/open?id=16JMxKe1HBNimxzQDuQqf1OHgUtO-K-di&amp;usp=drive_fs" TargetMode="External"/><Relationship Id="rId34" Type="http://schemas.openxmlformats.org/officeDocument/2006/relationships/hyperlink" Target="https://drive.google.com/open?id=1E6syI8In2O1--voIfa7e4Vy2LcThKLI8&amp;usp=drive_fs" TargetMode="External"/><Relationship Id="rId42" Type="http://schemas.openxmlformats.org/officeDocument/2006/relationships/hyperlink" Target="https://drive.google.com/open?id=1bK8fgTiJr0arK2XFJY6Ff2FrtiWAPy4r&amp;usp=drive_fs" TargetMode="External"/><Relationship Id="rId47" Type="http://schemas.openxmlformats.org/officeDocument/2006/relationships/hyperlink" Target="https://drive.google.com/open?id=1IOdbA81qbIHofE3ZoIdz-8MbxtLmrviT&amp;usp=drive_fs" TargetMode="External"/><Relationship Id="rId50" Type="http://schemas.openxmlformats.org/officeDocument/2006/relationships/hyperlink" Target="https://drive.google.com/open?id=1FcW4As_P2nq4F5T_vobZcwZbLlArY9FJ&amp;usp=drive_fs" TargetMode="External"/><Relationship Id="rId55" Type="http://schemas.openxmlformats.org/officeDocument/2006/relationships/hyperlink" Target="https://drive.google.com/open?id=1iEQ1EHDPJs4K5JcD6bDzo4XQx7YV8A1X&amp;usp=drive_fs" TargetMode="External"/><Relationship Id="rId7" Type="http://schemas.openxmlformats.org/officeDocument/2006/relationships/hyperlink" Target="https://drive.google.com/open?id=1jh70J8_VZhhxU80PH3orbkiJeq_8uITc&amp;usp=drive_fs" TargetMode="External"/><Relationship Id="rId2" Type="http://schemas.openxmlformats.org/officeDocument/2006/relationships/hyperlink" Target="https://drive.google.com/open?id=1LwVn2N7-GWCVvIY_P2U17Ja3_uboW2JN&amp;usp=drive_fs" TargetMode="External"/><Relationship Id="rId16" Type="http://schemas.openxmlformats.org/officeDocument/2006/relationships/hyperlink" Target="https://drive.google.com/open?id=1fhkNtw-cxSZQdC7i06BLYemn_ms2-60f&amp;usp=drive_fs" TargetMode="External"/><Relationship Id="rId29" Type="http://schemas.openxmlformats.org/officeDocument/2006/relationships/hyperlink" Target="https://drive.google.com/open?id=195oDXBnZuTb4a4onOXzBFTRjVQsOiA3N&amp;usp=drive_fs" TargetMode="External"/><Relationship Id="rId11" Type="http://schemas.openxmlformats.org/officeDocument/2006/relationships/hyperlink" Target="https://drive.google.com/open?id=1D92hYoFoefGb-TAZUP8micYulmkAcUnC&amp;usp=drive_fs" TargetMode="External"/><Relationship Id="rId24" Type="http://schemas.openxmlformats.org/officeDocument/2006/relationships/hyperlink" Target="https://drive.google.com/open?id=1uEXywt0ep61mTqwRQ0II9dezhAAWl_Nl&amp;usp=drive_fs" TargetMode="External"/><Relationship Id="rId32" Type="http://schemas.openxmlformats.org/officeDocument/2006/relationships/hyperlink" Target="https://drive.google.com/open?id=1EfOizv-k3nJ4Y_R9P2OXNPmyBjsdKhcb&amp;usp=drive_fs" TargetMode="External"/><Relationship Id="rId37" Type="http://schemas.openxmlformats.org/officeDocument/2006/relationships/hyperlink" Target="https://drive.google.com/open?id=1V7mjHzZ3sFcBJaKzM_mT1Ax0I4UbOMcU&amp;usp=drive_fs" TargetMode="External"/><Relationship Id="rId40" Type="http://schemas.openxmlformats.org/officeDocument/2006/relationships/hyperlink" Target="https://drive.google.com/open?id=1bLTz5YEHr6kAXEUn-VQ_HQ9VBi5Y0oAq&amp;usp=drive_fs" TargetMode="External"/><Relationship Id="rId45" Type="http://schemas.openxmlformats.org/officeDocument/2006/relationships/hyperlink" Target="https://drive.google.com/open?id=1R3BEAQW6YI89k5nbQz_pSxuh6h0J6oxN&amp;usp=drive_fs" TargetMode="External"/><Relationship Id="rId53" Type="http://schemas.openxmlformats.org/officeDocument/2006/relationships/hyperlink" Target="https://drive.google.com/open?id=1MM11De9kWB8i2twqWmJErj3oct0-jD-6&amp;usp=drive_fs" TargetMode="External"/><Relationship Id="rId58" Type="http://schemas.openxmlformats.org/officeDocument/2006/relationships/hyperlink" Target="https://drive.google.com/open?id=1aDs9IiE48SOv82KTfBwRzOesXE7n2Se7&amp;usp=drive_fs" TargetMode="External"/><Relationship Id="rId5" Type="http://schemas.openxmlformats.org/officeDocument/2006/relationships/hyperlink" Target="https://drive.google.com/open?id=1uNhwZLmKk7CkQbTE00zixPQNN8D9LO4C&amp;usp=drive_fs" TargetMode="External"/><Relationship Id="rId19" Type="http://schemas.openxmlformats.org/officeDocument/2006/relationships/hyperlink" Target="https://drive.google.com/open?id=1nNG0sa8OpAkLDm4Y3gUvl3o6TCjPFzYS&amp;usp=drive_fs" TargetMode="External"/><Relationship Id="rId4" Type="http://schemas.openxmlformats.org/officeDocument/2006/relationships/hyperlink" Target="https://drive.google.com/open?id=1_2jwUWDh4AkTxh5L3LxKxM8LvyLniSPh&amp;usp=drive_fs" TargetMode="External"/><Relationship Id="rId9" Type="http://schemas.openxmlformats.org/officeDocument/2006/relationships/hyperlink" Target="https://drive.google.com/open?id=1nKdwA3GzdAQcOA5xx2enpRuYaaEQ6GBt&amp;usp=drive_fs" TargetMode="External"/><Relationship Id="rId14" Type="http://schemas.openxmlformats.org/officeDocument/2006/relationships/hyperlink" Target="https://drive.google.com/open?id=1ZfeZXLZeIFG7q1UOE36KE0xGjX34cELE&amp;usp=drive_fs" TargetMode="External"/><Relationship Id="rId22" Type="http://schemas.openxmlformats.org/officeDocument/2006/relationships/hyperlink" Target="https://drive.google.com/open?id=13lIKcXKFmwy17RNEZbxClY3nEdBoohNX&amp;usp=drive_fs" TargetMode="External"/><Relationship Id="rId27" Type="http://schemas.openxmlformats.org/officeDocument/2006/relationships/hyperlink" Target="https://drive.google.com/open?id=1fcbgaBw-N68YvcHRafNKpm4rPvV4z7CQ&amp;usp=drive_fs" TargetMode="External"/><Relationship Id="rId30" Type="http://schemas.openxmlformats.org/officeDocument/2006/relationships/hyperlink" Target="https://drive.google.com/open?id=1wz9N8E-K6H7u2qvRXfHeJMVxAyM_9kuk&amp;usp=drive_fs" TargetMode="External"/><Relationship Id="rId35" Type="http://schemas.openxmlformats.org/officeDocument/2006/relationships/hyperlink" Target="https://drive.google.com/open?id=1c5uKuKbx7IpnQOTplaCOGJ1qIC4-ly1k&amp;usp=drive_fs" TargetMode="External"/><Relationship Id="rId43" Type="http://schemas.openxmlformats.org/officeDocument/2006/relationships/hyperlink" Target="https://drive.google.com/open?id=17_Bw0Apvdx_b11hOYczq_SpgJlZSvJCN&amp;usp=drive_fs" TargetMode="External"/><Relationship Id="rId48" Type="http://schemas.openxmlformats.org/officeDocument/2006/relationships/hyperlink" Target="https://drive.google.com/open?id=16c792T_aDUgpu1iaVLfd1MS5UxOEoVC1&amp;usp=drive_fs" TargetMode="External"/><Relationship Id="rId56" Type="http://schemas.openxmlformats.org/officeDocument/2006/relationships/hyperlink" Target="https://drive.google.com/open?id=1TROqm3K5o6TgxbHzWqcYKrn7bgr6vX5F&amp;usp=drive_fs" TargetMode="External"/><Relationship Id="rId8" Type="http://schemas.openxmlformats.org/officeDocument/2006/relationships/hyperlink" Target="https://drive.google.com/open?id=1KxN4YaW8Rfi54sbnGkWv231gdSCL3koF&amp;usp=drive_fs" TargetMode="External"/><Relationship Id="rId51" Type="http://schemas.openxmlformats.org/officeDocument/2006/relationships/hyperlink" Target="https://drive.google.com/open?id=12K3qIa89LoitTUYIi-uYc2yJwOOYkXST&amp;usp=drive_fs" TargetMode="External"/><Relationship Id="rId3" Type="http://schemas.openxmlformats.org/officeDocument/2006/relationships/hyperlink" Target="https://drive.google.com/open?id=1cJKwZbrPHxJdlem5Vhs68R6Fn5X9L6ME&amp;usp=drive_fs" TargetMode="External"/><Relationship Id="rId12" Type="http://schemas.openxmlformats.org/officeDocument/2006/relationships/hyperlink" Target="https://drive.google.com/open?id=1yQm9X4KwxzwcqvP-F6d46f8wsfCE-ZG_&amp;usp=drive_fs" TargetMode="External"/><Relationship Id="rId17" Type="http://schemas.openxmlformats.org/officeDocument/2006/relationships/hyperlink" Target="https://drive.google.com/open?id=1bIL526VpKXfLw8VLMz8lnqpu0_-PE_vx&amp;usp=drive_fs" TargetMode="External"/><Relationship Id="rId25" Type="http://schemas.openxmlformats.org/officeDocument/2006/relationships/hyperlink" Target="https://drive.google.com/open?id=1n2tN5fn4mH2B3kD6cxntBAbAtzlfACTB&amp;usp=drive_fs" TargetMode="External"/><Relationship Id="rId33" Type="http://schemas.openxmlformats.org/officeDocument/2006/relationships/hyperlink" Target="https://drive.google.com/open?id=1koCJI_hn8RQ5Fs9LgWqjxLCYu9KsPbii&amp;usp=drive_fs" TargetMode="External"/><Relationship Id="rId38" Type="http://schemas.openxmlformats.org/officeDocument/2006/relationships/hyperlink" Target="https://drive.google.com/open?id=1MvRJVqnaFV_UkGDyEj5HHLaBrfdcppyj&amp;usp=drive_fs" TargetMode="External"/><Relationship Id="rId46" Type="http://schemas.openxmlformats.org/officeDocument/2006/relationships/hyperlink" Target="https://drive.google.com/open?id=1IAbH9A3Zw9PBVzpTc9temdTJGLC9BIJv&amp;usp=drive_fs" TargetMode="External"/><Relationship Id="rId59" Type="http://schemas.openxmlformats.org/officeDocument/2006/relationships/hyperlink" Target="https://drive.google.com/open?id=1EXsnt67Mh6gYJfFjQsGQYNhUJWypa5GT&amp;usp=drive_fs" TargetMode="External"/><Relationship Id="rId20" Type="http://schemas.openxmlformats.org/officeDocument/2006/relationships/hyperlink" Target="https://drive.google.com/open?id=1Ob0SxModW5pm-JTnoChr2-8x8yjHFYxu&amp;usp=drive_fs" TargetMode="External"/><Relationship Id="rId41" Type="http://schemas.openxmlformats.org/officeDocument/2006/relationships/hyperlink" Target="https://drive.google.com/open?id=1GZPLtfH-1_uvlwXEPz8cmuDRhPXHhaMx&amp;usp=drive_fs" TargetMode="External"/><Relationship Id="rId54" Type="http://schemas.openxmlformats.org/officeDocument/2006/relationships/hyperlink" Target="https://drive.google.com/open?id=1ekFu8WQNboSA6sD6bSW6M4SSzRLtEdE_&amp;usp=drive_fs" TargetMode="External"/><Relationship Id="rId1" Type="http://schemas.openxmlformats.org/officeDocument/2006/relationships/hyperlink" Target="https://drive.google.com/open?id=1Tyoflpzuo4KRqt6sFef6d6ntELBZmvSf&amp;usp=drive_fs" TargetMode="External"/><Relationship Id="rId6" Type="http://schemas.openxmlformats.org/officeDocument/2006/relationships/hyperlink" Target="https://drive.google.com/open?id=1BinfwRC6010n7GICWQOAQPYKlFiIv2Dm&amp;usp=drive_fs" TargetMode="External"/><Relationship Id="rId15" Type="http://schemas.openxmlformats.org/officeDocument/2006/relationships/hyperlink" Target="https://drive.google.com/open?id=1dzlxGS2gPpsicSwaLD2xnNpBGUYM6YTF&amp;usp=drive_fs" TargetMode="External"/><Relationship Id="rId23" Type="http://schemas.openxmlformats.org/officeDocument/2006/relationships/hyperlink" Target="https://drive.google.com/open?id=1FVQX6oq1Tgkbzp0Q2rWcdPboQV7bQhxu&amp;usp=drive_fs" TargetMode="External"/><Relationship Id="rId28" Type="http://schemas.openxmlformats.org/officeDocument/2006/relationships/hyperlink" Target="https://drive.google.com/open?id=1TSv6SHD3tUmjSYBMi-_J5uRLc4uY9U2u&amp;usp=drive_fs" TargetMode="External"/><Relationship Id="rId36" Type="http://schemas.openxmlformats.org/officeDocument/2006/relationships/hyperlink" Target="https://drive.google.com/open?id=1L_fbzPgXDv_sqTu5xQ4epB4rC7jbPSfZ&amp;usp=drive_fs" TargetMode="External"/><Relationship Id="rId49" Type="http://schemas.openxmlformats.org/officeDocument/2006/relationships/hyperlink" Target="https://drive.google.com/open?id=1CeQdTMcu6cDtLdBPkT0z2U1sSefEZQXb&amp;usp=drive_fs" TargetMode="External"/><Relationship Id="rId57" Type="http://schemas.openxmlformats.org/officeDocument/2006/relationships/hyperlink" Target="https://drive.google.com/open?id=1RK1ztO5kn3PRWhtHf3aDMEaCgmPPcJc5&amp;usp=drive_fs" TargetMode="External"/><Relationship Id="rId10" Type="http://schemas.openxmlformats.org/officeDocument/2006/relationships/hyperlink" Target="https://drive.google.com/open?id=1aDs9IiE48SOv82KTfBwRzOesXE7n2Se7&amp;usp=drive_fs" TargetMode="External"/><Relationship Id="rId31" Type="http://schemas.openxmlformats.org/officeDocument/2006/relationships/hyperlink" Target="https://drive.google.com/open?id=1EvhbQts6Rc83okD-SmT5XSM2rQMgs4-n&amp;usp=drive_fs" TargetMode="External"/><Relationship Id="rId44" Type="http://schemas.openxmlformats.org/officeDocument/2006/relationships/hyperlink" Target="https://drive.google.com/open?id=1_3Jw1-czQRAhXauGTgqZZW2JorrQEN2F&amp;usp=drive_fs" TargetMode="External"/><Relationship Id="rId52" Type="http://schemas.openxmlformats.org/officeDocument/2006/relationships/hyperlink" Target="https://drive.google.com/open?id=10JlNE5LCNAeV6R3vGziTwdC5MAuj603g&amp;usp=drive_fs" TargetMode="External"/><Relationship Id="rId60" Type="http://schemas.openxmlformats.org/officeDocument/2006/relationships/hyperlink" Target="https://drive.google.com/open?id=177nY7pxSx_a_8fhpKJpZEr3tushQ1iF9&amp;usp=drive_fs"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drive.google.com/open?id=1SfFkvnX-TrcuzUDlpWEn62vMc8avyU3o&amp;usp=drive_fs" TargetMode="External"/><Relationship Id="rId18" Type="http://schemas.openxmlformats.org/officeDocument/2006/relationships/hyperlink" Target="https://drive.google.com/open?id=15JccZoDLWzsuE2MqLtQq2yoPW95AcdCg&amp;usp=drive_fs" TargetMode="External"/><Relationship Id="rId26" Type="http://schemas.openxmlformats.org/officeDocument/2006/relationships/hyperlink" Target="https://drive.google.com/open?id=1HIlG_KEAtNJlCSoLaEuIZ2i5I-6OtLA3&amp;usp=drive_fs" TargetMode="External"/><Relationship Id="rId39" Type="http://schemas.openxmlformats.org/officeDocument/2006/relationships/hyperlink" Target="https://drive.google.com/open?id=1WxvChJ6fGSAqMbNGVD6yettVeuU8_D7W&amp;usp=drive_fs" TargetMode="External"/><Relationship Id="rId21" Type="http://schemas.openxmlformats.org/officeDocument/2006/relationships/hyperlink" Target="https://drive.google.com/open?id=1zRIzp_Cd_yWKzcCngZLeQig8U-x2zEjC&amp;usp=drive_fs" TargetMode="External"/><Relationship Id="rId34" Type="http://schemas.openxmlformats.org/officeDocument/2006/relationships/hyperlink" Target="https://drive.google.com/open?id=1GE3lmOPexQMpRqNbk-vx_sGma8ORKwPm&amp;usp=drive_fs" TargetMode="External"/><Relationship Id="rId7" Type="http://schemas.openxmlformats.org/officeDocument/2006/relationships/hyperlink" Target="https://drive.google.com/open?id=1NzSgNP2R-fQkx1_TK-va3OYeVixZz67v&amp;usp=drive_fs" TargetMode="External"/><Relationship Id="rId2" Type="http://schemas.openxmlformats.org/officeDocument/2006/relationships/hyperlink" Target="https://drive.google.com/open?id=1GK9rA3Y1N2QuWmjbr8Z2aQVOIDUbT7bx&amp;usp=drive_fs" TargetMode="External"/><Relationship Id="rId16" Type="http://schemas.openxmlformats.org/officeDocument/2006/relationships/hyperlink" Target="https://drive.google.com/open?id=1BL5bI2vOj8u-8WYHhloqgGBx_hdNcinW&amp;usp=drive_fs" TargetMode="External"/><Relationship Id="rId20" Type="http://schemas.openxmlformats.org/officeDocument/2006/relationships/hyperlink" Target="https://drive.google.com/open?id=1h5WRCOLW4Q-YAf83vXLFOqT1_nFlSdcW&amp;usp=drive_fs" TargetMode="External"/><Relationship Id="rId29" Type="http://schemas.openxmlformats.org/officeDocument/2006/relationships/hyperlink" Target="https://drive.google.com/open?id=1SNMvmG3eEmU3bA28Nf7LpNpOL34euGfZ&amp;usp=drive_fs" TargetMode="External"/><Relationship Id="rId41" Type="http://schemas.openxmlformats.org/officeDocument/2006/relationships/hyperlink" Target="https://drive.google.com/open?id=1vUcjzZ5v_0JqcoUqNtFMDU-MrQT5D9gD&amp;usp=drive_fs" TargetMode="External"/><Relationship Id="rId1" Type="http://schemas.openxmlformats.org/officeDocument/2006/relationships/hyperlink" Target="https://drive.google.com/open?id=1E80IgLB_wgbtrbAWBRtL0b76U3NM22yS&amp;usp=drive_fs" TargetMode="External"/><Relationship Id="rId6" Type="http://schemas.openxmlformats.org/officeDocument/2006/relationships/hyperlink" Target="https://drive.google.com/open?id=1r-wsC7ZpTyapKu9aOx9TXVw-pwOYgFAn&amp;usp=drive_fs" TargetMode="External"/><Relationship Id="rId11" Type="http://schemas.openxmlformats.org/officeDocument/2006/relationships/hyperlink" Target="https://drive.google.com/open?id=1F5ECpxTUGsgancrbnA1u0oIRJI4DbGEq&amp;usp=drive_fs" TargetMode="External"/><Relationship Id="rId24" Type="http://schemas.openxmlformats.org/officeDocument/2006/relationships/hyperlink" Target="https://drive.google.com/open?id=1z06JUPq5lJ3ovVRb6BZuT4gc8GSbFNsW&amp;usp=drive_fs" TargetMode="External"/><Relationship Id="rId32" Type="http://schemas.openxmlformats.org/officeDocument/2006/relationships/hyperlink" Target="https://drive.google.com/open?id=1Oyw0_oTTWNlmjTtXhV459lT4V04CX85X&amp;usp=drive_fs" TargetMode="External"/><Relationship Id="rId37" Type="http://schemas.openxmlformats.org/officeDocument/2006/relationships/hyperlink" Target="https://drive.google.com/open?id=19rxLXUzLIRJYmj4Yu8NMSBEcTIAq8bzy&amp;usp=drive_fs" TargetMode="External"/><Relationship Id="rId40" Type="http://schemas.openxmlformats.org/officeDocument/2006/relationships/hyperlink" Target="https://drive.google.com/open?id=1CqW1SrktV4RVWz-sRYRJyIb9WcVGgHyJ&amp;usp=drive_fs" TargetMode="External"/><Relationship Id="rId5" Type="http://schemas.openxmlformats.org/officeDocument/2006/relationships/hyperlink" Target="https://drive.google.com/open?id=1Mpch8dBkoCf5cmY8KZnkm8wDGkvLVGMV&amp;usp=drive_fs" TargetMode="External"/><Relationship Id="rId15" Type="http://schemas.openxmlformats.org/officeDocument/2006/relationships/hyperlink" Target="https://drive.google.com/open?id=1M6MXdrIDHSE9vFbYIZTF87jVWEYBav-f&amp;usp=drive_fs" TargetMode="External"/><Relationship Id="rId23" Type="http://schemas.openxmlformats.org/officeDocument/2006/relationships/hyperlink" Target="https://drive.google.com/open?id=10mgxjb9E5XlocaZTxIFYEqB6ztyOQN-z&amp;usp=drive_fs" TargetMode="External"/><Relationship Id="rId28" Type="http://schemas.openxmlformats.org/officeDocument/2006/relationships/hyperlink" Target="https://drive.google.com/open?id=1M30Q0HgbThZYCViRnKEzolHYryjNt8NW&amp;usp=drive_fs" TargetMode="External"/><Relationship Id="rId36" Type="http://schemas.openxmlformats.org/officeDocument/2006/relationships/hyperlink" Target="https://drive.google.com/open?id=1C8XjTOHg-ik8H9_FGMPC_g3j6q-zUUJi&amp;usp=drive_fs" TargetMode="External"/><Relationship Id="rId10" Type="http://schemas.openxmlformats.org/officeDocument/2006/relationships/hyperlink" Target="https://drive.google.com/open?id=1JNtkajY3kFmHmnaT8C2hQBNluUWS0f3c&amp;usp=drive_fs" TargetMode="External"/><Relationship Id="rId19" Type="http://schemas.openxmlformats.org/officeDocument/2006/relationships/hyperlink" Target="https://drive.google.com/open?id=1Cvp6709fvi8Byjn7d7JYGWarCRjRMYq5&amp;usp=drive_fs" TargetMode="External"/><Relationship Id="rId31" Type="http://schemas.openxmlformats.org/officeDocument/2006/relationships/hyperlink" Target="https://drive.google.com/open?id=1CL9bVw5vxIa4qJpNmgUghe-9SrJi9621&amp;usp=drive_fs" TargetMode="External"/><Relationship Id="rId4" Type="http://schemas.openxmlformats.org/officeDocument/2006/relationships/hyperlink" Target="https://drive.google.com/open?id=1tXyS2wdGZ8QEA34Ki7f1yZq3yYPY35e0&amp;usp=drive_fs" TargetMode="External"/><Relationship Id="rId9" Type="http://schemas.openxmlformats.org/officeDocument/2006/relationships/hyperlink" Target="https://drive.google.com/open?id=1B-1ZnRi6sCw8Ugjpi6mKy4mKh2e3cFdR&amp;usp=drive_fs" TargetMode="External"/><Relationship Id="rId14" Type="http://schemas.openxmlformats.org/officeDocument/2006/relationships/hyperlink" Target="https://drive.google.com/open?id=1lrldO1eU1KGhQ5RQsXWjO4cAWws1uyQs&amp;usp=drive_fs" TargetMode="External"/><Relationship Id="rId22" Type="http://schemas.openxmlformats.org/officeDocument/2006/relationships/hyperlink" Target="https://drive.google.com/open?id=12mCPkK2W23-GB0wXV6u9PQI4ZSJRV1UQ&amp;usp=drive_fs" TargetMode="External"/><Relationship Id="rId27" Type="http://schemas.openxmlformats.org/officeDocument/2006/relationships/hyperlink" Target="https://drive.google.com/open?id=1haXZk2sP_QbWy4c4Vs-_o7LsiL70SlSv&amp;usp=drive_fs" TargetMode="External"/><Relationship Id="rId30" Type="http://schemas.openxmlformats.org/officeDocument/2006/relationships/hyperlink" Target="https://drive.google.com/open?id=1fqPR71GOVo0G73akYepcQPazRphIFb-M&amp;usp=drive_fs" TargetMode="External"/><Relationship Id="rId35" Type="http://schemas.openxmlformats.org/officeDocument/2006/relationships/hyperlink" Target="https://drive.google.com/open?id=1X-FseHH5sExZofhqjXqaQSFMxyVayBFV&amp;usp=drive_fs" TargetMode="External"/><Relationship Id="rId8" Type="http://schemas.openxmlformats.org/officeDocument/2006/relationships/hyperlink" Target="https://drive.google.com/open?id=15TLCQRv2jqCRVt9aF3ATYpiW38RTGKCj&amp;usp=drive_fs" TargetMode="External"/><Relationship Id="rId3" Type="http://schemas.openxmlformats.org/officeDocument/2006/relationships/hyperlink" Target="https://drive.google.com/open?id=17_fRHWQksGmiepl3aj-x_m6cBT5F0eCb&amp;usp=drive_fs" TargetMode="External"/><Relationship Id="rId12" Type="http://schemas.openxmlformats.org/officeDocument/2006/relationships/hyperlink" Target="https://drive.google.com/open?id=12WxnqtBPF8PXCnLcU_7HNkf5-nbNQeTp&amp;usp=drive_fs" TargetMode="External"/><Relationship Id="rId17" Type="http://schemas.openxmlformats.org/officeDocument/2006/relationships/hyperlink" Target="https://drive.google.com/open?id=16OKL-y9BqSuuvk703lVEEV-JXQyVNQy7&amp;usp=drive_fs" TargetMode="External"/><Relationship Id="rId25" Type="http://schemas.openxmlformats.org/officeDocument/2006/relationships/hyperlink" Target="https://drive.google.com/open?id=1-JbCmvgKQcxgirPggOhXYiO7dZtYi5aZ&amp;usp=drive_fs" TargetMode="External"/><Relationship Id="rId33" Type="http://schemas.openxmlformats.org/officeDocument/2006/relationships/hyperlink" Target="https://drive.google.com/open?id=1lgT-vturcgzf4V1aLzQfli4w411onkme&amp;usp=drive_fs" TargetMode="External"/><Relationship Id="rId38" Type="http://schemas.openxmlformats.org/officeDocument/2006/relationships/hyperlink" Target="https://drive.google.com/open?id=1vraC1XMb-SrWkCJvT3r2wk-kyAP0qHx4&amp;usp=drive_fs"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drive.google.com/open?id=1HnBWVYRzVFskiaOUl4KEKZG0Elo1CXGu&amp;usp=drive_fs" TargetMode="External"/><Relationship Id="rId21" Type="http://schemas.openxmlformats.org/officeDocument/2006/relationships/hyperlink" Target="https://drive.google.com/open?id=1AhHoKi7Q6G23rEN71YRkdS2xnMleJBn_&amp;usp=drive_fs" TargetMode="External"/><Relationship Id="rId34" Type="http://schemas.openxmlformats.org/officeDocument/2006/relationships/hyperlink" Target="https://drive.google.com/open?id=1iwMGBiU_0LcPe80KVYYpWm5gSEe8nKZa&amp;usp=drive_fs" TargetMode="External"/><Relationship Id="rId42" Type="http://schemas.openxmlformats.org/officeDocument/2006/relationships/hyperlink" Target="https://drive.google.com/open?id=1JnFMcaV2wGUCL2d5C3FCxEnLTYSh1IhZ&amp;usp=drive_fs" TargetMode="External"/><Relationship Id="rId47" Type="http://schemas.openxmlformats.org/officeDocument/2006/relationships/hyperlink" Target="https://drive.google.com/open?id=1Rp1Xm3iorOkUjSxawgN1vMrBdEo22zbi&amp;usp=drive_fs" TargetMode="External"/><Relationship Id="rId50" Type="http://schemas.openxmlformats.org/officeDocument/2006/relationships/hyperlink" Target="https://drive.google.com/open?id=1ypnQDHDArPxCrdr5G6wHuKhnJWr77OOQ&amp;usp=drive_fs" TargetMode="External"/><Relationship Id="rId55" Type="http://schemas.openxmlformats.org/officeDocument/2006/relationships/hyperlink" Target="https://drive.google.com/open?id=1Em9zcQ1RtA34gvs6hywJfngr_8QgwRdP&amp;usp=drive_fs" TargetMode="External"/><Relationship Id="rId63" Type="http://schemas.openxmlformats.org/officeDocument/2006/relationships/hyperlink" Target="https://drive.google.com/open?id=11nw4wqPYsZlrfq5HTh3jt3hWkvtyj1mC&amp;usp=drive_fs" TargetMode="External"/><Relationship Id="rId7" Type="http://schemas.openxmlformats.org/officeDocument/2006/relationships/hyperlink" Target="https://drive.google.com/open?id=1SbXZnVPcMmncvmAb6tylDoIB0XZoH0dR&amp;usp=drive_fs" TargetMode="External"/><Relationship Id="rId2" Type="http://schemas.openxmlformats.org/officeDocument/2006/relationships/hyperlink" Target="https://drive.google.com/open?id=1dZR1CH0gDhBP7LcP6UganfJUY_7xZd-u&amp;usp=drive_fs" TargetMode="External"/><Relationship Id="rId16" Type="http://schemas.openxmlformats.org/officeDocument/2006/relationships/hyperlink" Target="https://drive.google.com/open?id=1s_bZ5iGJjlaVsDVQExlElFarm3HUNZG3&amp;usp=drive_fs" TargetMode="External"/><Relationship Id="rId29" Type="http://schemas.openxmlformats.org/officeDocument/2006/relationships/hyperlink" Target="https://drive.google.com/open?id=1aLzGO_KjDQc6zlW4zQMa18mvk-pDhZkD&amp;usp=drive_fs" TargetMode="External"/><Relationship Id="rId11" Type="http://schemas.openxmlformats.org/officeDocument/2006/relationships/hyperlink" Target="https://drive.google.com/open?id=1wnN9zYI_4ktZD50dIV-wUv6W1_aVfWfT&amp;usp=drive_fs" TargetMode="External"/><Relationship Id="rId24" Type="http://schemas.openxmlformats.org/officeDocument/2006/relationships/hyperlink" Target="https://drive.google.com/open?id=1ilroCuC9C8rv9lhOyBTpu68tuVeNhDFc&amp;usp=drive_fs" TargetMode="External"/><Relationship Id="rId32" Type="http://schemas.openxmlformats.org/officeDocument/2006/relationships/hyperlink" Target="https://drive.google.com/open?id=1M9teVU09qFH_diIRN2cajTmZW0csaYtK&amp;usp=drive_fs" TargetMode="External"/><Relationship Id="rId37" Type="http://schemas.openxmlformats.org/officeDocument/2006/relationships/hyperlink" Target="https://drive.google.com/open?id=1SoPOJ_yYA1m3dUL7HxwRu25N_yp2HHvo&amp;usp=drive_fs" TargetMode="External"/><Relationship Id="rId40" Type="http://schemas.openxmlformats.org/officeDocument/2006/relationships/hyperlink" Target="https://drive.google.com/open?id=1bY6Y83nlB1drlfKN45rqPtyLS76KchaQ&amp;usp=drive_fs" TargetMode="External"/><Relationship Id="rId45" Type="http://schemas.openxmlformats.org/officeDocument/2006/relationships/hyperlink" Target="https://drive.google.com/open?id=1cLqm1CSNVOkLa7KhXDaV5mn2OD5n8kuT&amp;usp=drive_fs" TargetMode="External"/><Relationship Id="rId53" Type="http://schemas.openxmlformats.org/officeDocument/2006/relationships/hyperlink" Target="https://drive.google.com/open?id=1zpnUq4xydbq4uH4vzDQPtxFTCPvT7odu&amp;usp=drive_fs" TargetMode="External"/><Relationship Id="rId58" Type="http://schemas.openxmlformats.org/officeDocument/2006/relationships/hyperlink" Target="https://drive.google.com/open?id=1VmEQUugMjeFd_GXbvNRHHoUtjXLjZBNf&amp;usp=drive_fs" TargetMode="External"/><Relationship Id="rId66" Type="http://schemas.openxmlformats.org/officeDocument/2006/relationships/hyperlink" Target="https://drive.google.com/open?id=1R8-8Ebl5hVr7Jf3A2BoGeVEDQeMIZZCD&amp;usp=drive_fs" TargetMode="External"/><Relationship Id="rId5" Type="http://schemas.openxmlformats.org/officeDocument/2006/relationships/hyperlink" Target="https://drive.google.com/open?id=1qHnjPyzHlIOcZs84P30tBYYGdBgz9XkE&amp;usp=drive_fs" TargetMode="External"/><Relationship Id="rId61" Type="http://schemas.openxmlformats.org/officeDocument/2006/relationships/hyperlink" Target="https://drive.google.com/open?id=14SzMAhZALJKz5sbVEBjeqEVdaqB_AdBY&amp;usp=drive_fs" TargetMode="External"/><Relationship Id="rId19" Type="http://schemas.openxmlformats.org/officeDocument/2006/relationships/hyperlink" Target="https://drive.google.com/open?id=1Z3FH87fixSEbS0vvyQ58o6iaIKSfiCbQ&amp;usp=drive_fs" TargetMode="External"/><Relationship Id="rId14" Type="http://schemas.openxmlformats.org/officeDocument/2006/relationships/hyperlink" Target="https://drive.google.com/open?id=1Y1jGSOzRPWq_BUndPG88v6hvd4kJ52Xe&amp;usp=drive_fs" TargetMode="External"/><Relationship Id="rId22" Type="http://schemas.openxmlformats.org/officeDocument/2006/relationships/hyperlink" Target="https://drive.google.com/open?id=1tdpYrNpN6r8ZCWxYPaVQQ6OlGn_7f3qh&amp;usp=drive_fs" TargetMode="External"/><Relationship Id="rId27" Type="http://schemas.openxmlformats.org/officeDocument/2006/relationships/hyperlink" Target="https://drive.google.com/open?id=1EmjSXKdzlGlv6JQGBwE5m2KxfwZy3bPS&amp;usp=drive_fs" TargetMode="External"/><Relationship Id="rId30" Type="http://schemas.openxmlformats.org/officeDocument/2006/relationships/hyperlink" Target="https://drive.google.com/open?id=1ilroCuC9C8rv9lhOyBTpu68tuVeNhDFc&amp;usp=drive_fs" TargetMode="External"/><Relationship Id="rId35" Type="http://schemas.openxmlformats.org/officeDocument/2006/relationships/hyperlink" Target="https://drive.google.com/open?id=1YtadT9LkjJJxvt8of2ZlxPw7MELK_yha&amp;usp=drive_fs" TargetMode="External"/><Relationship Id="rId43" Type="http://schemas.openxmlformats.org/officeDocument/2006/relationships/hyperlink" Target="https://drive.google.com/open?id=120EZacOjNqjxZRV1eSJwZo3MsRfRv5Yv&amp;usp=drive_fs" TargetMode="External"/><Relationship Id="rId48" Type="http://schemas.openxmlformats.org/officeDocument/2006/relationships/hyperlink" Target="https://drive.google.com/open?id=17B3_qNEQftZ9Z3BIHuktwqgF5tI0rK3u&amp;usp=drive_fs" TargetMode="External"/><Relationship Id="rId56" Type="http://schemas.openxmlformats.org/officeDocument/2006/relationships/hyperlink" Target="https://drive.google.com/open?id=1GfGCTc788qq8-peu_hRRocasandSN8wj&amp;usp=drive_fs" TargetMode="External"/><Relationship Id="rId64" Type="http://schemas.openxmlformats.org/officeDocument/2006/relationships/hyperlink" Target="https://drive.google.com/open?id=1QIORIiQphabQtHZJM9vBv5MgrZGjHTSx&amp;usp=drive_fs" TargetMode="External"/><Relationship Id="rId8" Type="http://schemas.openxmlformats.org/officeDocument/2006/relationships/hyperlink" Target="https://drive.google.com/open?id=1CXj_K_xdPHqc0w1XlUum0JmIBQbE8MaV&amp;usp=drive_fs" TargetMode="External"/><Relationship Id="rId51" Type="http://schemas.openxmlformats.org/officeDocument/2006/relationships/hyperlink" Target="https://drive.google.com/open?id=1jY0cM25q_KLDgdcp-saaIc4in_ZgYkFz&amp;usp=drive_fs" TargetMode="External"/><Relationship Id="rId3" Type="http://schemas.openxmlformats.org/officeDocument/2006/relationships/hyperlink" Target="https://drive.google.com/open?id=1tBJShTh12P7twa3I0iJ0uW8Sbbvd9NYl&amp;usp=drive_fs" TargetMode="External"/><Relationship Id="rId12" Type="http://schemas.openxmlformats.org/officeDocument/2006/relationships/hyperlink" Target="https://drive.google.com/open?id=1iVjMWDstTK7JNaeNheOTVwdG4_82JDCT&amp;usp=drive_fs" TargetMode="External"/><Relationship Id="rId17" Type="http://schemas.openxmlformats.org/officeDocument/2006/relationships/hyperlink" Target="https://drive.google.com/open?id=1Is-kyAPZ-ACRo82Qt6-XLQndqUAMY5Qd&amp;usp=drive_fs" TargetMode="External"/><Relationship Id="rId25" Type="http://schemas.openxmlformats.org/officeDocument/2006/relationships/hyperlink" Target="https://drive.google.com/open?id=1o27sULfsFHq8k2geGDoHLDWiWi8ll5ET&amp;usp=drive_fs" TargetMode="External"/><Relationship Id="rId33" Type="http://schemas.openxmlformats.org/officeDocument/2006/relationships/hyperlink" Target="https://drive.google.com/open?id=1Ge8GTKtcCwWDldEvEL57fr9CEiHloqWP&amp;usp=drive_fs" TargetMode="External"/><Relationship Id="rId38" Type="http://schemas.openxmlformats.org/officeDocument/2006/relationships/hyperlink" Target="https://drive.google.com/open?id=1bXY8-Jk2WcwO3ONMMmR4Cr81I8tx5z52&amp;usp=drive_fs" TargetMode="External"/><Relationship Id="rId46" Type="http://schemas.openxmlformats.org/officeDocument/2006/relationships/hyperlink" Target="https://drive.google.com/open?id=1cLqm1CSNVOkLa7KhXDaV5mn2OD5n8kuT&amp;usp=drive_fs" TargetMode="External"/><Relationship Id="rId59" Type="http://schemas.openxmlformats.org/officeDocument/2006/relationships/hyperlink" Target="https://drive.google.com/open?id=1yqda_SXTPBjBO2eyQaSwDqzIMTtQylqr&amp;usp=drive_fs" TargetMode="External"/><Relationship Id="rId67" Type="http://schemas.openxmlformats.org/officeDocument/2006/relationships/hyperlink" Target="https://drive.google.com/open?id=1SvcAUGA-rW3nxrpD52wbwMLIa5fSoR9F&amp;usp=drive_fs" TargetMode="External"/><Relationship Id="rId20" Type="http://schemas.openxmlformats.org/officeDocument/2006/relationships/hyperlink" Target="https://drive.google.com/open?id=1MS20EQl0eTi4UTpO7hwbB59_YAH5WqRA&amp;usp=drive_fs" TargetMode="External"/><Relationship Id="rId41" Type="http://schemas.openxmlformats.org/officeDocument/2006/relationships/hyperlink" Target="https://drive.google.com/open?id=1Zh-pCayg6r3nboG1LqKZeEM8E7SSdpQo&amp;usp=drive_fs" TargetMode="External"/><Relationship Id="rId54" Type="http://schemas.openxmlformats.org/officeDocument/2006/relationships/hyperlink" Target="https://drive.google.com/open?id=1m_54gx5klPgdJ3poTCgU4_MGTG6qZLuP&amp;usp=drive_fs" TargetMode="External"/><Relationship Id="rId62" Type="http://schemas.openxmlformats.org/officeDocument/2006/relationships/hyperlink" Target="https://drive.google.com/open?id=1aa6siCGhQjjeUFbc3n9rJGbtE-YBZJ8q&amp;usp=drive_fs" TargetMode="External"/><Relationship Id="rId1" Type="http://schemas.openxmlformats.org/officeDocument/2006/relationships/hyperlink" Target="https://drive.google.com/open?id=1i3DPAjnlahffP6q7DAOfBDogmI58sNxO&amp;usp=drive_fs" TargetMode="External"/><Relationship Id="rId6" Type="http://schemas.openxmlformats.org/officeDocument/2006/relationships/hyperlink" Target="https://drive.google.com/open?id=1OzRuA7UJgi-P1h8K9RDr-q5qYhxhcVSA&amp;usp=drive_fs" TargetMode="External"/><Relationship Id="rId15" Type="http://schemas.openxmlformats.org/officeDocument/2006/relationships/hyperlink" Target="https://drive.google.com/open?id=1s_bZ5iGJjlaVsDVQExlElFarm3HUNZG3&amp;usp=drive_fs" TargetMode="External"/><Relationship Id="rId23" Type="http://schemas.openxmlformats.org/officeDocument/2006/relationships/hyperlink" Target="https://drive.google.com/open?id=1c9l-YNt59Vx6Or9R2btlByD7P1nqMXiC&amp;usp=drive_fs" TargetMode="External"/><Relationship Id="rId28" Type="http://schemas.openxmlformats.org/officeDocument/2006/relationships/hyperlink" Target="https://drive.google.com/open?id=1PCs7M_9eBqvGcv7LyHrN2nyk0yqLQpMQ&amp;usp=drive_fs" TargetMode="External"/><Relationship Id="rId36" Type="http://schemas.openxmlformats.org/officeDocument/2006/relationships/hyperlink" Target="https://drive.google.com/open?id=1hBaKQkh39uF20rAqmdOOXLCev4wFN_8l&amp;usp=drive_fs" TargetMode="External"/><Relationship Id="rId49" Type="http://schemas.openxmlformats.org/officeDocument/2006/relationships/hyperlink" Target="https://drive.google.com/open?id=1sBm9uMpPqunXv_L8ClgIGeJu-KsDOvSz&amp;usp=drive_fs" TargetMode="External"/><Relationship Id="rId57" Type="http://schemas.openxmlformats.org/officeDocument/2006/relationships/hyperlink" Target="https://drive.google.com/open?id=1vOEaJY-pZCaNev5SFn4wTDja1noNLGRN&amp;usp=drive_fs" TargetMode="External"/><Relationship Id="rId10" Type="http://schemas.openxmlformats.org/officeDocument/2006/relationships/hyperlink" Target="https://drive.google.com/open?id=1QIORIiQphabQtHZJM9vBv5MgrZGjHTSx&amp;usp=drive_fs" TargetMode="External"/><Relationship Id="rId31" Type="http://schemas.openxmlformats.org/officeDocument/2006/relationships/hyperlink" Target="https://drive.google.com/open?id=1soHXZZxZILoVG7qbcrEw3ACjGmOZDW-l&amp;usp=drive_fs" TargetMode="External"/><Relationship Id="rId44" Type="http://schemas.openxmlformats.org/officeDocument/2006/relationships/hyperlink" Target="https://drive.google.com/open?id=1u7zDVbZu9XPLdhKFyHrPDXRVJmtXO-Ju&amp;usp=drive_fs" TargetMode="External"/><Relationship Id="rId52" Type="http://schemas.openxmlformats.org/officeDocument/2006/relationships/hyperlink" Target="https://drive.google.com/open?id=1zpnUq4xydbq4uH4vzDQPtxFTCPvT7odu&amp;usp=drive_fs" TargetMode="External"/><Relationship Id="rId60" Type="http://schemas.openxmlformats.org/officeDocument/2006/relationships/hyperlink" Target="https://drive.google.com/open?id=1EeElcToUxJSWO3RKIuPW5A4Dm0Lw51GF&amp;usp=drive_fs" TargetMode="External"/><Relationship Id="rId65" Type="http://schemas.openxmlformats.org/officeDocument/2006/relationships/hyperlink" Target="https://drive.google.com/open?id=1RAD7JC0d_hFXvGXtOKOcjgNvLYxh-Dkk&amp;usp=drive_fs" TargetMode="External"/><Relationship Id="rId4" Type="http://schemas.openxmlformats.org/officeDocument/2006/relationships/hyperlink" Target="https://drive.google.com/open?id=1zCeeyP7sO_vrw1-ezM1xCztrsEIdcAe5&amp;usp=drive_fs" TargetMode="External"/><Relationship Id="rId9" Type="http://schemas.openxmlformats.org/officeDocument/2006/relationships/hyperlink" Target="https://drive.google.com/open?id=11nw4wqPYsZlrfq5HTh3jt3hWkvtyj1mC&amp;usp=drive_fs" TargetMode="External"/><Relationship Id="rId13" Type="http://schemas.openxmlformats.org/officeDocument/2006/relationships/hyperlink" Target="https://drive.google.com/open?id=15DLQwNKkeQ0KUCS01IcWWYJMrTu5XqhA&amp;usp=drive_fs" TargetMode="External"/><Relationship Id="rId18" Type="http://schemas.openxmlformats.org/officeDocument/2006/relationships/hyperlink" Target="https://drive.google.com/open?id=1wPnqgplqpzK_A59W5A1yWgA5Ys3dBoqW&amp;usp=drive_fs" TargetMode="External"/><Relationship Id="rId39" Type="http://schemas.openxmlformats.org/officeDocument/2006/relationships/hyperlink" Target="https://drive.google.com/open?id=1fmRb2yesCpUMtRXcgnEyxspW_d8lKiih&amp;usp=drive_fs"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Z1000"/>
  <sheetViews>
    <sheetView showGridLines="0" workbookViewId="0"/>
  </sheetViews>
  <sheetFormatPr defaultColWidth="14.44140625" defaultRowHeight="15" customHeight="1" x14ac:dyDescent="0.3"/>
  <cols>
    <col min="1" max="1" width="1.5546875" customWidth="1"/>
    <col min="2" max="2" width="3" customWidth="1"/>
    <col min="3" max="3" width="164.6640625" customWidth="1"/>
    <col min="4" max="6" width="9.109375" customWidth="1"/>
    <col min="7" max="23" width="8.6640625" customWidth="1"/>
  </cols>
  <sheetData>
    <row r="1" spans="1:26" ht="8.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8" x14ac:dyDescent="0.3">
      <c r="A2" s="2"/>
      <c r="B2" s="201" t="s">
        <v>0</v>
      </c>
      <c r="C2" s="198"/>
      <c r="D2" s="2"/>
      <c r="E2" s="2"/>
      <c r="F2" s="2"/>
      <c r="G2" s="2"/>
      <c r="H2" s="2"/>
      <c r="I2" s="2"/>
      <c r="J2" s="2"/>
      <c r="K2" s="2"/>
      <c r="L2" s="2"/>
      <c r="M2" s="2"/>
      <c r="N2" s="2"/>
      <c r="O2" s="2"/>
      <c r="P2" s="2"/>
      <c r="Q2" s="2"/>
      <c r="R2" s="2"/>
      <c r="S2" s="2"/>
      <c r="T2" s="2"/>
      <c r="U2" s="2"/>
      <c r="V2" s="2"/>
      <c r="W2" s="2"/>
      <c r="X2" s="2"/>
      <c r="Y2" s="2"/>
      <c r="Z2" s="2"/>
    </row>
    <row r="3" spans="1:26" ht="8.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8" x14ac:dyDescent="0.3">
      <c r="A4" s="2"/>
      <c r="B4" s="202" t="s">
        <v>1</v>
      </c>
      <c r="C4" s="198"/>
      <c r="D4" s="2"/>
      <c r="E4" s="2"/>
      <c r="F4" s="2"/>
      <c r="G4" s="2"/>
      <c r="H4" s="2"/>
      <c r="I4" s="2"/>
      <c r="J4" s="2"/>
      <c r="K4" s="2"/>
      <c r="L4" s="2"/>
      <c r="M4" s="2"/>
      <c r="N4" s="2"/>
      <c r="O4" s="2"/>
      <c r="P4" s="2"/>
      <c r="Q4" s="2"/>
      <c r="R4" s="2"/>
      <c r="S4" s="2"/>
      <c r="T4" s="2"/>
      <c r="U4" s="2"/>
      <c r="V4" s="2"/>
      <c r="W4" s="2"/>
      <c r="X4" s="2"/>
      <c r="Y4" s="2"/>
      <c r="Z4" s="2"/>
    </row>
    <row r="5" spans="1:26" ht="14.4" x14ac:dyDescent="0.3">
      <c r="A5" s="1"/>
      <c r="B5" s="1"/>
      <c r="C5" s="1" t="s">
        <v>2</v>
      </c>
      <c r="D5" s="1"/>
      <c r="E5" s="1"/>
      <c r="F5" s="1"/>
      <c r="G5" s="1"/>
      <c r="H5" s="1"/>
      <c r="I5" s="1"/>
      <c r="J5" s="1"/>
      <c r="K5" s="1"/>
      <c r="L5" s="1"/>
      <c r="M5" s="1"/>
      <c r="N5" s="1"/>
      <c r="O5" s="1"/>
      <c r="P5" s="1"/>
      <c r="Q5" s="1"/>
      <c r="R5" s="1"/>
      <c r="S5" s="1"/>
      <c r="T5" s="1"/>
      <c r="U5" s="1"/>
      <c r="V5" s="1"/>
      <c r="W5" s="1"/>
      <c r="X5" s="1"/>
      <c r="Y5" s="1"/>
      <c r="Z5" s="1"/>
    </row>
    <row r="6" spans="1:26" ht="14.4" x14ac:dyDescent="0.3">
      <c r="A6" s="1"/>
      <c r="B6" s="1"/>
      <c r="C6" s="1"/>
      <c r="D6" s="1"/>
      <c r="E6" s="1"/>
      <c r="F6" s="1"/>
      <c r="G6" s="1"/>
      <c r="H6" s="1"/>
      <c r="I6" s="1"/>
      <c r="J6" s="1"/>
      <c r="K6" s="1"/>
      <c r="L6" s="1"/>
      <c r="M6" s="1"/>
      <c r="N6" s="1"/>
      <c r="O6" s="1"/>
      <c r="P6" s="1"/>
      <c r="Q6" s="1"/>
      <c r="R6" s="1"/>
      <c r="S6" s="1"/>
      <c r="T6" s="1"/>
      <c r="U6" s="1"/>
      <c r="V6" s="1"/>
      <c r="W6" s="1"/>
      <c r="X6" s="1"/>
      <c r="Y6" s="1"/>
      <c r="Z6" s="1"/>
    </row>
    <row r="7" spans="1:26" ht="18" x14ac:dyDescent="0.3">
      <c r="A7" s="2"/>
      <c r="B7" s="202" t="s">
        <v>3</v>
      </c>
      <c r="C7" s="198"/>
      <c r="D7" s="2"/>
      <c r="E7" s="2"/>
      <c r="F7" s="2"/>
      <c r="G7" s="2"/>
      <c r="H7" s="2"/>
      <c r="I7" s="2"/>
      <c r="J7" s="2"/>
      <c r="K7" s="2"/>
      <c r="L7" s="2"/>
      <c r="M7" s="2"/>
      <c r="N7" s="2"/>
      <c r="O7" s="2"/>
      <c r="P7" s="2"/>
      <c r="Q7" s="2"/>
      <c r="R7" s="2"/>
      <c r="S7" s="2"/>
      <c r="T7" s="2"/>
      <c r="U7" s="2"/>
      <c r="V7" s="2"/>
      <c r="W7" s="2"/>
      <c r="X7" s="2"/>
      <c r="Y7" s="2"/>
      <c r="Z7" s="2"/>
    </row>
    <row r="8" spans="1:26" ht="57.6" x14ac:dyDescent="0.3">
      <c r="A8" s="1"/>
      <c r="B8" s="1"/>
      <c r="C8" s="1" t="s">
        <v>4</v>
      </c>
      <c r="D8" s="1"/>
      <c r="E8" s="1"/>
      <c r="F8" s="1"/>
      <c r="G8" s="1"/>
      <c r="H8" s="1"/>
      <c r="I8" s="1"/>
      <c r="J8" s="1"/>
      <c r="K8" s="1"/>
      <c r="L8" s="1"/>
      <c r="M8" s="1"/>
      <c r="N8" s="1"/>
      <c r="O8" s="1"/>
      <c r="P8" s="1"/>
      <c r="Q8" s="1"/>
      <c r="R8" s="1"/>
      <c r="S8" s="1"/>
      <c r="T8" s="1"/>
      <c r="U8" s="1"/>
      <c r="V8" s="1"/>
      <c r="W8" s="1"/>
      <c r="X8" s="1"/>
      <c r="Y8" s="1"/>
      <c r="Z8" s="1"/>
    </row>
    <row r="9" spans="1:26" ht="14.4" x14ac:dyDescent="0.3">
      <c r="A9" s="1"/>
      <c r="B9" s="1"/>
      <c r="C9" s="1"/>
      <c r="D9" s="1"/>
      <c r="E9" s="1"/>
      <c r="F9" s="1"/>
      <c r="G9" s="1"/>
      <c r="H9" s="1"/>
      <c r="I9" s="1"/>
      <c r="J9" s="1"/>
      <c r="K9" s="1"/>
      <c r="L9" s="1"/>
      <c r="M9" s="1"/>
      <c r="N9" s="1"/>
      <c r="O9" s="1"/>
      <c r="P9" s="1"/>
      <c r="Q9" s="1"/>
      <c r="R9" s="1"/>
      <c r="S9" s="1"/>
      <c r="T9" s="1"/>
      <c r="U9" s="1"/>
      <c r="V9" s="1"/>
      <c r="W9" s="1"/>
      <c r="X9" s="1"/>
      <c r="Y9" s="1"/>
      <c r="Z9" s="1"/>
    </row>
    <row r="10" spans="1:26" ht="18" x14ac:dyDescent="0.3">
      <c r="A10" s="2"/>
      <c r="B10" s="202" t="s">
        <v>5</v>
      </c>
      <c r="C10" s="198"/>
      <c r="D10" s="2"/>
      <c r="E10" s="2"/>
      <c r="F10" s="2"/>
      <c r="G10" s="2"/>
      <c r="H10" s="2"/>
      <c r="I10" s="2"/>
      <c r="J10" s="2"/>
      <c r="K10" s="2"/>
      <c r="L10" s="2"/>
      <c r="M10" s="2"/>
      <c r="N10" s="2"/>
      <c r="O10" s="2"/>
      <c r="P10" s="2"/>
      <c r="Q10" s="2"/>
      <c r="R10" s="2"/>
      <c r="S10" s="2"/>
      <c r="T10" s="2"/>
      <c r="U10" s="2"/>
      <c r="V10" s="2"/>
      <c r="W10" s="2"/>
      <c r="X10" s="2"/>
      <c r="Y10" s="2"/>
      <c r="Z10" s="2"/>
    </row>
    <row r="11" spans="1:26" ht="86.4" x14ac:dyDescent="0.3">
      <c r="A11" s="1"/>
      <c r="B11" s="1"/>
      <c r="C11" s="1" t="s">
        <v>6</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8" x14ac:dyDescent="0.3">
      <c r="A13" s="2"/>
      <c r="B13" s="202" t="s">
        <v>7</v>
      </c>
      <c r="C13" s="198"/>
      <c r="D13" s="2"/>
      <c r="E13" s="2"/>
      <c r="F13" s="2"/>
      <c r="G13" s="2"/>
      <c r="H13" s="2"/>
      <c r="I13" s="2"/>
      <c r="J13" s="2"/>
      <c r="K13" s="2"/>
      <c r="L13" s="2"/>
      <c r="M13" s="2"/>
      <c r="N13" s="2"/>
      <c r="O13" s="2"/>
      <c r="P13" s="2"/>
      <c r="Q13" s="2"/>
      <c r="R13" s="2"/>
      <c r="S13" s="2"/>
      <c r="T13" s="2"/>
      <c r="U13" s="2"/>
      <c r="V13" s="2"/>
      <c r="W13" s="2"/>
      <c r="X13" s="2"/>
      <c r="Y13" s="2"/>
      <c r="Z13" s="2"/>
    </row>
    <row r="14" spans="1:26" ht="72" x14ac:dyDescent="0.3">
      <c r="A14" s="1"/>
      <c r="B14" s="1"/>
      <c r="C14" s="1" t="s">
        <v>8</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x14ac:dyDescent="0.3">
      <c r="A16" s="2"/>
      <c r="B16" s="203" t="s">
        <v>9</v>
      </c>
      <c r="C16" s="198"/>
      <c r="D16" s="2"/>
      <c r="E16" s="2"/>
      <c r="F16" s="2"/>
      <c r="G16" s="2"/>
      <c r="H16" s="2"/>
      <c r="I16" s="2"/>
      <c r="J16" s="2"/>
      <c r="K16" s="2"/>
      <c r="L16" s="2"/>
      <c r="M16" s="2"/>
      <c r="N16" s="2"/>
      <c r="O16" s="2"/>
      <c r="P16" s="2"/>
      <c r="Q16" s="2"/>
      <c r="R16" s="2"/>
      <c r="S16" s="2"/>
      <c r="T16" s="2"/>
      <c r="U16" s="2"/>
      <c r="V16" s="2"/>
      <c r="W16" s="2"/>
      <c r="X16" s="2"/>
      <c r="Y16" s="2"/>
      <c r="Z16" s="2"/>
    </row>
    <row r="17" spans="1:26" ht="43.2" x14ac:dyDescent="0.3">
      <c r="A17" s="1"/>
      <c r="B17" s="1"/>
      <c r="C17" s="1" t="s">
        <v>10</v>
      </c>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 x14ac:dyDescent="0.3">
      <c r="A19" s="2"/>
      <c r="B19" s="204" t="s">
        <v>11</v>
      </c>
      <c r="C19" s="198"/>
      <c r="D19" s="2"/>
      <c r="E19" s="2"/>
      <c r="F19" s="2"/>
      <c r="G19" s="2"/>
      <c r="H19" s="2"/>
      <c r="I19" s="2"/>
      <c r="J19" s="2"/>
      <c r="K19" s="2"/>
      <c r="L19" s="2"/>
      <c r="M19" s="2"/>
      <c r="N19" s="2"/>
      <c r="O19" s="2"/>
      <c r="P19" s="2"/>
      <c r="Q19" s="2"/>
      <c r="R19" s="2"/>
      <c r="S19" s="2"/>
      <c r="T19" s="2"/>
      <c r="U19" s="2"/>
      <c r="V19" s="2"/>
      <c r="W19" s="2"/>
      <c r="X19" s="2"/>
      <c r="Y19" s="2"/>
      <c r="Z19" s="2"/>
    </row>
    <row r="20" spans="1:26" ht="57.6" x14ac:dyDescent="0.3">
      <c r="A20" s="1"/>
      <c r="B20" s="1"/>
      <c r="C20" s="1" t="s">
        <v>12</v>
      </c>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2"/>
      <c r="B22" s="197" t="s">
        <v>13</v>
      </c>
      <c r="C22" s="198"/>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1"/>
      <c r="B23" s="1"/>
      <c r="C23" s="1" t="s">
        <v>14</v>
      </c>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2"/>
      <c r="B25" s="199" t="s">
        <v>15</v>
      </c>
      <c r="C25" s="198"/>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1"/>
      <c r="B26" s="1"/>
      <c r="C26" s="1" t="s">
        <v>16</v>
      </c>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2"/>
      <c r="B28" s="200" t="s">
        <v>17</v>
      </c>
      <c r="C28" s="198"/>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1"/>
      <c r="B29" s="1"/>
      <c r="C29" s="1" t="s">
        <v>18</v>
      </c>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2"/>
      <c r="B31" s="201" t="s">
        <v>19</v>
      </c>
      <c r="C31" s="198"/>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1"/>
      <c r="B32" s="1"/>
      <c r="C32" s="1" t="s">
        <v>20</v>
      </c>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row r="234" spans="1:26" ht="15.75" customHeight="1" x14ac:dyDescent="0.3"/>
    <row r="235" spans="1:26" ht="15.75" customHeight="1" x14ac:dyDescent="0.3"/>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1">
    <mergeCell ref="B22:C22"/>
    <mergeCell ref="B25:C25"/>
    <mergeCell ref="B28:C28"/>
    <mergeCell ref="B31:C31"/>
    <mergeCell ref="B2:C2"/>
    <mergeCell ref="B4:C4"/>
    <mergeCell ref="B7:C7"/>
    <mergeCell ref="B10:C10"/>
    <mergeCell ref="B13:C13"/>
    <mergeCell ref="B16:C16"/>
    <mergeCell ref="B19:C19"/>
  </mergeCells>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O1000"/>
  <sheetViews>
    <sheetView showGridLines="0" workbookViewId="0">
      <selection activeCell="J6" sqref="J6"/>
    </sheetView>
  </sheetViews>
  <sheetFormatPr defaultColWidth="14.44140625" defaultRowHeight="15" customHeight="1" x14ac:dyDescent="0.3"/>
  <cols>
    <col min="1" max="1" width="0.44140625" customWidth="1"/>
    <col min="2" max="2" width="40.33203125" customWidth="1"/>
    <col min="3" max="9" width="14.109375" hidden="1" customWidth="1"/>
    <col min="10" max="10" width="14.109375" customWidth="1"/>
    <col min="11" max="15" width="14.109375" hidden="1" customWidth="1"/>
  </cols>
  <sheetData>
    <row r="1" spans="1:15" ht="2.25" customHeight="1" x14ac:dyDescent="0.3"/>
    <row r="2" spans="1:15" ht="14.4" x14ac:dyDescent="0.3">
      <c r="A2" s="3"/>
      <c r="B2" s="205" t="s">
        <v>21</v>
      </c>
      <c r="C2" s="207" t="s">
        <v>22</v>
      </c>
      <c r="D2" s="209">
        <v>2025</v>
      </c>
      <c r="E2" s="210"/>
      <c r="F2" s="210"/>
      <c r="G2" s="210"/>
      <c r="H2" s="210"/>
      <c r="I2" s="210"/>
      <c r="J2" s="210"/>
      <c r="K2" s="210"/>
      <c r="L2" s="210"/>
      <c r="M2" s="210"/>
      <c r="N2" s="210"/>
      <c r="O2" s="211"/>
    </row>
    <row r="3" spans="1:15" ht="14.4" x14ac:dyDescent="0.3">
      <c r="A3" s="3"/>
      <c r="B3" s="206"/>
      <c r="C3" s="208"/>
      <c r="D3" s="4" t="s">
        <v>23</v>
      </c>
      <c r="E3" s="4" t="s">
        <v>24</v>
      </c>
      <c r="F3" s="5" t="s">
        <v>25</v>
      </c>
      <c r="G3" s="6" t="s">
        <v>26</v>
      </c>
      <c r="H3" s="6" t="s">
        <v>27</v>
      </c>
      <c r="I3" s="6" t="s">
        <v>28</v>
      </c>
      <c r="J3" s="7" t="s">
        <v>29</v>
      </c>
      <c r="K3" s="6" t="s">
        <v>30</v>
      </c>
      <c r="L3" s="6" t="s">
        <v>31</v>
      </c>
      <c r="M3" s="5" t="s">
        <v>32</v>
      </c>
      <c r="N3" s="6" t="s">
        <v>33</v>
      </c>
      <c r="O3" s="6" t="s">
        <v>34</v>
      </c>
    </row>
    <row r="4" spans="1:15" ht="20.399999999999999" x14ac:dyDescent="0.3">
      <c r="A4" s="3"/>
      <c r="B4" s="8" t="s">
        <v>35</v>
      </c>
      <c r="C4" s="9">
        <f>SUM(C5:C7)</f>
        <v>33064.720000000001</v>
      </c>
      <c r="D4" s="9">
        <f t="shared" ref="D4:O4" si="0">SUM(D5:D8)</f>
        <v>6618.9299999999766</v>
      </c>
      <c r="E4" s="9">
        <f t="shared" si="0"/>
        <v>6154.3499999999767</v>
      </c>
      <c r="F4" s="9">
        <f t="shared" si="0"/>
        <v>2892.189999999971</v>
      </c>
      <c r="G4" s="9">
        <f t="shared" si="0"/>
        <v>6114.3199999999651</v>
      </c>
      <c r="H4" s="9">
        <f t="shared" si="0"/>
        <v>9821.8999999999614</v>
      </c>
      <c r="I4" s="9">
        <f t="shared" si="0"/>
        <v>27053.569999999963</v>
      </c>
      <c r="J4" s="9">
        <f t="shared" si="0"/>
        <v>9510.6400000000012</v>
      </c>
      <c r="K4" s="9">
        <f t="shared" si="0"/>
        <v>9510.6400000000012</v>
      </c>
      <c r="L4" s="9">
        <f t="shared" si="0"/>
        <v>9510.6400000000012</v>
      </c>
      <c r="M4" s="9">
        <f t="shared" si="0"/>
        <v>9510.6400000000012</v>
      </c>
      <c r="N4" s="9">
        <f t="shared" si="0"/>
        <v>9510.6400000000012</v>
      </c>
      <c r="O4" s="9">
        <f t="shared" si="0"/>
        <v>9510.6400000000012</v>
      </c>
    </row>
    <row r="5" spans="1:15" ht="14.4" x14ac:dyDescent="0.3">
      <c r="A5" s="3"/>
      <c r="B5" s="10" t="s">
        <v>36</v>
      </c>
      <c r="C5" s="11">
        <v>1076.55</v>
      </c>
      <c r="D5" s="12">
        <f>2724.62+Dinheiro!D4</f>
        <v>5534.2</v>
      </c>
      <c r="E5" s="13">
        <f>D5+Dinheiro!E4</f>
        <v>1684.1999999999998</v>
      </c>
      <c r="F5" s="13">
        <f>E5+Dinheiro!F4</f>
        <v>727.19999999999982</v>
      </c>
      <c r="G5" s="13">
        <f>F5+Dinheiro!G4</f>
        <v>422.19999999999982</v>
      </c>
      <c r="H5" s="13">
        <f>G5+Dinheiro!H4</f>
        <v>534.19999999999982</v>
      </c>
      <c r="I5" s="13">
        <f>H5+Dinheiro!I4</f>
        <v>614.19999999999982</v>
      </c>
      <c r="J5" s="13">
        <v>614.20000000000005</v>
      </c>
      <c r="K5" s="14">
        <f>J5+Dinheiro!K4</f>
        <v>614.20000000000005</v>
      </c>
      <c r="L5" s="14">
        <f>K5+Dinheiro!L4</f>
        <v>614.20000000000005</v>
      </c>
      <c r="M5" s="14">
        <f>L5+Dinheiro!M4</f>
        <v>614.20000000000005</v>
      </c>
      <c r="N5" s="14">
        <f>M5+Dinheiro!N4</f>
        <v>614.20000000000005</v>
      </c>
      <c r="O5" s="14">
        <f>N5+Dinheiro!O4</f>
        <v>614.20000000000005</v>
      </c>
    </row>
    <row r="6" spans="1:15" ht="14.4" x14ac:dyDescent="0.3">
      <c r="A6" s="3"/>
      <c r="B6" s="10" t="s">
        <v>37</v>
      </c>
      <c r="C6" s="11">
        <f>582.43</f>
        <v>582.42999999999995</v>
      </c>
      <c r="D6" s="12">
        <f>10726.18+SUMIF('JAN-Receitas'!$H:$H,$B$6,'JAN-Receitas'!$F:$F)-SUMIF('JAN-Despesas'!$H:$H,$B$6,'JAN-Despesas'!$F:$F)-'Mov. entre Contas'!C11+'Mov. entre Contas'!C6</f>
        <v>849.26000000000749</v>
      </c>
      <c r="E6" s="13">
        <f>D6+SUMIF('FEV-Receitas'!$H:$H,$B$6,'FEV-Receitas'!$F:$F)-SUMIF('FEV-Despesas'!$H:$H,$B$6,'FEV-Despesas'!$F:$F)-'Mov. entre Contas'!D11+'Mov. entre Contas'!D6</f>
        <v>3970.1500000000069</v>
      </c>
      <c r="F6" s="13">
        <f>E6+SUMIF('MAR-Receitas'!$H:$H,$B$6,'MAR-Receitas'!$F:$F)-SUMIF('MAR-Despesas'!$H:$H,$B$6,'MAR-Despesas'!$F:$F)-'Mov. entre Contas'!E11+'Mov. entre Contas'!E6</f>
        <v>186.57000000000153</v>
      </c>
      <c r="G6" s="13">
        <f>F6+SUMIF('ABR-Receitas'!$H:$H,$B$6,'ABR-Receitas'!$F:$F)-SUMIF('ABR-Despesas'!$H:$H,$B$6,'ABR-Despesas'!$F:$F)-'Mov. entre Contas'!F11+'Mov. entre Contas'!F6</f>
        <v>3875.7599999999948</v>
      </c>
      <c r="H6" s="13">
        <f>G6+SUMIF('MAI-Receitas'!$H:$H,$B$6,'MAI-Receitas'!$F:$F)-SUMIF('MAI-Despesas'!$H:$H,$B$6,'MAI-Despesas'!$F:$F)-'Mov. entre Contas'!G11+'Mov. entre Contas'!G6</f>
        <v>5906.8899999999912</v>
      </c>
      <c r="I6" s="13">
        <f>H6+SUMIF('JUN-Receitas'!$H:$H,$B$6,'JUN-Receitas'!$F:$F)-SUMIF('JUN-Despesas'!$H:$H,$B$6,'JUN-Despesas'!$F:$F)-'Mov. entre Contas'!H11+'Mov. entre Contas'!H6</f>
        <v>12222.969999999992</v>
      </c>
      <c r="J6" s="13">
        <v>8025.67</v>
      </c>
      <c r="K6" s="14">
        <f>J6+SUMIF('AGO-Receitas'!$H:$H,$B$6,'AGO-Receitas'!$F:$F)-SUMIF('AGO-Despesas'!$H:$H,$B$6,'AGO-Despesas'!$F:$F)-'Mov. entre Contas'!J11+'Mov. entre Contas'!J6</f>
        <v>8025.67</v>
      </c>
      <c r="L6" s="14">
        <f>K6+SUMIF('SET-Receitas'!$H:$H,$B$6,'SET-Receitas'!$F:$F)-SUMIF('SET-Despesas'!$H:$H,$B$6,'SET-Despesas'!$F:$F)-'Mov. entre Contas'!K11+'Mov. entre Contas'!K6</f>
        <v>8025.67</v>
      </c>
      <c r="M6" s="14">
        <f>L6+SUMIF('OUT-Receitas'!$H:$H,$B$6,'OUT-Receitas'!$F:$F)-SUMIF('OUT-Despesas'!$H:$H,$B$6,'OUT-Despesas'!$F:$F)-'Mov. entre Contas'!L11+'Mov. entre Contas'!L6</f>
        <v>8025.67</v>
      </c>
      <c r="N6" s="14">
        <f>M6+SUMIF('NOV-Receitas'!$H:$H,$B$6,'NOV-Receitas'!$F:$F)-SUMIF('NOV-Despesas'!$H:$H,$B$6,'NOV-Despesas'!$F:$F)-'Mov. entre Contas'!M11+'Mov. entre Contas'!M6</f>
        <v>8025.67</v>
      </c>
      <c r="O6" s="14">
        <f>N6+SUMIF('DEZ-Receitas'!$H:$H,$B$6,'DEZ-Receitas'!$F:$F)-SUMIF('DEZ-Despesas'!$H:$H,$B$6,'DEZ-Despesas'!$F:$F)-'Mov. entre Contas'!N11+'Mov. entre Contas'!N6</f>
        <v>8025.67</v>
      </c>
    </row>
    <row r="7" spans="1:15" ht="14.4" x14ac:dyDescent="0.3">
      <c r="A7" s="3"/>
      <c r="B7" s="10" t="s">
        <v>38</v>
      </c>
      <c r="C7" s="11">
        <v>31405.74</v>
      </c>
      <c r="D7" s="12">
        <f>876.739999999969+SUMIF('JAN-Receitas'!$H:$H,$B$7,'JAN-Receitas'!$F:$F)-SUMIF('JAN-Despesas'!$H:$H,$B$7,'JAN-Despesas'!$F:$F)-'Mov. entre Contas'!C12+'Mov. entre Contas'!C7</f>
        <v>220.46999999996933</v>
      </c>
      <c r="E7" s="13">
        <f>D7+SUMIF('FEV-Receitas'!$H:$H,$B$7,'FEV-Receitas'!$F:$F)-SUMIF('FEV-Despesas'!$H:$H,$B$7,'FEV-Despesas'!$F:$F)-'Mov. entre Contas'!D12+'Mov. entre Contas'!D7</f>
        <v>499.99999999996953</v>
      </c>
      <c r="F7" s="13">
        <f>E7+SUMIF('MAR-Receitas'!$H:$H,$B$7,'MAR-Receitas'!$F:$F)-SUMIF('MAR-Despesas'!$H:$H,$B$7,'MAR-Despesas'!$F:$F)-'Mov. entre Contas'!E12+'Mov. entre Contas'!E7</f>
        <v>1005.1199999999694</v>
      </c>
      <c r="G7" s="13">
        <f>F7+SUMIF('ABR-Receitas'!$H:$H,$B$7,'ABR-Receitas'!$F:$F)-SUMIF('ABR-Despesas'!$H:$H,$B$7,'ABR-Despesas'!$F:$F)-'Mov. entre Contas'!F12+'Mov. entre Contas'!F7</f>
        <v>452.54999999997017</v>
      </c>
      <c r="H7" s="13">
        <f>G7+SUMIF('MAI-Receitas'!$H:$H,$B$7,'MAI-Receitas'!$F:$F)-SUMIF('MAI-Despesas'!$H:$H,$B$7,'MAI-Despesas'!$F:$F)-'Mov. entre Contas'!G12+'Mov. entre Contas'!G7</f>
        <v>-2.9558577807620168E-11</v>
      </c>
      <c r="I7" s="13">
        <f>H7+SUMIF('JUN-Receitas'!$H:$H,$B$7,'JUN-Receitas'!$F:$F)-SUMIF('JUN-Despesas'!$H:$H,$B$7,'JUN-Despesas'!$F:$F)-'Mov. entre Contas'!H12+'Mov. entre Contas'!H7</f>
        <v>11980.439999999971</v>
      </c>
      <c r="J7" s="13">
        <v>712.77</v>
      </c>
      <c r="K7" s="14">
        <f>J7+SUMIF('AGO-Receitas'!$H:$H,$B$7,'AGO-Receitas'!$F:$F)-SUMIF('AGO-Despesas'!$H:$H,$B$7,'AGO-Despesas'!$F:$F)-'Mov. entre Contas'!J12+'Mov. entre Contas'!J7</f>
        <v>712.77</v>
      </c>
      <c r="L7" s="14">
        <f>K7+SUMIF('SET-Receitas'!$H:$H,$B$7,'SET-Receitas'!$F:$F)-SUMIF('SET-Despesas'!$H:$H,$B$7,'SET-Despesas'!$F:$F)-'Mov. entre Contas'!K12+'Mov. entre Contas'!K7</f>
        <v>712.77</v>
      </c>
      <c r="M7" s="14">
        <f>L7+SUMIF('OUT-Receitas'!$H:$H,$B$7,'OUT-Receitas'!$F:$F)-SUMIF('OUT-Despesas'!$H:$H,$B$7,'OUT-Despesas'!$F:$F)-'Mov. entre Contas'!L12+'Mov. entre Contas'!L7</f>
        <v>712.77</v>
      </c>
      <c r="N7" s="14">
        <f>M7+SUMIF('NOV-Receitas'!$H:$H,$B$7,'NOV-Receitas'!$F:$F)-SUMIF('NOV-Despesas'!$H:$H,$B$7,'NOV-Despesas'!$F:$F)-'Mov. entre Contas'!M12+'Mov. entre Contas'!M7</f>
        <v>712.77</v>
      </c>
      <c r="O7" s="14">
        <f>N7+SUMIF('DEZ-Receitas'!$H:$H,$B$7,'DEZ-Receitas'!$F:$F)-SUMIF('DEZ-Despesas'!$H:$H,$B$7,'DEZ-Despesas'!$F:$F)-'Mov. entre Contas'!N12+'Mov. entre Contas'!N7</f>
        <v>712.77</v>
      </c>
    </row>
    <row r="8" spans="1:15" ht="14.4" x14ac:dyDescent="0.3">
      <c r="A8" s="3"/>
      <c r="B8" s="10" t="s">
        <v>39</v>
      </c>
      <c r="C8" s="11"/>
      <c r="D8" s="12">
        <f>343+SUMIF('JAN-Receitas'!$H:$H,$B$8,'JAN-Receitas'!$F:$F)-SUMIF('JAN-Despesas'!$H:$H,$B$8,'JAN-Despesas'!$F:$F)-'Mov. entre Contas'!C13+'Mov. entre Contas'!C8</f>
        <v>15</v>
      </c>
      <c r="E8" s="13">
        <f>D8+SUMIF('FEV-Receitas'!$H:$H,$B$8,'FEV-Receitas'!$F:$F)-SUMIF('FEV-Despesas'!$H:$H,$B$8,'FEV-Despesas'!$F:$F)-'Mov. entre Contas'!D13+'Mov. entre Contas'!D8</f>
        <v>0</v>
      </c>
      <c r="F8" s="13">
        <f>E8+SUMIF('MAR-Receitas'!$H:$H,$B$8,'MAR-Receitas'!$F:$F)-SUMIF('MAR-Despesas'!$H:$H,$B$8,'MAR-Despesas'!$F:$F)-'Mov. entre Contas'!E13+'Mov. entre Contas'!E8</f>
        <v>973.30000000000018</v>
      </c>
      <c r="G8" s="13">
        <f>F8+SUMIF('ABR-Receitas'!$H:$H,$B$8,'ABR-Receitas'!$F:$F)-SUMIF('ABR-Despesas'!$H:$H,$B$8,'ABR-Despesas'!$F:$F)-'Mov. entre Contas'!F13+'Mov. entre Contas'!F8</f>
        <v>1363.8100000000004</v>
      </c>
      <c r="H8" s="13">
        <f>G8+SUMIF('MAI-Receitas'!$H:$H,$B$8,'MAI-Receitas'!$F:$F)-SUMIF('MAI-Despesas'!$H:$H,$B$8,'MAI-Despesas'!$F:$F)-'Mov. entre Contas'!G13+'Mov. entre Contas'!G8</f>
        <v>3380.8100000000004</v>
      </c>
      <c r="I8" s="13">
        <f>H8+SUMIF('JUN-Receitas'!$H:$H,$B$8,'JUN-Receitas'!$F:$F)-SUMIF('JUN-Despesas'!$H:$H,$B$8,'JUN-Despesas'!$F:$F)-'Mov. entre Contas'!H13+'Mov. entre Contas'!H8</f>
        <v>2235.9600000000009</v>
      </c>
      <c r="J8" s="13">
        <v>158</v>
      </c>
      <c r="K8" s="14">
        <f>J8+SUMIF('AGO-Receitas'!$H:$H,$B$8,'AGO-Receitas'!$F:$F)-SUMIF('AGO-Despesas'!$H:$H,$B$8,'AGO-Despesas'!$F:$F)-'Mov. entre Contas'!J13+'Mov. entre Contas'!J8</f>
        <v>158</v>
      </c>
      <c r="L8" s="14">
        <f>K8+SUMIF('SET-Receitas'!$H:$H,$B$8,'SET-Receitas'!$F:$F)-SUMIF('SET-Despesas'!$H:$H,$B$8,'SET-Despesas'!$F:$F)-'Mov. entre Contas'!K13+'Mov. entre Contas'!K8</f>
        <v>158</v>
      </c>
      <c r="M8" s="14">
        <f>L8+SUMIF('OUT-Receitas'!$H:$H,$B$8,'OUT-Receitas'!$F:$F)-SUMIF('OUT-Despesas'!$H:$H,$B$8,'OUT-Despesas'!$F:$F)-'Mov. entre Contas'!L13+'Mov. entre Contas'!L8</f>
        <v>158</v>
      </c>
      <c r="N8" s="14">
        <f>M8+SUMIF('NOV-Receitas'!$H:$H,$B$8,'NOV-Receitas'!$F:$F)-SUMIF('NOV-Despesas'!$H:$H,$B$8,'NOV-Despesas'!$F:$F)-'Mov. entre Contas'!M13+'Mov. entre Contas'!M8</f>
        <v>158</v>
      </c>
      <c r="O8" s="14">
        <f>N8+SUMIF('DEZ-Receitas'!$H:$H,$B$8,'DEZ-Receitas'!$F:$F)-SUMIF('DEZ-Despesas'!$H:$H,$B$8,'DEZ-Despesas'!$F:$F)-'Mov. entre Contas'!N13+'Mov. entre Contas'!N8</f>
        <v>158</v>
      </c>
    </row>
    <row r="9" spans="1:15" ht="14.4" x14ac:dyDescent="0.3">
      <c r="D9" s="15"/>
      <c r="E9" s="16"/>
      <c r="F9" s="16"/>
      <c r="G9" s="16"/>
      <c r="H9" s="16"/>
      <c r="I9" s="16"/>
      <c r="J9" s="16"/>
      <c r="K9" s="16"/>
      <c r="L9" s="16"/>
      <c r="M9" s="16"/>
      <c r="N9" s="16"/>
      <c r="O9" s="16"/>
    </row>
    <row r="10" spans="1:15" ht="14.4" x14ac:dyDescent="0.3">
      <c r="B10" s="17"/>
      <c r="E10" s="18"/>
      <c r="F10" s="18"/>
      <c r="G10" s="18"/>
      <c r="H10" s="18"/>
      <c r="I10" s="18"/>
      <c r="J10" s="18"/>
      <c r="K10" s="18"/>
      <c r="L10" s="18"/>
      <c r="M10" s="18"/>
      <c r="N10" s="19"/>
      <c r="O10" s="19"/>
    </row>
    <row r="11" spans="1:15" ht="15" customHeight="1" x14ac:dyDescent="0.3">
      <c r="D11" s="18"/>
      <c r="E11" s="18"/>
      <c r="F11" s="18"/>
      <c r="G11" s="18"/>
      <c r="H11" s="18"/>
      <c r="I11" s="18"/>
      <c r="J11" s="18"/>
      <c r="K11" s="18"/>
      <c r="L11" s="18"/>
      <c r="M11" s="18"/>
      <c r="N11" s="18"/>
      <c r="O11" s="18"/>
    </row>
    <row r="12" spans="1:15" ht="14.4" x14ac:dyDescent="0.3">
      <c r="E12" s="18"/>
      <c r="F12" s="18"/>
      <c r="G12" s="20"/>
      <c r="H12" s="21"/>
      <c r="I12" s="18"/>
      <c r="J12" s="18"/>
      <c r="L12" s="18"/>
      <c r="M12" s="18"/>
      <c r="O12" s="18"/>
    </row>
    <row r="13" spans="1:15" ht="15" customHeight="1" x14ac:dyDescent="0.3">
      <c r="D13" s="18"/>
      <c r="G13" s="22"/>
      <c r="H13" s="22"/>
      <c r="J13" s="18"/>
      <c r="L13" s="18"/>
      <c r="M13" s="18"/>
      <c r="N13" s="23"/>
      <c r="O13" s="18"/>
    </row>
    <row r="14" spans="1:15" ht="15" customHeight="1" x14ac:dyDescent="0.3">
      <c r="E14" s="18"/>
      <c r="G14" s="22"/>
      <c r="H14" s="22"/>
      <c r="J14" s="18"/>
      <c r="N14" s="23"/>
    </row>
    <row r="15" spans="1:15" ht="15" customHeight="1" x14ac:dyDescent="0.3">
      <c r="G15" s="20"/>
      <c r="H15" s="22"/>
      <c r="J15" s="18"/>
      <c r="M15" s="18"/>
    </row>
    <row r="16" spans="1:15" ht="15" customHeight="1" x14ac:dyDescent="0.3">
      <c r="D16" s="18"/>
      <c r="G16" s="22"/>
      <c r="H16" s="22"/>
      <c r="I16" s="18"/>
      <c r="J16" s="18"/>
    </row>
    <row r="17" spans="7:8" ht="15" customHeight="1" x14ac:dyDescent="0.3">
      <c r="G17" s="22"/>
      <c r="H17" s="22"/>
    </row>
    <row r="18" spans="7:8" ht="15" customHeight="1" x14ac:dyDescent="0.3">
      <c r="G18" s="22"/>
      <c r="H18" s="22"/>
    </row>
    <row r="19" spans="7:8" ht="15.75" customHeight="1" x14ac:dyDescent="0.3">
      <c r="G19" s="24"/>
      <c r="H19" s="24"/>
    </row>
    <row r="20" spans="7:8" ht="15.75" customHeight="1" x14ac:dyDescent="0.3">
      <c r="G20" s="22"/>
      <c r="H20" s="22"/>
    </row>
    <row r="21" spans="7:8" ht="15.75" customHeight="1" x14ac:dyDescent="0.3">
      <c r="G21" s="22"/>
      <c r="H21" s="22"/>
    </row>
    <row r="22" spans="7:8" ht="15.75" customHeight="1" x14ac:dyDescent="0.3">
      <c r="G22" s="22"/>
      <c r="H22" s="22"/>
    </row>
    <row r="23" spans="7:8" ht="15.75" customHeight="1" x14ac:dyDescent="0.3">
      <c r="G23" s="22"/>
      <c r="H23" s="22"/>
    </row>
    <row r="24" spans="7:8" ht="15.75" customHeight="1" x14ac:dyDescent="0.3">
      <c r="G24" s="22"/>
      <c r="H24" s="22"/>
    </row>
    <row r="25" spans="7:8" ht="15.75" customHeight="1" x14ac:dyDescent="0.3"/>
    <row r="26" spans="7:8" ht="15.75" customHeight="1" x14ac:dyDescent="0.3"/>
    <row r="27" spans="7:8" ht="15.75" customHeight="1" x14ac:dyDescent="0.3"/>
    <row r="28" spans="7:8" ht="15.75" customHeight="1" x14ac:dyDescent="0.3"/>
    <row r="29" spans="7:8" ht="15.75" customHeight="1" x14ac:dyDescent="0.3"/>
    <row r="30" spans="7:8" ht="15.75" customHeight="1" x14ac:dyDescent="0.3"/>
    <row r="31" spans="7:8" ht="15.75" customHeight="1" x14ac:dyDescent="0.3"/>
    <row r="32" spans="7:8"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B2:B3"/>
    <mergeCell ref="C2:C3"/>
    <mergeCell ref="D2:O2"/>
  </mergeCells>
  <pageMargins left="0.511811024" right="0.511811024"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X1000"/>
  <sheetViews>
    <sheetView showGridLines="0" workbookViewId="0"/>
  </sheetViews>
  <sheetFormatPr defaultColWidth="14.44140625" defaultRowHeight="15" customHeight="1" x14ac:dyDescent="0.3"/>
  <cols>
    <col min="1" max="1" width="0.44140625" customWidth="1"/>
    <col min="2" max="2" width="40.33203125" customWidth="1"/>
    <col min="3" max="3" width="14.109375" customWidth="1"/>
    <col min="4" max="9" width="14.109375" hidden="1" customWidth="1"/>
    <col min="10" max="10" width="14.109375" customWidth="1"/>
    <col min="11" max="15" width="14.109375" hidden="1" customWidth="1"/>
    <col min="16" max="24" width="8.6640625" customWidth="1"/>
  </cols>
  <sheetData>
    <row r="1" spans="1:24" ht="2.25" customHeight="1" x14ac:dyDescent="0.3"/>
    <row r="2" spans="1:24" ht="15" customHeight="1" x14ac:dyDescent="0.3">
      <c r="A2" s="3"/>
      <c r="B2" s="205" t="s">
        <v>3</v>
      </c>
      <c r="C2" s="212" t="s">
        <v>40</v>
      </c>
      <c r="D2" s="213">
        <v>2025</v>
      </c>
      <c r="E2" s="210"/>
      <c r="F2" s="210"/>
      <c r="G2" s="210"/>
      <c r="H2" s="210"/>
      <c r="I2" s="210"/>
      <c r="J2" s="210"/>
      <c r="K2" s="210"/>
      <c r="L2" s="210"/>
      <c r="M2" s="210"/>
      <c r="N2" s="210"/>
      <c r="O2" s="211"/>
    </row>
    <row r="3" spans="1:24" ht="14.4" x14ac:dyDescent="0.3">
      <c r="A3" s="3"/>
      <c r="B3" s="206"/>
      <c r="C3" s="208"/>
      <c r="D3" s="4" t="s">
        <v>23</v>
      </c>
      <c r="E3" s="4" t="s">
        <v>24</v>
      </c>
      <c r="F3" s="5" t="s">
        <v>25</v>
      </c>
      <c r="G3" s="6" t="s">
        <v>26</v>
      </c>
      <c r="H3" s="6" t="s">
        <v>27</v>
      </c>
      <c r="I3" s="6" t="s">
        <v>28</v>
      </c>
      <c r="J3" s="6" t="s">
        <v>29</v>
      </c>
      <c r="K3" s="6" t="s">
        <v>30</v>
      </c>
      <c r="L3" s="6" t="s">
        <v>31</v>
      </c>
      <c r="M3" s="5" t="s">
        <v>32</v>
      </c>
      <c r="N3" s="6" t="s">
        <v>33</v>
      </c>
      <c r="O3" s="6" t="s">
        <v>34</v>
      </c>
    </row>
    <row r="4" spans="1:24" ht="19.5" customHeight="1" x14ac:dyDescent="0.3">
      <c r="A4" s="3"/>
      <c r="B4" s="25" t="s">
        <v>41</v>
      </c>
      <c r="C4" s="26">
        <f>SUM(C6:C11)</f>
        <v>9510.6400000000358</v>
      </c>
      <c r="D4" s="27">
        <f t="shared" ref="D4:O4" si="0">D5-D13</f>
        <v>-8051.6100000000006</v>
      </c>
      <c r="E4" s="27">
        <f t="shared" si="0"/>
        <v>-464.58000000000175</v>
      </c>
      <c r="F4" s="27">
        <f t="shared" si="0"/>
        <v>-3262.1600000000035</v>
      </c>
      <c r="G4" s="26">
        <f t="shared" si="0"/>
        <v>3222.1299999999974</v>
      </c>
      <c r="H4" s="26">
        <f t="shared" si="0"/>
        <v>3707.5800000000017</v>
      </c>
      <c r="I4" s="26">
        <f t="shared" si="0"/>
        <v>17231.670000000006</v>
      </c>
      <c r="J4" s="26">
        <f t="shared" si="0"/>
        <v>-17542.930000000008</v>
      </c>
      <c r="K4" s="27">
        <f t="shared" si="0"/>
        <v>0</v>
      </c>
      <c r="L4" s="27">
        <f t="shared" si="0"/>
        <v>0</v>
      </c>
      <c r="M4" s="27">
        <f t="shared" si="0"/>
        <v>0</v>
      </c>
      <c r="N4" s="27">
        <f t="shared" si="0"/>
        <v>0</v>
      </c>
      <c r="O4" s="27">
        <f t="shared" si="0"/>
        <v>0</v>
      </c>
      <c r="P4" s="3"/>
      <c r="Q4" s="3"/>
      <c r="R4" s="3"/>
      <c r="S4" s="3"/>
      <c r="T4" s="3"/>
      <c r="U4" s="3"/>
      <c r="V4" s="3"/>
      <c r="W4" s="3"/>
      <c r="X4" s="3"/>
    </row>
    <row r="5" spans="1:24" ht="20.399999999999999" x14ac:dyDescent="0.3">
      <c r="A5" s="3"/>
      <c r="B5" s="28" t="s">
        <v>42</v>
      </c>
      <c r="C5" s="29" t="s">
        <v>43</v>
      </c>
      <c r="D5" s="29">
        <f t="shared" ref="D5:O5" si="1">SUM(D6:D11)</f>
        <v>49292.990000000005</v>
      </c>
      <c r="E5" s="29">
        <f t="shared" si="1"/>
        <v>22658.549999999996</v>
      </c>
      <c r="F5" s="29">
        <f t="shared" si="1"/>
        <v>25745.35</v>
      </c>
      <c r="G5" s="30">
        <f t="shared" si="1"/>
        <v>38989.99</v>
      </c>
      <c r="H5" s="30">
        <f t="shared" si="1"/>
        <v>22836.629999999997</v>
      </c>
      <c r="I5" s="30">
        <f t="shared" si="1"/>
        <v>46977.33</v>
      </c>
      <c r="J5" s="30">
        <f t="shared" si="1"/>
        <v>35715</v>
      </c>
      <c r="K5" s="30">
        <f t="shared" si="1"/>
        <v>0</v>
      </c>
      <c r="L5" s="30">
        <f t="shared" si="1"/>
        <v>0</v>
      </c>
      <c r="M5" s="30">
        <f t="shared" si="1"/>
        <v>0</v>
      </c>
      <c r="N5" s="30">
        <f t="shared" si="1"/>
        <v>0</v>
      </c>
      <c r="O5" s="30">
        <f t="shared" si="1"/>
        <v>0</v>
      </c>
    </row>
    <row r="6" spans="1:24" ht="14.4" x14ac:dyDescent="0.3">
      <c r="A6" s="3"/>
      <c r="B6" s="10" t="s">
        <v>44</v>
      </c>
      <c r="C6" s="11">
        <f>13572.08+SUM(D6:O6)-SUM(D14:O14)-SUM(D16:O16)-SUM(D17:O17)</f>
        <v>36082.679999999986</v>
      </c>
      <c r="D6" s="12">
        <f>('JAN-Receitas'!$F$6-'JAN-Receitas'!$P$6-'JAN-Receitas'!$Q$6-'JAN-Receitas'!$R$6-'JAN-Receitas'!$S$6-'JAN-Receitas'!$T$6)+'JAN-Receitas'!$F$127+'JAN-Receitas'!$F$148+'JAN-Receitas'!$F$168+'JAN-Receitas'!$F$172-('JAN-Receitas'!$F$166+'JAN-Receitas'!$F$167+'JAN-Receitas'!F169)</f>
        <v>41929.630000000005</v>
      </c>
      <c r="E6" s="12">
        <f>('FEV-Receitas'!$F$6-'FEV-Receitas'!$P$6-'FEV-Receitas'!$Q$6-'FEV-Receitas'!$R$6-'FEV-Receitas'!$S$6-'FEV-Receitas'!$T$6)+'FEV-Receitas'!$F$127+'FEV-Receitas'!$F$147+'FEV-Receitas'!$F$169+'FEV-Receitas'!$F$173</f>
        <v>21053.289999999997</v>
      </c>
      <c r="F6" s="12">
        <f>('MAR-Receitas'!$F$6-'MAR-Receitas'!$P$6-'MAR-Receitas'!$Q$6-'MAR-Receitas'!$R$6-'MAR-Receitas'!$S$6-'MAR-Receitas'!$T$6)+'MAR-Receitas'!$F$127+'MAR-Receitas'!$F$151+'MAR-Receitas'!$F$175+'MAR-Receitas'!$F$179-('MAR-Receitas'!F140)</f>
        <v>23479.41</v>
      </c>
      <c r="G6" s="12">
        <f>('ABR-Receitas'!$F$6-'ABR-Receitas'!$P$6-'ABR-Receitas'!$Q$6-'ABR-Receitas'!$R$6-'ABR-Receitas'!$S$6-'ABR-Receitas'!$T$6)+'ABR-Receitas'!$F$126+'ABR-Receitas'!$F$150+'ABR-Receitas'!$F$180+'ABR-Receitas'!$F$184-('ABR-Receitas'!$F126)</f>
        <v>22380.86</v>
      </c>
      <c r="H6" s="12">
        <f>('MAI-Receitas'!$F$6-'MAI-Receitas'!$P$6-'MAI-Receitas'!$Q$6-'MAI-Receitas'!$R$6-'MAI-Receitas'!$S$6-'MAI-Receitas'!$T$6)+'MAI-Receitas'!$F$124+'MAI-Receitas'!$F$149+'MAI-Receitas'!$F$179+'MAI-Receitas'!$F$183</f>
        <v>21585.889999999996</v>
      </c>
      <c r="I6" s="12">
        <f>('JUN-Receitas'!$F$6-'JUN-Receitas'!$P$6-'JUN-Receitas'!$Q$6-'JUN-Receitas'!$R$6-'JUN-Receitas'!$S$6-'JUN-Receitas'!$T$6)+'JUN-Receitas'!$F$126+'JUN-Receitas'!$F$152+'JUN-Receitas'!$F$182+'JUN-Receitas'!$F$186-('JUN-Receitas'!$F126)</f>
        <v>18361.599999999999</v>
      </c>
      <c r="J6" s="12">
        <f>('JUL-Receitas'!$F$6-'JUL-Receitas'!$P$6-'JUL-Receitas'!$Q$6-'JUL-Receitas'!$R$6-'JUL-Receitas'!$S$6-'JUL-Receitas'!$T$6)+'JUL-Receitas'!$F$7+'JUL-Receitas'!$F$16+'JUL-Receitas'!$F$25+'JUL-Receitas'!$F$29-('JUL-Receitas'!$F12)-'JUL-Receitas'!F27</f>
        <v>20599.940000000002</v>
      </c>
      <c r="K6" s="12">
        <f>('AGO-Receitas'!$F$6-'AGO-Receitas'!$P$6-'AGO-Receitas'!$Q$6-'AGO-Receitas'!$R$6-'AGO-Receitas'!$S$6-'AGO-Receitas'!$T$6)+'AGO-Receitas'!$F$126+'AGO-Receitas'!$F$154+'AGO-Receitas'!$F$184+'AGO-Receitas'!$F$188-('AGO-Receitas'!$F$170+'AGO-Receitas'!$F171+'AGO-Receitas'!$F$172+'AGO-Receitas'!$F139+'AGO-Receitas'!$F146)</f>
        <v>0</v>
      </c>
      <c r="L6" s="12">
        <f>('SET-Receitas'!$F$6-'SET-Receitas'!$P$6-'SET-Receitas'!$Q$6-'SET-Receitas'!$R$6-'SET-Receitas'!$S$6-'SET-Receitas'!$T$6)+'SET-Receitas'!$F$126+'SET-Receitas'!$F$154+'SET-Receitas'!$F$184+'SET-Receitas'!$F$188-('SET-Receitas'!$F171+'SET-Receitas'!$F$172+'SET-Receitas'!$F139+'SET-Receitas'!$F146)-'SET-Receitas'!$F184</f>
        <v>0</v>
      </c>
      <c r="M6" s="12">
        <f>('OUT-Receitas'!$F$6-'OUT-Receitas'!$P$6-'OUT-Receitas'!$Q$6-'OUT-Receitas'!$R$6-'OUT-Receitas'!$S$6-'OUT-Receitas'!$T$6)+'OUT-Receitas'!$F$126+'OUT-Receitas'!$F$154+'OUT-Receitas'!$F$184+'OUT-Receitas'!$F$188-('OUT-Receitas'!$F171+'OUT-Receitas'!$F$172+'OUT-Receitas'!$F139+'OUT-Receitas'!$F146)-'OUT-Receitas'!$F184-'OUT-Receitas'!$F170</f>
        <v>0</v>
      </c>
      <c r="N6" s="12">
        <f>('NOV-Receitas'!$F$6-'NOV-Receitas'!$P$6-'NOV-Receitas'!$Q$6-'NOV-Receitas'!$R$6-'NOV-Receitas'!$S$6-'NOV-Receitas'!$T$6)+'NOV-Receitas'!$F$125+'NOV-Receitas'!$F$153+'NOV-Receitas'!$F$183+'NOV-Receitas'!$F$187-('NOV-Receitas'!$F170+'NOV-Receitas'!$F$171+'NOV-Receitas'!$F138+'NOV-Receitas'!$F145)-'NOV-Receitas'!$F183-'NOV-Receitas'!F169</f>
        <v>0</v>
      </c>
      <c r="O6" s="12">
        <f>('DEZ-Receitas'!$F$6-'DEZ-Receitas'!$P$6-'DEZ-Receitas'!$Q$6-'DEZ-Receitas'!$R$6-'DEZ-Receitas'!$S$6-'DEZ-Receitas'!$T$6)+'DEZ-Receitas'!$F$125+'DEZ-Receitas'!$F$154+'DEZ-Receitas'!$F$184+'DEZ-Receitas'!$F$188-('DEZ-Receitas'!$F170+'DEZ-Receitas'!$F171+'DEZ-Receitas'!$F$172+'DEZ-Receitas'!$F173+'DEZ-Receitas'!$F139+'DEZ-Receitas'!$F146+'DEZ-Receitas'!$F184+'DEZ-Receitas'!$F129)</f>
        <v>0</v>
      </c>
    </row>
    <row r="7" spans="1:24" ht="14.4" x14ac:dyDescent="0.3">
      <c r="A7" s="3"/>
      <c r="B7" s="10" t="s">
        <v>45</v>
      </c>
      <c r="C7" s="11">
        <f>834.599999999999+SUM(D7:O7)-SUM(D18:O18)</f>
        <v>1020.9099999999985</v>
      </c>
      <c r="D7" s="12">
        <f>'JAN-Receitas'!$P$6</f>
        <v>152.35999999999996</v>
      </c>
      <c r="E7" s="12">
        <f>'FEV-Receitas'!$P$6</f>
        <v>223.25999999999996</v>
      </c>
      <c r="F7" s="12">
        <f>'MAR-Receitas'!$P$6</f>
        <v>178.93999999999994</v>
      </c>
      <c r="G7" s="12">
        <f>'ABR-Receitas'!$P$6</f>
        <v>191.75999999999996</v>
      </c>
      <c r="H7" s="12">
        <f>'MAI-Receitas'!$P$6</f>
        <v>178.73999999999995</v>
      </c>
      <c r="I7" s="12">
        <f>'JUN-Receitas'!$P$6</f>
        <v>212.31999999999994</v>
      </c>
      <c r="J7" s="12">
        <f>'JUL-Receitas'!$P$6</f>
        <v>179.05999999999995</v>
      </c>
      <c r="K7" s="12">
        <f>'AGO-Receitas'!$P$6</f>
        <v>0</v>
      </c>
      <c r="L7" s="12">
        <f>'SET-Receitas'!$P$6+('SET-Receitas'!$F$171+'SET-Receitas'!$F$172)</f>
        <v>0</v>
      </c>
      <c r="M7" s="12">
        <f>'OUT-Receitas'!$P$6+('OUT-Receitas'!$F$171+'OUT-Receitas'!$F$172)+'OUT-Receitas'!$F170</f>
        <v>0</v>
      </c>
      <c r="N7" s="12">
        <f>'NOV-Receitas'!$P$6+('NOV-Receitas'!$F$170+'NOV-Receitas'!$F$171)</f>
        <v>0</v>
      </c>
      <c r="O7" s="12">
        <f>'DEZ-Receitas'!$P$6+('DEZ-Receitas'!$F$171+'DEZ-Receitas'!$F$172)</f>
        <v>0</v>
      </c>
    </row>
    <row r="8" spans="1:24" ht="14.4" x14ac:dyDescent="0.3">
      <c r="A8" s="3"/>
      <c r="B8" s="10" t="s">
        <v>46</v>
      </c>
      <c r="C8" s="11">
        <f>903.41+SUM(D8:O8)-SUM(D19:O19)-SUM(D15:O15)</f>
        <v>1370.4099999999999</v>
      </c>
      <c r="D8" s="12">
        <f>'JAN-Receitas'!$Q$6</f>
        <v>155</v>
      </c>
      <c r="E8" s="12">
        <f>'FEV-Receitas'!$Q$6</f>
        <v>215</v>
      </c>
      <c r="F8" s="12">
        <f>'MAR-Receitas'!$Q$6</f>
        <v>170</v>
      </c>
      <c r="G8" s="12">
        <f>'ABR-Receitas'!$Q$6</f>
        <v>190</v>
      </c>
      <c r="H8" s="12">
        <f>'MAI-Receitas'!$Q$6</f>
        <v>150</v>
      </c>
      <c r="I8" s="12">
        <f>'JUN-Receitas'!$Q$6</f>
        <v>195</v>
      </c>
      <c r="J8" s="12">
        <f>'JUL-Receitas'!$Q$6</f>
        <v>160</v>
      </c>
      <c r="K8" s="12">
        <f>'AGO-Receitas'!$Q$6</f>
        <v>0</v>
      </c>
      <c r="L8" s="12">
        <f>'SET-Receitas'!$Q$6</f>
        <v>0</v>
      </c>
      <c r="M8" s="12">
        <f>'OUT-Receitas'!$Q$6</f>
        <v>0</v>
      </c>
      <c r="N8" s="12">
        <f>'NOV-Receitas'!$Q$6</f>
        <v>0</v>
      </c>
      <c r="O8" s="12">
        <f>'DEZ-Receitas'!$Q$6</f>
        <v>0</v>
      </c>
    </row>
    <row r="9" spans="1:24" ht="14.4" x14ac:dyDescent="0.3">
      <c r="A9" s="3"/>
      <c r="B9" s="10" t="s">
        <v>47</v>
      </c>
      <c r="C9" s="11">
        <f>2242.53+SUM(D9:O9)-SUM(D20:O20)</f>
        <v>866.5300000000002</v>
      </c>
      <c r="D9" s="12">
        <f>'JAN-Receitas'!$R$6+('JAN-Receitas'!$F$166+'JAN-Receitas'!$F$167)</f>
        <v>259</v>
      </c>
      <c r="E9" s="12">
        <f>'FEV-Receitas'!$R$6</f>
        <v>260</v>
      </c>
      <c r="F9" s="12">
        <f>'MAR-Receitas'!$R$6</f>
        <v>205</v>
      </c>
      <c r="G9" s="12">
        <f>'ABR-Receitas'!$R$6</f>
        <v>210</v>
      </c>
      <c r="H9" s="12">
        <f>'MAI-Receitas'!$R$6</f>
        <v>175</v>
      </c>
      <c r="I9" s="12">
        <f>'JUN-Receitas'!$R$6</f>
        <v>195</v>
      </c>
      <c r="J9" s="12">
        <f>'JUL-Receitas'!$R$6</f>
        <v>160</v>
      </c>
      <c r="K9" s="12">
        <f>'AGO-Receitas'!$R$6+('AGO-Receitas'!$F$170+'AGO-Receitas'!$F$171+'AGO-Receitas'!$F$172)</f>
        <v>0</v>
      </c>
      <c r="L9" s="12">
        <f>'SET-Receitas'!$R$6</f>
        <v>0</v>
      </c>
      <c r="M9" s="12">
        <f>'OUT-Receitas'!$R$6</f>
        <v>0</v>
      </c>
      <c r="N9" s="12">
        <f>'NOV-Receitas'!$R$6</f>
        <v>0</v>
      </c>
      <c r="O9" s="12">
        <f>'DEZ-Receitas'!$R$6</f>
        <v>0</v>
      </c>
    </row>
    <row r="10" spans="1:24" ht="14.4" x14ac:dyDescent="0.3">
      <c r="A10" s="3"/>
      <c r="B10" s="10" t="s">
        <v>48</v>
      </c>
      <c r="C10" s="11">
        <f>1500.49+SUM(D10:O10)-SUM(D21:O21)</f>
        <v>626.64999999999964</v>
      </c>
      <c r="D10" s="12">
        <f>'JAN-Receitas'!$S$6</f>
        <v>217</v>
      </c>
      <c r="E10" s="12">
        <f>'FEV-Receitas'!$S$6</f>
        <v>297</v>
      </c>
      <c r="F10" s="12">
        <f>'MAR-Receitas'!$S$6</f>
        <v>262</v>
      </c>
      <c r="G10" s="12">
        <f>'ABR-Receitas'!$S$6</f>
        <v>297</v>
      </c>
      <c r="H10" s="12">
        <f>'MAI-Receitas'!$S$6</f>
        <v>227</v>
      </c>
      <c r="I10" s="12">
        <f>'JUN-Receitas'!$S$6</f>
        <v>307</v>
      </c>
      <c r="J10" s="12">
        <f>'JUL-Receitas'!$S$6+'JUL-Receitas'!F27</f>
        <v>1072</v>
      </c>
      <c r="K10" s="12">
        <f>'AGO-Receitas'!$S$6</f>
        <v>0</v>
      </c>
      <c r="L10" s="12">
        <f>'SET-Receitas'!$S$6</f>
        <v>0</v>
      </c>
      <c r="M10" s="12">
        <f>'OUT-Receitas'!$S$6</f>
        <v>0</v>
      </c>
      <c r="N10" s="12">
        <f>'NOV-Receitas'!$S$6</f>
        <v>0</v>
      </c>
      <c r="O10" s="12">
        <f>'DEZ-Receitas'!$S$6</f>
        <v>0</v>
      </c>
    </row>
    <row r="11" spans="1:24" ht="14.4" x14ac:dyDescent="0.3">
      <c r="A11" s="3"/>
      <c r="B11" s="10" t="s">
        <v>49</v>
      </c>
      <c r="C11" s="11">
        <f>-4382.56999999995+SUM(D11:O11)-SUM(D22:O22)</f>
        <v>-30456.53999999995</v>
      </c>
      <c r="D11" s="12">
        <f>'JAN-Receitas'!$T$6+'JAN-Receitas'!F169</f>
        <v>6580</v>
      </c>
      <c r="E11" s="12">
        <f>'FEV-Receitas'!$T$6</f>
        <v>610</v>
      </c>
      <c r="F11" s="12">
        <f>'MAR-Receitas'!$T$6+'MAR-Receitas'!F140</f>
        <v>1450</v>
      </c>
      <c r="G11" s="12">
        <f>'ABR-Receitas'!$T$6+'ABR-Receitas'!$F126</f>
        <v>15720.37</v>
      </c>
      <c r="H11" s="12">
        <f>'MAI-Receitas'!$T$6</f>
        <v>520</v>
      </c>
      <c r="I11" s="12">
        <f>'JUN-Receitas'!$T$6+'JUN-Receitas'!$F126</f>
        <v>27706.410000000003</v>
      </c>
      <c r="J11" s="12">
        <f>'JUL-Receitas'!$T$6+'JUL-Receitas'!$F12</f>
        <v>13543.999999999998</v>
      </c>
      <c r="K11" s="12">
        <f>'AGO-Receitas'!$T$6+'AGO-Receitas'!$F139+'AGO-Receitas'!$F146</f>
        <v>0</v>
      </c>
      <c r="L11" s="12">
        <f>'SET-Receitas'!$T$6+'SET-Receitas'!$F139+'SET-Receitas'!$F146+'SET-Receitas'!$F184</f>
        <v>0</v>
      </c>
      <c r="M11" s="12">
        <f>'OUT-Receitas'!$T$6+'OUT-Receitas'!$F139+'OUT-Receitas'!$F146+'OUT-Receitas'!$F184</f>
        <v>0</v>
      </c>
      <c r="N11" s="12">
        <f>'NOV-Receitas'!$T$6+'NOV-Receitas'!$F138+'NOV-Receitas'!$F145+'NOV-Receitas'!$F183+'NOV-Receitas'!F169</f>
        <v>0</v>
      </c>
      <c r="O11" s="12">
        <f>'DEZ-Receitas'!$T$6+'DEZ-Receitas'!$F170+'DEZ-Receitas'!$F171+'DEZ-Receitas'!$F$172+'DEZ-Receitas'!$F173+'DEZ-Receitas'!$F139+'DEZ-Receitas'!$F146+'DEZ-Receitas'!$F184+'DEZ-Receitas'!$F129</f>
        <v>0</v>
      </c>
    </row>
    <row r="12" spans="1:24" ht="14.4" x14ac:dyDescent="0.3">
      <c r="C12" s="18"/>
    </row>
    <row r="13" spans="1:24" ht="20.399999999999999" x14ac:dyDescent="0.3">
      <c r="A13" s="3"/>
      <c r="B13" s="31" t="s">
        <v>50</v>
      </c>
      <c r="C13" s="32" t="s">
        <v>43</v>
      </c>
      <c r="D13" s="32">
        <f t="shared" ref="D13:O13" si="2">SUM(D14:D22)</f>
        <v>57344.600000000006</v>
      </c>
      <c r="E13" s="32">
        <f t="shared" si="2"/>
        <v>23123.129999999997</v>
      </c>
      <c r="F13" s="32">
        <f t="shared" si="2"/>
        <v>29007.510000000002</v>
      </c>
      <c r="G13" s="32">
        <f t="shared" si="2"/>
        <v>35767.86</v>
      </c>
      <c r="H13" s="32">
        <f t="shared" si="2"/>
        <v>19129.049999999996</v>
      </c>
      <c r="I13" s="32">
        <f t="shared" si="2"/>
        <v>29745.659999999996</v>
      </c>
      <c r="J13" s="32">
        <f t="shared" si="2"/>
        <v>53257.930000000008</v>
      </c>
      <c r="K13" s="32">
        <f t="shared" si="2"/>
        <v>0</v>
      </c>
      <c r="L13" s="32">
        <f t="shared" si="2"/>
        <v>0</v>
      </c>
      <c r="M13" s="32">
        <f t="shared" si="2"/>
        <v>0</v>
      </c>
      <c r="N13" s="32">
        <f t="shared" si="2"/>
        <v>0</v>
      </c>
      <c r="O13" s="32">
        <f t="shared" si="2"/>
        <v>0</v>
      </c>
    </row>
    <row r="14" spans="1:24" ht="14.4" x14ac:dyDescent="0.3">
      <c r="A14" s="3"/>
      <c r="B14" s="10" t="s">
        <v>44</v>
      </c>
      <c r="C14" s="214" t="s">
        <v>43</v>
      </c>
      <c r="D14" s="12">
        <f>'JAN-Despesas'!$F$6+SUM('JAN-Despesas'!$F$17:$F$28)+'JAN-Despesas'!$F$34+'JAN-Despesas'!$F$38+'JAN-Despesas'!$F$63+'JAN-Despesas'!$F$93+'JAN-Despesas'!$F$108+'JAN-Despesas'!$F$160+'JAN-Despesas'!$F$166+'JAN-Despesas'!$F$182+'JAN-Despesas'!$F$192+'JAN-Despesas'!$F$222+'JAN-Despesas'!$F$271+'JAN-Despesas'!$F$32</f>
        <v>36029.600000000006</v>
      </c>
      <c r="E14" s="12">
        <f>'FEV-Despesas'!$F$6+SUM('FEV-Despesas'!$F$17:$F$28)+'FEV-Despesas'!$F$34+'FEV-Despesas'!$F$38+'FEV-Despesas'!$F$63+'FEV-Despesas'!$F$93+'FEV-Despesas'!$F$119+'FEV-Despesas'!$F$174+'FEV-Despesas'!$F$180+'FEV-Despesas'!$F$196+'FEV-Despesas'!$F$206+'FEV-Despesas'!$F$236+'FEV-Despesas'!$F$277+'FEV-Despesas'!$F$32</f>
        <v>16504.07</v>
      </c>
      <c r="F14" s="12">
        <f>'MAR-Despesas'!$F$6+SUM('MAR-Despesas'!$F$17:$F$28)+'MAR-Despesas'!$F$34+'MAR-Despesas'!$F$38+'MAR-Despesas'!$F$63+'MAR-Despesas'!$F$93+'MAR-Despesas'!$F$119+'MAR-Despesas'!$F$173+'MAR-Despesas'!$F$179+'MAR-Despesas'!$F$195+'MAR-Despesas'!$F$205+'MAR-Despesas'!$F$235+'MAR-Despesas'!$F$276+'MAR-Despesas'!$F$32+'MAR-Despesas'!$F$33</f>
        <v>17840.750000000004</v>
      </c>
      <c r="G14" s="12">
        <f>'ABR-Despesas'!$F$6+SUM('ABR-Despesas'!$F$17:$F$28)+'ABR-Despesas'!$F$34+'ABR-Despesas'!$F$38+'ABR-Despesas'!$F$63+'ABR-Despesas'!$F$85+'ABR-Despesas'!$F$111+'ABR-Despesas'!$F$169+'ABR-Despesas'!$F$175+'ABR-Despesas'!$F$214+'ABR-Despesas'!$F$224+'ABR-Despesas'!$F$254+'ABR-Despesas'!$F$305+'ABR-Despesas'!$F$32-'ABR-Despesas'!F285-'ABR-Despesas'!F175+'ABR-Despesas'!F33</f>
        <v>14473.149999999998</v>
      </c>
      <c r="H14" s="12">
        <f>'MAI-Despesas'!$F$6+SUM('MAI-Despesas'!$F$17:$F$28)+'MAI-Despesas'!$F$34+'MAI-Despesas'!$F$38+'MAI-Despesas'!$F$63+'MAI-Despesas'!$F$87+'MAI-Despesas'!$F$113+'MAI-Despesas'!$F$183+'MAI-Despesas'!$F$189+'MAI-Despesas'!$F$228+'MAI-Despesas'!$F$238+'MAI-Despesas'!$F$268+'MAI-Despesas'!$F$319+'MAI-Despesas'!$F$32</f>
        <v>14836.439999999997</v>
      </c>
      <c r="I14" s="12">
        <f>'JUN-Despesas'!$F$6+SUM('JUN-Despesas'!$F$17:$F$28)+'JUN-Despesas'!$F$33+'JUN-Despesas'!$F$34+'JUN-Despesas'!$F$38+'JUN-Despesas'!$F$63+'JUN-Despesas'!$F$87+'JUN-Despesas'!$F$113+'JUN-Despesas'!$F$174+'JUN-Despesas'!$F$180+'JUN-Despesas'!$F$219+'JUN-Despesas'!$F$229+'JUN-Despesas'!$F$259+'JUN-Despesas'!$F$310+'JUN-Despesas'!$F$32-'JUN-Despesas'!$F$259</f>
        <v>14405.449999999999</v>
      </c>
      <c r="J14" s="12">
        <f>'JUL-Despesas'!$F$6+SUM('JUL-Despesas'!$F$13:$F$18)+'JUL-Despesas'!$F$22+'JUL-Despesas'!$F$24+'JUL-Despesas'!$F$32+'JUL-Despesas'!$F$52+'JUL-Despesas'!$F$70+'JUL-Despesas'!$F$87+'JUL-Despesas'!$F$93+'JUL-Despesas'!$F$21-'JUL-Despesas'!$F$92</f>
        <v>20703.100000000002</v>
      </c>
      <c r="K14" s="12">
        <f>'AGO-Despesas'!$F$6+SUM('AGO-Despesas'!$F$17:$F$27)+'AGO-Despesas'!$F$33+'AGO-Despesas'!$F$37+'AGO-Despesas'!$F$62+'AGO-Despesas'!$F$89+'AGO-Despesas'!$F$115+'AGO-Despesas'!$F$176+'AGO-Despesas'!$F$182+'AGO-Despesas'!$F$221+'AGO-Despesas'!$F$231+'AGO-Despesas'!$F$261+'AGO-Despesas'!$F$324+'AGO-Despesas'!$F$31-'AGO-Despesas'!$F$292-'AGO-Despesas'!$F$315</f>
        <v>0</v>
      </c>
      <c r="L14" s="12">
        <f>'SET-Despesas'!$F$6+SUM('SET-Despesas'!$F$17:$F$27)+'SET-Despesas'!$F$33+'SET-Despesas'!$F$37+'SET-Despesas'!$F$62+'SET-Despesas'!$F$89+'SET-Despesas'!$F$115+'SET-Despesas'!$F$176+'SET-Despesas'!$F$182+'SET-Despesas'!$F$221+'SET-Despesas'!$F$231+'SET-Despesas'!$F$261+'SET-Despesas'!$F$324+'SET-Despesas'!$F$31-'SET-Despesas'!$F$292-'SET-Despesas'!$F$315</f>
        <v>0</v>
      </c>
      <c r="M14" s="12">
        <f>'OUT-Despesas'!$F$6+SUM('OUT-Despesas'!$F$17:$F$27)+'OUT-Despesas'!$F$33+'OUT-Despesas'!$F$37+'OUT-Despesas'!$F$62+'OUT-Despesas'!$F$89+'OUT-Despesas'!$F$115+'OUT-Despesas'!$F$176+'OUT-Despesas'!$F$182+'OUT-Despesas'!$F$221+'OUT-Despesas'!$F$231+'OUT-Despesas'!$F$261+'OUT-Despesas'!$F$324+'OUT-Despesas'!$F$31+'OUT-Despesas'!$F$32-'OUT-Despesas'!$F$292-'OUT-Despesas'!$F$315</f>
        <v>0</v>
      </c>
      <c r="N14" s="12">
        <f>'NOV-Despesas'!$F$6+SUM('NOV-Despesas'!$F$17:$F$28)+'NOV-Despesas'!$F$34+'NOV-Despesas'!$F$38+'NOV-Despesas'!$F$63+'NOV-Despesas'!$F$90+'NOV-Despesas'!$F$116+'NOV-Despesas'!$F$179+'NOV-Despesas'!$F$185+'NOV-Despesas'!$F$224+'NOV-Despesas'!$F$234+'NOV-Despesas'!$F$264+'NOV-Despesas'!$F$327+'NOV-Despesas'!$F$32+'NOV-Despesas'!$F$33-'NOV-Despesas'!$F$295-'NOV-Despesas'!$F$318-'NOV-Despesas'!F35</f>
        <v>0</v>
      </c>
      <c r="O14" s="12">
        <f>'DEZ-Despesas'!$F$6+SUM('DEZ-Despesas'!$F$17:$F$28)+'DEZ-Despesas'!$F$34+'DEZ-Despesas'!$F$38+'DEZ-Despesas'!$F$63+'DEZ-Despesas'!$F$90+'DEZ-Despesas'!$F$116+'DEZ-Despesas'!$F$179+'DEZ-Despesas'!$F$185+'DEZ-Despesas'!$F$224+'DEZ-Despesas'!$F$234+'DEZ-Despesas'!$F$327+'DEZ-Despesas'!$F$32+'DEZ-Despesas'!$F$33</f>
        <v>0</v>
      </c>
    </row>
    <row r="15" spans="1:24" ht="14.4" x14ac:dyDescent="0.3">
      <c r="A15" s="3"/>
      <c r="B15" s="10" t="s">
        <v>51</v>
      </c>
      <c r="C15" s="215"/>
      <c r="D15" s="12">
        <f>'JAN-Despesas'!$F$29</f>
        <v>117</v>
      </c>
      <c r="E15" s="12">
        <f>'FEV-Despesas'!$F$29</f>
        <v>84</v>
      </c>
      <c r="F15" s="12">
        <f>'MAR-Despesas'!$F$29</f>
        <v>117</v>
      </c>
      <c r="G15" s="12">
        <f>'ABR-Despesas'!$F$29</f>
        <v>117</v>
      </c>
      <c r="H15" s="12">
        <f>'MAI-Despesas'!$F$29</f>
        <v>108</v>
      </c>
      <c r="I15" s="12">
        <f>'JUN-Despesas'!$F$29</f>
        <v>108</v>
      </c>
      <c r="J15" s="12">
        <f>'JUL-Despesas'!$F$19</f>
        <v>117</v>
      </c>
      <c r="K15" s="12">
        <f>'AGO-Despesas'!$F$28</f>
        <v>0</v>
      </c>
      <c r="L15" s="12">
        <f>'SET-Despesas'!$F$28</f>
        <v>0</v>
      </c>
      <c r="M15" s="12">
        <f>'OUT-Despesas'!$F$28</f>
        <v>0</v>
      </c>
      <c r="N15" s="12">
        <f>'NOV-Despesas'!$F$29</f>
        <v>0</v>
      </c>
      <c r="O15" s="12">
        <f>'DEZ-Despesas'!$F$29</f>
        <v>0</v>
      </c>
    </row>
    <row r="16" spans="1:24" ht="14.4" x14ac:dyDescent="0.3">
      <c r="A16" s="3"/>
      <c r="B16" s="10" t="s">
        <v>52</v>
      </c>
      <c r="C16" s="215"/>
      <c r="D16" s="12">
        <f>'JAN-Despesas'!$F$30</f>
        <v>2263.27</v>
      </c>
      <c r="E16" s="12">
        <f>'FEV-Despesas'!$F$30</f>
        <v>0</v>
      </c>
      <c r="F16" s="12">
        <f>'MAR-Despesas'!$F$30</f>
        <v>2048</v>
      </c>
      <c r="G16" s="12">
        <f>'ABR-Despesas'!$F$30</f>
        <v>2095.3000000000002</v>
      </c>
      <c r="H16" s="12">
        <f>'MAI-Despesas'!$F$30</f>
        <v>2289.3200000000002</v>
      </c>
      <c r="I16" s="12">
        <f>'JUN-Despesas'!$F$30</f>
        <v>0</v>
      </c>
      <c r="J16" s="12">
        <f>'JUL-Despesas'!$F$20</f>
        <v>1469.75</v>
      </c>
      <c r="K16" s="12">
        <f>'AGO-Despesas'!$F$29</f>
        <v>0</v>
      </c>
      <c r="L16" s="12">
        <f>'SET-Despesas'!$F$29</f>
        <v>0</v>
      </c>
      <c r="M16" s="12">
        <f>'OUT-Despesas'!$F$29</f>
        <v>0</v>
      </c>
      <c r="N16" s="12">
        <f>'NOV-Despesas'!$F$30</f>
        <v>0</v>
      </c>
      <c r="O16" s="12">
        <f>'DEZ-Despesas'!$F$30</f>
        <v>0</v>
      </c>
    </row>
    <row r="17" spans="1:15" ht="14.4" x14ac:dyDescent="0.3">
      <c r="A17" s="3"/>
      <c r="B17" s="10" t="s">
        <v>53</v>
      </c>
      <c r="C17" s="215"/>
      <c r="D17" s="12">
        <f>'JAN-Despesas'!$F$31</f>
        <v>0</v>
      </c>
      <c r="E17" s="12">
        <f>'FEV-Despesas'!$F$31</f>
        <v>0</v>
      </c>
      <c r="F17" s="12">
        <f>'MAR-Despesas'!$F$31</f>
        <v>1921.8200000000002</v>
      </c>
      <c r="G17" s="12">
        <f>'ABR-Despesas'!$F$31</f>
        <v>0</v>
      </c>
      <c r="H17" s="12">
        <f>'MAI-Despesas'!$F$31</f>
        <v>0</v>
      </c>
      <c r="I17" s="12">
        <f>'JUN-Despesas'!$F$31</f>
        <v>0</v>
      </c>
      <c r="J17" s="12">
        <v>0</v>
      </c>
      <c r="K17" s="12">
        <f>'AGO-Despesas'!$F$30</f>
        <v>0</v>
      </c>
      <c r="L17" s="12">
        <f>'SET-Despesas'!$F$30</f>
        <v>0</v>
      </c>
      <c r="M17" s="12">
        <f>'OUT-Despesas'!$F$30</f>
        <v>0</v>
      </c>
      <c r="N17" s="12">
        <f>'NOV-Despesas'!$F$31</f>
        <v>0</v>
      </c>
      <c r="O17" s="12">
        <f>'DEZ-Despesas'!$F$31</f>
        <v>0</v>
      </c>
    </row>
    <row r="18" spans="1:15" ht="14.4" x14ac:dyDescent="0.3">
      <c r="A18" s="3"/>
      <c r="B18" s="10" t="s">
        <v>45</v>
      </c>
      <c r="C18" s="215"/>
      <c r="D18" s="12">
        <f>'JAN-Despesas'!$F$172</f>
        <v>0</v>
      </c>
      <c r="E18" s="12">
        <f>'FEV-Despesas'!$F$186</f>
        <v>100</v>
      </c>
      <c r="F18" s="12">
        <f>'MAR-Despesas'!$F$185</f>
        <v>100</v>
      </c>
      <c r="G18" s="12">
        <f>'ABR-Despesas'!$F$204</f>
        <v>100</v>
      </c>
      <c r="H18" s="12">
        <f>'MAI-Despesas'!$F$218</f>
        <v>100</v>
      </c>
      <c r="I18" s="12">
        <f>'JUN-Despesas'!$F$209</f>
        <v>630.13</v>
      </c>
      <c r="J18" s="12">
        <f>'JUL-Despesas'!$F$82</f>
        <v>100</v>
      </c>
      <c r="K18" s="12">
        <f>'AGO-Despesas'!$F$211</f>
        <v>0</v>
      </c>
      <c r="L18" s="12">
        <f>'SET-Despesas'!$F$211</f>
        <v>0</v>
      </c>
      <c r="M18" s="12">
        <f>'OUT-Despesas'!$F$211</f>
        <v>0</v>
      </c>
      <c r="N18" s="12">
        <f>'NOV-Despesas'!$F$214</f>
        <v>0</v>
      </c>
      <c r="O18" s="12">
        <f>'DEZ-Despesas'!$F$214</f>
        <v>0</v>
      </c>
    </row>
    <row r="19" spans="1:15" ht="14.4" x14ac:dyDescent="0.3">
      <c r="A19" s="3"/>
      <c r="B19" s="10" t="s">
        <v>46</v>
      </c>
      <c r="C19" s="215"/>
      <c r="D19" s="12">
        <f>'JAN-Despesas'!$F$213</f>
        <v>0</v>
      </c>
      <c r="E19" s="12">
        <f>'FEV-Despesas'!$F$227</f>
        <v>0</v>
      </c>
      <c r="F19" s="12">
        <f>'MAR-Despesas'!$F$226</f>
        <v>0</v>
      </c>
      <c r="G19" s="12">
        <f>'ABR-Despesas'!$F$245</f>
        <v>0</v>
      </c>
      <c r="H19" s="12">
        <f>'MAI-Despesas'!$F$258</f>
        <v>0</v>
      </c>
      <c r="I19" s="12">
        <f>'JUN-Despesas'!$F$250</f>
        <v>0</v>
      </c>
      <c r="J19" s="12">
        <v>0</v>
      </c>
      <c r="K19" s="12">
        <f>'AGO-Despesas'!$F$251</f>
        <v>0</v>
      </c>
      <c r="L19" s="12">
        <f>'SET-Despesas'!$F$251</f>
        <v>0</v>
      </c>
      <c r="M19" s="12">
        <f>'OUT-Despesas'!$F$251</f>
        <v>0</v>
      </c>
      <c r="N19" s="12">
        <f>'NOV-Despesas'!$F$254</f>
        <v>0</v>
      </c>
      <c r="O19" s="12">
        <f>'DEZ-Despesas'!$F$254</f>
        <v>0</v>
      </c>
    </row>
    <row r="20" spans="1:15" ht="14.4" x14ac:dyDescent="0.3">
      <c r="A20" s="3"/>
      <c r="B20" s="10" t="s">
        <v>47</v>
      </c>
      <c r="C20" s="215"/>
      <c r="D20" s="12">
        <f>'JAN-Despesas'!$F$202</f>
        <v>160</v>
      </c>
      <c r="E20" s="12">
        <f>'FEV-Despesas'!$F$216</f>
        <v>0</v>
      </c>
      <c r="F20" s="12">
        <f>'MAR-Despesas'!$F$215</f>
        <v>800</v>
      </c>
      <c r="G20" s="12">
        <f>'ABR-Despesas'!$F$234</f>
        <v>1240</v>
      </c>
      <c r="H20" s="12">
        <f>'MAI-Despesas'!$F$248</f>
        <v>80</v>
      </c>
      <c r="I20" s="12">
        <f>'JUN-Despesas'!$F$239</f>
        <v>400</v>
      </c>
      <c r="J20" s="12">
        <f>'JUL-Despesas'!$F$84</f>
        <v>160</v>
      </c>
      <c r="K20" s="12">
        <f>'AGO-Despesas'!$F$241</f>
        <v>0</v>
      </c>
      <c r="L20" s="12">
        <f>'SET-Despesas'!$F$241</f>
        <v>0</v>
      </c>
      <c r="M20" s="12">
        <f>'OUT-Despesas'!$F$241</f>
        <v>0</v>
      </c>
      <c r="N20" s="12">
        <f>'NOV-Despesas'!$F$244</f>
        <v>0</v>
      </c>
      <c r="O20" s="12">
        <f>'DEZ-Despesas'!$F$244</f>
        <v>0</v>
      </c>
    </row>
    <row r="21" spans="1:15" ht="15.75" customHeight="1" x14ac:dyDescent="0.3">
      <c r="A21" s="3"/>
      <c r="B21" s="10" t="s">
        <v>48</v>
      </c>
      <c r="C21" s="215"/>
      <c r="D21" s="12">
        <f>'JAN-Despesas'!$F$125</f>
        <v>0</v>
      </c>
      <c r="E21" s="12">
        <f>'FEV-Despesas'!$F$137</f>
        <v>513.21</v>
      </c>
      <c r="F21" s="12">
        <f>'MAR-Despesas'!$F$136</f>
        <v>513.21</v>
      </c>
      <c r="G21" s="12">
        <f>'ABR-Despesas'!$F$134</f>
        <v>513.21</v>
      </c>
      <c r="H21" s="12">
        <f>'MAI-Despesas'!$F$148</f>
        <v>513.21</v>
      </c>
      <c r="I21" s="12">
        <f>'JUN-Despesas'!$F$139</f>
        <v>0</v>
      </c>
      <c r="J21" s="12">
        <f>'JUL-Despesas'!$F$61</f>
        <v>1500</v>
      </c>
      <c r="K21" s="12">
        <f>'AGO-Despesas'!$F$141</f>
        <v>0</v>
      </c>
      <c r="L21" s="12">
        <f>'SET-Despesas'!$F$141</f>
        <v>0</v>
      </c>
      <c r="M21" s="12">
        <f>'OUT-Despesas'!$F$141</f>
        <v>0</v>
      </c>
      <c r="N21" s="12">
        <f>'NOV-Despesas'!$F$144</f>
        <v>0</v>
      </c>
      <c r="O21" s="12">
        <f>'DEZ-Despesas'!$F$144</f>
        <v>0</v>
      </c>
    </row>
    <row r="22" spans="1:15" ht="15.75" customHeight="1" x14ac:dyDescent="0.3">
      <c r="A22" s="3"/>
      <c r="B22" s="10" t="s">
        <v>49</v>
      </c>
      <c r="C22" s="216"/>
      <c r="D22" s="12">
        <f>'JAN-Despesas'!$F$135</f>
        <v>18774.73</v>
      </c>
      <c r="E22" s="12">
        <f>'FEV-Despesas'!$F$147</f>
        <v>5921.8499999999995</v>
      </c>
      <c r="F22" s="12">
        <f>'MAR-Despesas'!$F$146</f>
        <v>5666.7300000000005</v>
      </c>
      <c r="G22" s="12">
        <f>'ABR-Despesas'!$F$144+'ABR-Despesas'!F285+'ABR-Despesas'!F175</f>
        <v>17229.2</v>
      </c>
      <c r="H22" s="12">
        <f>'MAI-Despesas'!$F$158</f>
        <v>1202.08</v>
      </c>
      <c r="I22" s="12">
        <f>'JUN-Despesas'!$F$149+'JUN-Despesas'!$F$259</f>
        <v>14202.08</v>
      </c>
      <c r="J22" s="12">
        <f>'JUL-Despesas'!$F$64+'JUL-Despesas'!$F$92</f>
        <v>29208.080000000002</v>
      </c>
      <c r="K22" s="12">
        <f>'AGO-Despesas'!$F$151+'AGO-Despesas'!$F$292+'AGO-Despesas'!$F$315</f>
        <v>0</v>
      </c>
      <c r="L22" s="12">
        <f>'SET-Despesas'!$F$151+'SET-Despesas'!$F$292+'SET-Despesas'!$F$315</f>
        <v>0</v>
      </c>
      <c r="M22" s="12">
        <f>'OUT-Despesas'!$F$151+'OUT-Despesas'!$F$292+'OUT-Despesas'!$F$315</f>
        <v>0</v>
      </c>
      <c r="N22" s="12">
        <f>'NOV-Despesas'!$F$154+'NOV-Despesas'!$F$295+'NOV-Despesas'!$F$318+'NOV-Despesas'!$F$35</f>
        <v>0</v>
      </c>
      <c r="O22" s="12">
        <f>'DEZ-Despesas'!$F$154+'DEZ-Despesas'!$F$264</f>
        <v>0</v>
      </c>
    </row>
    <row r="23" spans="1:15" ht="15.75" customHeight="1" x14ac:dyDescent="0.3">
      <c r="C23" s="18"/>
      <c r="K23" s="18"/>
      <c r="M23" s="18"/>
    </row>
    <row r="24" spans="1:15" ht="15.75" customHeight="1" x14ac:dyDescent="0.3">
      <c r="B24" s="217" t="s">
        <v>54</v>
      </c>
      <c r="C24" s="218"/>
      <c r="D24" s="218"/>
      <c r="E24" s="218"/>
      <c r="F24" s="218"/>
      <c r="G24" s="218"/>
      <c r="H24" s="218"/>
      <c r="I24" s="218"/>
      <c r="J24" s="218"/>
      <c r="K24" s="218"/>
      <c r="L24" s="218"/>
      <c r="M24" s="218"/>
      <c r="N24" s="218"/>
      <c r="O24" s="219"/>
    </row>
    <row r="25" spans="1:15" ht="15.75" customHeight="1" x14ac:dyDescent="0.3">
      <c r="B25" s="220"/>
      <c r="C25" s="221"/>
      <c r="D25" s="221"/>
      <c r="E25" s="221"/>
      <c r="F25" s="221"/>
      <c r="G25" s="221"/>
      <c r="H25" s="221"/>
      <c r="I25" s="221"/>
      <c r="J25" s="221"/>
      <c r="K25" s="221"/>
      <c r="L25" s="221"/>
      <c r="M25" s="221"/>
      <c r="N25" s="221"/>
      <c r="O25" s="222"/>
    </row>
    <row r="26" spans="1:15" ht="15.75" customHeight="1" x14ac:dyDescent="0.3"/>
    <row r="27" spans="1:15" ht="15.75" customHeight="1" x14ac:dyDescent="0.3">
      <c r="C27" s="18"/>
    </row>
    <row r="28" spans="1:15" ht="15.75" customHeight="1" x14ac:dyDescent="0.3"/>
    <row r="29" spans="1:15" ht="15.75" customHeight="1" x14ac:dyDescent="0.3">
      <c r="C29" s="18"/>
    </row>
    <row r="30" spans="1:15" ht="15.75" customHeight="1" x14ac:dyDescent="0.3">
      <c r="H30" s="18"/>
    </row>
    <row r="31" spans="1:15" ht="15.75" customHeight="1" x14ac:dyDescent="0.3"/>
    <row r="32" spans="1: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B2:B3"/>
    <mergeCell ref="C2:C3"/>
    <mergeCell ref="D2:O2"/>
    <mergeCell ref="C14:C22"/>
    <mergeCell ref="B24:O25"/>
  </mergeCells>
  <pageMargins left="0.511811024" right="0.511811024" top="0.78740157499999996" bottom="0.78740157499999996"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X1000"/>
  <sheetViews>
    <sheetView showGridLines="0" workbookViewId="0"/>
  </sheetViews>
  <sheetFormatPr defaultColWidth="14.44140625" defaultRowHeight="15" customHeight="1" x14ac:dyDescent="0.3"/>
  <cols>
    <col min="1" max="1" width="0.44140625" customWidth="1"/>
    <col min="2" max="2" width="40.33203125" customWidth="1"/>
    <col min="3" max="3" width="14.109375" customWidth="1"/>
    <col min="4" max="9" width="14.109375" hidden="1" customWidth="1"/>
    <col min="10" max="10" width="14.109375" customWidth="1"/>
    <col min="11" max="15" width="14.109375" hidden="1" customWidth="1"/>
    <col min="16" max="24" width="8.6640625" customWidth="1"/>
  </cols>
  <sheetData>
    <row r="1" spans="1:24" ht="2.25" customHeight="1" x14ac:dyDescent="0.3"/>
    <row r="2" spans="1:24" ht="15" customHeight="1" x14ac:dyDescent="0.3">
      <c r="A2" s="3"/>
      <c r="B2" s="205" t="s">
        <v>55</v>
      </c>
      <c r="C2" s="212" t="s">
        <v>40</v>
      </c>
      <c r="D2" s="213">
        <v>2025</v>
      </c>
      <c r="E2" s="210"/>
      <c r="F2" s="210"/>
      <c r="G2" s="210"/>
      <c r="H2" s="210"/>
      <c r="I2" s="210"/>
      <c r="J2" s="210"/>
      <c r="K2" s="210"/>
      <c r="L2" s="210"/>
      <c r="M2" s="210"/>
      <c r="N2" s="210"/>
      <c r="O2" s="211"/>
    </row>
    <row r="3" spans="1:24" ht="14.4" x14ac:dyDescent="0.3">
      <c r="A3" s="3"/>
      <c r="B3" s="206"/>
      <c r="C3" s="208"/>
      <c r="D3" s="4" t="s">
        <v>23</v>
      </c>
      <c r="E3" s="4" t="s">
        <v>24</v>
      </c>
      <c r="F3" s="5" t="s">
        <v>25</v>
      </c>
      <c r="G3" s="6" t="s">
        <v>26</v>
      </c>
      <c r="H3" s="6" t="s">
        <v>27</v>
      </c>
      <c r="I3" s="6" t="s">
        <v>28</v>
      </c>
      <c r="J3" s="6" t="s">
        <v>29</v>
      </c>
      <c r="K3" s="6" t="s">
        <v>30</v>
      </c>
      <c r="L3" s="6" t="s">
        <v>31</v>
      </c>
      <c r="M3" s="6" t="s">
        <v>32</v>
      </c>
      <c r="N3" s="6" t="s">
        <v>33</v>
      </c>
      <c r="O3" s="6" t="s">
        <v>34</v>
      </c>
    </row>
    <row r="4" spans="1:24" ht="19.5" customHeight="1" x14ac:dyDescent="0.3">
      <c r="A4" s="3"/>
      <c r="B4" s="25" t="s">
        <v>41</v>
      </c>
      <c r="C4" s="33">
        <f>2724.62+SUM(D4:O4)</f>
        <v>614.19999999999982</v>
      </c>
      <c r="D4" s="26">
        <f t="shared" ref="D4:O4" si="0">D5-D16</f>
        <v>2809.58</v>
      </c>
      <c r="E4" s="26">
        <f t="shared" si="0"/>
        <v>-3850</v>
      </c>
      <c r="F4" s="26">
        <f t="shared" si="0"/>
        <v>-957</v>
      </c>
      <c r="G4" s="26">
        <f t="shared" si="0"/>
        <v>-305</v>
      </c>
      <c r="H4" s="26">
        <f t="shared" si="0"/>
        <v>112</v>
      </c>
      <c r="I4" s="26">
        <f t="shared" si="0"/>
        <v>80</v>
      </c>
      <c r="J4" s="26">
        <f t="shared" si="0"/>
        <v>0</v>
      </c>
      <c r="K4" s="26">
        <f t="shared" si="0"/>
        <v>0</v>
      </c>
      <c r="L4" s="26">
        <f t="shared" si="0"/>
        <v>0</v>
      </c>
      <c r="M4" s="26">
        <f t="shared" si="0"/>
        <v>0</v>
      </c>
      <c r="N4" s="26">
        <f t="shared" si="0"/>
        <v>0</v>
      </c>
      <c r="O4" s="26">
        <f t="shared" si="0"/>
        <v>0</v>
      </c>
      <c r="P4" s="3"/>
      <c r="Q4" s="3"/>
      <c r="R4" s="3"/>
      <c r="S4" s="3"/>
      <c r="T4" s="3"/>
      <c r="U4" s="3"/>
      <c r="V4" s="3"/>
      <c r="W4" s="3"/>
      <c r="X4" s="3"/>
    </row>
    <row r="5" spans="1:24" ht="20.399999999999999" x14ac:dyDescent="0.3">
      <c r="A5" s="3"/>
      <c r="B5" s="28" t="s">
        <v>42</v>
      </c>
      <c r="C5" s="34" t="s">
        <v>43</v>
      </c>
      <c r="D5" s="29">
        <f t="shared" ref="D5:O5" si="1">SUM(D6:D14)</f>
        <v>6477.08</v>
      </c>
      <c r="E5" s="29">
        <f t="shared" si="1"/>
        <v>150</v>
      </c>
      <c r="F5" s="29">
        <f t="shared" si="1"/>
        <v>43</v>
      </c>
      <c r="G5" s="29">
        <f t="shared" si="1"/>
        <v>3032</v>
      </c>
      <c r="H5" s="29">
        <f t="shared" si="1"/>
        <v>112</v>
      </c>
      <c r="I5" s="30">
        <f t="shared" si="1"/>
        <v>80</v>
      </c>
      <c r="J5" s="30">
        <f t="shared" si="1"/>
        <v>0</v>
      </c>
      <c r="K5" s="30">
        <f t="shared" si="1"/>
        <v>0</v>
      </c>
      <c r="L5" s="30">
        <f t="shared" si="1"/>
        <v>0</v>
      </c>
      <c r="M5" s="30">
        <f t="shared" si="1"/>
        <v>0</v>
      </c>
      <c r="N5" s="30">
        <f t="shared" si="1"/>
        <v>0</v>
      </c>
      <c r="O5" s="30">
        <f t="shared" si="1"/>
        <v>0</v>
      </c>
    </row>
    <row r="6" spans="1:24" ht="14.4" x14ac:dyDescent="0.3">
      <c r="A6" s="3"/>
      <c r="B6" s="10" t="s">
        <v>56</v>
      </c>
      <c r="C6" s="12"/>
      <c r="D6" s="12">
        <v>0</v>
      </c>
      <c r="E6" s="12">
        <v>0</v>
      </c>
      <c r="F6" s="12">
        <v>0</v>
      </c>
      <c r="G6" s="12">
        <v>0</v>
      </c>
      <c r="H6" s="12">
        <v>0</v>
      </c>
      <c r="I6" s="12">
        <v>0</v>
      </c>
      <c r="J6" s="12">
        <v>0</v>
      </c>
      <c r="K6" s="12">
        <v>0</v>
      </c>
      <c r="L6" s="12">
        <v>0</v>
      </c>
      <c r="M6" s="12">
        <v>0</v>
      </c>
      <c r="N6" s="12">
        <v>0</v>
      </c>
      <c r="O6" s="12">
        <v>0</v>
      </c>
    </row>
    <row r="7" spans="1:24" ht="14.4" x14ac:dyDescent="0.3">
      <c r="A7" s="3"/>
      <c r="B7" s="10" t="s">
        <v>57</v>
      </c>
      <c r="C7" s="12"/>
      <c r="D7" s="12">
        <f>'JAN-Receitas'!F156</f>
        <v>20</v>
      </c>
      <c r="E7" s="12">
        <f>'FEV-Receitas'!F155</f>
        <v>40</v>
      </c>
      <c r="F7" s="12">
        <v>0</v>
      </c>
      <c r="G7" s="12">
        <f>'MAI-Receitas'!F157</f>
        <v>0</v>
      </c>
      <c r="H7" s="12">
        <v>0</v>
      </c>
      <c r="I7" s="12">
        <v>10</v>
      </c>
      <c r="J7" s="12">
        <v>0</v>
      </c>
      <c r="K7" s="12">
        <v>0</v>
      </c>
      <c r="L7" s="12">
        <v>0</v>
      </c>
      <c r="M7" s="12">
        <v>0</v>
      </c>
      <c r="N7" s="12">
        <v>0</v>
      </c>
      <c r="O7" s="12">
        <v>0</v>
      </c>
    </row>
    <row r="8" spans="1:24" ht="14.4" x14ac:dyDescent="0.3">
      <c r="A8" s="3"/>
      <c r="B8" s="10" t="s">
        <v>58</v>
      </c>
      <c r="C8" s="12"/>
      <c r="D8" s="12">
        <f>'JAN-Receitas'!$F158</f>
        <v>20</v>
      </c>
      <c r="E8" s="12">
        <f>'FEV-Receitas'!F157</f>
        <v>20</v>
      </c>
      <c r="F8" s="12">
        <f>'MAR-Receitas'!F161</f>
        <v>10</v>
      </c>
      <c r="G8" s="12">
        <v>0</v>
      </c>
      <c r="H8" s="12">
        <f>'MAI-Receitas'!F159</f>
        <v>10</v>
      </c>
      <c r="I8" s="12">
        <v>30</v>
      </c>
      <c r="J8" s="12">
        <v>0</v>
      </c>
      <c r="K8" s="12">
        <v>0</v>
      </c>
      <c r="L8" s="12">
        <v>0</v>
      </c>
      <c r="M8" s="12">
        <v>0</v>
      </c>
      <c r="N8" s="12">
        <v>0</v>
      </c>
      <c r="O8" s="12">
        <v>0</v>
      </c>
    </row>
    <row r="9" spans="1:24" ht="14.4" x14ac:dyDescent="0.3">
      <c r="A9" s="3"/>
      <c r="B9" s="10" t="s">
        <v>59</v>
      </c>
      <c r="C9" s="12"/>
      <c r="D9" s="12">
        <f>'JAN-Receitas'!F151</f>
        <v>114</v>
      </c>
      <c r="E9" s="12">
        <f>'FEV-Receitas'!F150</f>
        <v>0</v>
      </c>
      <c r="F9" s="12">
        <f>'MAR-Receitas'!F154</f>
        <v>5</v>
      </c>
      <c r="G9" s="12">
        <f>'MAI-Receitas'!F152</f>
        <v>0</v>
      </c>
      <c r="H9" s="12">
        <v>0</v>
      </c>
      <c r="I9" s="12">
        <v>40</v>
      </c>
      <c r="J9" s="12">
        <v>0</v>
      </c>
      <c r="K9" s="12">
        <v>0</v>
      </c>
      <c r="L9" s="12">
        <v>0</v>
      </c>
      <c r="M9" s="12">
        <v>0</v>
      </c>
      <c r="N9" s="12">
        <v>0</v>
      </c>
      <c r="O9" s="12">
        <v>0</v>
      </c>
    </row>
    <row r="10" spans="1:24" ht="14.4" x14ac:dyDescent="0.3">
      <c r="A10" s="3"/>
      <c r="B10" s="10" t="s">
        <v>60</v>
      </c>
      <c r="C10" s="12"/>
      <c r="D10" s="12">
        <f>'JAN-Receitas'!F153</f>
        <v>35</v>
      </c>
      <c r="E10" s="12">
        <f>'FEV-Receitas'!F152</f>
        <v>90</v>
      </c>
      <c r="F10" s="12">
        <f>'MAR-Receitas'!F156</f>
        <v>27</v>
      </c>
      <c r="G10" s="12">
        <v>0</v>
      </c>
      <c r="H10" s="12">
        <f>'MAI-Receitas'!F154</f>
        <v>102</v>
      </c>
      <c r="I10" s="12">
        <v>0</v>
      </c>
      <c r="J10" s="12">
        <v>0</v>
      </c>
      <c r="K10" s="12">
        <v>0</v>
      </c>
      <c r="L10" s="12">
        <v>0</v>
      </c>
      <c r="M10" s="12">
        <v>0</v>
      </c>
      <c r="N10" s="12">
        <v>0</v>
      </c>
      <c r="O10" s="12">
        <v>0</v>
      </c>
    </row>
    <row r="11" spans="1:24" ht="14.4" x14ac:dyDescent="0.3">
      <c r="A11" s="3"/>
      <c r="B11" s="10" t="s">
        <v>61</v>
      </c>
      <c r="C11" s="12"/>
      <c r="D11" s="12">
        <v>0</v>
      </c>
      <c r="E11" s="12">
        <v>0</v>
      </c>
      <c r="F11" s="12">
        <f>'MAR-Receitas'!F164</f>
        <v>1</v>
      </c>
      <c r="G11" s="12">
        <v>400</v>
      </c>
      <c r="H11" s="12">
        <v>0</v>
      </c>
      <c r="I11" s="12">
        <v>0</v>
      </c>
      <c r="J11" s="12">
        <v>0</v>
      </c>
      <c r="K11" s="12">
        <v>0</v>
      </c>
      <c r="L11" s="12">
        <v>0</v>
      </c>
      <c r="M11" s="12">
        <v>0</v>
      </c>
      <c r="N11" s="12">
        <v>0</v>
      </c>
      <c r="O11" s="12">
        <v>0</v>
      </c>
    </row>
    <row r="12" spans="1:24" ht="14.4" x14ac:dyDescent="0.3">
      <c r="A12" s="3"/>
      <c r="B12" s="10" t="s">
        <v>61</v>
      </c>
      <c r="C12" s="12"/>
      <c r="D12" s="12">
        <v>0</v>
      </c>
      <c r="E12" s="12">
        <v>0</v>
      </c>
      <c r="F12" s="12">
        <v>0</v>
      </c>
      <c r="G12" s="12">
        <v>0</v>
      </c>
      <c r="H12" s="12">
        <v>0</v>
      </c>
      <c r="I12" s="12">
        <v>0</v>
      </c>
      <c r="J12" s="12">
        <v>0</v>
      </c>
      <c r="K12" s="12">
        <v>0</v>
      </c>
      <c r="L12" s="12">
        <v>0</v>
      </c>
      <c r="M12" s="12">
        <v>0</v>
      </c>
      <c r="N12" s="12">
        <v>0</v>
      </c>
      <c r="O12" s="12">
        <v>0</v>
      </c>
    </row>
    <row r="13" spans="1:24" ht="14.4" x14ac:dyDescent="0.3">
      <c r="A13" s="3"/>
      <c r="B13" s="10" t="s">
        <v>62</v>
      </c>
      <c r="C13" s="12"/>
      <c r="D13" s="12">
        <f>'JAN-Receitas'!F138</f>
        <v>5423.1399999999994</v>
      </c>
      <c r="E13" s="12">
        <v>0</v>
      </c>
      <c r="F13" s="12">
        <v>0</v>
      </c>
      <c r="G13" s="12">
        <f>'ABR-Receitas'!F144</f>
        <v>2632</v>
      </c>
      <c r="H13" s="12">
        <v>0</v>
      </c>
      <c r="I13" s="12">
        <v>0</v>
      </c>
      <c r="J13" s="12">
        <v>0</v>
      </c>
      <c r="K13" s="12">
        <v>0</v>
      </c>
      <c r="L13" s="12">
        <v>0</v>
      </c>
      <c r="M13" s="12">
        <v>0</v>
      </c>
      <c r="N13" s="12">
        <v>0</v>
      </c>
      <c r="O13" s="12">
        <v>0</v>
      </c>
    </row>
    <row r="14" spans="1:24" ht="14.4" x14ac:dyDescent="0.3">
      <c r="A14" s="3"/>
      <c r="B14" s="10" t="s">
        <v>63</v>
      </c>
      <c r="C14" s="12"/>
      <c r="D14" s="12">
        <f>'JAN-Receitas'!F170</f>
        <v>864.94000000000051</v>
      </c>
      <c r="E14" s="12">
        <v>0</v>
      </c>
      <c r="F14" s="12">
        <v>0</v>
      </c>
      <c r="G14" s="12">
        <v>0</v>
      </c>
      <c r="H14" s="12">
        <v>0</v>
      </c>
      <c r="I14" s="12">
        <v>0</v>
      </c>
      <c r="J14" s="12">
        <v>0</v>
      </c>
      <c r="K14" s="12">
        <v>0</v>
      </c>
      <c r="L14" s="12">
        <v>0</v>
      </c>
      <c r="M14" s="12">
        <v>0</v>
      </c>
      <c r="N14" s="12">
        <v>0</v>
      </c>
      <c r="O14" s="12">
        <v>0</v>
      </c>
    </row>
    <row r="16" spans="1:24" ht="20.399999999999999" x14ac:dyDescent="0.3">
      <c r="A16" s="3"/>
      <c r="B16" s="31" t="s">
        <v>50</v>
      </c>
      <c r="C16" s="35" t="s">
        <v>43</v>
      </c>
      <c r="D16" s="32">
        <f t="shared" ref="D16:O16" si="2">SUM(D17:D24)</f>
        <v>3667.5</v>
      </c>
      <c r="E16" s="32">
        <f t="shared" si="2"/>
        <v>4000</v>
      </c>
      <c r="F16" s="32">
        <f t="shared" si="2"/>
        <v>1000</v>
      </c>
      <c r="G16" s="32">
        <f t="shared" si="2"/>
        <v>3337</v>
      </c>
      <c r="H16" s="32">
        <f t="shared" si="2"/>
        <v>0</v>
      </c>
      <c r="I16" s="32">
        <f t="shared" si="2"/>
        <v>0</v>
      </c>
      <c r="J16" s="32">
        <f t="shared" si="2"/>
        <v>0</v>
      </c>
      <c r="K16" s="32">
        <f t="shared" si="2"/>
        <v>0</v>
      </c>
      <c r="L16" s="32">
        <f t="shared" si="2"/>
        <v>0</v>
      </c>
      <c r="M16" s="32">
        <f t="shared" si="2"/>
        <v>0</v>
      </c>
      <c r="N16" s="32">
        <f t="shared" si="2"/>
        <v>0</v>
      </c>
      <c r="O16" s="32">
        <f t="shared" si="2"/>
        <v>0</v>
      </c>
    </row>
    <row r="17" spans="1:15" ht="14.4" x14ac:dyDescent="0.3">
      <c r="A17" s="3"/>
      <c r="B17" s="10" t="s">
        <v>64</v>
      </c>
      <c r="C17" s="12"/>
      <c r="D17" s="12">
        <f>'JAN-Despesas'!F245</f>
        <v>1650</v>
      </c>
      <c r="E17" s="12">
        <v>0</v>
      </c>
      <c r="F17" s="12">
        <v>0</v>
      </c>
      <c r="G17" s="12">
        <v>0</v>
      </c>
      <c r="H17" s="12">
        <v>0</v>
      </c>
      <c r="I17" s="12">
        <v>0</v>
      </c>
      <c r="J17" s="12">
        <v>0</v>
      </c>
      <c r="K17" s="12">
        <v>0</v>
      </c>
      <c r="L17" s="12">
        <v>0</v>
      </c>
      <c r="M17" s="12">
        <v>0</v>
      </c>
      <c r="N17" s="12">
        <v>0</v>
      </c>
      <c r="O17" s="12">
        <v>0</v>
      </c>
    </row>
    <row r="18" spans="1:15" ht="14.4" x14ac:dyDescent="0.3">
      <c r="A18" s="3"/>
      <c r="B18" s="10" t="s">
        <v>64</v>
      </c>
      <c r="C18" s="12"/>
      <c r="D18" s="12">
        <f>'JAN-Despesas'!F246</f>
        <v>1237.5</v>
      </c>
      <c r="E18" s="12">
        <v>0</v>
      </c>
      <c r="F18" s="12">
        <v>0</v>
      </c>
      <c r="G18" s="12">
        <v>0</v>
      </c>
      <c r="H18" s="12">
        <v>0</v>
      </c>
      <c r="I18" s="12">
        <v>0</v>
      </c>
      <c r="J18" s="12">
        <v>0</v>
      </c>
      <c r="K18" s="12">
        <v>0</v>
      </c>
      <c r="L18" s="12">
        <v>0</v>
      </c>
      <c r="M18" s="12">
        <v>0</v>
      </c>
      <c r="N18" s="12">
        <v>0</v>
      </c>
      <c r="O18" s="12">
        <v>0</v>
      </c>
    </row>
    <row r="19" spans="1:15" ht="14.4" x14ac:dyDescent="0.3">
      <c r="A19" s="3"/>
      <c r="B19" s="10" t="s">
        <v>64</v>
      </c>
      <c r="C19" s="12"/>
      <c r="D19" s="12">
        <f>'JAN-Despesas'!F260</f>
        <v>780</v>
      </c>
      <c r="E19" s="12">
        <v>0</v>
      </c>
      <c r="F19" s="12">
        <v>0</v>
      </c>
      <c r="G19" s="12">
        <v>0</v>
      </c>
      <c r="H19" s="12">
        <v>0</v>
      </c>
      <c r="I19" s="12">
        <v>0</v>
      </c>
      <c r="J19" s="12">
        <v>0</v>
      </c>
      <c r="K19" s="12">
        <v>0</v>
      </c>
      <c r="L19" s="12">
        <v>0</v>
      </c>
      <c r="M19" s="12">
        <v>0</v>
      </c>
      <c r="N19" s="12">
        <v>0</v>
      </c>
      <c r="O19" s="12">
        <v>0</v>
      </c>
    </row>
    <row r="20" spans="1:15" ht="14.4" x14ac:dyDescent="0.3">
      <c r="A20" s="3"/>
      <c r="B20" s="10" t="s">
        <v>65</v>
      </c>
      <c r="C20" s="12"/>
      <c r="D20" s="12">
        <v>0</v>
      </c>
      <c r="E20" s="12">
        <v>0</v>
      </c>
      <c r="F20" s="12">
        <v>0</v>
      </c>
      <c r="G20" s="12">
        <v>0</v>
      </c>
      <c r="H20" s="12">
        <v>0</v>
      </c>
      <c r="I20" s="12">
        <v>0</v>
      </c>
      <c r="J20" s="12">
        <v>0</v>
      </c>
      <c r="K20" s="12">
        <v>0</v>
      </c>
      <c r="L20" s="12">
        <v>0</v>
      </c>
      <c r="M20" s="12">
        <v>0</v>
      </c>
      <c r="N20" s="12">
        <v>0</v>
      </c>
      <c r="O20" s="12">
        <v>0</v>
      </c>
    </row>
    <row r="21" spans="1:15" ht="15.75" customHeight="1" x14ac:dyDescent="0.3">
      <c r="A21" s="3"/>
      <c r="B21" s="10" t="s">
        <v>65</v>
      </c>
      <c r="C21" s="12"/>
      <c r="D21" s="12">
        <v>0</v>
      </c>
      <c r="E21" s="12">
        <v>0</v>
      </c>
      <c r="F21" s="12">
        <v>0</v>
      </c>
      <c r="G21" s="12">
        <v>0</v>
      </c>
      <c r="H21" s="12">
        <v>0</v>
      </c>
      <c r="I21" s="12">
        <v>0</v>
      </c>
      <c r="J21" s="12">
        <v>0</v>
      </c>
      <c r="K21" s="12">
        <v>0</v>
      </c>
      <c r="L21" s="12">
        <v>0</v>
      </c>
      <c r="M21" s="12">
        <v>0</v>
      </c>
      <c r="N21" s="12">
        <v>0</v>
      </c>
      <c r="O21" s="12">
        <v>0</v>
      </c>
    </row>
    <row r="22" spans="1:15" ht="15.75" customHeight="1" x14ac:dyDescent="0.3">
      <c r="A22" s="3"/>
      <c r="B22" s="10" t="s">
        <v>65</v>
      </c>
      <c r="C22" s="12"/>
      <c r="D22" s="12">
        <v>0</v>
      </c>
      <c r="E22" s="12">
        <v>0</v>
      </c>
      <c r="F22" s="12">
        <v>0</v>
      </c>
      <c r="G22" s="12">
        <v>0</v>
      </c>
      <c r="H22" s="12">
        <v>0</v>
      </c>
      <c r="I22" s="12">
        <v>0</v>
      </c>
      <c r="J22" s="12">
        <v>0</v>
      </c>
      <c r="K22" s="12">
        <v>0</v>
      </c>
      <c r="L22" s="12">
        <v>0</v>
      </c>
      <c r="M22" s="12">
        <v>0</v>
      </c>
      <c r="N22" s="12">
        <v>0</v>
      </c>
      <c r="O22" s="12">
        <v>0</v>
      </c>
    </row>
    <row r="23" spans="1:15" ht="15.75" customHeight="1" x14ac:dyDescent="0.3">
      <c r="A23" s="3"/>
      <c r="B23" s="10" t="s">
        <v>65</v>
      </c>
      <c r="C23" s="12"/>
      <c r="D23" s="12">
        <v>0</v>
      </c>
      <c r="E23" s="12">
        <v>0</v>
      </c>
      <c r="F23" s="12">
        <v>0</v>
      </c>
      <c r="G23" s="12">
        <v>0</v>
      </c>
      <c r="H23" s="12">
        <v>0</v>
      </c>
      <c r="I23" s="12">
        <v>0</v>
      </c>
      <c r="J23" s="12">
        <v>0</v>
      </c>
      <c r="K23" s="12">
        <v>0</v>
      </c>
      <c r="L23" s="12">
        <v>0</v>
      </c>
      <c r="M23" s="12">
        <v>0</v>
      </c>
      <c r="N23" s="12">
        <v>0</v>
      </c>
      <c r="O23" s="12">
        <v>0</v>
      </c>
    </row>
    <row r="24" spans="1:15" ht="15.75" customHeight="1" x14ac:dyDescent="0.3">
      <c r="A24" s="3"/>
      <c r="B24" s="10" t="s">
        <v>66</v>
      </c>
      <c r="C24" s="12"/>
      <c r="D24" s="12">
        <v>0</v>
      </c>
      <c r="E24" s="12">
        <v>4000</v>
      </c>
      <c r="F24" s="12">
        <v>1000</v>
      </c>
      <c r="G24" s="12">
        <f>1337+2000</f>
        <v>3337</v>
      </c>
      <c r="H24" s="12">
        <v>0</v>
      </c>
      <c r="I24" s="12">
        <v>0</v>
      </c>
      <c r="J24" s="12">
        <v>0</v>
      </c>
      <c r="K24" s="12">
        <v>0</v>
      </c>
      <c r="L24" s="12">
        <v>0</v>
      </c>
      <c r="M24" s="12">
        <v>0</v>
      </c>
      <c r="N24" s="12">
        <v>0</v>
      </c>
      <c r="O24" s="12">
        <v>0</v>
      </c>
    </row>
    <row r="25" spans="1:15" ht="15.75" customHeight="1" x14ac:dyDescent="0.3"/>
    <row r="26" spans="1:15" ht="37.5" customHeight="1" x14ac:dyDescent="0.3">
      <c r="B26" s="223" t="s">
        <v>67</v>
      </c>
      <c r="C26" s="224"/>
      <c r="D26" s="224"/>
      <c r="E26" s="224"/>
      <c r="F26" s="224"/>
      <c r="G26" s="224"/>
      <c r="H26" s="224"/>
      <c r="I26" s="224"/>
      <c r="J26" s="224"/>
      <c r="K26" s="224"/>
      <c r="L26" s="224"/>
      <c r="M26" s="198"/>
    </row>
    <row r="27" spans="1:15" ht="15.75" customHeight="1" x14ac:dyDescent="0.3"/>
    <row r="28" spans="1:15" ht="15.75" customHeight="1" x14ac:dyDescent="0.3"/>
    <row r="29" spans="1:15" ht="15.75" customHeight="1" x14ac:dyDescent="0.3"/>
    <row r="30" spans="1:15" ht="15.75" customHeight="1" x14ac:dyDescent="0.3"/>
    <row r="31" spans="1:15" ht="15.75" customHeight="1" x14ac:dyDescent="0.3"/>
    <row r="32" spans="1: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B3"/>
    <mergeCell ref="C2:C3"/>
    <mergeCell ref="D2:O2"/>
    <mergeCell ref="B26:M26"/>
  </mergeCells>
  <pageMargins left="0.511811024" right="0.511811024"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Y1000"/>
  <sheetViews>
    <sheetView showGridLines="0" workbookViewId="0"/>
  </sheetViews>
  <sheetFormatPr defaultColWidth="14.44140625" defaultRowHeight="15" customHeight="1" x14ac:dyDescent="0.3"/>
  <cols>
    <col min="1" max="1" width="0.44140625" customWidth="1"/>
    <col min="2" max="2" width="40.33203125" customWidth="1"/>
    <col min="3" max="8" width="14.109375" hidden="1" customWidth="1"/>
    <col min="9" max="9" width="14.109375" customWidth="1"/>
    <col min="10" max="14" width="14.109375" hidden="1" customWidth="1"/>
    <col min="15" max="25" width="8.6640625" customWidth="1"/>
  </cols>
  <sheetData>
    <row r="1" spans="1:25" ht="2.25" customHeight="1" x14ac:dyDescent="0.3"/>
    <row r="2" spans="1:25" ht="15" customHeight="1" x14ac:dyDescent="0.3">
      <c r="A2" s="3"/>
      <c r="B2" s="225" t="s">
        <v>68</v>
      </c>
      <c r="C2" s="213">
        <v>2025</v>
      </c>
      <c r="D2" s="210"/>
      <c r="E2" s="210"/>
      <c r="F2" s="210"/>
      <c r="G2" s="210"/>
      <c r="H2" s="210"/>
      <c r="I2" s="210"/>
      <c r="J2" s="210"/>
      <c r="K2" s="210"/>
      <c r="L2" s="210"/>
      <c r="M2" s="210"/>
      <c r="N2" s="211"/>
      <c r="O2" s="3"/>
    </row>
    <row r="3" spans="1:25" ht="14.4" x14ac:dyDescent="0.3">
      <c r="A3" s="3"/>
      <c r="B3" s="206"/>
      <c r="C3" s="4" t="s">
        <v>23</v>
      </c>
      <c r="D3" s="4" t="s">
        <v>24</v>
      </c>
      <c r="E3" s="5" t="s">
        <v>25</v>
      </c>
      <c r="F3" s="6" t="s">
        <v>26</v>
      </c>
      <c r="G3" s="6" t="s">
        <v>27</v>
      </c>
      <c r="H3" s="6" t="s">
        <v>28</v>
      </c>
      <c r="I3" s="6" t="s">
        <v>29</v>
      </c>
      <c r="J3" s="6" t="s">
        <v>30</v>
      </c>
      <c r="K3" s="6" t="s">
        <v>31</v>
      </c>
      <c r="L3" s="5" t="s">
        <v>32</v>
      </c>
      <c r="M3" s="6" t="s">
        <v>33</v>
      </c>
      <c r="N3" s="36" t="s">
        <v>34</v>
      </c>
      <c r="O3" s="3"/>
    </row>
    <row r="4" spans="1:25" ht="19.5" customHeight="1" x14ac:dyDescent="0.3">
      <c r="A4" s="3"/>
      <c r="B4" s="25" t="s">
        <v>41</v>
      </c>
      <c r="C4" s="26">
        <f t="shared" ref="C4:N4" si="0">C5-C10</f>
        <v>0</v>
      </c>
      <c r="D4" s="26">
        <f t="shared" si="0"/>
        <v>3999.9999999999995</v>
      </c>
      <c r="E4" s="26">
        <f t="shared" si="0"/>
        <v>1000</v>
      </c>
      <c r="F4" s="26">
        <f t="shared" si="0"/>
        <v>3337</v>
      </c>
      <c r="G4" s="26">
        <f t="shared" si="0"/>
        <v>0</v>
      </c>
      <c r="H4" s="26">
        <f t="shared" si="0"/>
        <v>0</v>
      </c>
      <c r="I4" s="26">
        <f t="shared" si="0"/>
        <v>0</v>
      </c>
      <c r="J4" s="26">
        <f t="shared" si="0"/>
        <v>0</v>
      </c>
      <c r="K4" s="26">
        <f t="shared" si="0"/>
        <v>0</v>
      </c>
      <c r="L4" s="26">
        <f t="shared" si="0"/>
        <v>0</v>
      </c>
      <c r="M4" s="26">
        <f t="shared" si="0"/>
        <v>0</v>
      </c>
      <c r="N4" s="26">
        <f t="shared" si="0"/>
        <v>0</v>
      </c>
      <c r="O4" s="37"/>
      <c r="P4" s="37"/>
      <c r="Q4" s="37"/>
      <c r="R4" s="37"/>
      <c r="S4" s="37"/>
      <c r="T4" s="3"/>
      <c r="V4" s="3"/>
      <c r="W4" s="3"/>
      <c r="X4" s="3"/>
      <c r="Y4" s="3"/>
    </row>
    <row r="5" spans="1:25" ht="20.399999999999999" x14ac:dyDescent="0.3">
      <c r="A5" s="3"/>
      <c r="B5" s="28" t="s">
        <v>69</v>
      </c>
      <c r="C5" s="29">
        <f t="shared" ref="C5:N5" si="1">SUM(C6:C8)</f>
        <v>7034.9400000000005</v>
      </c>
      <c r="D5" s="29">
        <f t="shared" si="1"/>
        <v>6956.5599999999995</v>
      </c>
      <c r="E5" s="29">
        <f t="shared" si="1"/>
        <v>4518.74</v>
      </c>
      <c r="F5" s="29">
        <f t="shared" si="1"/>
        <v>16237</v>
      </c>
      <c r="G5" s="29">
        <f t="shared" si="1"/>
        <v>1779.61</v>
      </c>
      <c r="H5" s="29">
        <f t="shared" si="1"/>
        <v>996.67</v>
      </c>
      <c r="I5" s="29">
        <f t="shared" si="1"/>
        <v>4549.7999999999993</v>
      </c>
      <c r="J5" s="29">
        <f t="shared" si="1"/>
        <v>0</v>
      </c>
      <c r="K5" s="29">
        <f t="shared" si="1"/>
        <v>0</v>
      </c>
      <c r="L5" s="29">
        <f t="shared" si="1"/>
        <v>0</v>
      </c>
      <c r="M5" s="29">
        <f t="shared" si="1"/>
        <v>0</v>
      </c>
      <c r="N5" s="29">
        <f t="shared" si="1"/>
        <v>0</v>
      </c>
      <c r="O5" s="3"/>
    </row>
    <row r="6" spans="1:25" ht="14.4" x14ac:dyDescent="0.3">
      <c r="A6" s="3"/>
      <c r="B6" s="10" t="s">
        <v>37</v>
      </c>
      <c r="C6" s="12">
        <f>391.94+1788+4500</f>
        <v>6679.9400000000005</v>
      </c>
      <c r="D6" s="12">
        <f>4000+701+2255.56</f>
        <v>6956.5599999999995</v>
      </c>
      <c r="E6" s="12">
        <f>1000+2500+906.74</f>
        <v>4406.74</v>
      </c>
      <c r="F6" s="12">
        <f>900+12000+1337+2000</f>
        <v>16237</v>
      </c>
      <c r="G6" s="12">
        <f>1779.61</f>
        <v>1779.61</v>
      </c>
      <c r="H6" s="12">
        <f>160+452.14+354.28</f>
        <v>966.42</v>
      </c>
      <c r="I6" s="12">
        <f>354.88+759.76</f>
        <v>1114.6399999999999</v>
      </c>
      <c r="J6" s="12">
        <v>0</v>
      </c>
      <c r="K6" s="12">
        <v>0</v>
      </c>
      <c r="L6" s="12">
        <v>0</v>
      </c>
      <c r="M6" s="12">
        <v>0</v>
      </c>
      <c r="N6" s="12">
        <v>0</v>
      </c>
      <c r="O6" s="3"/>
    </row>
    <row r="7" spans="1:25" ht="14.4" x14ac:dyDescent="0.3">
      <c r="A7" s="3"/>
      <c r="B7" s="10" t="s">
        <v>38</v>
      </c>
      <c r="C7" s="12">
        <v>355</v>
      </c>
      <c r="D7" s="12">
        <v>0</v>
      </c>
      <c r="E7" s="12">
        <v>112</v>
      </c>
      <c r="F7" s="12">
        <v>0</v>
      </c>
      <c r="G7" s="12">
        <v>0</v>
      </c>
      <c r="H7" s="12">
        <v>0</v>
      </c>
      <c r="I7" s="12">
        <v>3435.16</v>
      </c>
      <c r="J7" s="12">
        <v>0</v>
      </c>
      <c r="K7" s="12">
        <v>0</v>
      </c>
      <c r="L7" s="12">
        <v>0</v>
      </c>
      <c r="M7" s="12">
        <v>0</v>
      </c>
      <c r="N7" s="12">
        <v>0</v>
      </c>
      <c r="O7" s="3"/>
    </row>
    <row r="8" spans="1:25" ht="14.4" x14ac:dyDescent="0.3">
      <c r="A8" s="3"/>
      <c r="B8" s="10" t="s">
        <v>39</v>
      </c>
      <c r="C8" s="12">
        <v>0</v>
      </c>
      <c r="D8" s="12">
        <v>0</v>
      </c>
      <c r="E8" s="12">
        <v>0</v>
      </c>
      <c r="F8" s="12">
        <v>0</v>
      </c>
      <c r="G8" s="12">
        <v>0</v>
      </c>
      <c r="H8" s="12">
        <f>18.75+11.5</f>
        <v>30.25</v>
      </c>
      <c r="I8" s="12">
        <v>0</v>
      </c>
      <c r="J8" s="12">
        <v>0</v>
      </c>
      <c r="K8" s="12">
        <v>0</v>
      </c>
      <c r="L8" s="12">
        <v>0</v>
      </c>
      <c r="M8" s="12">
        <v>0</v>
      </c>
      <c r="N8" s="12">
        <v>0</v>
      </c>
      <c r="O8" s="3"/>
      <c r="P8" s="18"/>
    </row>
    <row r="10" spans="1:25" ht="20.399999999999999" x14ac:dyDescent="0.3">
      <c r="A10" s="3"/>
      <c r="B10" s="31" t="s">
        <v>70</v>
      </c>
      <c r="C10" s="32">
        <f t="shared" ref="C10:N10" si="2">SUM(C11:C13)</f>
        <v>7034.94</v>
      </c>
      <c r="D10" s="32">
        <f t="shared" si="2"/>
        <v>2956.56</v>
      </c>
      <c r="E10" s="32">
        <f t="shared" si="2"/>
        <v>3518.74</v>
      </c>
      <c r="F10" s="32">
        <f t="shared" si="2"/>
        <v>12900</v>
      </c>
      <c r="G10" s="32">
        <f t="shared" si="2"/>
        <v>1779.61</v>
      </c>
      <c r="H10" s="32">
        <f t="shared" si="2"/>
        <v>996.67</v>
      </c>
      <c r="I10" s="32">
        <f t="shared" si="2"/>
        <v>4549.7999999999993</v>
      </c>
      <c r="J10" s="32">
        <f t="shared" si="2"/>
        <v>0</v>
      </c>
      <c r="K10" s="32">
        <f t="shared" si="2"/>
        <v>0</v>
      </c>
      <c r="L10" s="32">
        <f t="shared" si="2"/>
        <v>0</v>
      </c>
      <c r="M10" s="32">
        <f t="shared" si="2"/>
        <v>0</v>
      </c>
      <c r="N10" s="32">
        <f t="shared" si="2"/>
        <v>0</v>
      </c>
      <c r="O10" s="3"/>
    </row>
    <row r="11" spans="1:25" ht="14.4" x14ac:dyDescent="0.3">
      <c r="A11" s="3"/>
      <c r="B11" s="10" t="s">
        <v>37</v>
      </c>
      <c r="C11" s="12">
        <v>0</v>
      </c>
      <c r="D11" s="12">
        <v>0</v>
      </c>
      <c r="E11" s="12">
        <v>0</v>
      </c>
      <c r="F11" s="12">
        <v>0</v>
      </c>
      <c r="G11" s="12">
        <v>0</v>
      </c>
      <c r="H11" s="12">
        <v>0</v>
      </c>
      <c r="I11" s="12">
        <v>0</v>
      </c>
      <c r="J11" s="12">
        <v>0</v>
      </c>
      <c r="K11" s="12">
        <v>0</v>
      </c>
      <c r="L11" s="12">
        <v>0</v>
      </c>
      <c r="M11" s="12">
        <v>0</v>
      </c>
      <c r="N11" s="12">
        <v>0</v>
      </c>
      <c r="O11" s="3"/>
    </row>
    <row r="12" spans="1:25" ht="14.4" x14ac:dyDescent="0.3">
      <c r="A12" s="3"/>
      <c r="B12" s="10" t="s">
        <v>38</v>
      </c>
      <c r="C12" s="12">
        <f>391.94+4500</f>
        <v>4891.9399999999996</v>
      </c>
      <c r="D12" s="12">
        <f>2255.56</f>
        <v>2255.56</v>
      </c>
      <c r="E12" s="12">
        <f>906.74</f>
        <v>906.74</v>
      </c>
      <c r="F12" s="12">
        <f>12000</f>
        <v>12000</v>
      </c>
      <c r="G12" s="12">
        <f>1779.61</f>
        <v>1779.61</v>
      </c>
      <c r="H12" s="12">
        <f>160+452.14+18.75+11.5+354.28</f>
        <v>996.67</v>
      </c>
      <c r="I12" s="12">
        <v>0</v>
      </c>
      <c r="J12" s="12">
        <v>0</v>
      </c>
      <c r="K12" s="12">
        <v>0</v>
      </c>
      <c r="L12" s="12">
        <v>0</v>
      </c>
      <c r="M12" s="12">
        <v>0</v>
      </c>
      <c r="N12" s="12">
        <v>0</v>
      </c>
      <c r="O12" s="3"/>
    </row>
    <row r="13" spans="1:25" ht="14.4" x14ac:dyDescent="0.3">
      <c r="A13" s="3"/>
      <c r="B13" s="10" t="s">
        <v>39</v>
      </c>
      <c r="C13" s="12">
        <f>355+1788</f>
        <v>2143</v>
      </c>
      <c r="D13" s="12">
        <v>701</v>
      </c>
      <c r="E13" s="12">
        <f>2500+112</f>
        <v>2612</v>
      </c>
      <c r="F13" s="12">
        <v>900</v>
      </c>
      <c r="G13" s="12">
        <v>0</v>
      </c>
      <c r="H13" s="12">
        <v>0</v>
      </c>
      <c r="I13" s="12">
        <f>354.88+759.76+3435.16</f>
        <v>4549.7999999999993</v>
      </c>
      <c r="J13" s="12">
        <v>0</v>
      </c>
      <c r="K13" s="12">
        <v>0</v>
      </c>
      <c r="L13" s="12">
        <v>0</v>
      </c>
      <c r="M13" s="12">
        <v>0</v>
      </c>
      <c r="N13" s="12">
        <v>0</v>
      </c>
      <c r="O13" s="3"/>
      <c r="P13" s="18"/>
    </row>
    <row r="14" spans="1:25" ht="15" customHeight="1" x14ac:dyDescent="0.3">
      <c r="I14" s="18"/>
    </row>
    <row r="15" spans="1:25" ht="14.4" x14ac:dyDescent="0.3">
      <c r="B15" s="223" t="s">
        <v>71</v>
      </c>
      <c r="C15" s="224"/>
      <c r="D15" s="224"/>
      <c r="E15" s="224"/>
      <c r="F15" s="224"/>
      <c r="G15" s="224"/>
      <c r="H15" s="224"/>
      <c r="I15" s="224"/>
      <c r="J15" s="224"/>
      <c r="K15" s="224"/>
      <c r="L15" s="224"/>
      <c r="M15" s="224"/>
      <c r="N15" s="198"/>
    </row>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B2:B3"/>
    <mergeCell ref="C2:N2"/>
    <mergeCell ref="B15:N15"/>
  </mergeCells>
  <pageMargins left="0.511811024" right="0.511811024"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0" width="14.109375" customWidth="1"/>
    <col min="21" max="21" width="34" customWidth="1"/>
    <col min="22" max="22" width="9" customWidth="1"/>
    <col min="23" max="23" width="12.6640625" customWidth="1"/>
    <col min="24" max="26" width="8.6640625" customWidth="1"/>
  </cols>
  <sheetData>
    <row r="1" spans="1:26" ht="2.25" customHeight="1" x14ac:dyDescent="0.3">
      <c r="A1" s="38"/>
      <c r="B1" s="38"/>
      <c r="C1" s="39"/>
      <c r="D1" s="39"/>
      <c r="E1" s="39"/>
      <c r="F1" s="39"/>
      <c r="G1" s="39"/>
      <c r="H1" s="39"/>
      <c r="I1" s="39"/>
      <c r="J1" s="39"/>
      <c r="K1" s="39"/>
      <c r="L1" s="39"/>
      <c r="M1" s="39"/>
      <c r="N1" s="39"/>
      <c r="O1" s="39"/>
      <c r="P1" s="39"/>
      <c r="Q1" s="39"/>
      <c r="R1" s="39"/>
      <c r="S1" s="39"/>
      <c r="T1" s="39"/>
      <c r="U1" s="39"/>
      <c r="V1" s="40"/>
      <c r="W1" s="41"/>
      <c r="X1" s="38"/>
      <c r="Y1" s="38"/>
      <c r="Z1" s="38"/>
    </row>
    <row r="2" spans="1:26" ht="15" customHeight="1" x14ac:dyDescent="0.3">
      <c r="A2" s="3"/>
      <c r="B2" s="226" t="s">
        <v>72</v>
      </c>
      <c r="C2" s="42"/>
      <c r="D2" s="43"/>
      <c r="E2" s="43"/>
      <c r="F2" s="43"/>
      <c r="G2" s="43"/>
      <c r="H2" s="43"/>
      <c r="I2" s="43"/>
      <c r="J2" s="43"/>
      <c r="K2" s="43"/>
      <c r="L2" s="43"/>
      <c r="M2" s="43"/>
      <c r="N2" s="43"/>
      <c r="O2" s="43"/>
      <c r="P2" s="43"/>
      <c r="Q2" s="43"/>
      <c r="R2" s="43"/>
      <c r="S2" s="43"/>
      <c r="T2" s="43"/>
      <c r="U2" s="43"/>
      <c r="V2" s="44"/>
      <c r="W2" s="41"/>
      <c r="X2" s="3"/>
      <c r="Y2" s="3"/>
      <c r="Z2" s="3"/>
    </row>
    <row r="3" spans="1:26" ht="15" customHeight="1" x14ac:dyDescent="0.3">
      <c r="A3" s="3"/>
      <c r="B3" s="206"/>
      <c r="C3" s="45"/>
      <c r="D3" s="46"/>
      <c r="E3" s="46"/>
      <c r="F3" s="46"/>
      <c r="G3" s="46"/>
      <c r="H3" s="46"/>
      <c r="I3" s="46"/>
      <c r="J3" s="46"/>
      <c r="K3" s="46"/>
      <c r="L3" s="46"/>
      <c r="M3" s="46"/>
      <c r="N3" s="46"/>
      <c r="O3" s="46"/>
      <c r="P3" s="46"/>
      <c r="Q3" s="46"/>
      <c r="R3" s="46"/>
      <c r="S3" s="46"/>
      <c r="T3" s="46"/>
      <c r="U3" s="46"/>
      <c r="V3" s="44"/>
      <c r="W3" s="47"/>
      <c r="X3" s="3"/>
      <c r="Y3" s="3"/>
      <c r="Z3" s="3"/>
    </row>
    <row r="4" spans="1:26" ht="19.5" customHeight="1" x14ac:dyDescent="0.3">
      <c r="A4" s="3"/>
      <c r="B4" s="227" t="s">
        <v>73</v>
      </c>
      <c r="C4" s="48"/>
      <c r="D4" s="48"/>
      <c r="E4" s="26">
        <f t="shared" ref="E4:F4" si="0">SUM(E6,E127,E147,E166,E170)</f>
        <v>13054.130000000003</v>
      </c>
      <c r="F4" s="26">
        <f t="shared" si="0"/>
        <v>16583.84</v>
      </c>
      <c r="G4" s="49"/>
      <c r="H4" s="229" t="s">
        <v>1</v>
      </c>
      <c r="I4" s="230" t="s">
        <v>74</v>
      </c>
      <c r="J4" s="50"/>
      <c r="K4" s="48"/>
      <c r="L4" s="26"/>
      <c r="M4" s="26"/>
      <c r="N4" s="26"/>
      <c r="O4" s="26"/>
      <c r="P4" s="26"/>
      <c r="Q4" s="26"/>
      <c r="R4" s="26"/>
      <c r="S4" s="26"/>
      <c r="T4" s="26"/>
      <c r="U4" s="48"/>
      <c r="V4" s="51"/>
      <c r="W4" s="41"/>
      <c r="X4" s="3"/>
      <c r="Y4" s="3"/>
      <c r="Z4" s="3"/>
    </row>
    <row r="5" spans="1:26" ht="15" customHeight="1" x14ac:dyDescent="0.3">
      <c r="A5" s="3"/>
      <c r="B5" s="228"/>
      <c r="C5" s="52" t="s">
        <v>75</v>
      </c>
      <c r="D5" s="52" t="s">
        <v>76</v>
      </c>
      <c r="E5" s="53" t="s">
        <v>77</v>
      </c>
      <c r="F5" s="53" t="s">
        <v>78</v>
      </c>
      <c r="G5" s="52" t="s">
        <v>79</v>
      </c>
      <c r="H5" s="208"/>
      <c r="I5" s="231"/>
      <c r="J5" s="52" t="s">
        <v>80</v>
      </c>
      <c r="K5" s="52" t="s">
        <v>81</v>
      </c>
      <c r="L5" s="52" t="s">
        <v>82</v>
      </c>
      <c r="M5" s="52" t="s">
        <v>83</v>
      </c>
      <c r="N5" s="52" t="s">
        <v>84</v>
      </c>
      <c r="O5" s="52" t="s">
        <v>85</v>
      </c>
      <c r="P5" s="52" t="s">
        <v>86</v>
      </c>
      <c r="Q5" s="52" t="s">
        <v>47</v>
      </c>
      <c r="R5" s="52" t="s">
        <v>87</v>
      </c>
      <c r="S5" s="52" t="s">
        <v>88</v>
      </c>
      <c r="T5" s="52" t="s">
        <v>89</v>
      </c>
      <c r="U5" s="52" t="s">
        <v>90</v>
      </c>
      <c r="V5" s="44"/>
      <c r="W5" s="54" t="s">
        <v>91</v>
      </c>
      <c r="X5" s="3"/>
      <c r="Y5" s="3"/>
      <c r="Z5" s="3"/>
    </row>
    <row r="6" spans="1:26" ht="19.5" customHeight="1" x14ac:dyDescent="0.3">
      <c r="A6" s="3"/>
      <c r="B6" s="55" t="s">
        <v>92</v>
      </c>
      <c r="C6" s="56">
        <v>10</v>
      </c>
      <c r="D6" s="56" t="s">
        <v>43</v>
      </c>
      <c r="E6" s="57">
        <f t="shared" ref="E6:F6" si="1">SUM(E7:E126)</f>
        <v>13054.130000000003</v>
      </c>
      <c r="F6" s="57">
        <f t="shared" si="1"/>
        <v>13681.150000000001</v>
      </c>
      <c r="G6" s="58" t="s">
        <v>43</v>
      </c>
      <c r="H6" s="59"/>
      <c r="I6" s="59"/>
      <c r="J6" s="60">
        <f>(COUNTIF(D7:D126,"Pendente")+COUNTIF(D7:D126,"Parcial"))/COUNTA(B7:B126)</f>
        <v>0.13131313131313133</v>
      </c>
      <c r="K6" s="60">
        <f>IFERROR(-(W6/E6),"Pendente info")</f>
        <v>9.9068264219829255E-2</v>
      </c>
      <c r="L6" s="57">
        <f t="shared" ref="L6:T6" si="2">SUMIF($D$7:$D$126,"OK",L7:L126)+SUMIF($D$7:$D$126,"Parcial",L7:L126)</f>
        <v>8523.3000000000029</v>
      </c>
      <c r="M6" s="57">
        <f t="shared" si="2"/>
        <v>2186.7299999999991</v>
      </c>
      <c r="N6" s="57">
        <f t="shared" si="2"/>
        <v>1157</v>
      </c>
      <c r="O6" s="57">
        <f t="shared" si="2"/>
        <v>224.11999999999995</v>
      </c>
      <c r="P6" s="57">
        <f t="shared" si="2"/>
        <v>150</v>
      </c>
      <c r="Q6" s="57">
        <f t="shared" si="2"/>
        <v>295</v>
      </c>
      <c r="R6" s="57">
        <f t="shared" si="2"/>
        <v>390</v>
      </c>
      <c r="S6" s="57">
        <f t="shared" si="2"/>
        <v>705</v>
      </c>
      <c r="T6" s="57">
        <f t="shared" si="2"/>
        <v>50</v>
      </c>
      <c r="U6" s="56" t="s">
        <v>43</v>
      </c>
      <c r="V6" s="44" t="str">
        <f t="shared" ref="V6:V126" si="3">IF(F6=SUM(L6:T6),"OK","Diferente")</f>
        <v>OK</v>
      </c>
      <c r="W6" s="47">
        <f>SUM(W7:W126)</f>
        <v>-1293.25</v>
      </c>
      <c r="X6" s="3"/>
      <c r="Y6" s="3"/>
      <c r="Z6" s="3"/>
    </row>
    <row r="7" spans="1:26" ht="15" customHeight="1" outlineLevel="1" x14ac:dyDescent="0.3">
      <c r="A7" s="3"/>
      <c r="B7" s="61" t="s">
        <v>93</v>
      </c>
      <c r="C7" s="62">
        <v>12</v>
      </c>
      <c r="D7" s="62" t="s">
        <v>94</v>
      </c>
      <c r="E7" s="12">
        <v>140.44</v>
      </c>
      <c r="F7" s="12">
        <f t="shared" ref="F7:F12" si="4">E7</f>
        <v>140.44</v>
      </c>
      <c r="G7" s="232" t="s">
        <v>95</v>
      </c>
      <c r="H7" s="63" t="s">
        <v>37</v>
      </c>
      <c r="I7" s="63"/>
      <c r="J7" s="64" t="s">
        <v>96</v>
      </c>
      <c r="K7" s="62"/>
      <c r="L7" s="12">
        <v>76.430000000000007</v>
      </c>
      <c r="M7" s="12">
        <v>24.57</v>
      </c>
      <c r="N7" s="12">
        <v>13</v>
      </c>
      <c r="O7" s="12">
        <v>1.44</v>
      </c>
      <c r="P7" s="12">
        <v>5</v>
      </c>
      <c r="Q7" s="12">
        <v>5</v>
      </c>
      <c r="R7" s="12">
        <v>15</v>
      </c>
      <c r="S7" s="12"/>
      <c r="T7" s="12"/>
      <c r="U7" s="65"/>
      <c r="V7" s="44" t="str">
        <f t="shared" si="3"/>
        <v>OK</v>
      </c>
      <c r="W7" s="47" t="str">
        <f t="shared" ref="W7:W126" si="5">IF(V7="Diferente",F7-SUM(L7:T7),"")</f>
        <v/>
      </c>
      <c r="X7" s="3"/>
      <c r="Y7" s="3"/>
      <c r="Z7" s="3"/>
    </row>
    <row r="8" spans="1:26" ht="15" customHeight="1" outlineLevel="1" x14ac:dyDescent="0.3">
      <c r="A8" s="3"/>
      <c r="B8" s="61" t="s">
        <v>97</v>
      </c>
      <c r="C8" s="62">
        <v>12</v>
      </c>
      <c r="D8" s="62" t="s">
        <v>94</v>
      </c>
      <c r="E8" s="12">
        <v>101.29</v>
      </c>
      <c r="F8" s="12">
        <f t="shared" si="4"/>
        <v>101.29</v>
      </c>
      <c r="G8" s="233"/>
      <c r="H8" s="63" t="s">
        <v>37</v>
      </c>
      <c r="I8" s="63"/>
      <c r="J8" s="64" t="s">
        <v>96</v>
      </c>
      <c r="K8" s="62"/>
      <c r="L8" s="12">
        <v>52.28</v>
      </c>
      <c r="M8" s="12">
        <v>24.57</v>
      </c>
      <c r="N8" s="12">
        <v>13</v>
      </c>
      <c r="O8" s="12">
        <v>1.44</v>
      </c>
      <c r="P8" s="12">
        <v>5</v>
      </c>
      <c r="Q8" s="12">
        <v>5</v>
      </c>
      <c r="R8" s="12"/>
      <c r="S8" s="12"/>
      <c r="T8" s="12"/>
      <c r="U8" s="65"/>
      <c r="V8" s="44" t="str">
        <f t="shared" si="3"/>
        <v>OK</v>
      </c>
      <c r="W8" s="47" t="str">
        <f t="shared" si="5"/>
        <v/>
      </c>
      <c r="X8" s="3"/>
      <c r="Y8" s="3"/>
      <c r="Z8" s="3"/>
    </row>
    <row r="9" spans="1:26" ht="15" customHeight="1" outlineLevel="1" x14ac:dyDescent="0.3">
      <c r="A9" s="3"/>
      <c r="B9" s="61" t="s">
        <v>98</v>
      </c>
      <c r="C9" s="62">
        <v>12</v>
      </c>
      <c r="D9" s="62" t="s">
        <v>94</v>
      </c>
      <c r="E9" s="12">
        <v>91.29</v>
      </c>
      <c r="F9" s="12">
        <f t="shared" si="4"/>
        <v>91.29</v>
      </c>
      <c r="G9" s="233"/>
      <c r="H9" s="63" t="s">
        <v>37</v>
      </c>
      <c r="I9" s="63"/>
      <c r="J9" s="64" t="s">
        <v>96</v>
      </c>
      <c r="K9" s="62"/>
      <c r="L9" s="12">
        <v>52.28</v>
      </c>
      <c r="M9" s="12">
        <v>24.57</v>
      </c>
      <c r="N9" s="12">
        <v>13</v>
      </c>
      <c r="O9" s="12">
        <v>1.44</v>
      </c>
      <c r="P9" s="12"/>
      <c r="Q9" s="12"/>
      <c r="R9" s="12"/>
      <c r="S9" s="12"/>
      <c r="T9" s="12"/>
      <c r="U9" s="65"/>
      <c r="V9" s="44" t="str">
        <f t="shared" si="3"/>
        <v>OK</v>
      </c>
      <c r="W9" s="47" t="str">
        <f t="shared" si="5"/>
        <v/>
      </c>
      <c r="X9" s="3"/>
      <c r="Y9" s="3"/>
      <c r="Z9" s="3"/>
    </row>
    <row r="10" spans="1:26" ht="15" customHeight="1" outlineLevel="1" x14ac:dyDescent="0.3">
      <c r="A10" s="3"/>
      <c r="B10" s="61" t="s">
        <v>99</v>
      </c>
      <c r="C10" s="62">
        <v>12</v>
      </c>
      <c r="D10" s="62" t="s">
        <v>94</v>
      </c>
      <c r="E10" s="12">
        <v>112.79</v>
      </c>
      <c r="F10" s="12">
        <f t="shared" si="4"/>
        <v>112.79</v>
      </c>
      <c r="G10" s="234"/>
      <c r="H10" s="63" t="s">
        <v>37</v>
      </c>
      <c r="I10" s="63"/>
      <c r="J10" s="64" t="s">
        <v>96</v>
      </c>
      <c r="K10" s="62"/>
      <c r="L10" s="12">
        <v>63.78</v>
      </c>
      <c r="M10" s="12">
        <v>24.57</v>
      </c>
      <c r="N10" s="12">
        <v>13</v>
      </c>
      <c r="O10" s="12">
        <v>1.44</v>
      </c>
      <c r="P10" s="12">
        <v>5</v>
      </c>
      <c r="Q10" s="12">
        <v>5</v>
      </c>
      <c r="R10" s="12"/>
      <c r="S10" s="12"/>
      <c r="T10" s="12"/>
      <c r="U10" s="65"/>
      <c r="V10" s="44" t="str">
        <f t="shared" si="3"/>
        <v>OK</v>
      </c>
      <c r="W10" s="47" t="str">
        <f t="shared" si="5"/>
        <v/>
      </c>
      <c r="X10" s="3"/>
      <c r="Y10" s="3"/>
      <c r="Z10" s="3"/>
    </row>
    <row r="11" spans="1:26" ht="15" customHeight="1" outlineLevel="1" x14ac:dyDescent="0.3">
      <c r="A11" s="3"/>
      <c r="B11" s="10" t="s">
        <v>100</v>
      </c>
      <c r="C11" s="62">
        <v>11</v>
      </c>
      <c r="D11" s="62" t="s">
        <v>94</v>
      </c>
      <c r="E11" s="12">
        <v>166.17</v>
      </c>
      <c r="F11" s="12">
        <f t="shared" si="4"/>
        <v>166.17</v>
      </c>
      <c r="G11" s="232" t="s">
        <v>101</v>
      </c>
      <c r="H11" s="63" t="s">
        <v>37</v>
      </c>
      <c r="I11" s="63"/>
      <c r="J11" s="64" t="s">
        <v>96</v>
      </c>
      <c r="K11" s="62"/>
      <c r="L11" s="12">
        <v>107.16</v>
      </c>
      <c r="M11" s="12">
        <v>24.57</v>
      </c>
      <c r="N11" s="12">
        <v>13</v>
      </c>
      <c r="O11" s="12">
        <v>1.44</v>
      </c>
      <c r="P11" s="12"/>
      <c r="Q11" s="12">
        <v>10</v>
      </c>
      <c r="R11" s="12">
        <v>10</v>
      </c>
      <c r="S11" s="12"/>
      <c r="T11" s="12"/>
      <c r="U11" s="65"/>
      <c r="V11" s="44" t="str">
        <f t="shared" si="3"/>
        <v>OK</v>
      </c>
      <c r="W11" s="47" t="str">
        <f t="shared" si="5"/>
        <v/>
      </c>
      <c r="X11" s="3"/>
      <c r="Y11" s="3"/>
      <c r="Z11" s="3"/>
    </row>
    <row r="12" spans="1:26" ht="15" customHeight="1" outlineLevel="1" x14ac:dyDescent="0.3">
      <c r="A12" s="3"/>
      <c r="B12" s="10" t="s">
        <v>102</v>
      </c>
      <c r="C12" s="62">
        <v>11</v>
      </c>
      <c r="D12" s="62" t="s">
        <v>94</v>
      </c>
      <c r="E12" s="12">
        <v>146.16999999999999</v>
      </c>
      <c r="F12" s="12">
        <f t="shared" si="4"/>
        <v>146.16999999999999</v>
      </c>
      <c r="G12" s="234"/>
      <c r="H12" s="63" t="s">
        <v>37</v>
      </c>
      <c r="I12" s="63"/>
      <c r="J12" s="64" t="s">
        <v>96</v>
      </c>
      <c r="K12" s="62"/>
      <c r="L12" s="12">
        <v>107.16</v>
      </c>
      <c r="M12" s="12">
        <v>24.57</v>
      </c>
      <c r="N12" s="12">
        <v>13</v>
      </c>
      <c r="O12" s="12">
        <v>1.44</v>
      </c>
      <c r="P12" s="12"/>
      <c r="Q12" s="12"/>
      <c r="R12" s="12"/>
      <c r="S12" s="12"/>
      <c r="T12" s="12"/>
      <c r="U12" s="65"/>
      <c r="V12" s="44" t="str">
        <f t="shared" si="3"/>
        <v>OK</v>
      </c>
      <c r="W12" s="47" t="str">
        <f t="shared" si="5"/>
        <v/>
      </c>
      <c r="X12" s="3"/>
      <c r="Y12" s="3"/>
      <c r="Z12" s="3"/>
    </row>
    <row r="13" spans="1:26" ht="15" customHeight="1" outlineLevel="1" x14ac:dyDescent="0.3">
      <c r="A13" s="3"/>
      <c r="B13" s="61" t="s">
        <v>103</v>
      </c>
      <c r="C13" s="62"/>
      <c r="D13" s="62" t="s">
        <v>104</v>
      </c>
      <c r="E13" s="12">
        <v>296.49</v>
      </c>
      <c r="F13" s="12">
        <v>0</v>
      </c>
      <c r="G13" s="232"/>
      <c r="H13" s="63"/>
      <c r="I13" s="63"/>
      <c r="J13" s="64" t="s">
        <v>96</v>
      </c>
      <c r="K13" s="62"/>
      <c r="L13" s="12">
        <v>127.48</v>
      </c>
      <c r="M13" s="12">
        <v>24.57</v>
      </c>
      <c r="N13" s="12">
        <v>13</v>
      </c>
      <c r="O13" s="12">
        <v>1.44</v>
      </c>
      <c r="P13" s="12">
        <v>10</v>
      </c>
      <c r="Q13" s="12">
        <v>20</v>
      </c>
      <c r="R13" s="12">
        <v>50</v>
      </c>
      <c r="S13" s="12">
        <v>50</v>
      </c>
      <c r="T13" s="12"/>
      <c r="U13" s="65"/>
      <c r="V13" s="44" t="str">
        <f t="shared" si="3"/>
        <v>Diferente</v>
      </c>
      <c r="W13" s="47">
        <f t="shared" si="5"/>
        <v>-296.49</v>
      </c>
      <c r="X13" s="3"/>
      <c r="Y13" s="3"/>
      <c r="Z13" s="3"/>
    </row>
    <row r="14" spans="1:26" ht="15" customHeight="1" outlineLevel="1" x14ac:dyDescent="0.3">
      <c r="A14" s="3"/>
      <c r="B14" s="61" t="s">
        <v>105</v>
      </c>
      <c r="C14" s="62"/>
      <c r="D14" s="62" t="s">
        <v>104</v>
      </c>
      <c r="E14" s="12">
        <v>189.29</v>
      </c>
      <c r="F14" s="12">
        <v>0</v>
      </c>
      <c r="G14" s="234"/>
      <c r="H14" s="63"/>
      <c r="I14" s="63"/>
      <c r="J14" s="64" t="s">
        <v>96</v>
      </c>
      <c r="K14" s="62"/>
      <c r="L14" s="12">
        <v>95.28</v>
      </c>
      <c r="M14" s="12">
        <v>24.57</v>
      </c>
      <c r="N14" s="12">
        <v>13</v>
      </c>
      <c r="O14" s="12">
        <v>1.44</v>
      </c>
      <c r="P14" s="12">
        <v>5</v>
      </c>
      <c r="Q14" s="12"/>
      <c r="R14" s="12"/>
      <c r="S14" s="12">
        <v>50</v>
      </c>
      <c r="T14" s="12"/>
      <c r="U14" s="65"/>
      <c r="V14" s="44" t="str">
        <f t="shared" si="3"/>
        <v>Diferente</v>
      </c>
      <c r="W14" s="47">
        <f t="shared" si="5"/>
        <v>-189.29</v>
      </c>
      <c r="X14" s="3"/>
      <c r="Y14" s="3"/>
      <c r="Z14" s="3"/>
    </row>
    <row r="15" spans="1:26" ht="15" customHeight="1" outlineLevel="1" x14ac:dyDescent="0.3">
      <c r="A15" s="3"/>
      <c r="B15" s="10" t="s">
        <v>106</v>
      </c>
      <c r="C15" s="62">
        <v>19</v>
      </c>
      <c r="D15" s="62" t="s">
        <v>94</v>
      </c>
      <c r="E15" s="12">
        <v>186.14</v>
      </c>
      <c r="F15" s="12">
        <f t="shared" ref="F15:F16" si="6">E15*2</f>
        <v>372.28</v>
      </c>
      <c r="G15" s="235" t="s">
        <v>107</v>
      </c>
      <c r="H15" s="63" t="s">
        <v>37</v>
      </c>
      <c r="I15" s="63"/>
      <c r="J15" s="64" t="s">
        <v>96</v>
      </c>
      <c r="K15" s="62"/>
      <c r="L15" s="12">
        <f>117.13+186.14</f>
        <v>303.27</v>
      </c>
      <c r="M15" s="12">
        <v>24.57</v>
      </c>
      <c r="N15" s="12">
        <v>13</v>
      </c>
      <c r="O15" s="12">
        <v>1.44</v>
      </c>
      <c r="P15" s="12">
        <v>5</v>
      </c>
      <c r="Q15" s="12">
        <v>5</v>
      </c>
      <c r="R15" s="12">
        <v>20</v>
      </c>
      <c r="S15" s="12"/>
      <c r="T15" s="12"/>
      <c r="U15" s="65"/>
      <c r="V15" s="44" t="str">
        <f t="shared" si="3"/>
        <v>OK</v>
      </c>
      <c r="W15" s="47" t="str">
        <f t="shared" si="5"/>
        <v/>
      </c>
      <c r="X15" s="3"/>
      <c r="Y15" s="3"/>
      <c r="Z15" s="3"/>
    </row>
    <row r="16" spans="1:26" ht="15" customHeight="1" outlineLevel="1" x14ac:dyDescent="0.3">
      <c r="A16" s="3"/>
      <c r="B16" s="10" t="s">
        <v>108</v>
      </c>
      <c r="C16" s="62">
        <v>19</v>
      </c>
      <c r="D16" s="62" t="s">
        <v>94</v>
      </c>
      <c r="E16" s="12">
        <v>95.99</v>
      </c>
      <c r="F16" s="12">
        <f t="shared" si="6"/>
        <v>191.98</v>
      </c>
      <c r="G16" s="234"/>
      <c r="H16" s="63" t="s">
        <v>37</v>
      </c>
      <c r="I16" s="63"/>
      <c r="J16" s="64" t="s">
        <v>96</v>
      </c>
      <c r="K16" s="62"/>
      <c r="L16" s="12">
        <f>46.98+95.99</f>
        <v>142.97</v>
      </c>
      <c r="M16" s="12">
        <v>24.57</v>
      </c>
      <c r="N16" s="12">
        <v>13</v>
      </c>
      <c r="O16" s="12">
        <v>1.44</v>
      </c>
      <c r="P16" s="12">
        <v>5</v>
      </c>
      <c r="Q16" s="12">
        <v>5</v>
      </c>
      <c r="R16" s="12"/>
      <c r="S16" s="12"/>
      <c r="T16" s="12"/>
      <c r="U16" s="65"/>
      <c r="V16" s="44" t="str">
        <f t="shared" si="3"/>
        <v>OK</v>
      </c>
      <c r="W16" s="47" t="str">
        <f t="shared" si="5"/>
        <v/>
      </c>
      <c r="X16" s="3"/>
      <c r="Y16" s="3"/>
      <c r="Z16" s="3"/>
    </row>
    <row r="17" spans="1:26" ht="15" customHeight="1" outlineLevel="1" x14ac:dyDescent="0.3">
      <c r="A17" s="3"/>
      <c r="B17" s="61" t="s">
        <v>109</v>
      </c>
      <c r="C17" s="62">
        <v>8</v>
      </c>
      <c r="D17" s="62" t="s">
        <v>94</v>
      </c>
      <c r="E17" s="12">
        <v>192.19</v>
      </c>
      <c r="F17" s="12">
        <f t="shared" ref="F17:F22" si="7">E17</f>
        <v>192.19</v>
      </c>
      <c r="G17" s="232" t="s">
        <v>110</v>
      </c>
      <c r="H17" s="63" t="s">
        <v>37</v>
      </c>
      <c r="I17" s="63"/>
      <c r="J17" s="64" t="s">
        <v>96</v>
      </c>
      <c r="K17" s="62"/>
      <c r="L17" s="12">
        <v>148.18</v>
      </c>
      <c r="M17" s="12">
        <v>24.57</v>
      </c>
      <c r="N17" s="12">
        <v>13</v>
      </c>
      <c r="O17" s="12">
        <v>1.44</v>
      </c>
      <c r="P17" s="12">
        <v>5</v>
      </c>
      <c r="Q17" s="12"/>
      <c r="R17" s="12"/>
      <c r="S17" s="12"/>
      <c r="T17" s="12"/>
      <c r="U17" s="65"/>
      <c r="V17" s="44" t="str">
        <f t="shared" si="3"/>
        <v>OK</v>
      </c>
      <c r="W17" s="47" t="str">
        <f t="shared" si="5"/>
        <v/>
      </c>
      <c r="X17" s="3"/>
      <c r="Y17" s="3"/>
      <c r="Z17" s="3"/>
    </row>
    <row r="18" spans="1:26" ht="15" customHeight="1" outlineLevel="1" x14ac:dyDescent="0.3">
      <c r="A18" s="3"/>
      <c r="B18" s="61" t="s">
        <v>111</v>
      </c>
      <c r="C18" s="62">
        <v>8</v>
      </c>
      <c r="D18" s="62" t="s">
        <v>94</v>
      </c>
      <c r="E18" s="12">
        <v>131.99</v>
      </c>
      <c r="F18" s="12">
        <f t="shared" si="7"/>
        <v>131.99</v>
      </c>
      <c r="G18" s="234"/>
      <c r="H18" s="63" t="s">
        <v>37</v>
      </c>
      <c r="I18" s="63"/>
      <c r="J18" s="64" t="s">
        <v>96</v>
      </c>
      <c r="K18" s="62"/>
      <c r="L18" s="12">
        <v>92.98</v>
      </c>
      <c r="M18" s="12">
        <v>24.57</v>
      </c>
      <c r="N18" s="12">
        <v>13</v>
      </c>
      <c r="O18" s="12">
        <v>1.44</v>
      </c>
      <c r="P18" s="12"/>
      <c r="Q18" s="12"/>
      <c r="R18" s="12"/>
      <c r="S18" s="12"/>
      <c r="T18" s="12"/>
      <c r="U18" s="65"/>
      <c r="V18" s="44" t="str">
        <f t="shared" si="3"/>
        <v>OK</v>
      </c>
      <c r="W18" s="47" t="str">
        <f t="shared" si="5"/>
        <v/>
      </c>
      <c r="X18" s="3"/>
      <c r="Y18" s="3"/>
      <c r="Z18" s="3"/>
    </row>
    <row r="19" spans="1:26" ht="15" customHeight="1" outlineLevel="1" x14ac:dyDescent="0.3">
      <c r="A19" s="3"/>
      <c r="B19" s="10" t="s">
        <v>112</v>
      </c>
      <c r="C19" s="62">
        <v>1</v>
      </c>
      <c r="D19" s="62" t="s">
        <v>94</v>
      </c>
      <c r="E19" s="12">
        <v>434.29</v>
      </c>
      <c r="F19" s="12">
        <f t="shared" si="7"/>
        <v>434.29</v>
      </c>
      <c r="G19" s="232" t="s">
        <v>113</v>
      </c>
      <c r="H19" s="63" t="s">
        <v>37</v>
      </c>
      <c r="I19" s="63"/>
      <c r="J19" s="64" t="s">
        <v>96</v>
      </c>
      <c r="K19" s="62"/>
      <c r="L19" s="12">
        <v>325.27999999999997</v>
      </c>
      <c r="M19" s="12">
        <v>24.57</v>
      </c>
      <c r="N19" s="12">
        <v>13</v>
      </c>
      <c r="O19" s="12">
        <v>11.44</v>
      </c>
      <c r="P19" s="12"/>
      <c r="Q19" s="12">
        <v>10</v>
      </c>
      <c r="R19" s="12"/>
      <c r="S19" s="12">
        <v>50</v>
      </c>
      <c r="T19" s="12"/>
      <c r="U19" s="65"/>
      <c r="V19" s="44" t="str">
        <f t="shared" si="3"/>
        <v>OK</v>
      </c>
      <c r="W19" s="47" t="str">
        <f t="shared" si="5"/>
        <v/>
      </c>
      <c r="X19" s="3"/>
      <c r="Y19" s="3"/>
      <c r="Z19" s="3"/>
    </row>
    <row r="20" spans="1:26" ht="15" customHeight="1" outlineLevel="1" x14ac:dyDescent="0.3">
      <c r="A20" s="3"/>
      <c r="B20" s="10" t="s">
        <v>114</v>
      </c>
      <c r="C20" s="62">
        <v>1</v>
      </c>
      <c r="D20" s="62" t="s">
        <v>94</v>
      </c>
      <c r="E20" s="12">
        <v>424.29</v>
      </c>
      <c r="F20" s="12">
        <f t="shared" si="7"/>
        <v>424.29</v>
      </c>
      <c r="G20" s="234"/>
      <c r="H20" s="63" t="s">
        <v>37</v>
      </c>
      <c r="I20" s="63"/>
      <c r="J20" s="64" t="s">
        <v>96</v>
      </c>
      <c r="K20" s="62"/>
      <c r="L20" s="12">
        <v>325.27999999999997</v>
      </c>
      <c r="M20" s="12">
        <v>24.57</v>
      </c>
      <c r="N20" s="12">
        <v>13</v>
      </c>
      <c r="O20" s="12">
        <v>1.44</v>
      </c>
      <c r="P20" s="12"/>
      <c r="Q20" s="12">
        <v>10</v>
      </c>
      <c r="R20" s="12"/>
      <c r="S20" s="12">
        <v>50</v>
      </c>
      <c r="T20" s="12"/>
      <c r="U20" s="65"/>
      <c r="V20" s="44" t="str">
        <f t="shared" si="3"/>
        <v>OK</v>
      </c>
      <c r="W20" s="47" t="str">
        <f t="shared" si="5"/>
        <v/>
      </c>
      <c r="X20" s="3"/>
      <c r="Y20" s="3"/>
      <c r="Z20" s="3"/>
    </row>
    <row r="21" spans="1:26" ht="15" customHeight="1" outlineLevel="1" x14ac:dyDescent="0.3">
      <c r="A21" s="3"/>
      <c r="B21" s="61" t="s">
        <v>115</v>
      </c>
      <c r="C21" s="62">
        <v>1</v>
      </c>
      <c r="D21" s="62" t="s">
        <v>94</v>
      </c>
      <c r="E21" s="12">
        <v>171.99</v>
      </c>
      <c r="F21" s="12">
        <f t="shared" si="7"/>
        <v>171.99</v>
      </c>
      <c r="G21" s="232" t="s">
        <v>116</v>
      </c>
      <c r="H21" s="63" t="s">
        <v>37</v>
      </c>
      <c r="I21" s="63"/>
      <c r="J21" s="64" t="s">
        <v>96</v>
      </c>
      <c r="K21" s="62"/>
      <c r="L21" s="12">
        <v>92.98</v>
      </c>
      <c r="M21" s="12">
        <v>24.57</v>
      </c>
      <c r="N21" s="12">
        <v>13</v>
      </c>
      <c r="O21" s="12">
        <v>1.44</v>
      </c>
      <c r="P21" s="12">
        <v>5</v>
      </c>
      <c r="Q21" s="12">
        <v>5</v>
      </c>
      <c r="R21" s="12"/>
      <c r="S21" s="12">
        <v>30</v>
      </c>
      <c r="T21" s="12"/>
      <c r="U21" s="65"/>
      <c r="V21" s="44" t="str">
        <f t="shared" si="3"/>
        <v>OK</v>
      </c>
      <c r="W21" s="47" t="str">
        <f t="shared" si="5"/>
        <v/>
      </c>
      <c r="X21" s="3"/>
      <c r="Y21" s="3"/>
      <c r="Z21" s="3"/>
    </row>
    <row r="22" spans="1:26" ht="15" customHeight="1" outlineLevel="1" x14ac:dyDescent="0.3">
      <c r="A22" s="3"/>
      <c r="B22" s="61" t="s">
        <v>117</v>
      </c>
      <c r="C22" s="62">
        <v>1</v>
      </c>
      <c r="D22" s="62" t="s">
        <v>94</v>
      </c>
      <c r="E22" s="12">
        <v>143.59</v>
      </c>
      <c r="F22" s="12">
        <f t="shared" si="7"/>
        <v>143.59</v>
      </c>
      <c r="G22" s="234"/>
      <c r="H22" s="63" t="s">
        <v>37</v>
      </c>
      <c r="I22" s="63"/>
      <c r="J22" s="64" t="s">
        <v>96</v>
      </c>
      <c r="K22" s="62"/>
      <c r="L22" s="12">
        <v>74.58</v>
      </c>
      <c r="M22" s="12">
        <v>24.57</v>
      </c>
      <c r="N22" s="12">
        <v>13</v>
      </c>
      <c r="O22" s="12">
        <v>1.44</v>
      </c>
      <c r="P22" s="12"/>
      <c r="Q22" s="12"/>
      <c r="R22" s="12"/>
      <c r="S22" s="12">
        <v>30</v>
      </c>
      <c r="T22" s="12"/>
      <c r="U22" s="65"/>
      <c r="V22" s="44" t="str">
        <f t="shared" si="3"/>
        <v>OK</v>
      </c>
      <c r="W22" s="47" t="str">
        <f t="shared" si="5"/>
        <v/>
      </c>
      <c r="X22" s="3"/>
      <c r="Y22" s="3"/>
      <c r="Z22" s="3"/>
    </row>
    <row r="23" spans="1:26" ht="15" customHeight="1" outlineLevel="1" x14ac:dyDescent="0.3">
      <c r="A23" s="3"/>
      <c r="B23" s="10" t="s">
        <v>118</v>
      </c>
      <c r="C23" s="62">
        <v>21</v>
      </c>
      <c r="D23" s="62" t="s">
        <v>94</v>
      </c>
      <c r="E23" s="12">
        <v>83.34</v>
      </c>
      <c r="F23" s="12">
        <f>E23*2+50</f>
        <v>216.68</v>
      </c>
      <c r="G23" s="235" t="s">
        <v>119</v>
      </c>
      <c r="H23" s="63" t="s">
        <v>37</v>
      </c>
      <c r="I23" s="63"/>
      <c r="J23" s="64"/>
      <c r="K23" s="12"/>
      <c r="L23" s="12">
        <f>34.33*2</f>
        <v>68.66</v>
      </c>
      <c r="M23" s="12">
        <f t="shared" ref="M23:M24" si="8">24.57*2</f>
        <v>49.14</v>
      </c>
      <c r="N23" s="12">
        <v>26</v>
      </c>
      <c r="O23" s="12">
        <v>2.88</v>
      </c>
      <c r="P23" s="12">
        <v>10</v>
      </c>
      <c r="Q23" s="12">
        <v>10</v>
      </c>
      <c r="R23" s="12"/>
      <c r="S23" s="12"/>
      <c r="T23" s="12">
        <v>50</v>
      </c>
      <c r="U23" s="65" t="s">
        <v>120</v>
      </c>
      <c r="V23" s="44" t="str">
        <f t="shared" si="3"/>
        <v>OK</v>
      </c>
      <c r="W23" s="47" t="str">
        <f t="shared" si="5"/>
        <v/>
      </c>
      <c r="X23" s="3"/>
      <c r="Y23" s="3"/>
      <c r="Z23" s="3"/>
    </row>
    <row r="24" spans="1:26" ht="15" customHeight="1" outlineLevel="1" x14ac:dyDescent="0.3">
      <c r="A24" s="3"/>
      <c r="B24" s="10" t="s">
        <v>121</v>
      </c>
      <c r="C24" s="62">
        <v>21</v>
      </c>
      <c r="D24" s="62" t="s">
        <v>94</v>
      </c>
      <c r="E24" s="12">
        <v>114.44</v>
      </c>
      <c r="F24" s="12">
        <f>E24*2</f>
        <v>228.88</v>
      </c>
      <c r="G24" s="234"/>
      <c r="H24" s="63" t="s">
        <v>37</v>
      </c>
      <c r="I24" s="63"/>
      <c r="J24" s="64"/>
      <c r="K24" s="12"/>
      <c r="L24" s="12">
        <f>50.43*2</f>
        <v>100.86</v>
      </c>
      <c r="M24" s="12">
        <f t="shared" si="8"/>
        <v>49.14</v>
      </c>
      <c r="N24" s="12">
        <v>26</v>
      </c>
      <c r="O24" s="12">
        <v>2.88</v>
      </c>
      <c r="P24" s="12">
        <v>10</v>
      </c>
      <c r="Q24" s="12">
        <v>10</v>
      </c>
      <c r="R24" s="12"/>
      <c r="S24" s="12">
        <v>30</v>
      </c>
      <c r="T24" s="12"/>
      <c r="U24" s="65"/>
      <c r="V24" s="44" t="str">
        <f t="shared" si="3"/>
        <v>OK</v>
      </c>
      <c r="W24" s="47" t="str">
        <f t="shared" si="5"/>
        <v/>
      </c>
      <c r="X24" s="3"/>
      <c r="Y24" s="3"/>
      <c r="Z24" s="3"/>
    </row>
    <row r="25" spans="1:26" ht="15" customHeight="1" outlineLevel="1" x14ac:dyDescent="0.3">
      <c r="A25" s="3"/>
      <c r="B25" s="61" t="s">
        <v>122</v>
      </c>
      <c r="C25" s="62"/>
      <c r="D25" s="62" t="s">
        <v>104</v>
      </c>
      <c r="E25" s="12">
        <v>160.4</v>
      </c>
      <c r="F25" s="12">
        <v>0</v>
      </c>
      <c r="G25" s="232"/>
      <c r="H25" s="63"/>
      <c r="I25" s="63"/>
      <c r="J25" s="64"/>
      <c r="K25" s="12"/>
      <c r="L25" s="12">
        <v>106.39</v>
      </c>
      <c r="M25" s="12">
        <v>24.57</v>
      </c>
      <c r="N25" s="12">
        <v>13</v>
      </c>
      <c r="O25" s="12">
        <v>6.44</v>
      </c>
      <c r="P25" s="12"/>
      <c r="Q25" s="12">
        <v>10</v>
      </c>
      <c r="R25" s="12"/>
      <c r="S25" s="12"/>
      <c r="T25" s="12"/>
      <c r="U25" s="65"/>
      <c r="V25" s="44" t="str">
        <f t="shared" si="3"/>
        <v>Diferente</v>
      </c>
      <c r="W25" s="47">
        <f t="shared" si="5"/>
        <v>-160.4</v>
      </c>
      <c r="X25" s="3"/>
      <c r="Y25" s="3"/>
      <c r="Z25" s="3"/>
    </row>
    <row r="26" spans="1:26" ht="15" customHeight="1" outlineLevel="1" x14ac:dyDescent="0.3">
      <c r="A26" s="3"/>
      <c r="B26" s="61" t="s">
        <v>123</v>
      </c>
      <c r="C26" s="62"/>
      <c r="D26" s="62" t="s">
        <v>104</v>
      </c>
      <c r="E26" s="12">
        <v>118.35</v>
      </c>
      <c r="F26" s="12">
        <v>0</v>
      </c>
      <c r="G26" s="234"/>
      <c r="H26" s="63"/>
      <c r="I26" s="63"/>
      <c r="J26" s="64"/>
      <c r="K26" s="12"/>
      <c r="L26" s="12">
        <v>79.34</v>
      </c>
      <c r="M26" s="12">
        <v>24.57</v>
      </c>
      <c r="N26" s="12">
        <v>13</v>
      </c>
      <c r="O26" s="12">
        <v>1.44</v>
      </c>
      <c r="P26" s="12"/>
      <c r="Q26" s="12"/>
      <c r="R26" s="12"/>
      <c r="S26" s="12"/>
      <c r="T26" s="12"/>
      <c r="U26" s="65"/>
      <c r="V26" s="44" t="str">
        <f t="shared" si="3"/>
        <v>Diferente</v>
      </c>
      <c r="W26" s="47">
        <f t="shared" si="5"/>
        <v>-118.35</v>
      </c>
      <c r="X26" s="3"/>
      <c r="Y26" s="3"/>
      <c r="Z26" s="3"/>
    </row>
    <row r="27" spans="1:26" ht="15" customHeight="1" outlineLevel="1" x14ac:dyDescent="0.3">
      <c r="A27" s="3"/>
      <c r="B27" s="10" t="s">
        <v>124</v>
      </c>
      <c r="C27" s="62">
        <v>4</v>
      </c>
      <c r="D27" s="62" t="s">
        <v>94</v>
      </c>
      <c r="E27" s="12">
        <v>150</v>
      </c>
      <c r="F27" s="12">
        <v>645</v>
      </c>
      <c r="G27" s="66" t="s">
        <v>125</v>
      </c>
      <c r="H27" s="63" t="s">
        <v>37</v>
      </c>
      <c r="I27" s="63"/>
      <c r="J27" s="64"/>
      <c r="K27" s="12"/>
      <c r="L27" s="12">
        <f>110.43+(645-150)</f>
        <v>605.43000000000006</v>
      </c>
      <c r="M27" s="12">
        <v>24.57</v>
      </c>
      <c r="N27" s="12">
        <v>13</v>
      </c>
      <c r="O27" s="12">
        <v>2</v>
      </c>
      <c r="P27" s="12"/>
      <c r="Q27" s="12"/>
      <c r="R27" s="12"/>
      <c r="S27" s="12"/>
      <c r="T27" s="12"/>
      <c r="U27" s="65"/>
      <c r="V27" s="44" t="str">
        <f t="shared" si="3"/>
        <v>OK</v>
      </c>
      <c r="W27" s="47" t="str">
        <f t="shared" si="5"/>
        <v/>
      </c>
      <c r="X27" s="3"/>
      <c r="Y27" s="3"/>
      <c r="Z27" s="3"/>
    </row>
    <row r="28" spans="1:26" ht="15" customHeight="1" outlineLevel="1" x14ac:dyDescent="0.3">
      <c r="A28" s="3"/>
      <c r="B28" s="61" t="s">
        <v>126</v>
      </c>
      <c r="C28" s="62">
        <v>18</v>
      </c>
      <c r="D28" s="62" t="s">
        <v>94</v>
      </c>
      <c r="E28" s="12">
        <v>205.79</v>
      </c>
      <c r="F28" s="12">
        <f>E28</f>
        <v>205.79</v>
      </c>
      <c r="G28" s="235" t="s">
        <v>127</v>
      </c>
      <c r="H28" s="63" t="s">
        <v>37</v>
      </c>
      <c r="I28" s="63"/>
      <c r="J28" s="64"/>
      <c r="K28" s="12"/>
      <c r="L28" s="12">
        <f>106.78-37</f>
        <v>69.78</v>
      </c>
      <c r="M28" s="12">
        <v>24.57</v>
      </c>
      <c r="N28" s="12">
        <v>13</v>
      </c>
      <c r="O28" s="12">
        <v>11.44</v>
      </c>
      <c r="P28" s="12">
        <v>5</v>
      </c>
      <c r="Q28" s="12">
        <v>5</v>
      </c>
      <c r="R28" s="12">
        <v>10</v>
      </c>
      <c r="S28" s="12">
        <v>30</v>
      </c>
      <c r="T28" s="12"/>
      <c r="U28" s="65"/>
      <c r="V28" s="44" t="str">
        <f t="shared" si="3"/>
        <v>Diferente</v>
      </c>
      <c r="W28" s="47">
        <f t="shared" si="5"/>
        <v>37</v>
      </c>
      <c r="X28" s="3"/>
      <c r="Y28" s="3"/>
      <c r="Z28" s="3"/>
    </row>
    <row r="29" spans="1:26" ht="15" customHeight="1" outlineLevel="1" x14ac:dyDescent="0.3">
      <c r="A29" s="3"/>
      <c r="B29" s="61" t="s">
        <v>128</v>
      </c>
      <c r="C29" s="62">
        <v>18</v>
      </c>
      <c r="D29" s="62" t="s">
        <v>129</v>
      </c>
      <c r="E29" s="12">
        <v>195.79</v>
      </c>
      <c r="F29" s="12">
        <f>264.58-F28</f>
        <v>58.789999999999992</v>
      </c>
      <c r="G29" s="234"/>
      <c r="H29" s="63" t="s">
        <v>37</v>
      </c>
      <c r="I29" s="63"/>
      <c r="J29" s="64"/>
      <c r="K29" s="12"/>
      <c r="L29" s="12">
        <f>106.78-100</f>
        <v>6.7800000000000011</v>
      </c>
      <c r="M29" s="12">
        <v>24.57</v>
      </c>
      <c r="N29" s="12">
        <v>13</v>
      </c>
      <c r="O29" s="12">
        <v>1.44</v>
      </c>
      <c r="P29" s="12">
        <v>5</v>
      </c>
      <c r="Q29" s="12">
        <v>5</v>
      </c>
      <c r="R29" s="12">
        <v>10</v>
      </c>
      <c r="S29" s="12">
        <v>30</v>
      </c>
      <c r="T29" s="12"/>
      <c r="U29" s="65"/>
      <c r="V29" s="44" t="str">
        <f t="shared" si="3"/>
        <v>Diferente</v>
      </c>
      <c r="W29" s="47">
        <f t="shared" si="5"/>
        <v>-37</v>
      </c>
      <c r="X29" s="3"/>
      <c r="Y29" s="3"/>
      <c r="Z29" s="3"/>
    </row>
    <row r="30" spans="1:26" ht="15" customHeight="1" outlineLevel="1" x14ac:dyDescent="0.3">
      <c r="A30" s="3"/>
      <c r="B30" s="10" t="s">
        <v>130</v>
      </c>
      <c r="C30" s="62">
        <v>5</v>
      </c>
      <c r="D30" s="62" t="s">
        <v>94</v>
      </c>
      <c r="E30" s="12">
        <v>207.69</v>
      </c>
      <c r="F30" s="12">
        <f t="shared" ref="F30:F31" si="9">E30</f>
        <v>207.69</v>
      </c>
      <c r="G30" s="232" t="s">
        <v>131</v>
      </c>
      <c r="H30" s="63" t="s">
        <v>37</v>
      </c>
      <c r="I30" s="63"/>
      <c r="J30" s="64"/>
      <c r="K30" s="12"/>
      <c r="L30" s="12">
        <v>113.68</v>
      </c>
      <c r="M30" s="12">
        <v>24.57</v>
      </c>
      <c r="N30" s="12">
        <v>13</v>
      </c>
      <c r="O30" s="12">
        <v>1.44</v>
      </c>
      <c r="P30" s="12">
        <v>5</v>
      </c>
      <c r="Q30" s="12">
        <v>10</v>
      </c>
      <c r="R30" s="12">
        <v>10</v>
      </c>
      <c r="S30" s="12">
        <v>30</v>
      </c>
      <c r="T30" s="12"/>
      <c r="U30" s="65"/>
      <c r="V30" s="44" t="str">
        <f t="shared" si="3"/>
        <v>OK</v>
      </c>
      <c r="W30" s="47" t="str">
        <f t="shared" si="5"/>
        <v/>
      </c>
      <c r="X30" s="3"/>
      <c r="Y30" s="3"/>
      <c r="Z30" s="3"/>
    </row>
    <row r="31" spans="1:26" ht="15" customHeight="1" outlineLevel="1" x14ac:dyDescent="0.3">
      <c r="A31" s="3"/>
      <c r="B31" s="10" t="s">
        <v>132</v>
      </c>
      <c r="C31" s="62">
        <v>5</v>
      </c>
      <c r="D31" s="62" t="s">
        <v>94</v>
      </c>
      <c r="E31" s="12">
        <v>156.69</v>
      </c>
      <c r="F31" s="12">
        <f t="shared" si="9"/>
        <v>156.69</v>
      </c>
      <c r="G31" s="234"/>
      <c r="H31" s="63" t="s">
        <v>37</v>
      </c>
      <c r="I31" s="63"/>
      <c r="J31" s="64"/>
      <c r="K31" s="12"/>
      <c r="L31" s="12">
        <v>67.680000000000007</v>
      </c>
      <c r="M31" s="12">
        <v>24.57</v>
      </c>
      <c r="N31" s="12">
        <v>13</v>
      </c>
      <c r="O31" s="12">
        <v>1.44</v>
      </c>
      <c r="P31" s="12"/>
      <c r="Q31" s="12">
        <v>10</v>
      </c>
      <c r="R31" s="12">
        <v>10</v>
      </c>
      <c r="S31" s="12">
        <v>30</v>
      </c>
      <c r="T31" s="12"/>
      <c r="U31" s="65"/>
      <c r="V31" s="44" t="str">
        <f t="shared" si="3"/>
        <v>OK</v>
      </c>
      <c r="W31" s="47" t="str">
        <f t="shared" si="5"/>
        <v/>
      </c>
      <c r="X31" s="3"/>
      <c r="Y31" s="3"/>
      <c r="Z31" s="3"/>
    </row>
    <row r="32" spans="1:26" ht="15" customHeight="1" outlineLevel="1" x14ac:dyDescent="0.3">
      <c r="A32" s="3"/>
      <c r="B32" s="61" t="s">
        <v>133</v>
      </c>
      <c r="C32" s="62"/>
      <c r="D32" s="62" t="s">
        <v>104</v>
      </c>
      <c r="E32" s="12">
        <v>123.99</v>
      </c>
      <c r="F32" s="12">
        <v>0</v>
      </c>
      <c r="G32" s="232"/>
      <c r="H32" s="63"/>
      <c r="I32" s="63"/>
      <c r="J32" s="64" t="s">
        <v>96</v>
      </c>
      <c r="K32" s="12"/>
      <c r="L32" s="12">
        <v>69.98</v>
      </c>
      <c r="M32" s="12">
        <v>24.57</v>
      </c>
      <c r="N32" s="12">
        <v>13</v>
      </c>
      <c r="O32" s="12">
        <v>1.44</v>
      </c>
      <c r="P32" s="12">
        <v>5</v>
      </c>
      <c r="Q32" s="12"/>
      <c r="R32" s="12">
        <v>10</v>
      </c>
      <c r="S32" s="12"/>
      <c r="T32" s="12"/>
      <c r="U32" s="65"/>
      <c r="V32" s="44" t="str">
        <f t="shared" si="3"/>
        <v>Diferente</v>
      </c>
      <c r="W32" s="47">
        <f t="shared" si="5"/>
        <v>-123.99000000000001</v>
      </c>
      <c r="X32" s="3"/>
      <c r="Y32" s="3"/>
      <c r="Z32" s="3"/>
    </row>
    <row r="33" spans="1:26" ht="15" customHeight="1" outlineLevel="1" x14ac:dyDescent="0.3">
      <c r="A33" s="3"/>
      <c r="B33" s="61" t="s">
        <v>134</v>
      </c>
      <c r="C33" s="62"/>
      <c r="D33" s="62" t="s">
        <v>104</v>
      </c>
      <c r="E33" s="12">
        <v>118.99</v>
      </c>
      <c r="F33" s="12">
        <v>0</v>
      </c>
      <c r="G33" s="234"/>
      <c r="H33" s="63"/>
      <c r="I33" s="63"/>
      <c r="J33" s="64" t="s">
        <v>96</v>
      </c>
      <c r="K33" s="12"/>
      <c r="L33" s="12">
        <v>69.98</v>
      </c>
      <c r="M33" s="12">
        <v>24.57</v>
      </c>
      <c r="N33" s="12">
        <v>13</v>
      </c>
      <c r="O33" s="12">
        <v>1.44</v>
      </c>
      <c r="P33" s="12"/>
      <c r="Q33" s="12"/>
      <c r="R33" s="12">
        <v>10</v>
      </c>
      <c r="S33" s="12"/>
      <c r="T33" s="12"/>
      <c r="U33" s="65"/>
      <c r="V33" s="44" t="str">
        <f t="shared" si="3"/>
        <v>Diferente</v>
      </c>
      <c r="W33" s="47">
        <f t="shared" si="5"/>
        <v>-118.99000000000001</v>
      </c>
      <c r="X33" s="3"/>
      <c r="Y33" s="3"/>
      <c r="Z33" s="3"/>
    </row>
    <row r="34" spans="1:26" ht="15" customHeight="1" outlineLevel="1" x14ac:dyDescent="0.3">
      <c r="A34" s="3"/>
      <c r="B34" s="10" t="s">
        <v>135</v>
      </c>
      <c r="C34" s="62">
        <v>12</v>
      </c>
      <c r="D34" s="62" t="s">
        <v>94</v>
      </c>
      <c r="E34" s="12">
        <v>172.79</v>
      </c>
      <c r="F34" s="12">
        <f t="shared" ref="F34:F37" si="10">E34</f>
        <v>172.79</v>
      </c>
      <c r="G34" s="232" t="s">
        <v>136</v>
      </c>
      <c r="H34" s="63" t="s">
        <v>37</v>
      </c>
      <c r="I34" s="63"/>
      <c r="J34" s="64" t="s">
        <v>96</v>
      </c>
      <c r="K34" s="12"/>
      <c r="L34" s="12">
        <v>83.78</v>
      </c>
      <c r="M34" s="12">
        <v>24.57</v>
      </c>
      <c r="N34" s="12">
        <v>13</v>
      </c>
      <c r="O34" s="12">
        <v>1.44</v>
      </c>
      <c r="P34" s="12"/>
      <c r="Q34" s="12"/>
      <c r="R34" s="12"/>
      <c r="S34" s="12">
        <v>50</v>
      </c>
      <c r="T34" s="12"/>
      <c r="U34" s="65"/>
      <c r="V34" s="44" t="str">
        <f t="shared" si="3"/>
        <v>OK</v>
      </c>
      <c r="W34" s="47" t="str">
        <f t="shared" si="5"/>
        <v/>
      </c>
      <c r="X34" s="3"/>
      <c r="Y34" s="3"/>
      <c r="Z34" s="3"/>
    </row>
    <row r="35" spans="1:26" ht="15" customHeight="1" outlineLevel="1" x14ac:dyDescent="0.3">
      <c r="A35" s="3"/>
      <c r="B35" s="10" t="s">
        <v>137</v>
      </c>
      <c r="C35" s="62">
        <v>12</v>
      </c>
      <c r="D35" s="62" t="s">
        <v>94</v>
      </c>
      <c r="E35" s="12">
        <v>230.74</v>
      </c>
      <c r="F35" s="12">
        <f t="shared" si="10"/>
        <v>230.74</v>
      </c>
      <c r="G35" s="234"/>
      <c r="H35" s="63" t="s">
        <v>37</v>
      </c>
      <c r="I35" s="63"/>
      <c r="J35" s="64" t="s">
        <v>96</v>
      </c>
      <c r="K35" s="12"/>
      <c r="L35" s="12">
        <v>121.73</v>
      </c>
      <c r="M35" s="12">
        <v>24.57</v>
      </c>
      <c r="N35" s="12">
        <v>13</v>
      </c>
      <c r="O35" s="12">
        <v>11.44</v>
      </c>
      <c r="P35" s="12"/>
      <c r="Q35" s="12">
        <v>10</v>
      </c>
      <c r="R35" s="12"/>
      <c r="S35" s="12">
        <v>50</v>
      </c>
      <c r="T35" s="12"/>
      <c r="U35" s="65"/>
      <c r="V35" s="44" t="str">
        <f t="shared" si="3"/>
        <v>OK</v>
      </c>
      <c r="W35" s="47" t="str">
        <f t="shared" si="5"/>
        <v/>
      </c>
      <c r="X35" s="3"/>
      <c r="Y35" s="3"/>
      <c r="Z35" s="3"/>
    </row>
    <row r="36" spans="1:26" ht="15" customHeight="1" outlineLevel="1" x14ac:dyDescent="0.3">
      <c r="A36" s="3"/>
      <c r="B36" s="61" t="s">
        <v>138</v>
      </c>
      <c r="C36" s="62">
        <v>15</v>
      </c>
      <c r="D36" s="62" t="s">
        <v>94</v>
      </c>
      <c r="E36" s="12">
        <v>196.2</v>
      </c>
      <c r="F36" s="12">
        <f t="shared" si="10"/>
        <v>196.2</v>
      </c>
      <c r="G36" s="67"/>
      <c r="H36" s="63" t="s">
        <v>37</v>
      </c>
      <c r="I36" s="63"/>
      <c r="J36" s="64" t="s">
        <v>96</v>
      </c>
      <c r="K36" s="12"/>
      <c r="L36" s="12">
        <v>128.63</v>
      </c>
      <c r="M36" s="12">
        <v>24.57</v>
      </c>
      <c r="N36" s="12">
        <v>13</v>
      </c>
      <c r="O36" s="12">
        <v>10</v>
      </c>
      <c r="P36" s="12">
        <v>5</v>
      </c>
      <c r="Q36" s="12">
        <v>15</v>
      </c>
      <c r="R36" s="12"/>
      <c r="S36" s="12"/>
      <c r="T36" s="12"/>
      <c r="U36" s="65"/>
      <c r="V36" s="44" t="str">
        <f t="shared" si="3"/>
        <v>OK</v>
      </c>
      <c r="W36" s="47" t="str">
        <f t="shared" si="5"/>
        <v/>
      </c>
      <c r="X36" s="3"/>
      <c r="Y36" s="3"/>
      <c r="Z36" s="3"/>
    </row>
    <row r="37" spans="1:26" ht="15" customHeight="1" outlineLevel="1" x14ac:dyDescent="0.3">
      <c r="A37" s="3"/>
      <c r="B37" s="10" t="s">
        <v>139</v>
      </c>
      <c r="C37" s="62">
        <v>2</v>
      </c>
      <c r="D37" s="62" t="s">
        <v>94</v>
      </c>
      <c r="E37" s="12">
        <v>176.76</v>
      </c>
      <c r="F37" s="12">
        <f t="shared" si="10"/>
        <v>176.76</v>
      </c>
      <c r="G37" s="67"/>
      <c r="H37" s="63" t="s">
        <v>37</v>
      </c>
      <c r="I37" s="63"/>
      <c r="J37" s="64" t="s">
        <v>96</v>
      </c>
      <c r="K37" s="12"/>
      <c r="L37" s="12">
        <v>79.19</v>
      </c>
      <c r="M37" s="12">
        <v>24.57</v>
      </c>
      <c r="N37" s="12">
        <v>13</v>
      </c>
      <c r="O37" s="12">
        <v>5</v>
      </c>
      <c r="P37" s="12">
        <v>5</v>
      </c>
      <c r="Q37" s="12">
        <v>10</v>
      </c>
      <c r="R37" s="12">
        <v>10</v>
      </c>
      <c r="S37" s="12">
        <v>30</v>
      </c>
      <c r="T37" s="12"/>
      <c r="U37" s="65"/>
      <c r="V37" s="44" t="str">
        <f t="shared" si="3"/>
        <v>OK</v>
      </c>
      <c r="W37" s="47" t="str">
        <f t="shared" si="5"/>
        <v/>
      </c>
      <c r="X37" s="3"/>
      <c r="Y37" s="3"/>
      <c r="Z37" s="3"/>
    </row>
    <row r="38" spans="1:26" ht="15" customHeight="1" outlineLevel="1" x14ac:dyDescent="0.3">
      <c r="A38" s="3"/>
      <c r="B38" s="61" t="s">
        <v>140</v>
      </c>
      <c r="C38" s="62">
        <v>15</v>
      </c>
      <c r="D38" s="62" t="s">
        <v>94</v>
      </c>
      <c r="E38" s="12">
        <v>110.81</v>
      </c>
      <c r="F38" s="12">
        <f t="shared" ref="F38:F39" si="11">(271/2)+E38</f>
        <v>246.31</v>
      </c>
      <c r="G38" s="235" t="s">
        <v>141</v>
      </c>
      <c r="H38" s="63" t="s">
        <v>37</v>
      </c>
      <c r="I38" s="63"/>
      <c r="J38" s="64" t="s">
        <v>96</v>
      </c>
      <c r="K38" s="12"/>
      <c r="L38" s="12">
        <f t="shared" ref="L38:L39" si="12">71.74+135.5</f>
        <v>207.24</v>
      </c>
      <c r="M38" s="12">
        <v>24.57</v>
      </c>
      <c r="N38" s="12">
        <v>13</v>
      </c>
      <c r="O38" s="12">
        <v>1.5</v>
      </c>
      <c r="P38" s="12"/>
      <c r="Q38" s="12"/>
      <c r="R38" s="12"/>
      <c r="S38" s="12"/>
      <c r="T38" s="12"/>
      <c r="U38" s="65"/>
      <c r="V38" s="44" t="str">
        <f t="shared" si="3"/>
        <v>OK</v>
      </c>
      <c r="W38" s="47" t="str">
        <f t="shared" si="5"/>
        <v/>
      </c>
      <c r="X38" s="3"/>
      <c r="Y38" s="3"/>
      <c r="Z38" s="3"/>
    </row>
    <row r="39" spans="1:26" ht="15" customHeight="1" outlineLevel="1" x14ac:dyDescent="0.3">
      <c r="A39" s="3"/>
      <c r="B39" s="61" t="s">
        <v>142</v>
      </c>
      <c r="C39" s="62">
        <v>15</v>
      </c>
      <c r="D39" s="62" t="s">
        <v>94</v>
      </c>
      <c r="E39" s="12">
        <v>110.81</v>
      </c>
      <c r="F39" s="12">
        <f t="shared" si="11"/>
        <v>246.31</v>
      </c>
      <c r="G39" s="234"/>
      <c r="H39" s="63" t="s">
        <v>37</v>
      </c>
      <c r="I39" s="63"/>
      <c r="J39" s="64" t="s">
        <v>96</v>
      </c>
      <c r="K39" s="12"/>
      <c r="L39" s="12">
        <f t="shared" si="12"/>
        <v>207.24</v>
      </c>
      <c r="M39" s="12">
        <v>24.57</v>
      </c>
      <c r="N39" s="12">
        <v>13</v>
      </c>
      <c r="O39" s="12">
        <v>1.5</v>
      </c>
      <c r="P39" s="12"/>
      <c r="Q39" s="12"/>
      <c r="R39" s="12"/>
      <c r="S39" s="12"/>
      <c r="T39" s="12"/>
      <c r="U39" s="65"/>
      <c r="V39" s="44" t="str">
        <f t="shared" si="3"/>
        <v>OK</v>
      </c>
      <c r="W39" s="47" t="str">
        <f t="shared" si="5"/>
        <v/>
      </c>
      <c r="X39" s="3"/>
      <c r="Y39" s="3"/>
      <c r="Z39" s="3"/>
    </row>
    <row r="40" spans="1:26" ht="15" customHeight="1" outlineLevel="1" x14ac:dyDescent="0.3">
      <c r="A40" s="3"/>
      <c r="B40" s="10" t="s">
        <v>143</v>
      </c>
      <c r="C40" s="62">
        <v>1</v>
      </c>
      <c r="D40" s="62" t="s">
        <v>94</v>
      </c>
      <c r="E40" s="12">
        <v>118.59</v>
      </c>
      <c r="F40" s="12">
        <f t="shared" ref="F40:F48" si="13">E40</f>
        <v>118.59</v>
      </c>
      <c r="G40" s="232" t="s">
        <v>144</v>
      </c>
      <c r="H40" s="63" t="s">
        <v>37</v>
      </c>
      <c r="I40" s="63"/>
      <c r="J40" s="64"/>
      <c r="K40" s="12"/>
      <c r="L40" s="12">
        <v>74.58</v>
      </c>
      <c r="M40" s="12">
        <v>24.57</v>
      </c>
      <c r="N40" s="12">
        <v>13</v>
      </c>
      <c r="O40" s="12">
        <v>1.44</v>
      </c>
      <c r="P40" s="12"/>
      <c r="Q40" s="12">
        <v>5</v>
      </c>
      <c r="R40" s="12"/>
      <c r="S40" s="12"/>
      <c r="T40" s="12"/>
      <c r="U40" s="65"/>
      <c r="V40" s="44" t="str">
        <f t="shared" si="3"/>
        <v>OK</v>
      </c>
      <c r="W40" s="47" t="str">
        <f t="shared" si="5"/>
        <v/>
      </c>
      <c r="X40" s="3"/>
      <c r="Y40" s="3"/>
      <c r="Z40" s="3"/>
    </row>
    <row r="41" spans="1:26" ht="15" customHeight="1" outlineLevel="1" x14ac:dyDescent="0.3">
      <c r="A41" s="3"/>
      <c r="B41" s="10" t="s">
        <v>145</v>
      </c>
      <c r="C41" s="62">
        <v>1</v>
      </c>
      <c r="D41" s="62" t="s">
        <v>94</v>
      </c>
      <c r="E41" s="12">
        <v>123.59</v>
      </c>
      <c r="F41" s="12">
        <f t="shared" si="13"/>
        <v>123.59</v>
      </c>
      <c r="G41" s="233"/>
      <c r="H41" s="63" t="s">
        <v>37</v>
      </c>
      <c r="I41" s="63"/>
      <c r="J41" s="64" t="s">
        <v>96</v>
      </c>
      <c r="K41" s="12"/>
      <c r="L41" s="12">
        <v>74.58</v>
      </c>
      <c r="M41" s="12">
        <v>24.57</v>
      </c>
      <c r="N41" s="12">
        <v>13</v>
      </c>
      <c r="O41" s="12">
        <v>1.44</v>
      </c>
      <c r="P41" s="12">
        <v>5</v>
      </c>
      <c r="Q41" s="12">
        <v>5</v>
      </c>
      <c r="R41" s="12"/>
      <c r="S41" s="12"/>
      <c r="T41" s="12"/>
      <c r="U41" s="65"/>
      <c r="V41" s="44" t="str">
        <f t="shared" si="3"/>
        <v>OK</v>
      </c>
      <c r="W41" s="47" t="str">
        <f t="shared" si="5"/>
        <v/>
      </c>
      <c r="X41" s="3"/>
      <c r="Y41" s="3"/>
      <c r="Z41" s="3"/>
    </row>
    <row r="42" spans="1:26" ht="15" customHeight="1" outlineLevel="1" x14ac:dyDescent="0.3">
      <c r="A42" s="3"/>
      <c r="B42" s="10" t="s">
        <v>146</v>
      </c>
      <c r="C42" s="62">
        <v>1</v>
      </c>
      <c r="D42" s="62" t="s">
        <v>94</v>
      </c>
      <c r="E42" s="12">
        <v>118.59</v>
      </c>
      <c r="F42" s="12">
        <f t="shared" si="13"/>
        <v>118.59</v>
      </c>
      <c r="G42" s="233"/>
      <c r="H42" s="63" t="s">
        <v>37</v>
      </c>
      <c r="I42" s="63"/>
      <c r="J42" s="64" t="s">
        <v>96</v>
      </c>
      <c r="K42" s="12"/>
      <c r="L42" s="12">
        <v>74.58</v>
      </c>
      <c r="M42" s="12">
        <v>24.57</v>
      </c>
      <c r="N42" s="12">
        <v>13</v>
      </c>
      <c r="O42" s="12">
        <v>1.44</v>
      </c>
      <c r="P42" s="12"/>
      <c r="Q42" s="12">
        <v>5</v>
      </c>
      <c r="R42" s="12"/>
      <c r="S42" s="12"/>
      <c r="T42" s="12"/>
      <c r="U42" s="65"/>
      <c r="V42" s="44" t="str">
        <f t="shared" si="3"/>
        <v>OK</v>
      </c>
      <c r="W42" s="47" t="str">
        <f t="shared" si="5"/>
        <v/>
      </c>
      <c r="X42" s="3"/>
      <c r="Y42" s="3"/>
      <c r="Z42" s="3"/>
    </row>
    <row r="43" spans="1:26" ht="15" customHeight="1" outlineLevel="1" x14ac:dyDescent="0.3">
      <c r="A43" s="3"/>
      <c r="B43" s="10" t="s">
        <v>147</v>
      </c>
      <c r="C43" s="62">
        <v>1</v>
      </c>
      <c r="D43" s="62" t="s">
        <v>94</v>
      </c>
      <c r="E43" s="12">
        <v>67.59</v>
      </c>
      <c r="F43" s="12">
        <f t="shared" si="13"/>
        <v>67.59</v>
      </c>
      <c r="G43" s="234"/>
      <c r="H43" s="63" t="s">
        <v>37</v>
      </c>
      <c r="I43" s="63"/>
      <c r="J43" s="64" t="s">
        <v>96</v>
      </c>
      <c r="K43" s="12"/>
      <c r="L43" s="12">
        <v>28.58</v>
      </c>
      <c r="M43" s="12">
        <v>24.57</v>
      </c>
      <c r="N43" s="12">
        <v>13</v>
      </c>
      <c r="O43" s="12">
        <v>1.44</v>
      </c>
      <c r="P43" s="12"/>
      <c r="Q43" s="12"/>
      <c r="R43" s="12"/>
      <c r="S43" s="12"/>
      <c r="T43" s="12"/>
      <c r="U43" s="65"/>
      <c r="V43" s="44" t="str">
        <f t="shared" si="3"/>
        <v>OK</v>
      </c>
      <c r="W43" s="47" t="str">
        <f t="shared" si="5"/>
        <v/>
      </c>
      <c r="X43" s="3"/>
      <c r="Y43" s="3"/>
      <c r="Z43" s="3"/>
    </row>
    <row r="44" spans="1:26" ht="15" customHeight="1" outlineLevel="1" x14ac:dyDescent="0.3">
      <c r="A44" s="3"/>
      <c r="B44" s="61" t="s">
        <v>148</v>
      </c>
      <c r="C44" s="62">
        <v>1</v>
      </c>
      <c r="D44" s="62" t="s">
        <v>94</v>
      </c>
      <c r="E44" s="12">
        <v>100</v>
      </c>
      <c r="F44" s="12">
        <f t="shared" si="13"/>
        <v>100</v>
      </c>
      <c r="G44" s="67"/>
      <c r="H44" s="63" t="s">
        <v>37</v>
      </c>
      <c r="I44" s="63"/>
      <c r="J44" s="64" t="s">
        <v>96</v>
      </c>
      <c r="K44" s="12"/>
      <c r="L44" s="12">
        <v>50.99</v>
      </c>
      <c r="M44" s="12">
        <v>24.57</v>
      </c>
      <c r="N44" s="12">
        <v>13</v>
      </c>
      <c r="O44" s="12">
        <v>1.44</v>
      </c>
      <c r="P44" s="12"/>
      <c r="Q44" s="12">
        <v>5</v>
      </c>
      <c r="R44" s="12">
        <v>5</v>
      </c>
      <c r="S44" s="12"/>
      <c r="T44" s="12"/>
      <c r="U44" s="65"/>
      <c r="V44" s="44" t="str">
        <f t="shared" si="3"/>
        <v>OK</v>
      </c>
      <c r="W44" s="47" t="str">
        <f t="shared" si="5"/>
        <v/>
      </c>
      <c r="X44" s="3"/>
      <c r="Y44" s="3"/>
      <c r="Z44" s="3"/>
    </row>
    <row r="45" spans="1:26" ht="15" customHeight="1" outlineLevel="1" x14ac:dyDescent="0.3">
      <c r="A45" s="3"/>
      <c r="B45" s="10" t="s">
        <v>149</v>
      </c>
      <c r="C45" s="62">
        <v>15</v>
      </c>
      <c r="D45" s="62" t="s">
        <v>94</v>
      </c>
      <c r="E45" s="12">
        <v>378.44</v>
      </c>
      <c r="F45" s="12">
        <f t="shared" si="13"/>
        <v>378.44</v>
      </c>
      <c r="G45" s="232" t="s">
        <v>150</v>
      </c>
      <c r="H45" s="63" t="s">
        <v>37</v>
      </c>
      <c r="I45" s="63"/>
      <c r="J45" s="64" t="s">
        <v>96</v>
      </c>
      <c r="K45" s="12"/>
      <c r="L45" s="12">
        <v>234.43</v>
      </c>
      <c r="M45" s="12">
        <v>24.57</v>
      </c>
      <c r="N45" s="12">
        <v>13</v>
      </c>
      <c r="O45" s="12">
        <v>1.44</v>
      </c>
      <c r="P45" s="12">
        <v>5</v>
      </c>
      <c r="Q45" s="12"/>
      <c r="R45" s="12">
        <v>50</v>
      </c>
      <c r="S45" s="12">
        <v>50</v>
      </c>
      <c r="T45" s="12"/>
      <c r="U45" s="65"/>
      <c r="V45" s="44" t="str">
        <f t="shared" si="3"/>
        <v>OK</v>
      </c>
      <c r="W45" s="47" t="str">
        <f t="shared" si="5"/>
        <v/>
      </c>
      <c r="X45" s="3"/>
      <c r="Y45" s="3"/>
      <c r="Z45" s="3"/>
    </row>
    <row r="46" spans="1:26" ht="15" customHeight="1" outlineLevel="1" x14ac:dyDescent="0.3">
      <c r="A46" s="3"/>
      <c r="B46" s="10" t="s">
        <v>151</v>
      </c>
      <c r="C46" s="62">
        <v>15</v>
      </c>
      <c r="D46" s="62" t="s">
        <v>94</v>
      </c>
      <c r="E46" s="12">
        <v>132</v>
      </c>
      <c r="F46" s="12">
        <f t="shared" si="13"/>
        <v>132</v>
      </c>
      <c r="G46" s="234"/>
      <c r="H46" s="63" t="s">
        <v>37</v>
      </c>
      <c r="I46" s="63"/>
      <c r="J46" s="64" t="s">
        <v>96</v>
      </c>
      <c r="K46" s="12"/>
      <c r="L46" s="12">
        <v>87.43</v>
      </c>
      <c r="M46" s="12">
        <v>24.57</v>
      </c>
      <c r="N46" s="12">
        <v>13</v>
      </c>
      <c r="O46" s="12">
        <v>2</v>
      </c>
      <c r="P46" s="12"/>
      <c r="Q46" s="12"/>
      <c r="R46" s="12">
        <v>5</v>
      </c>
      <c r="S46" s="12"/>
      <c r="T46" s="12"/>
      <c r="U46" s="65"/>
      <c r="V46" s="44" t="str">
        <f t="shared" si="3"/>
        <v>OK</v>
      </c>
      <c r="W46" s="47" t="str">
        <f t="shared" si="5"/>
        <v/>
      </c>
      <c r="X46" s="3"/>
      <c r="Y46" s="3"/>
      <c r="Z46" s="3"/>
    </row>
    <row r="47" spans="1:26" ht="15" customHeight="1" outlineLevel="1" x14ac:dyDescent="0.3">
      <c r="A47" s="3"/>
      <c r="B47" s="61" t="s">
        <v>152</v>
      </c>
      <c r="C47" s="62">
        <v>5</v>
      </c>
      <c r="D47" s="62" t="s">
        <v>94</v>
      </c>
      <c r="E47" s="12">
        <v>291.89</v>
      </c>
      <c r="F47" s="12">
        <f t="shared" si="13"/>
        <v>291.89</v>
      </c>
      <c r="G47" s="232" t="s">
        <v>153</v>
      </c>
      <c r="H47" s="63" t="s">
        <v>37</v>
      </c>
      <c r="I47" s="63"/>
      <c r="J47" s="64" t="s">
        <v>96</v>
      </c>
      <c r="K47" s="12"/>
      <c r="L47" s="12">
        <v>122.88</v>
      </c>
      <c r="M47" s="12">
        <v>24.57</v>
      </c>
      <c r="N47" s="12">
        <v>13</v>
      </c>
      <c r="O47" s="12">
        <v>1.44</v>
      </c>
      <c r="P47" s="12"/>
      <c r="Q47" s="12">
        <v>10</v>
      </c>
      <c r="R47" s="12">
        <v>20</v>
      </c>
      <c r="S47" s="12">
        <v>100</v>
      </c>
      <c r="T47" s="12"/>
      <c r="U47" s="65"/>
      <c r="V47" s="44" t="str">
        <f t="shared" si="3"/>
        <v>OK</v>
      </c>
      <c r="W47" s="47" t="str">
        <f t="shared" si="5"/>
        <v/>
      </c>
      <c r="X47" s="3"/>
      <c r="Y47" s="3"/>
      <c r="Z47" s="3"/>
    </row>
    <row r="48" spans="1:26" ht="15" customHeight="1" outlineLevel="1" x14ac:dyDescent="0.3">
      <c r="A48" s="3"/>
      <c r="B48" s="61" t="s">
        <v>154</v>
      </c>
      <c r="C48" s="62">
        <v>5</v>
      </c>
      <c r="D48" s="62" t="s">
        <v>94</v>
      </c>
      <c r="E48" s="12">
        <v>155.44</v>
      </c>
      <c r="F48" s="12">
        <f t="shared" si="13"/>
        <v>155.44</v>
      </c>
      <c r="G48" s="234"/>
      <c r="H48" s="63" t="s">
        <v>37</v>
      </c>
      <c r="I48" s="63"/>
      <c r="J48" s="64" t="s">
        <v>96</v>
      </c>
      <c r="K48" s="12"/>
      <c r="L48" s="12">
        <v>96.43</v>
      </c>
      <c r="M48" s="12">
        <v>24.57</v>
      </c>
      <c r="N48" s="12">
        <v>13</v>
      </c>
      <c r="O48" s="12">
        <v>1.44</v>
      </c>
      <c r="P48" s="12"/>
      <c r="Q48" s="12"/>
      <c r="R48" s="12">
        <v>20</v>
      </c>
      <c r="S48" s="12"/>
      <c r="T48" s="12"/>
      <c r="U48" s="65"/>
      <c r="V48" s="44" t="str">
        <f t="shared" si="3"/>
        <v>OK</v>
      </c>
      <c r="W48" s="47" t="str">
        <f t="shared" si="5"/>
        <v/>
      </c>
      <c r="X48" s="3"/>
      <c r="Y48" s="3"/>
      <c r="Z48" s="3"/>
    </row>
    <row r="49" spans="1:26" ht="15" customHeight="1" outlineLevel="1" x14ac:dyDescent="0.3">
      <c r="A49" s="3"/>
      <c r="B49" s="10" t="s">
        <v>155</v>
      </c>
      <c r="C49" s="62" t="s">
        <v>43</v>
      </c>
      <c r="D49" s="62" t="s">
        <v>94</v>
      </c>
      <c r="E49" s="12">
        <v>125</v>
      </c>
      <c r="F49" s="12">
        <v>0</v>
      </c>
      <c r="G49" s="232" t="s">
        <v>156</v>
      </c>
      <c r="H49" s="63" t="s">
        <v>37</v>
      </c>
      <c r="I49" s="63"/>
      <c r="J49" s="64" t="s">
        <v>96</v>
      </c>
      <c r="K49" s="12"/>
      <c r="L49" s="12">
        <v>0</v>
      </c>
      <c r="M49" s="12">
        <v>0</v>
      </c>
      <c r="N49" s="12">
        <v>0</v>
      </c>
      <c r="O49" s="12">
        <v>0</v>
      </c>
      <c r="P49" s="12"/>
      <c r="Q49" s="12">
        <v>0</v>
      </c>
      <c r="R49" s="12">
        <v>0</v>
      </c>
      <c r="S49" s="12"/>
      <c r="T49" s="12"/>
      <c r="U49" s="65"/>
      <c r="V49" s="44" t="str">
        <f t="shared" si="3"/>
        <v>OK</v>
      </c>
      <c r="W49" s="47" t="str">
        <f t="shared" si="5"/>
        <v/>
      </c>
      <c r="X49" s="3"/>
      <c r="Y49" s="3"/>
      <c r="Z49" s="3"/>
    </row>
    <row r="50" spans="1:26" ht="15" customHeight="1" outlineLevel="1" x14ac:dyDescent="0.3">
      <c r="A50" s="3"/>
      <c r="B50" s="10" t="s">
        <v>157</v>
      </c>
      <c r="C50" s="62" t="s">
        <v>43</v>
      </c>
      <c r="D50" s="62" t="s">
        <v>94</v>
      </c>
      <c r="E50" s="12">
        <v>65</v>
      </c>
      <c r="F50" s="12">
        <v>0</v>
      </c>
      <c r="G50" s="234"/>
      <c r="H50" s="63" t="s">
        <v>37</v>
      </c>
      <c r="I50" s="63"/>
      <c r="J50" s="64" t="s">
        <v>96</v>
      </c>
      <c r="K50" s="12"/>
      <c r="L50" s="12">
        <v>0</v>
      </c>
      <c r="M50" s="12">
        <v>0</v>
      </c>
      <c r="N50" s="12">
        <v>0</v>
      </c>
      <c r="O50" s="12">
        <v>0</v>
      </c>
      <c r="P50" s="12"/>
      <c r="Q50" s="12"/>
      <c r="R50" s="12">
        <v>0</v>
      </c>
      <c r="S50" s="12"/>
      <c r="T50" s="12"/>
      <c r="U50" s="65"/>
      <c r="V50" s="44" t="str">
        <f t="shared" si="3"/>
        <v>OK</v>
      </c>
      <c r="W50" s="47" t="str">
        <f t="shared" si="5"/>
        <v/>
      </c>
      <c r="X50" s="3"/>
      <c r="Y50" s="3"/>
      <c r="Z50" s="3"/>
    </row>
    <row r="51" spans="1:26" ht="15" customHeight="1" outlineLevel="1" x14ac:dyDescent="0.3">
      <c r="A51" s="3"/>
      <c r="B51" s="61" t="s">
        <v>158</v>
      </c>
      <c r="C51" s="62">
        <v>15</v>
      </c>
      <c r="D51" s="62" t="s">
        <v>94</v>
      </c>
      <c r="E51" s="12">
        <v>179.99</v>
      </c>
      <c r="F51" s="12">
        <f>331.73+E51</f>
        <v>511.72</v>
      </c>
      <c r="G51" s="236" t="s">
        <v>159</v>
      </c>
      <c r="H51" s="63" t="s">
        <v>37</v>
      </c>
      <c r="I51" s="63"/>
      <c r="J51" s="64"/>
      <c r="K51" s="12"/>
      <c r="L51" s="12">
        <f>115.98+331.73</f>
        <v>447.71000000000004</v>
      </c>
      <c r="M51" s="12">
        <v>24.57</v>
      </c>
      <c r="N51" s="12">
        <v>13</v>
      </c>
      <c r="O51" s="12">
        <v>11.44</v>
      </c>
      <c r="P51" s="12">
        <v>5</v>
      </c>
      <c r="Q51" s="12">
        <v>10</v>
      </c>
      <c r="R51" s="12"/>
      <c r="S51" s="12"/>
      <c r="T51" s="12"/>
      <c r="U51" s="65"/>
      <c r="V51" s="44" t="str">
        <f t="shared" si="3"/>
        <v>OK</v>
      </c>
      <c r="W51" s="47" t="str">
        <f t="shared" si="5"/>
        <v/>
      </c>
      <c r="X51" s="3"/>
      <c r="Y51" s="3"/>
      <c r="Z51" s="3"/>
    </row>
    <row r="52" spans="1:26" ht="15" customHeight="1" outlineLevel="1" x14ac:dyDescent="0.3">
      <c r="A52" s="3"/>
      <c r="B52" s="61" t="s">
        <v>160</v>
      </c>
      <c r="C52" s="62">
        <v>15</v>
      </c>
      <c r="D52" s="62" t="s">
        <v>94</v>
      </c>
      <c r="E52" s="12">
        <v>91.74</v>
      </c>
      <c r="F52" s="12">
        <f t="shared" ref="F52:F54" si="14">E52</f>
        <v>91.74</v>
      </c>
      <c r="G52" s="234"/>
      <c r="H52" s="63" t="s">
        <v>37</v>
      </c>
      <c r="I52" s="63"/>
      <c r="J52" s="64" t="s">
        <v>96</v>
      </c>
      <c r="K52" s="12"/>
      <c r="L52" s="12">
        <v>52.73</v>
      </c>
      <c r="M52" s="12">
        <v>24.57</v>
      </c>
      <c r="N52" s="12">
        <v>13</v>
      </c>
      <c r="O52" s="12">
        <v>1.44</v>
      </c>
      <c r="P52" s="12"/>
      <c r="Q52" s="12"/>
      <c r="R52" s="12"/>
      <c r="S52" s="12"/>
      <c r="T52" s="12"/>
      <c r="U52" s="65"/>
      <c r="V52" s="44" t="str">
        <f t="shared" si="3"/>
        <v>OK</v>
      </c>
      <c r="W52" s="47" t="str">
        <f t="shared" si="5"/>
        <v/>
      </c>
      <c r="X52" s="3"/>
      <c r="Y52" s="3"/>
      <c r="Z52" s="3"/>
    </row>
    <row r="53" spans="1:26" ht="15" customHeight="1" outlineLevel="1" x14ac:dyDescent="0.3">
      <c r="A53" s="3"/>
      <c r="B53" s="10" t="s">
        <v>161</v>
      </c>
      <c r="C53" s="62">
        <v>1</v>
      </c>
      <c r="D53" s="62" t="s">
        <v>94</v>
      </c>
      <c r="E53" s="12">
        <v>139.19999999999999</v>
      </c>
      <c r="F53" s="12">
        <f t="shared" si="14"/>
        <v>139.19999999999999</v>
      </c>
      <c r="G53" s="232" t="s">
        <v>162</v>
      </c>
      <c r="H53" s="63" t="s">
        <v>37</v>
      </c>
      <c r="I53" s="63"/>
      <c r="J53" s="64" t="s">
        <v>96</v>
      </c>
      <c r="K53" s="12"/>
      <c r="L53" s="12">
        <v>55.19</v>
      </c>
      <c r="M53" s="12">
        <v>24.57</v>
      </c>
      <c r="N53" s="12">
        <v>13</v>
      </c>
      <c r="O53" s="12">
        <v>1.44</v>
      </c>
      <c r="P53" s="12">
        <v>5</v>
      </c>
      <c r="Q53" s="12">
        <v>10</v>
      </c>
      <c r="R53" s="12">
        <v>30</v>
      </c>
      <c r="S53" s="12"/>
      <c r="T53" s="12"/>
      <c r="U53" s="65"/>
      <c r="V53" s="44" t="str">
        <f t="shared" si="3"/>
        <v>OK</v>
      </c>
      <c r="W53" s="47" t="str">
        <f t="shared" si="5"/>
        <v/>
      </c>
      <c r="X53" s="3"/>
      <c r="Y53" s="3"/>
      <c r="Z53" s="3"/>
    </row>
    <row r="54" spans="1:26" ht="15" customHeight="1" outlineLevel="1" x14ac:dyDescent="0.3">
      <c r="A54" s="3"/>
      <c r="B54" s="10" t="s">
        <v>163</v>
      </c>
      <c r="C54" s="62">
        <v>1</v>
      </c>
      <c r="D54" s="62" t="s">
        <v>94</v>
      </c>
      <c r="E54" s="12">
        <v>74.89</v>
      </c>
      <c r="F54" s="12">
        <f t="shared" si="14"/>
        <v>74.89</v>
      </c>
      <c r="G54" s="234"/>
      <c r="H54" s="63" t="s">
        <v>37</v>
      </c>
      <c r="I54" s="63"/>
      <c r="J54" s="64" t="s">
        <v>96</v>
      </c>
      <c r="K54" s="12"/>
      <c r="L54" s="12">
        <v>30.88</v>
      </c>
      <c r="M54" s="12">
        <v>24.57</v>
      </c>
      <c r="N54" s="12">
        <v>13</v>
      </c>
      <c r="O54" s="12">
        <v>1.44</v>
      </c>
      <c r="P54" s="12"/>
      <c r="Q54" s="12">
        <v>5</v>
      </c>
      <c r="R54" s="12"/>
      <c r="S54" s="12"/>
      <c r="T54" s="12"/>
      <c r="U54" s="65"/>
      <c r="V54" s="44" t="str">
        <f t="shared" si="3"/>
        <v>OK</v>
      </c>
      <c r="W54" s="47" t="str">
        <f t="shared" si="5"/>
        <v/>
      </c>
      <c r="X54" s="3"/>
      <c r="Y54" s="3"/>
      <c r="Z54" s="3"/>
    </row>
    <row r="55" spans="1:26" ht="15" customHeight="1" outlineLevel="1" x14ac:dyDescent="0.3">
      <c r="A55" s="3"/>
      <c r="B55" s="61" t="s">
        <v>164</v>
      </c>
      <c r="C55" s="62">
        <v>11</v>
      </c>
      <c r="D55" s="62" t="s">
        <v>94</v>
      </c>
      <c r="E55" s="12">
        <v>39.51</v>
      </c>
      <c r="F55" s="12">
        <f t="shared" ref="F55:F56" si="15">39.51*2</f>
        <v>79.02</v>
      </c>
      <c r="G55" s="235" t="s">
        <v>165</v>
      </c>
      <c r="H55" s="63" t="s">
        <v>37</v>
      </c>
      <c r="I55" s="63"/>
      <c r="J55" s="64" t="s">
        <v>96</v>
      </c>
      <c r="K55" s="12"/>
      <c r="L55" s="12">
        <f t="shared" ref="L55:L56" si="16">0.44+39.51</f>
        <v>39.949999999999996</v>
      </c>
      <c r="M55" s="12">
        <v>24.57</v>
      </c>
      <c r="N55" s="12">
        <v>13</v>
      </c>
      <c r="O55" s="12">
        <v>1.5</v>
      </c>
      <c r="P55" s="12"/>
      <c r="Q55" s="12"/>
      <c r="R55" s="12"/>
      <c r="S55" s="12"/>
      <c r="T55" s="12"/>
      <c r="U55" s="65"/>
      <c r="V55" s="44" t="str">
        <f t="shared" si="3"/>
        <v>OK</v>
      </c>
      <c r="W55" s="47" t="str">
        <f t="shared" si="5"/>
        <v/>
      </c>
      <c r="X55" s="3"/>
      <c r="Y55" s="3"/>
      <c r="Z55" s="3"/>
    </row>
    <row r="56" spans="1:26" ht="15" customHeight="1" outlineLevel="1" x14ac:dyDescent="0.3">
      <c r="A56" s="3"/>
      <c r="B56" s="61" t="s">
        <v>166</v>
      </c>
      <c r="C56" s="62">
        <v>11</v>
      </c>
      <c r="D56" s="62" t="s">
        <v>94</v>
      </c>
      <c r="E56" s="12">
        <v>39.51</v>
      </c>
      <c r="F56" s="12">
        <f t="shared" si="15"/>
        <v>79.02</v>
      </c>
      <c r="G56" s="234"/>
      <c r="H56" s="63" t="s">
        <v>37</v>
      </c>
      <c r="I56" s="63"/>
      <c r="J56" s="64"/>
      <c r="K56" s="12"/>
      <c r="L56" s="12">
        <f t="shared" si="16"/>
        <v>39.949999999999996</v>
      </c>
      <c r="M56" s="12">
        <v>24.57</v>
      </c>
      <c r="N56" s="12">
        <v>13</v>
      </c>
      <c r="O56" s="12">
        <v>1.5</v>
      </c>
      <c r="P56" s="12"/>
      <c r="Q56" s="12"/>
      <c r="R56" s="12"/>
      <c r="S56" s="12"/>
      <c r="T56" s="12"/>
      <c r="U56" s="65"/>
      <c r="V56" s="44" t="str">
        <f t="shared" si="3"/>
        <v>OK</v>
      </c>
      <c r="W56" s="47" t="str">
        <f t="shared" si="5"/>
        <v/>
      </c>
      <c r="X56" s="3"/>
      <c r="Y56" s="3"/>
      <c r="Z56" s="3"/>
    </row>
    <row r="57" spans="1:26" ht="36" customHeight="1" outlineLevel="1" x14ac:dyDescent="0.3">
      <c r="A57" s="3"/>
      <c r="B57" s="10" t="s">
        <v>167</v>
      </c>
      <c r="C57" s="62">
        <v>7</v>
      </c>
      <c r="D57" s="62" t="s">
        <v>129</v>
      </c>
      <c r="E57" s="12">
        <v>135.44</v>
      </c>
      <c r="F57" s="12">
        <v>67.06</v>
      </c>
      <c r="G57" s="68" t="s">
        <v>168</v>
      </c>
      <c r="H57" s="63" t="s">
        <v>37</v>
      </c>
      <c r="I57" s="63"/>
      <c r="J57" s="64" t="s">
        <v>96</v>
      </c>
      <c r="K57" s="12"/>
      <c r="L57" s="12">
        <f>96.43-68.38</f>
        <v>28.050000000000011</v>
      </c>
      <c r="M57" s="12">
        <v>24.57</v>
      </c>
      <c r="N57" s="12">
        <v>13</v>
      </c>
      <c r="O57" s="12">
        <v>1.44</v>
      </c>
      <c r="P57" s="12"/>
      <c r="Q57" s="12"/>
      <c r="R57" s="12"/>
      <c r="S57" s="12"/>
      <c r="T57" s="12"/>
      <c r="U57" s="65"/>
      <c r="V57" s="44" t="str">
        <f t="shared" si="3"/>
        <v>OK</v>
      </c>
      <c r="W57" s="47" t="str">
        <f t="shared" si="5"/>
        <v/>
      </c>
      <c r="X57" s="3"/>
      <c r="Y57" s="3"/>
      <c r="Z57" s="3"/>
    </row>
    <row r="58" spans="1:26" ht="15" customHeight="1" outlineLevel="1" x14ac:dyDescent="0.3">
      <c r="A58" s="3"/>
      <c r="B58" s="61" t="s">
        <v>169</v>
      </c>
      <c r="C58" s="62">
        <v>4</v>
      </c>
      <c r="D58" s="62" t="s">
        <v>94</v>
      </c>
      <c r="E58" s="12">
        <v>244.29</v>
      </c>
      <c r="F58" s="12">
        <f t="shared" ref="F58:F59" si="17">E58</f>
        <v>244.29</v>
      </c>
      <c r="G58" s="232" t="s">
        <v>170</v>
      </c>
      <c r="H58" s="63" t="s">
        <v>37</v>
      </c>
      <c r="I58" s="63"/>
      <c r="J58" s="64"/>
      <c r="K58" s="12"/>
      <c r="L58" s="12">
        <v>95.28</v>
      </c>
      <c r="M58" s="12">
        <v>24.57</v>
      </c>
      <c r="N58" s="12">
        <v>13</v>
      </c>
      <c r="O58" s="12">
        <v>1.44</v>
      </c>
      <c r="P58" s="12"/>
      <c r="Q58" s="12">
        <v>10</v>
      </c>
      <c r="R58" s="12"/>
      <c r="S58" s="12">
        <v>100</v>
      </c>
      <c r="T58" s="12"/>
      <c r="U58" s="65"/>
      <c r="V58" s="44" t="str">
        <f t="shared" si="3"/>
        <v>OK</v>
      </c>
      <c r="W58" s="47" t="str">
        <f t="shared" si="5"/>
        <v/>
      </c>
      <c r="X58" s="3"/>
      <c r="Y58" s="3"/>
      <c r="Z58" s="3"/>
    </row>
    <row r="59" spans="1:26" ht="15" customHeight="1" outlineLevel="1" x14ac:dyDescent="0.3">
      <c r="A59" s="3"/>
      <c r="B59" s="61" t="s">
        <v>171</v>
      </c>
      <c r="C59" s="62">
        <v>4</v>
      </c>
      <c r="D59" s="62" t="s">
        <v>94</v>
      </c>
      <c r="E59" s="12">
        <v>144.29</v>
      </c>
      <c r="F59" s="12">
        <f t="shared" si="17"/>
        <v>144.29</v>
      </c>
      <c r="G59" s="234"/>
      <c r="H59" s="63" t="s">
        <v>37</v>
      </c>
      <c r="I59" s="63"/>
      <c r="J59" s="64" t="s">
        <v>96</v>
      </c>
      <c r="K59" s="12"/>
      <c r="L59" s="12">
        <v>95.28</v>
      </c>
      <c r="M59" s="12">
        <v>24.57</v>
      </c>
      <c r="N59" s="12">
        <v>13</v>
      </c>
      <c r="O59" s="12">
        <v>1.44</v>
      </c>
      <c r="P59" s="12"/>
      <c r="Q59" s="12">
        <v>10</v>
      </c>
      <c r="R59" s="12"/>
      <c r="S59" s="12"/>
      <c r="T59" s="12"/>
      <c r="U59" s="65"/>
      <c r="V59" s="44" t="str">
        <f t="shared" si="3"/>
        <v>OK</v>
      </c>
      <c r="W59" s="47" t="str">
        <f t="shared" si="5"/>
        <v/>
      </c>
      <c r="X59" s="3"/>
      <c r="Y59" s="3"/>
      <c r="Z59" s="3"/>
    </row>
    <row r="60" spans="1:26" ht="15" customHeight="1" outlineLevel="1" x14ac:dyDescent="0.3">
      <c r="A60" s="3"/>
      <c r="B60" s="10" t="s">
        <v>172</v>
      </c>
      <c r="C60" s="62"/>
      <c r="D60" s="62" t="s">
        <v>104</v>
      </c>
      <c r="E60" s="12">
        <v>65.739999999999995</v>
      </c>
      <c r="F60" s="12">
        <v>0</v>
      </c>
      <c r="G60" s="67"/>
      <c r="H60" s="63"/>
      <c r="I60" s="63"/>
      <c r="J60" s="64" t="s">
        <v>96</v>
      </c>
      <c r="K60" s="12"/>
      <c r="L60" s="12">
        <v>26.67</v>
      </c>
      <c r="M60" s="12">
        <v>24.57</v>
      </c>
      <c r="N60" s="12">
        <v>13</v>
      </c>
      <c r="O60" s="12">
        <v>1.5</v>
      </c>
      <c r="P60" s="12"/>
      <c r="Q60" s="12"/>
      <c r="R60" s="12"/>
      <c r="S60" s="12"/>
      <c r="T60" s="12"/>
      <c r="U60" s="65"/>
      <c r="V60" s="44" t="str">
        <f t="shared" si="3"/>
        <v>Diferente</v>
      </c>
      <c r="W60" s="47">
        <f t="shared" si="5"/>
        <v>-65.740000000000009</v>
      </c>
      <c r="X60" s="3"/>
      <c r="Y60" s="3"/>
      <c r="Z60" s="3"/>
    </row>
    <row r="61" spans="1:26" ht="15" customHeight="1" outlineLevel="1" x14ac:dyDescent="0.3">
      <c r="A61" s="3"/>
      <c r="B61" s="61" t="s">
        <v>173</v>
      </c>
      <c r="C61" s="62">
        <v>5</v>
      </c>
      <c r="D61" s="62" t="s">
        <v>94</v>
      </c>
      <c r="E61" s="12">
        <v>87.14</v>
      </c>
      <c r="F61" s="12">
        <f t="shared" ref="F61:F62" si="18">E61</f>
        <v>87.14</v>
      </c>
      <c r="G61" s="232" t="s">
        <v>174</v>
      </c>
      <c r="H61" s="63" t="s">
        <v>37</v>
      </c>
      <c r="I61" s="63"/>
      <c r="J61" s="64"/>
      <c r="K61" s="12"/>
      <c r="L61" s="12">
        <v>48.13</v>
      </c>
      <c r="M61" s="12">
        <v>24.57</v>
      </c>
      <c r="N61" s="12">
        <v>13</v>
      </c>
      <c r="O61" s="12">
        <v>1.44</v>
      </c>
      <c r="P61" s="12"/>
      <c r="Q61" s="12"/>
      <c r="R61" s="12"/>
      <c r="S61" s="12"/>
      <c r="T61" s="12"/>
      <c r="U61" s="65"/>
      <c r="V61" s="44" t="str">
        <f t="shared" si="3"/>
        <v>OK</v>
      </c>
      <c r="W61" s="47" t="str">
        <f t="shared" si="5"/>
        <v/>
      </c>
      <c r="X61" s="3"/>
      <c r="Y61" s="3"/>
      <c r="Z61" s="3"/>
    </row>
    <row r="62" spans="1:26" ht="15" customHeight="1" outlineLevel="1" x14ac:dyDescent="0.3">
      <c r="A62" s="3"/>
      <c r="B62" s="61" t="s">
        <v>175</v>
      </c>
      <c r="C62" s="62">
        <v>5</v>
      </c>
      <c r="D62" s="62" t="s">
        <v>94</v>
      </c>
      <c r="E62" s="12">
        <v>124.09</v>
      </c>
      <c r="F62" s="12">
        <f t="shared" si="18"/>
        <v>124.09</v>
      </c>
      <c r="G62" s="234"/>
      <c r="H62" s="63" t="s">
        <v>37</v>
      </c>
      <c r="I62" s="63"/>
      <c r="J62" s="64"/>
      <c r="K62" s="12"/>
      <c r="L62" s="12">
        <v>40.08</v>
      </c>
      <c r="M62" s="12">
        <v>24.57</v>
      </c>
      <c r="N62" s="12">
        <v>13</v>
      </c>
      <c r="O62" s="12">
        <v>1.44</v>
      </c>
      <c r="P62" s="12"/>
      <c r="Q62" s="12">
        <v>15</v>
      </c>
      <c r="R62" s="12">
        <v>15</v>
      </c>
      <c r="S62" s="12">
        <v>15</v>
      </c>
      <c r="T62" s="12"/>
      <c r="U62" s="65"/>
      <c r="V62" s="44" t="str">
        <f t="shared" si="3"/>
        <v>OK</v>
      </c>
      <c r="W62" s="47" t="str">
        <f t="shared" si="5"/>
        <v/>
      </c>
      <c r="X62" s="3"/>
      <c r="Y62" s="3"/>
      <c r="Z62" s="3"/>
    </row>
    <row r="63" spans="1:26" ht="15" customHeight="1" outlineLevel="1" x14ac:dyDescent="0.3">
      <c r="A63" s="3"/>
      <c r="B63" s="10" t="s">
        <v>176</v>
      </c>
      <c r="C63" s="62">
        <v>1</v>
      </c>
      <c r="D63" s="62" t="s">
        <v>94</v>
      </c>
      <c r="E63" s="12">
        <v>42.92</v>
      </c>
      <c r="F63" s="12">
        <v>50</v>
      </c>
      <c r="G63" s="67"/>
      <c r="H63" s="63" t="s">
        <v>37</v>
      </c>
      <c r="I63" s="63"/>
      <c r="J63" s="64"/>
      <c r="K63" s="12"/>
      <c r="L63" s="12">
        <f>3.85+7.08</f>
        <v>10.93</v>
      </c>
      <c r="M63" s="12">
        <v>24.57</v>
      </c>
      <c r="N63" s="12">
        <v>13</v>
      </c>
      <c r="O63" s="12">
        <v>1.5</v>
      </c>
      <c r="P63" s="12"/>
      <c r="Q63" s="12"/>
      <c r="R63" s="12"/>
      <c r="S63" s="12"/>
      <c r="T63" s="12"/>
      <c r="U63" s="65"/>
      <c r="V63" s="44" t="str">
        <f t="shared" si="3"/>
        <v>OK</v>
      </c>
      <c r="W63" s="47" t="str">
        <f t="shared" si="5"/>
        <v/>
      </c>
      <c r="X63" s="3"/>
      <c r="Y63" s="3"/>
      <c r="Z63" s="3"/>
    </row>
    <row r="64" spans="1:26" ht="15.75" customHeight="1" outlineLevel="1" x14ac:dyDescent="0.3">
      <c r="A64" s="3"/>
      <c r="B64" s="61" t="s">
        <v>177</v>
      </c>
      <c r="C64" s="62">
        <v>18</v>
      </c>
      <c r="D64" s="62" t="s">
        <v>94</v>
      </c>
      <c r="E64" s="12">
        <v>55.37</v>
      </c>
      <c r="F64" s="12">
        <f>E64+55.37</f>
        <v>110.74</v>
      </c>
      <c r="G64" s="69" t="s">
        <v>178</v>
      </c>
      <c r="H64" s="63" t="s">
        <v>37</v>
      </c>
      <c r="I64" s="63"/>
      <c r="J64" s="64"/>
      <c r="K64" s="12"/>
      <c r="L64" s="12">
        <f>16.36+55.37</f>
        <v>71.72999999999999</v>
      </c>
      <c r="M64" s="12">
        <v>24.57</v>
      </c>
      <c r="N64" s="12">
        <v>13</v>
      </c>
      <c r="O64" s="12">
        <v>1.44</v>
      </c>
      <c r="P64" s="12"/>
      <c r="Q64" s="12"/>
      <c r="R64" s="12"/>
      <c r="S64" s="12"/>
      <c r="T64" s="12"/>
      <c r="U64" s="65"/>
      <c r="V64" s="44" t="str">
        <f t="shared" si="3"/>
        <v>OK</v>
      </c>
      <c r="W64" s="47" t="str">
        <f t="shared" si="5"/>
        <v/>
      </c>
      <c r="X64" s="3"/>
      <c r="Y64" s="3"/>
      <c r="Z64" s="3"/>
    </row>
    <row r="65" spans="1:26" ht="15" customHeight="1" outlineLevel="1" x14ac:dyDescent="0.3">
      <c r="A65" s="3"/>
      <c r="B65" s="10" t="s">
        <v>179</v>
      </c>
      <c r="C65" s="62">
        <v>8</v>
      </c>
      <c r="D65" s="62" t="s">
        <v>94</v>
      </c>
      <c r="E65" s="12">
        <v>65.75</v>
      </c>
      <c r="F65" s="12">
        <f t="shared" ref="F65:F67" si="19">E65</f>
        <v>65.75</v>
      </c>
      <c r="G65" s="70"/>
      <c r="H65" s="63" t="s">
        <v>37</v>
      </c>
      <c r="I65" s="63"/>
      <c r="J65" s="64"/>
      <c r="K65" s="12"/>
      <c r="L65" s="12">
        <v>26.74</v>
      </c>
      <c r="M65" s="12">
        <v>24.57</v>
      </c>
      <c r="N65" s="12">
        <v>13</v>
      </c>
      <c r="O65" s="12">
        <v>1.44</v>
      </c>
      <c r="P65" s="12"/>
      <c r="Q65" s="12"/>
      <c r="R65" s="12"/>
      <c r="S65" s="12"/>
      <c r="T65" s="12"/>
      <c r="U65" s="65"/>
      <c r="V65" s="44" t="str">
        <f t="shared" si="3"/>
        <v>OK</v>
      </c>
      <c r="W65" s="47" t="str">
        <f t="shared" si="5"/>
        <v/>
      </c>
      <c r="X65" s="3"/>
      <c r="Y65" s="3"/>
      <c r="Z65" s="3"/>
    </row>
    <row r="66" spans="1:26" ht="15" customHeight="1" outlineLevel="1" x14ac:dyDescent="0.3">
      <c r="A66" s="3"/>
      <c r="B66" s="10" t="s">
        <v>180</v>
      </c>
      <c r="C66" s="62">
        <v>8</v>
      </c>
      <c r="D66" s="62" t="s">
        <v>94</v>
      </c>
      <c r="E66" s="12">
        <v>66</v>
      </c>
      <c r="F66" s="12">
        <f t="shared" si="19"/>
        <v>66</v>
      </c>
      <c r="G66" s="67"/>
      <c r="H66" s="63" t="s">
        <v>37</v>
      </c>
      <c r="I66" s="63"/>
      <c r="J66" s="64" t="s">
        <v>96</v>
      </c>
      <c r="K66" s="12"/>
      <c r="L66" s="12">
        <v>26.93</v>
      </c>
      <c r="M66" s="12">
        <v>24.57</v>
      </c>
      <c r="N66" s="12">
        <v>13</v>
      </c>
      <c r="O66" s="12">
        <v>1.5</v>
      </c>
      <c r="P66" s="12"/>
      <c r="Q66" s="12"/>
      <c r="R66" s="12"/>
      <c r="S66" s="12"/>
      <c r="T66" s="12"/>
      <c r="U66" s="65"/>
      <c r="V66" s="44" t="str">
        <f t="shared" si="3"/>
        <v>OK</v>
      </c>
      <c r="W66" s="47" t="str">
        <f t="shared" si="5"/>
        <v/>
      </c>
      <c r="X66" s="3"/>
      <c r="Y66" s="3"/>
      <c r="Z66" s="3"/>
    </row>
    <row r="67" spans="1:26" ht="15" customHeight="1" outlineLevel="1" x14ac:dyDescent="0.3">
      <c r="A67" s="3"/>
      <c r="B67" s="61" t="s">
        <v>181</v>
      </c>
      <c r="C67" s="62">
        <v>19</v>
      </c>
      <c r="D67" s="62" t="s">
        <v>94</v>
      </c>
      <c r="E67" s="12">
        <v>75.64</v>
      </c>
      <c r="F67" s="12">
        <f t="shared" si="19"/>
        <v>75.64</v>
      </c>
      <c r="G67" s="67"/>
      <c r="H67" s="63" t="s">
        <v>37</v>
      </c>
      <c r="I67" s="63"/>
      <c r="J67" s="64" t="s">
        <v>96</v>
      </c>
      <c r="K67" s="12"/>
      <c r="L67" s="12">
        <v>36.630000000000003</v>
      </c>
      <c r="M67" s="12">
        <v>24.57</v>
      </c>
      <c r="N67" s="12">
        <v>13</v>
      </c>
      <c r="O67" s="12">
        <v>1.44</v>
      </c>
      <c r="P67" s="12"/>
      <c r="Q67" s="12"/>
      <c r="R67" s="12"/>
      <c r="S67" s="12"/>
      <c r="T67" s="12"/>
      <c r="U67" s="65"/>
      <c r="V67" s="44" t="str">
        <f t="shared" si="3"/>
        <v>OK</v>
      </c>
      <c r="W67" s="47" t="str">
        <f t="shared" si="5"/>
        <v/>
      </c>
      <c r="X67" s="3"/>
      <c r="Y67" s="3"/>
      <c r="Z67" s="3"/>
    </row>
    <row r="68" spans="1:26" ht="15.75" customHeight="1" outlineLevel="1" x14ac:dyDescent="0.3">
      <c r="A68" s="3"/>
      <c r="B68" s="10" t="s">
        <v>182</v>
      </c>
      <c r="C68" s="62">
        <v>28</v>
      </c>
      <c r="D68" s="62" t="s">
        <v>94</v>
      </c>
      <c r="E68" s="12">
        <v>60</v>
      </c>
      <c r="F68" s="12">
        <v>110</v>
      </c>
      <c r="G68" s="69" t="s">
        <v>183</v>
      </c>
      <c r="H68" s="63" t="s">
        <v>37</v>
      </c>
      <c r="I68" s="63"/>
      <c r="J68" s="64" t="s">
        <v>96</v>
      </c>
      <c r="K68" s="12"/>
      <c r="L68" s="12">
        <f>20.93+10.93</f>
        <v>31.86</v>
      </c>
      <c r="M68" s="12">
        <f>24.57*2</f>
        <v>49.14</v>
      </c>
      <c r="N68" s="12">
        <f>13*2</f>
        <v>26</v>
      </c>
      <c r="O68" s="12">
        <f>1.5*2</f>
        <v>3</v>
      </c>
      <c r="P68" s="12"/>
      <c r="Q68" s="12"/>
      <c r="R68" s="12"/>
      <c r="S68" s="12"/>
      <c r="T68" s="12"/>
      <c r="U68" s="65"/>
      <c r="V68" s="44" t="str">
        <f t="shared" si="3"/>
        <v>OK</v>
      </c>
      <c r="W68" s="47" t="str">
        <f t="shared" si="5"/>
        <v/>
      </c>
      <c r="X68" s="3"/>
      <c r="Y68" s="3"/>
      <c r="Z68" s="3"/>
    </row>
    <row r="69" spans="1:26" ht="15" customHeight="1" outlineLevel="1" x14ac:dyDescent="0.3">
      <c r="A69" s="3"/>
      <c r="B69" s="61" t="s">
        <v>184</v>
      </c>
      <c r="C69" s="62">
        <v>16</v>
      </c>
      <c r="D69" s="62" t="s">
        <v>94</v>
      </c>
      <c r="E69" s="12">
        <v>160</v>
      </c>
      <c r="F69" s="12">
        <v>190</v>
      </c>
      <c r="G69" s="67"/>
      <c r="H69" s="63" t="s">
        <v>37</v>
      </c>
      <c r="I69" s="63"/>
      <c r="J69" s="64"/>
      <c r="K69" s="12"/>
      <c r="L69" s="12">
        <f>90.99+30</f>
        <v>120.99</v>
      </c>
      <c r="M69" s="12">
        <v>24.57</v>
      </c>
      <c r="N69" s="12">
        <v>13</v>
      </c>
      <c r="O69" s="12">
        <v>11.44</v>
      </c>
      <c r="P69" s="12">
        <v>10</v>
      </c>
      <c r="Q69" s="12"/>
      <c r="R69" s="12">
        <v>10</v>
      </c>
      <c r="S69" s="12"/>
      <c r="T69" s="12"/>
      <c r="U69" s="65"/>
      <c r="V69" s="44" t="str">
        <f t="shared" si="3"/>
        <v>OK</v>
      </c>
      <c r="W69" s="47" t="str">
        <f t="shared" si="5"/>
        <v/>
      </c>
      <c r="X69" s="3"/>
      <c r="Y69" s="3"/>
      <c r="Z69" s="3"/>
    </row>
    <row r="70" spans="1:26" ht="15" customHeight="1" outlineLevel="1" x14ac:dyDescent="0.3">
      <c r="A70" s="3"/>
      <c r="B70" s="10" t="s">
        <v>185</v>
      </c>
      <c r="C70" s="62">
        <v>1</v>
      </c>
      <c r="D70" s="62" t="s">
        <v>94</v>
      </c>
      <c r="E70" s="12">
        <v>65.739999999999995</v>
      </c>
      <c r="F70" s="12">
        <f t="shared" ref="F70:F72" si="20">E70</f>
        <v>65.739999999999995</v>
      </c>
      <c r="G70" s="67"/>
      <c r="H70" s="63" t="s">
        <v>37</v>
      </c>
      <c r="I70" s="63"/>
      <c r="J70" s="64" t="s">
        <v>96</v>
      </c>
      <c r="K70" s="12"/>
      <c r="L70" s="12">
        <v>26.67</v>
      </c>
      <c r="M70" s="12">
        <v>24.57</v>
      </c>
      <c r="N70" s="12">
        <v>13</v>
      </c>
      <c r="O70" s="12">
        <v>1.5</v>
      </c>
      <c r="P70" s="12"/>
      <c r="Q70" s="12"/>
      <c r="R70" s="12"/>
      <c r="S70" s="12"/>
      <c r="T70" s="12"/>
      <c r="U70" s="65"/>
      <c r="V70" s="44" t="str">
        <f t="shared" si="3"/>
        <v>OK</v>
      </c>
      <c r="W70" s="47" t="str">
        <f t="shared" si="5"/>
        <v/>
      </c>
      <c r="X70" s="3"/>
      <c r="Y70" s="3"/>
      <c r="Z70" s="3"/>
    </row>
    <row r="71" spans="1:26" ht="15" customHeight="1" outlineLevel="1" x14ac:dyDescent="0.3">
      <c r="A71" s="3"/>
      <c r="B71" s="61" t="s">
        <v>186</v>
      </c>
      <c r="C71" s="62">
        <v>11</v>
      </c>
      <c r="D71" s="62" t="s">
        <v>94</v>
      </c>
      <c r="E71" s="12">
        <v>186.82</v>
      </c>
      <c r="F71" s="12">
        <f t="shared" si="20"/>
        <v>186.82</v>
      </c>
      <c r="G71" s="232" t="s">
        <v>187</v>
      </c>
      <c r="H71" s="63" t="s">
        <v>37</v>
      </c>
      <c r="I71" s="63"/>
      <c r="J71" s="64" t="s">
        <v>96</v>
      </c>
      <c r="K71" s="12"/>
      <c r="L71" s="12">
        <v>109.25</v>
      </c>
      <c r="M71" s="12">
        <v>24.57</v>
      </c>
      <c r="N71" s="12">
        <v>13</v>
      </c>
      <c r="O71" s="12">
        <v>10</v>
      </c>
      <c r="P71" s="12"/>
      <c r="Q71" s="12">
        <v>15</v>
      </c>
      <c r="R71" s="12">
        <v>15</v>
      </c>
      <c r="S71" s="12"/>
      <c r="T71" s="12"/>
      <c r="U71" s="65"/>
      <c r="V71" s="44" t="str">
        <f t="shared" si="3"/>
        <v>OK</v>
      </c>
      <c r="W71" s="47" t="str">
        <f t="shared" si="5"/>
        <v/>
      </c>
      <c r="X71" s="3"/>
      <c r="Y71" s="3"/>
      <c r="Z71" s="3"/>
    </row>
    <row r="72" spans="1:26" ht="15" customHeight="1" outlineLevel="1" x14ac:dyDescent="0.3">
      <c r="A72" s="3"/>
      <c r="B72" s="61" t="s">
        <v>188</v>
      </c>
      <c r="C72" s="62">
        <v>11</v>
      </c>
      <c r="D72" s="62" t="s">
        <v>94</v>
      </c>
      <c r="E72" s="12">
        <v>186.82</v>
      </c>
      <c r="F72" s="12">
        <f t="shared" si="20"/>
        <v>186.82</v>
      </c>
      <c r="G72" s="234"/>
      <c r="H72" s="63" t="s">
        <v>37</v>
      </c>
      <c r="I72" s="63"/>
      <c r="J72" s="64" t="s">
        <v>96</v>
      </c>
      <c r="K72" s="12"/>
      <c r="L72" s="12">
        <v>109.25</v>
      </c>
      <c r="M72" s="12">
        <v>24.57</v>
      </c>
      <c r="N72" s="12">
        <v>13</v>
      </c>
      <c r="O72" s="12">
        <v>10</v>
      </c>
      <c r="P72" s="12"/>
      <c r="Q72" s="12">
        <v>15</v>
      </c>
      <c r="R72" s="12">
        <v>15</v>
      </c>
      <c r="S72" s="12"/>
      <c r="T72" s="12"/>
      <c r="U72" s="65"/>
      <c r="V72" s="44" t="str">
        <f t="shared" si="3"/>
        <v>OK</v>
      </c>
      <c r="W72" s="47" t="str">
        <f t="shared" si="5"/>
        <v/>
      </c>
      <c r="X72" s="3"/>
      <c r="Y72" s="3"/>
      <c r="Z72" s="3"/>
    </row>
    <row r="73" spans="1:26" ht="15.75" customHeight="1" outlineLevel="1" x14ac:dyDescent="0.3">
      <c r="A73" s="3"/>
      <c r="B73" s="10" t="s">
        <v>189</v>
      </c>
      <c r="C73" s="62">
        <v>2</v>
      </c>
      <c r="D73" s="62" t="s">
        <v>94</v>
      </c>
      <c r="E73" s="12">
        <v>141.54</v>
      </c>
      <c r="F73" s="12">
        <f>E73+166.54</f>
        <v>308.08</v>
      </c>
      <c r="G73" s="71" t="s">
        <v>190</v>
      </c>
      <c r="H73" s="63" t="s">
        <v>37</v>
      </c>
      <c r="I73" s="63"/>
      <c r="J73" s="64" t="s">
        <v>96</v>
      </c>
      <c r="K73" s="12"/>
      <c r="L73" s="12">
        <f>77.53+166.54</f>
        <v>244.07</v>
      </c>
      <c r="M73" s="12">
        <v>24.57</v>
      </c>
      <c r="N73" s="12">
        <v>13</v>
      </c>
      <c r="O73" s="12">
        <v>1.44</v>
      </c>
      <c r="P73" s="12"/>
      <c r="Q73" s="12">
        <v>20</v>
      </c>
      <c r="R73" s="12">
        <v>5</v>
      </c>
      <c r="S73" s="12"/>
      <c r="T73" s="12"/>
      <c r="U73" s="65"/>
      <c r="V73" s="44" t="str">
        <f t="shared" si="3"/>
        <v>OK</v>
      </c>
      <c r="W73" s="47" t="str">
        <f t="shared" si="5"/>
        <v/>
      </c>
      <c r="X73" s="3"/>
      <c r="Y73" s="3"/>
      <c r="Z73" s="3"/>
    </row>
    <row r="74" spans="1:26" ht="15" customHeight="1" outlineLevel="1" x14ac:dyDescent="0.3">
      <c r="A74" s="3"/>
      <c r="B74" s="61" t="s">
        <v>191</v>
      </c>
      <c r="C74" s="62">
        <v>12</v>
      </c>
      <c r="D74" s="62" t="s">
        <v>94</v>
      </c>
      <c r="E74" s="12">
        <v>63.67</v>
      </c>
      <c r="F74" s="12">
        <f t="shared" ref="F74:F75" si="21">E74</f>
        <v>63.67</v>
      </c>
      <c r="G74" s="67"/>
      <c r="H74" s="63" t="s">
        <v>37</v>
      </c>
      <c r="I74" s="63"/>
      <c r="J74" s="64" t="s">
        <v>96</v>
      </c>
      <c r="K74" s="12"/>
      <c r="L74" s="12">
        <v>24.66</v>
      </c>
      <c r="M74" s="12">
        <v>24.57</v>
      </c>
      <c r="N74" s="12">
        <v>13</v>
      </c>
      <c r="O74" s="12">
        <v>1.44</v>
      </c>
      <c r="P74" s="12"/>
      <c r="Q74" s="12"/>
      <c r="R74" s="12"/>
      <c r="S74" s="12"/>
      <c r="T74" s="12"/>
      <c r="U74" s="65"/>
      <c r="V74" s="44" t="str">
        <f t="shared" si="3"/>
        <v>OK</v>
      </c>
      <c r="W74" s="47" t="str">
        <f t="shared" si="5"/>
        <v/>
      </c>
      <c r="X74" s="3"/>
      <c r="Y74" s="3"/>
      <c r="Z74" s="3"/>
    </row>
    <row r="75" spans="1:26" ht="15" customHeight="1" outlineLevel="1" x14ac:dyDescent="0.3">
      <c r="A75" s="3"/>
      <c r="B75" s="10" t="s">
        <v>192</v>
      </c>
      <c r="C75" s="62">
        <v>12</v>
      </c>
      <c r="D75" s="62" t="s">
        <v>94</v>
      </c>
      <c r="E75" s="12">
        <v>94.02</v>
      </c>
      <c r="F75" s="12">
        <f t="shared" si="21"/>
        <v>94.02</v>
      </c>
      <c r="G75" s="67"/>
      <c r="H75" s="63" t="s">
        <v>37</v>
      </c>
      <c r="I75" s="63"/>
      <c r="J75" s="64" t="s">
        <v>96</v>
      </c>
      <c r="K75" s="12"/>
      <c r="L75" s="12">
        <v>54.95</v>
      </c>
      <c r="M75" s="12">
        <v>24.57</v>
      </c>
      <c r="N75" s="12">
        <v>13</v>
      </c>
      <c r="O75" s="12">
        <v>1.5</v>
      </c>
      <c r="P75" s="12"/>
      <c r="Q75" s="12"/>
      <c r="R75" s="12"/>
      <c r="S75" s="12"/>
      <c r="T75" s="12"/>
      <c r="U75" s="65"/>
      <c r="V75" s="44" t="str">
        <f t="shared" si="3"/>
        <v>OK</v>
      </c>
      <c r="W75" s="47" t="str">
        <f t="shared" si="5"/>
        <v/>
      </c>
      <c r="X75" s="3"/>
      <c r="Y75" s="3"/>
      <c r="Z75" s="3"/>
    </row>
    <row r="76" spans="1:26" ht="15" customHeight="1" outlineLevel="1" x14ac:dyDescent="0.3">
      <c r="A76" s="3"/>
      <c r="B76" s="61" t="s">
        <v>193</v>
      </c>
      <c r="C76" s="62">
        <v>31</v>
      </c>
      <c r="D76" s="62" t="s">
        <v>129</v>
      </c>
      <c r="E76" s="12">
        <v>50</v>
      </c>
      <c r="F76" s="12">
        <v>200</v>
      </c>
      <c r="G76" s="235" t="s">
        <v>194</v>
      </c>
      <c r="H76" s="63" t="s">
        <v>36</v>
      </c>
      <c r="I76" s="63"/>
      <c r="J76" s="64" t="s">
        <v>96</v>
      </c>
      <c r="K76" s="12"/>
      <c r="L76" s="12">
        <f t="shared" ref="L76:L77" si="22">10.93+150</f>
        <v>160.93</v>
      </c>
      <c r="M76" s="12">
        <v>24.57</v>
      </c>
      <c r="N76" s="12">
        <v>13</v>
      </c>
      <c r="O76" s="12">
        <v>1.5</v>
      </c>
      <c r="P76" s="12"/>
      <c r="Q76" s="12"/>
      <c r="R76" s="12"/>
      <c r="S76" s="12"/>
      <c r="T76" s="12"/>
      <c r="U76" s="65"/>
      <c r="V76" s="44" t="str">
        <f t="shared" si="3"/>
        <v>OK</v>
      </c>
      <c r="W76" s="47" t="str">
        <f t="shared" si="5"/>
        <v/>
      </c>
      <c r="X76" s="3"/>
      <c r="Y76" s="3"/>
      <c r="Z76" s="3"/>
    </row>
    <row r="77" spans="1:26" ht="15" customHeight="1" outlineLevel="1" x14ac:dyDescent="0.3">
      <c r="A77" s="3"/>
      <c r="B77" s="61" t="s">
        <v>195</v>
      </c>
      <c r="C77" s="62">
        <v>31</v>
      </c>
      <c r="D77" s="62" t="s">
        <v>129</v>
      </c>
      <c r="E77" s="12">
        <v>50</v>
      </c>
      <c r="F77" s="12">
        <v>200</v>
      </c>
      <c r="G77" s="234"/>
      <c r="H77" s="63" t="s">
        <v>36</v>
      </c>
      <c r="I77" s="63"/>
      <c r="J77" s="64"/>
      <c r="K77" s="12"/>
      <c r="L77" s="12">
        <f t="shared" si="22"/>
        <v>160.93</v>
      </c>
      <c r="M77" s="12">
        <v>24.57</v>
      </c>
      <c r="N77" s="12">
        <v>13</v>
      </c>
      <c r="O77" s="12">
        <v>1.5</v>
      </c>
      <c r="P77" s="12"/>
      <c r="Q77" s="12"/>
      <c r="R77" s="12"/>
      <c r="S77" s="12"/>
      <c r="T77" s="12"/>
      <c r="U77" s="65"/>
      <c r="V77" s="44" t="str">
        <f t="shared" si="3"/>
        <v>OK</v>
      </c>
      <c r="W77" s="47" t="str">
        <f t="shared" si="5"/>
        <v/>
      </c>
      <c r="X77" s="3"/>
      <c r="Y77" s="3"/>
      <c r="Z77" s="3"/>
    </row>
    <row r="78" spans="1:26" ht="15" customHeight="1" outlineLevel="1" x14ac:dyDescent="0.3">
      <c r="A78" s="3"/>
      <c r="B78" s="10" t="s">
        <v>196</v>
      </c>
      <c r="C78" s="62">
        <v>3</v>
      </c>
      <c r="D78" s="62" t="s">
        <v>94</v>
      </c>
      <c r="E78" s="12">
        <v>40</v>
      </c>
      <c r="F78" s="12">
        <f t="shared" ref="F78:F93" si="23">E78</f>
        <v>40</v>
      </c>
      <c r="G78" s="67"/>
      <c r="H78" s="63" t="s">
        <v>37</v>
      </c>
      <c r="I78" s="63"/>
      <c r="J78" s="64"/>
      <c r="K78" s="12"/>
      <c r="L78" s="12">
        <v>0.93</v>
      </c>
      <c r="M78" s="12">
        <v>24.57</v>
      </c>
      <c r="N78" s="12">
        <v>13</v>
      </c>
      <c r="O78" s="12">
        <v>1.5</v>
      </c>
      <c r="P78" s="12"/>
      <c r="Q78" s="12"/>
      <c r="R78" s="12"/>
      <c r="S78" s="12"/>
      <c r="T78" s="12"/>
      <c r="U78" s="65"/>
      <c r="V78" s="44" t="str">
        <f t="shared" si="3"/>
        <v>OK</v>
      </c>
      <c r="W78" s="47" t="str">
        <f t="shared" si="5"/>
        <v/>
      </c>
      <c r="X78" s="3"/>
      <c r="Y78" s="3"/>
      <c r="Z78" s="3"/>
    </row>
    <row r="79" spans="1:26" ht="15" customHeight="1" outlineLevel="1" x14ac:dyDescent="0.3">
      <c r="A79" s="3"/>
      <c r="B79" s="61" t="s">
        <v>197</v>
      </c>
      <c r="C79" s="62">
        <v>8</v>
      </c>
      <c r="D79" s="62" t="s">
        <v>94</v>
      </c>
      <c r="E79" s="12">
        <v>149.01</v>
      </c>
      <c r="F79" s="12">
        <f t="shared" si="23"/>
        <v>149.01</v>
      </c>
      <c r="G79" s="67"/>
      <c r="H79" s="63" t="s">
        <v>37</v>
      </c>
      <c r="I79" s="63"/>
      <c r="J79" s="64" t="s">
        <v>96</v>
      </c>
      <c r="K79" s="12"/>
      <c r="L79" s="12">
        <v>96.44</v>
      </c>
      <c r="M79" s="12">
        <v>24.57</v>
      </c>
      <c r="N79" s="12">
        <v>13</v>
      </c>
      <c r="O79" s="12">
        <v>5</v>
      </c>
      <c r="P79" s="12">
        <v>10</v>
      </c>
      <c r="Q79" s="12"/>
      <c r="R79" s="12"/>
      <c r="S79" s="12"/>
      <c r="T79" s="12"/>
      <c r="U79" s="65"/>
      <c r="V79" s="44" t="str">
        <f t="shared" si="3"/>
        <v>OK</v>
      </c>
      <c r="W79" s="47" t="str">
        <f t="shared" si="5"/>
        <v/>
      </c>
      <c r="X79" s="3"/>
      <c r="Y79" s="3"/>
      <c r="Z79" s="3"/>
    </row>
    <row r="80" spans="1:26" ht="15" customHeight="1" outlineLevel="1" x14ac:dyDescent="0.3">
      <c r="A80" s="3"/>
      <c r="B80" s="10" t="s">
        <v>198</v>
      </c>
      <c r="C80" s="62">
        <v>1</v>
      </c>
      <c r="D80" s="62" t="s">
        <v>94</v>
      </c>
      <c r="E80" s="12">
        <v>55.39</v>
      </c>
      <c r="F80" s="12">
        <f t="shared" si="23"/>
        <v>55.39</v>
      </c>
      <c r="G80" s="67"/>
      <c r="H80" s="63" t="s">
        <v>37</v>
      </c>
      <c r="I80" s="63"/>
      <c r="J80" s="64" t="s">
        <v>96</v>
      </c>
      <c r="K80" s="12"/>
      <c r="L80" s="12">
        <v>16.32</v>
      </c>
      <c r="M80" s="12">
        <v>24.57</v>
      </c>
      <c r="N80" s="12">
        <v>13</v>
      </c>
      <c r="O80" s="12">
        <v>1.5</v>
      </c>
      <c r="P80" s="12"/>
      <c r="Q80" s="12"/>
      <c r="R80" s="12"/>
      <c r="S80" s="12"/>
      <c r="T80" s="12"/>
      <c r="U80" s="65"/>
      <c r="V80" s="44" t="str">
        <f t="shared" si="3"/>
        <v>OK</v>
      </c>
      <c r="W80" s="47" t="str">
        <f t="shared" si="5"/>
        <v/>
      </c>
      <c r="X80" s="3"/>
      <c r="Y80" s="3"/>
      <c r="Z80" s="3"/>
    </row>
    <row r="81" spans="1:26" ht="15" customHeight="1" outlineLevel="1" x14ac:dyDescent="0.3">
      <c r="A81" s="3"/>
      <c r="B81" s="61" t="s">
        <v>199</v>
      </c>
      <c r="C81" s="62">
        <v>7</v>
      </c>
      <c r="D81" s="62" t="s">
        <v>94</v>
      </c>
      <c r="E81" s="12">
        <v>65.739999999999995</v>
      </c>
      <c r="F81" s="12">
        <f t="shared" si="23"/>
        <v>65.739999999999995</v>
      </c>
      <c r="G81" s="67"/>
      <c r="H81" s="63" t="s">
        <v>37</v>
      </c>
      <c r="I81" s="63"/>
      <c r="J81" s="64" t="s">
        <v>96</v>
      </c>
      <c r="K81" s="12"/>
      <c r="L81" s="12">
        <v>26.67</v>
      </c>
      <c r="M81" s="12">
        <v>24.57</v>
      </c>
      <c r="N81" s="12">
        <v>13</v>
      </c>
      <c r="O81" s="12">
        <v>1.5</v>
      </c>
      <c r="P81" s="12"/>
      <c r="Q81" s="12"/>
      <c r="R81" s="12"/>
      <c r="S81" s="12"/>
      <c r="T81" s="12"/>
      <c r="U81" s="65"/>
      <c r="V81" s="44" t="str">
        <f t="shared" si="3"/>
        <v>OK</v>
      </c>
      <c r="W81" s="47" t="str">
        <f t="shared" si="5"/>
        <v/>
      </c>
      <c r="X81" s="3"/>
      <c r="Y81" s="3"/>
      <c r="Z81" s="3"/>
    </row>
    <row r="82" spans="1:26" ht="15" customHeight="1" outlineLevel="1" x14ac:dyDescent="0.3">
      <c r="A82" s="3"/>
      <c r="B82" s="10" t="s">
        <v>200</v>
      </c>
      <c r="C82" s="62">
        <v>19</v>
      </c>
      <c r="D82" s="62" t="s">
        <v>94</v>
      </c>
      <c r="E82" s="12">
        <v>54.57</v>
      </c>
      <c r="F82" s="12">
        <f t="shared" si="23"/>
        <v>54.57</v>
      </c>
      <c r="G82" s="232" t="s">
        <v>201</v>
      </c>
      <c r="H82" s="63" t="s">
        <v>37</v>
      </c>
      <c r="I82" s="63"/>
      <c r="J82" s="64"/>
      <c r="K82" s="12"/>
      <c r="L82" s="12">
        <v>10</v>
      </c>
      <c r="M82" s="12">
        <v>24.57</v>
      </c>
      <c r="N82" s="12">
        <v>13</v>
      </c>
      <c r="O82" s="12">
        <v>2</v>
      </c>
      <c r="P82" s="12"/>
      <c r="Q82" s="12"/>
      <c r="R82" s="12">
        <v>5</v>
      </c>
      <c r="S82" s="12"/>
      <c r="T82" s="12"/>
      <c r="U82" s="65"/>
      <c r="V82" s="44" t="str">
        <f t="shared" si="3"/>
        <v>OK</v>
      </c>
      <c r="W82" s="47" t="str">
        <f t="shared" si="5"/>
        <v/>
      </c>
      <c r="X82" s="3"/>
      <c r="Y82" s="3"/>
      <c r="Z82" s="3"/>
    </row>
    <row r="83" spans="1:26" ht="15" customHeight="1" outlineLevel="1" x14ac:dyDescent="0.3">
      <c r="A83" s="3"/>
      <c r="B83" s="10" t="s">
        <v>202</v>
      </c>
      <c r="C83" s="62">
        <v>19</v>
      </c>
      <c r="D83" s="62" t="s">
        <v>94</v>
      </c>
      <c r="E83" s="12">
        <v>59.57</v>
      </c>
      <c r="F83" s="12">
        <f t="shared" si="23"/>
        <v>59.57</v>
      </c>
      <c r="G83" s="234"/>
      <c r="H83" s="63" t="s">
        <v>37</v>
      </c>
      <c r="I83" s="63"/>
      <c r="J83" s="64"/>
      <c r="K83" s="12"/>
      <c r="L83" s="12">
        <v>15</v>
      </c>
      <c r="M83" s="12">
        <v>24.57</v>
      </c>
      <c r="N83" s="12">
        <v>13</v>
      </c>
      <c r="O83" s="12">
        <v>2</v>
      </c>
      <c r="P83" s="12"/>
      <c r="Q83" s="12"/>
      <c r="R83" s="12">
        <v>5</v>
      </c>
      <c r="S83" s="12"/>
      <c r="T83" s="12"/>
      <c r="U83" s="65"/>
      <c r="V83" s="44" t="str">
        <f t="shared" si="3"/>
        <v>OK</v>
      </c>
      <c r="W83" s="47" t="str">
        <f t="shared" si="5"/>
        <v/>
      </c>
      <c r="X83" s="3"/>
      <c r="Y83" s="3"/>
      <c r="Z83" s="3"/>
    </row>
    <row r="84" spans="1:26" ht="15" customHeight="1" outlineLevel="1" x14ac:dyDescent="0.3">
      <c r="A84" s="3"/>
      <c r="B84" s="61" t="s">
        <v>203</v>
      </c>
      <c r="C84" s="62">
        <v>2</v>
      </c>
      <c r="D84" s="62" t="s">
        <v>94</v>
      </c>
      <c r="E84" s="12">
        <v>77.239999999999995</v>
      </c>
      <c r="F84" s="12">
        <f t="shared" si="23"/>
        <v>77.239999999999995</v>
      </c>
      <c r="G84" s="232" t="s">
        <v>204</v>
      </c>
      <c r="H84" s="63" t="s">
        <v>37</v>
      </c>
      <c r="I84" s="63"/>
      <c r="J84" s="64"/>
      <c r="K84" s="12"/>
      <c r="L84" s="12">
        <v>38.17</v>
      </c>
      <c r="M84" s="12">
        <v>24.57</v>
      </c>
      <c r="N84" s="12">
        <v>13</v>
      </c>
      <c r="O84" s="12">
        <v>1.5</v>
      </c>
      <c r="P84" s="12"/>
      <c r="Q84" s="12"/>
      <c r="R84" s="12"/>
      <c r="S84" s="12"/>
      <c r="T84" s="12"/>
      <c r="U84" s="65"/>
      <c r="V84" s="44" t="str">
        <f t="shared" si="3"/>
        <v>OK</v>
      </c>
      <c r="W84" s="47" t="str">
        <f t="shared" si="5"/>
        <v/>
      </c>
      <c r="X84" s="3"/>
      <c r="Y84" s="3"/>
      <c r="Z84" s="3"/>
    </row>
    <row r="85" spans="1:26" ht="15" customHeight="1" outlineLevel="1" x14ac:dyDescent="0.3">
      <c r="A85" s="3"/>
      <c r="B85" s="61" t="s">
        <v>205</v>
      </c>
      <c r="C85" s="62">
        <v>2</v>
      </c>
      <c r="D85" s="62" t="s">
        <v>94</v>
      </c>
      <c r="E85" s="12">
        <v>111.76</v>
      </c>
      <c r="F85" s="12">
        <f t="shared" si="23"/>
        <v>111.76</v>
      </c>
      <c r="G85" s="234"/>
      <c r="H85" s="63" t="s">
        <v>37</v>
      </c>
      <c r="I85" s="63"/>
      <c r="J85" s="64" t="s">
        <v>96</v>
      </c>
      <c r="K85" s="12"/>
      <c r="L85" s="12">
        <v>72.75</v>
      </c>
      <c r="M85" s="12">
        <v>24.57</v>
      </c>
      <c r="N85" s="12">
        <v>13</v>
      </c>
      <c r="O85" s="12">
        <v>1.44</v>
      </c>
      <c r="P85" s="12"/>
      <c r="Q85" s="12"/>
      <c r="R85" s="12"/>
      <c r="S85" s="12"/>
      <c r="T85" s="12"/>
      <c r="U85" s="65"/>
      <c r="V85" s="44" t="str">
        <f t="shared" si="3"/>
        <v>OK</v>
      </c>
      <c r="W85" s="47" t="str">
        <f t="shared" si="5"/>
        <v/>
      </c>
      <c r="X85" s="3"/>
      <c r="Y85" s="3"/>
      <c r="Z85" s="3"/>
    </row>
    <row r="86" spans="1:26" ht="15" customHeight="1" outlineLevel="1" x14ac:dyDescent="0.3">
      <c r="A86" s="3"/>
      <c r="B86" s="10" t="s">
        <v>206</v>
      </c>
      <c r="C86" s="62">
        <v>12</v>
      </c>
      <c r="D86" s="62" t="s">
        <v>94</v>
      </c>
      <c r="E86" s="12">
        <v>127.54</v>
      </c>
      <c r="F86" s="12">
        <f t="shared" si="23"/>
        <v>127.54</v>
      </c>
      <c r="G86" s="232" t="s">
        <v>207</v>
      </c>
      <c r="H86" s="63" t="s">
        <v>37</v>
      </c>
      <c r="I86" s="63"/>
      <c r="J86" s="64"/>
      <c r="K86" s="12"/>
      <c r="L86" s="12">
        <v>82.97</v>
      </c>
      <c r="M86" s="12">
        <v>24.57</v>
      </c>
      <c r="N86" s="12">
        <v>13</v>
      </c>
      <c r="O86" s="12">
        <v>2</v>
      </c>
      <c r="P86" s="12"/>
      <c r="Q86" s="12"/>
      <c r="R86" s="12">
        <v>5</v>
      </c>
      <c r="S86" s="12"/>
      <c r="T86" s="12"/>
      <c r="U86" s="65"/>
      <c r="V86" s="44" t="str">
        <f t="shared" si="3"/>
        <v>OK</v>
      </c>
      <c r="W86" s="47" t="str">
        <f t="shared" si="5"/>
        <v/>
      </c>
      <c r="X86" s="3"/>
      <c r="Y86" s="3"/>
      <c r="Z86" s="3"/>
    </row>
    <row r="87" spans="1:26" ht="15" customHeight="1" outlineLevel="1" x14ac:dyDescent="0.3">
      <c r="A87" s="3"/>
      <c r="B87" s="10" t="s">
        <v>208</v>
      </c>
      <c r="C87" s="62">
        <v>12</v>
      </c>
      <c r="D87" s="62" t="s">
        <v>94</v>
      </c>
      <c r="E87" s="12">
        <v>127.54</v>
      </c>
      <c r="F87" s="12">
        <f t="shared" si="23"/>
        <v>127.54</v>
      </c>
      <c r="G87" s="233"/>
      <c r="H87" s="63" t="s">
        <v>37</v>
      </c>
      <c r="I87" s="63"/>
      <c r="J87" s="64"/>
      <c r="K87" s="12"/>
      <c r="L87" s="12">
        <v>82.97</v>
      </c>
      <c r="M87" s="12">
        <v>24.57</v>
      </c>
      <c r="N87" s="12">
        <v>13</v>
      </c>
      <c r="O87" s="12">
        <v>2</v>
      </c>
      <c r="P87" s="12"/>
      <c r="Q87" s="12"/>
      <c r="R87" s="12">
        <v>5</v>
      </c>
      <c r="S87" s="12"/>
      <c r="T87" s="12"/>
      <c r="U87" s="65"/>
      <c r="V87" s="44" t="str">
        <f t="shared" si="3"/>
        <v>OK</v>
      </c>
      <c r="W87" s="47" t="str">
        <f t="shared" si="5"/>
        <v/>
      </c>
      <c r="X87" s="3"/>
      <c r="Y87" s="3"/>
      <c r="Z87" s="3"/>
    </row>
    <row r="88" spans="1:26" ht="15" customHeight="1" outlineLevel="1" x14ac:dyDescent="0.3">
      <c r="A88" s="3"/>
      <c r="B88" s="10" t="s">
        <v>209</v>
      </c>
      <c r="C88" s="62">
        <v>12</v>
      </c>
      <c r="D88" s="62" t="s">
        <v>94</v>
      </c>
      <c r="E88" s="12">
        <v>127.54</v>
      </c>
      <c r="F88" s="12">
        <f t="shared" si="23"/>
        <v>127.54</v>
      </c>
      <c r="G88" s="234"/>
      <c r="H88" s="63" t="s">
        <v>37</v>
      </c>
      <c r="I88" s="63"/>
      <c r="J88" s="64" t="s">
        <v>96</v>
      </c>
      <c r="K88" s="12"/>
      <c r="L88" s="12">
        <v>82.97</v>
      </c>
      <c r="M88" s="12">
        <v>24.57</v>
      </c>
      <c r="N88" s="12">
        <v>13</v>
      </c>
      <c r="O88" s="12">
        <v>2</v>
      </c>
      <c r="P88" s="12"/>
      <c r="Q88" s="12"/>
      <c r="R88" s="12">
        <v>5</v>
      </c>
      <c r="S88" s="12"/>
      <c r="T88" s="12"/>
      <c r="U88" s="65"/>
      <c r="V88" s="44" t="str">
        <f t="shared" si="3"/>
        <v>OK</v>
      </c>
      <c r="W88" s="47" t="str">
        <f t="shared" si="5"/>
        <v/>
      </c>
      <c r="X88" s="3"/>
      <c r="Y88" s="3"/>
      <c r="Z88" s="3"/>
    </row>
    <row r="89" spans="1:26" ht="15" customHeight="1" outlineLevel="1" x14ac:dyDescent="0.3">
      <c r="A89" s="3"/>
      <c r="B89" s="61" t="s">
        <v>210</v>
      </c>
      <c r="C89" s="62">
        <v>16</v>
      </c>
      <c r="D89" s="62" t="s">
        <v>94</v>
      </c>
      <c r="E89" s="12">
        <v>150</v>
      </c>
      <c r="F89" s="12">
        <f t="shared" si="23"/>
        <v>150</v>
      </c>
      <c r="G89" s="67"/>
      <c r="H89" s="63" t="s">
        <v>37</v>
      </c>
      <c r="I89" s="63"/>
      <c r="J89" s="64" t="s">
        <v>96</v>
      </c>
      <c r="K89" s="12"/>
      <c r="L89" s="12">
        <v>100.93</v>
      </c>
      <c r="M89" s="12">
        <v>24.57</v>
      </c>
      <c r="N89" s="12">
        <v>13</v>
      </c>
      <c r="O89" s="12">
        <v>1.5</v>
      </c>
      <c r="P89" s="12"/>
      <c r="Q89" s="12"/>
      <c r="R89" s="12">
        <v>10</v>
      </c>
      <c r="S89" s="12"/>
      <c r="T89" s="12"/>
      <c r="U89" s="65"/>
      <c r="V89" s="44" t="str">
        <f t="shared" si="3"/>
        <v>OK</v>
      </c>
      <c r="W89" s="47" t="str">
        <f t="shared" si="5"/>
        <v/>
      </c>
      <c r="X89" s="3"/>
      <c r="Y89" s="3"/>
      <c r="Z89" s="3"/>
    </row>
    <row r="90" spans="1:26" ht="15" customHeight="1" outlineLevel="1" x14ac:dyDescent="0.3">
      <c r="A90" s="3"/>
      <c r="B90" s="10" t="s">
        <v>211</v>
      </c>
      <c r="C90" s="62">
        <v>4</v>
      </c>
      <c r="D90" s="62" t="s">
        <v>94</v>
      </c>
      <c r="E90" s="12">
        <v>150</v>
      </c>
      <c r="F90" s="12">
        <f t="shared" si="23"/>
        <v>150</v>
      </c>
      <c r="G90" s="232" t="s">
        <v>212</v>
      </c>
      <c r="H90" s="63" t="s">
        <v>37</v>
      </c>
      <c r="I90" s="63"/>
      <c r="J90" s="64" t="s">
        <v>96</v>
      </c>
      <c r="K90" s="12"/>
      <c r="L90" s="12">
        <v>95.43</v>
      </c>
      <c r="M90" s="12">
        <v>24.57</v>
      </c>
      <c r="N90" s="12">
        <v>13</v>
      </c>
      <c r="O90" s="12">
        <v>2</v>
      </c>
      <c r="P90" s="12"/>
      <c r="Q90" s="12">
        <v>5</v>
      </c>
      <c r="R90" s="12">
        <v>10</v>
      </c>
      <c r="S90" s="12"/>
      <c r="T90" s="12"/>
      <c r="U90" s="65"/>
      <c r="V90" s="44" t="str">
        <f t="shared" si="3"/>
        <v>OK</v>
      </c>
      <c r="W90" s="47" t="str">
        <f t="shared" si="5"/>
        <v/>
      </c>
      <c r="X90" s="3"/>
      <c r="Y90" s="3"/>
      <c r="Z90" s="3"/>
    </row>
    <row r="91" spans="1:26" ht="15" customHeight="1" outlineLevel="1" x14ac:dyDescent="0.3">
      <c r="A91" s="3"/>
      <c r="B91" s="10" t="s">
        <v>213</v>
      </c>
      <c r="C91" s="62">
        <v>4</v>
      </c>
      <c r="D91" s="62" t="s">
        <v>94</v>
      </c>
      <c r="E91" s="12">
        <v>150</v>
      </c>
      <c r="F91" s="12">
        <f t="shared" si="23"/>
        <v>150</v>
      </c>
      <c r="G91" s="234"/>
      <c r="H91" s="63" t="s">
        <v>37</v>
      </c>
      <c r="I91" s="63"/>
      <c r="J91" s="64" t="s">
        <v>96</v>
      </c>
      <c r="K91" s="12"/>
      <c r="L91" s="12">
        <v>95.43</v>
      </c>
      <c r="M91" s="12">
        <v>24.57</v>
      </c>
      <c r="N91" s="12">
        <v>13</v>
      </c>
      <c r="O91" s="12">
        <v>2</v>
      </c>
      <c r="P91" s="12"/>
      <c r="Q91" s="12">
        <v>5</v>
      </c>
      <c r="R91" s="12">
        <v>10</v>
      </c>
      <c r="S91" s="12"/>
      <c r="T91" s="12"/>
      <c r="U91" s="65"/>
      <c r="V91" s="44" t="str">
        <f t="shared" si="3"/>
        <v>OK</v>
      </c>
      <c r="W91" s="47" t="str">
        <f t="shared" si="5"/>
        <v/>
      </c>
      <c r="X91" s="3"/>
      <c r="Y91" s="3"/>
      <c r="Z91" s="3"/>
    </row>
    <row r="92" spans="1:26" ht="15" customHeight="1" outlineLevel="1" x14ac:dyDescent="0.3">
      <c r="A92" s="3"/>
      <c r="B92" s="61" t="s">
        <v>214</v>
      </c>
      <c r="C92" s="62">
        <v>6</v>
      </c>
      <c r="D92" s="62" t="s">
        <v>94</v>
      </c>
      <c r="E92" s="12">
        <v>150</v>
      </c>
      <c r="F92" s="12">
        <f t="shared" si="23"/>
        <v>150</v>
      </c>
      <c r="G92" s="67"/>
      <c r="H92" s="63" t="s">
        <v>37</v>
      </c>
      <c r="I92" s="63"/>
      <c r="J92" s="64" t="s">
        <v>96</v>
      </c>
      <c r="K92" s="12"/>
      <c r="L92" s="12">
        <v>95.43</v>
      </c>
      <c r="M92" s="12">
        <v>24.57</v>
      </c>
      <c r="N92" s="12">
        <v>13</v>
      </c>
      <c r="O92" s="12">
        <v>2</v>
      </c>
      <c r="P92" s="12">
        <v>5</v>
      </c>
      <c r="Q92" s="12"/>
      <c r="R92" s="12">
        <v>10</v>
      </c>
      <c r="S92" s="12"/>
      <c r="T92" s="12"/>
      <c r="U92" s="65"/>
      <c r="V92" s="44" t="str">
        <f t="shared" si="3"/>
        <v>OK</v>
      </c>
      <c r="W92" s="47" t="str">
        <f t="shared" si="5"/>
        <v/>
      </c>
      <c r="X92" s="3"/>
      <c r="Y92" s="3"/>
      <c r="Z92" s="3"/>
    </row>
    <row r="93" spans="1:26" ht="15" customHeight="1" outlineLevel="1" x14ac:dyDescent="0.3">
      <c r="A93" s="3"/>
      <c r="B93" s="10" t="s">
        <v>215</v>
      </c>
      <c r="C93" s="62">
        <v>2</v>
      </c>
      <c r="D93" s="62" t="s">
        <v>94</v>
      </c>
      <c r="E93" s="12">
        <v>45</v>
      </c>
      <c r="F93" s="12">
        <f t="shared" si="23"/>
        <v>45</v>
      </c>
      <c r="G93" s="67"/>
      <c r="H93" s="63" t="s">
        <v>37</v>
      </c>
      <c r="I93" s="63"/>
      <c r="J93" s="64" t="s">
        <v>96</v>
      </c>
      <c r="K93" s="12"/>
      <c r="L93" s="12">
        <v>0.93</v>
      </c>
      <c r="M93" s="12">
        <v>24.57</v>
      </c>
      <c r="N93" s="12">
        <v>13</v>
      </c>
      <c r="O93" s="12">
        <v>1.5</v>
      </c>
      <c r="P93" s="12">
        <v>5</v>
      </c>
      <c r="Q93" s="12"/>
      <c r="R93" s="12"/>
      <c r="S93" s="12"/>
      <c r="T93" s="12"/>
      <c r="U93" s="65"/>
      <c r="V93" s="44" t="str">
        <f t="shared" si="3"/>
        <v>OK</v>
      </c>
      <c r="W93" s="47" t="str">
        <f t="shared" si="5"/>
        <v/>
      </c>
      <c r="X93" s="3"/>
      <c r="Y93" s="3"/>
      <c r="Z93" s="3"/>
    </row>
    <row r="94" spans="1:26" ht="15" customHeight="1" outlineLevel="1" x14ac:dyDescent="0.3">
      <c r="A94" s="3"/>
      <c r="B94" s="61" t="s">
        <v>216</v>
      </c>
      <c r="C94" s="62"/>
      <c r="D94" s="62" t="s">
        <v>104</v>
      </c>
      <c r="E94" s="12">
        <v>70</v>
      </c>
      <c r="F94" s="12">
        <v>0</v>
      </c>
      <c r="G94" s="67"/>
      <c r="H94" s="63"/>
      <c r="I94" s="63"/>
      <c r="J94" s="64" t="s">
        <v>96</v>
      </c>
      <c r="K94" s="12"/>
      <c r="L94" s="12">
        <v>30.93</v>
      </c>
      <c r="M94" s="12">
        <v>24.57</v>
      </c>
      <c r="N94" s="12">
        <v>13</v>
      </c>
      <c r="O94" s="12">
        <v>1.5</v>
      </c>
      <c r="P94" s="12"/>
      <c r="Q94" s="12"/>
      <c r="R94" s="12"/>
      <c r="S94" s="12"/>
      <c r="T94" s="12"/>
      <c r="U94" s="65"/>
      <c r="V94" s="44" t="str">
        <f t="shared" si="3"/>
        <v>Diferente</v>
      </c>
      <c r="W94" s="47">
        <f t="shared" si="5"/>
        <v>-70</v>
      </c>
      <c r="X94" s="3"/>
      <c r="Y94" s="3"/>
      <c r="Z94" s="3"/>
    </row>
    <row r="95" spans="1:26" ht="15" customHeight="1" outlineLevel="1" x14ac:dyDescent="0.3">
      <c r="A95" s="3"/>
      <c r="B95" s="10" t="s">
        <v>217</v>
      </c>
      <c r="C95" s="62">
        <v>1</v>
      </c>
      <c r="D95" s="62" t="s">
        <v>94</v>
      </c>
      <c r="E95" s="12">
        <v>132</v>
      </c>
      <c r="F95" s="12">
        <f t="shared" ref="F95:F96" si="24">E95</f>
        <v>132</v>
      </c>
      <c r="G95" s="232" t="s">
        <v>218</v>
      </c>
      <c r="H95" s="63" t="s">
        <v>37</v>
      </c>
      <c r="I95" s="63"/>
      <c r="J95" s="64" t="s">
        <v>96</v>
      </c>
      <c r="K95" s="12"/>
      <c r="L95" s="12">
        <v>87.43</v>
      </c>
      <c r="M95" s="12">
        <v>24.57</v>
      </c>
      <c r="N95" s="12">
        <v>13</v>
      </c>
      <c r="O95" s="12">
        <v>2</v>
      </c>
      <c r="P95" s="12"/>
      <c r="Q95" s="12"/>
      <c r="R95" s="12">
        <v>5</v>
      </c>
      <c r="S95" s="12"/>
      <c r="T95" s="12"/>
      <c r="U95" s="65"/>
      <c r="V95" s="44" t="str">
        <f t="shared" si="3"/>
        <v>OK</v>
      </c>
      <c r="W95" s="47" t="str">
        <f t="shared" si="5"/>
        <v/>
      </c>
      <c r="X95" s="3"/>
      <c r="Y95" s="3"/>
      <c r="Z95" s="3"/>
    </row>
    <row r="96" spans="1:26" ht="15" customHeight="1" outlineLevel="1" x14ac:dyDescent="0.3">
      <c r="A96" s="3"/>
      <c r="B96" s="10" t="s">
        <v>219</v>
      </c>
      <c r="C96" s="62">
        <v>1</v>
      </c>
      <c r="D96" s="62" t="s">
        <v>94</v>
      </c>
      <c r="E96" s="12">
        <v>132</v>
      </c>
      <c r="F96" s="12">
        <f t="shared" si="24"/>
        <v>132</v>
      </c>
      <c r="G96" s="234"/>
      <c r="H96" s="63" t="s">
        <v>37</v>
      </c>
      <c r="I96" s="63"/>
      <c r="J96" s="64"/>
      <c r="K96" s="12"/>
      <c r="L96" s="12">
        <v>87.43</v>
      </c>
      <c r="M96" s="12">
        <v>24.57</v>
      </c>
      <c r="N96" s="12">
        <v>13</v>
      </c>
      <c r="O96" s="12">
        <v>2</v>
      </c>
      <c r="P96" s="12"/>
      <c r="Q96" s="12"/>
      <c r="R96" s="12">
        <v>5</v>
      </c>
      <c r="S96" s="12"/>
      <c r="T96" s="12"/>
      <c r="U96" s="65"/>
      <c r="V96" s="44" t="str">
        <f t="shared" si="3"/>
        <v>OK</v>
      </c>
      <c r="W96" s="47" t="str">
        <f t="shared" si="5"/>
        <v/>
      </c>
      <c r="X96" s="3"/>
      <c r="Y96" s="3"/>
      <c r="Z96" s="3"/>
    </row>
    <row r="97" spans="1:26" ht="15" customHeight="1" outlineLevel="1" x14ac:dyDescent="0.3">
      <c r="A97" s="3"/>
      <c r="B97" s="61" t="s">
        <v>220</v>
      </c>
      <c r="C97" s="62"/>
      <c r="D97" s="62" t="s">
        <v>104</v>
      </c>
      <c r="E97" s="12">
        <v>150</v>
      </c>
      <c r="F97" s="12">
        <v>0</v>
      </c>
      <c r="G97" s="67"/>
      <c r="H97" s="63"/>
      <c r="I97" s="63"/>
      <c r="J97" s="64"/>
      <c r="K97" s="12"/>
      <c r="L97" s="12">
        <v>105.43</v>
      </c>
      <c r="M97" s="12">
        <v>24.57</v>
      </c>
      <c r="N97" s="12">
        <v>13</v>
      </c>
      <c r="O97" s="12">
        <v>2</v>
      </c>
      <c r="P97" s="12"/>
      <c r="Q97" s="12"/>
      <c r="R97" s="12">
        <v>5</v>
      </c>
      <c r="S97" s="12"/>
      <c r="T97" s="12"/>
      <c r="U97" s="65"/>
      <c r="V97" s="44" t="str">
        <f t="shared" si="3"/>
        <v>Diferente</v>
      </c>
      <c r="W97" s="47">
        <f t="shared" si="5"/>
        <v>-150</v>
      </c>
      <c r="X97" s="3"/>
      <c r="Y97" s="3"/>
      <c r="Z97" s="3"/>
    </row>
    <row r="98" spans="1:26" ht="15" customHeight="1" outlineLevel="1" x14ac:dyDescent="0.3">
      <c r="A98" s="3"/>
      <c r="B98" s="10" t="s">
        <v>221</v>
      </c>
      <c r="C98" s="62">
        <v>1</v>
      </c>
      <c r="D98" s="62" t="s">
        <v>94</v>
      </c>
      <c r="E98" s="12">
        <v>65</v>
      </c>
      <c r="F98" s="12">
        <f t="shared" ref="F98:F101" si="25">E98</f>
        <v>65</v>
      </c>
      <c r="G98" s="232" t="s">
        <v>222</v>
      </c>
      <c r="H98" s="63" t="s">
        <v>37</v>
      </c>
      <c r="I98" s="63"/>
      <c r="J98" s="64" t="s">
        <v>96</v>
      </c>
      <c r="K98" s="12"/>
      <c r="L98" s="12">
        <v>25.93</v>
      </c>
      <c r="M98" s="12">
        <v>24.57</v>
      </c>
      <c r="N98" s="12">
        <v>13</v>
      </c>
      <c r="O98" s="12">
        <v>1.5</v>
      </c>
      <c r="P98" s="12"/>
      <c r="Q98" s="12"/>
      <c r="R98" s="12"/>
      <c r="S98" s="12"/>
      <c r="T98" s="12"/>
      <c r="U98" s="65"/>
      <c r="V98" s="44" t="str">
        <f t="shared" si="3"/>
        <v>OK</v>
      </c>
      <c r="W98" s="47" t="str">
        <f t="shared" si="5"/>
        <v/>
      </c>
      <c r="X98" s="3"/>
      <c r="Y98" s="3"/>
      <c r="Z98" s="3"/>
    </row>
    <row r="99" spans="1:26" ht="15" customHeight="1" outlineLevel="1" x14ac:dyDescent="0.3">
      <c r="A99" s="3"/>
      <c r="B99" s="10" t="s">
        <v>223</v>
      </c>
      <c r="C99" s="62">
        <v>1</v>
      </c>
      <c r="D99" s="62" t="s">
        <v>94</v>
      </c>
      <c r="E99" s="12">
        <v>65</v>
      </c>
      <c r="F99" s="12">
        <f t="shared" si="25"/>
        <v>65</v>
      </c>
      <c r="G99" s="234"/>
      <c r="H99" s="63" t="s">
        <v>37</v>
      </c>
      <c r="I99" s="63"/>
      <c r="J99" s="64" t="s">
        <v>96</v>
      </c>
      <c r="K99" s="12"/>
      <c r="L99" s="12">
        <v>25.93</v>
      </c>
      <c r="M99" s="12">
        <v>24.57</v>
      </c>
      <c r="N99" s="12">
        <v>13</v>
      </c>
      <c r="O99" s="12">
        <v>1.5</v>
      </c>
      <c r="P99" s="12"/>
      <c r="Q99" s="12"/>
      <c r="R99" s="12"/>
      <c r="S99" s="12"/>
      <c r="T99" s="12"/>
      <c r="U99" s="65"/>
      <c r="V99" s="44" t="str">
        <f t="shared" si="3"/>
        <v>OK</v>
      </c>
      <c r="W99" s="47" t="str">
        <f t="shared" si="5"/>
        <v/>
      </c>
      <c r="X99" s="3"/>
      <c r="Y99" s="3"/>
      <c r="Z99" s="3"/>
    </row>
    <row r="100" spans="1:26" ht="15" customHeight="1" outlineLevel="1" x14ac:dyDescent="0.3">
      <c r="A100" s="3"/>
      <c r="B100" s="61" t="s">
        <v>224</v>
      </c>
      <c r="C100" s="62">
        <v>4</v>
      </c>
      <c r="D100" s="62" t="s">
        <v>94</v>
      </c>
      <c r="E100" s="12">
        <v>70</v>
      </c>
      <c r="F100" s="12">
        <f t="shared" si="25"/>
        <v>70</v>
      </c>
      <c r="G100" s="70"/>
      <c r="H100" s="63" t="s">
        <v>37</v>
      </c>
      <c r="I100" s="63"/>
      <c r="J100" s="64"/>
      <c r="K100" s="12"/>
      <c r="L100" s="12">
        <v>30.93</v>
      </c>
      <c r="M100" s="12">
        <v>24.57</v>
      </c>
      <c r="N100" s="12">
        <v>13</v>
      </c>
      <c r="O100" s="12">
        <v>1.5</v>
      </c>
      <c r="P100" s="12"/>
      <c r="Q100" s="12"/>
      <c r="R100" s="12"/>
      <c r="S100" s="12"/>
      <c r="T100" s="12"/>
      <c r="U100" s="65"/>
      <c r="V100" s="44" t="str">
        <f t="shared" si="3"/>
        <v>OK</v>
      </c>
      <c r="W100" s="47" t="str">
        <f t="shared" si="5"/>
        <v/>
      </c>
      <c r="X100" s="3"/>
      <c r="Y100" s="3"/>
      <c r="Z100" s="3"/>
    </row>
    <row r="101" spans="1:26" ht="15" customHeight="1" outlineLevel="1" x14ac:dyDescent="0.3">
      <c r="A101" s="3"/>
      <c r="B101" s="10" t="s">
        <v>225</v>
      </c>
      <c r="C101" s="62">
        <v>6</v>
      </c>
      <c r="D101" s="62" t="s">
        <v>94</v>
      </c>
      <c r="E101" s="12">
        <v>140</v>
      </c>
      <c r="F101" s="12">
        <f t="shared" si="25"/>
        <v>140</v>
      </c>
      <c r="G101" s="67"/>
      <c r="H101" s="63" t="s">
        <v>37</v>
      </c>
      <c r="I101" s="63"/>
      <c r="J101" s="64" t="s">
        <v>96</v>
      </c>
      <c r="K101" s="62"/>
      <c r="L101" s="12">
        <v>90.93</v>
      </c>
      <c r="M101" s="12">
        <v>24.57</v>
      </c>
      <c r="N101" s="12">
        <v>13</v>
      </c>
      <c r="O101" s="12">
        <v>1.5</v>
      </c>
      <c r="P101" s="12"/>
      <c r="Q101" s="12"/>
      <c r="R101" s="12">
        <v>10</v>
      </c>
      <c r="S101" s="12"/>
      <c r="T101" s="12"/>
      <c r="U101" s="65"/>
      <c r="V101" s="44" t="str">
        <f t="shared" si="3"/>
        <v>OK</v>
      </c>
      <c r="W101" s="47" t="str">
        <f t="shared" si="5"/>
        <v/>
      </c>
      <c r="X101" s="3"/>
      <c r="Y101" s="3"/>
      <c r="Z101" s="3"/>
    </row>
    <row r="102" spans="1:26" ht="15" customHeight="1" outlineLevel="1" x14ac:dyDescent="0.3">
      <c r="A102" s="3"/>
      <c r="B102" s="61" t="s">
        <v>226</v>
      </c>
      <c r="C102" s="62">
        <v>9</v>
      </c>
      <c r="D102" s="62" t="s">
        <v>94</v>
      </c>
      <c r="E102" s="12">
        <v>160</v>
      </c>
      <c r="F102" s="12">
        <v>160</v>
      </c>
      <c r="G102" s="67"/>
      <c r="H102" s="63" t="s">
        <v>37</v>
      </c>
      <c r="I102" s="63"/>
      <c r="J102" s="64" t="s">
        <v>96</v>
      </c>
      <c r="K102" s="62"/>
      <c r="L102" s="12">
        <v>102.43</v>
      </c>
      <c r="M102" s="12">
        <v>24.57</v>
      </c>
      <c r="N102" s="12">
        <v>13</v>
      </c>
      <c r="O102" s="12">
        <v>5</v>
      </c>
      <c r="P102" s="12">
        <v>5</v>
      </c>
      <c r="Q102" s="12"/>
      <c r="R102" s="12">
        <v>10</v>
      </c>
      <c r="S102" s="12"/>
      <c r="T102" s="12"/>
      <c r="U102" s="65"/>
      <c r="V102" s="44" t="str">
        <f t="shared" si="3"/>
        <v>OK</v>
      </c>
      <c r="W102" s="47" t="str">
        <f t="shared" si="5"/>
        <v/>
      </c>
      <c r="X102" s="3"/>
      <c r="Y102" s="3"/>
      <c r="Z102" s="3"/>
    </row>
    <row r="103" spans="1:26" ht="15" customHeight="1" outlineLevel="1" x14ac:dyDescent="0.3">
      <c r="A103" s="3"/>
      <c r="B103" s="10" t="s">
        <v>227</v>
      </c>
      <c r="C103" s="62">
        <v>15</v>
      </c>
      <c r="D103" s="62" t="s">
        <v>94</v>
      </c>
      <c r="E103" s="12">
        <v>165</v>
      </c>
      <c r="F103" s="12">
        <f t="shared" ref="F103:F105" si="26">E103</f>
        <v>165</v>
      </c>
      <c r="G103" s="67"/>
      <c r="H103" s="63" t="s">
        <v>37</v>
      </c>
      <c r="I103" s="63"/>
      <c r="J103" s="64" t="s">
        <v>96</v>
      </c>
      <c r="K103" s="62"/>
      <c r="L103" s="12">
        <v>99.43</v>
      </c>
      <c r="M103" s="12">
        <v>24.57</v>
      </c>
      <c r="N103" s="12">
        <v>13</v>
      </c>
      <c r="O103" s="12">
        <v>3</v>
      </c>
      <c r="P103" s="12">
        <v>15</v>
      </c>
      <c r="Q103" s="12"/>
      <c r="R103" s="12">
        <v>10</v>
      </c>
      <c r="S103" s="12"/>
      <c r="T103" s="12"/>
      <c r="U103" s="65"/>
      <c r="V103" s="44" t="str">
        <f t="shared" si="3"/>
        <v>OK</v>
      </c>
      <c r="W103" s="47" t="str">
        <f t="shared" si="5"/>
        <v/>
      </c>
      <c r="X103" s="3"/>
      <c r="Y103" s="3"/>
      <c r="Z103" s="3"/>
    </row>
    <row r="104" spans="1:26" ht="15" customHeight="1" outlineLevel="1" x14ac:dyDescent="0.3">
      <c r="A104" s="3"/>
      <c r="B104" s="72" t="s">
        <v>228</v>
      </c>
      <c r="C104" s="62">
        <v>29</v>
      </c>
      <c r="D104" s="62" t="s">
        <v>94</v>
      </c>
      <c r="E104" s="12">
        <v>100</v>
      </c>
      <c r="F104" s="12">
        <f t="shared" si="26"/>
        <v>100</v>
      </c>
      <c r="G104" s="67"/>
      <c r="H104" s="63" t="s">
        <v>37</v>
      </c>
      <c r="I104" s="63"/>
      <c r="J104" s="64" t="s">
        <v>96</v>
      </c>
      <c r="K104" s="62"/>
      <c r="L104" s="12">
        <v>100</v>
      </c>
      <c r="M104" s="12"/>
      <c r="N104" s="12"/>
      <c r="O104" s="12"/>
      <c r="P104" s="12"/>
      <c r="Q104" s="12"/>
      <c r="R104" s="12"/>
      <c r="S104" s="12"/>
      <c r="T104" s="12"/>
      <c r="U104" s="65"/>
      <c r="V104" s="44" t="str">
        <f t="shared" si="3"/>
        <v>OK</v>
      </c>
      <c r="W104" s="47" t="str">
        <f t="shared" si="5"/>
        <v/>
      </c>
      <c r="X104" s="3"/>
      <c r="Y104" s="3"/>
      <c r="Z104" s="3"/>
    </row>
    <row r="105" spans="1:26" ht="15" customHeight="1" outlineLevel="1" x14ac:dyDescent="0.3">
      <c r="A105" s="3"/>
      <c r="B105" s="72" t="s">
        <v>229</v>
      </c>
      <c r="C105" s="62">
        <v>29</v>
      </c>
      <c r="D105" s="62" t="s">
        <v>94</v>
      </c>
      <c r="E105" s="12">
        <v>100</v>
      </c>
      <c r="F105" s="12">
        <f t="shared" si="26"/>
        <v>100</v>
      </c>
      <c r="G105" s="67"/>
      <c r="H105" s="63" t="s">
        <v>37</v>
      </c>
      <c r="I105" s="63"/>
      <c r="J105" s="64" t="s">
        <v>96</v>
      </c>
      <c r="K105" s="62"/>
      <c r="L105" s="12">
        <v>100</v>
      </c>
      <c r="M105" s="12"/>
      <c r="N105" s="12"/>
      <c r="O105" s="12"/>
      <c r="P105" s="12"/>
      <c r="Q105" s="12"/>
      <c r="R105" s="12"/>
      <c r="S105" s="12"/>
      <c r="T105" s="12"/>
      <c r="U105" s="62"/>
      <c r="V105" s="44" t="str">
        <f t="shared" si="3"/>
        <v>OK</v>
      </c>
      <c r="W105" s="47" t="str">
        <f t="shared" si="5"/>
        <v/>
      </c>
      <c r="X105" s="3"/>
      <c r="Y105" s="3"/>
      <c r="Z105" s="3"/>
    </row>
    <row r="106" spans="1:26" ht="15" customHeight="1" outlineLevel="1" x14ac:dyDescent="0.3">
      <c r="A106" s="3"/>
      <c r="B106" s="10"/>
      <c r="C106" s="62"/>
      <c r="D106" s="62"/>
      <c r="E106" s="12">
        <f t="shared" ref="E106:E126" si="27">SUM(L106:T106)</f>
        <v>0</v>
      </c>
      <c r="F106" s="12">
        <f t="shared" ref="F106:F126" si="28">IF(D106="Pendente",0,SUM(L106:T106))</f>
        <v>0</v>
      </c>
      <c r="G106" s="67"/>
      <c r="H106" s="63"/>
      <c r="I106" s="63"/>
      <c r="J106" s="64" t="s">
        <v>96</v>
      </c>
      <c r="K106" s="62"/>
      <c r="L106" s="12"/>
      <c r="M106" s="12"/>
      <c r="N106" s="12"/>
      <c r="O106" s="12"/>
      <c r="P106" s="12"/>
      <c r="Q106" s="12"/>
      <c r="R106" s="12"/>
      <c r="S106" s="12"/>
      <c r="T106" s="12"/>
      <c r="U106" s="62"/>
      <c r="V106" s="44" t="str">
        <f t="shared" si="3"/>
        <v>OK</v>
      </c>
      <c r="W106" s="47" t="str">
        <f t="shared" si="5"/>
        <v/>
      </c>
      <c r="X106" s="3"/>
      <c r="Y106" s="3"/>
      <c r="Z106" s="3"/>
    </row>
    <row r="107" spans="1:26" ht="15" customHeight="1" outlineLevel="1" x14ac:dyDescent="0.3">
      <c r="A107" s="3"/>
      <c r="B107" s="10"/>
      <c r="C107" s="62"/>
      <c r="D107" s="62"/>
      <c r="E107" s="12">
        <f t="shared" si="27"/>
        <v>0</v>
      </c>
      <c r="F107" s="12">
        <f t="shared" si="28"/>
        <v>0</v>
      </c>
      <c r="G107" s="67"/>
      <c r="H107" s="63"/>
      <c r="I107" s="63"/>
      <c r="J107" s="64" t="s">
        <v>96</v>
      </c>
      <c r="K107" s="62"/>
      <c r="L107" s="12"/>
      <c r="M107" s="12"/>
      <c r="N107" s="12"/>
      <c r="O107" s="12"/>
      <c r="P107" s="12"/>
      <c r="Q107" s="12"/>
      <c r="R107" s="12"/>
      <c r="S107" s="12"/>
      <c r="T107" s="12"/>
      <c r="U107" s="62"/>
      <c r="V107" s="44" t="str">
        <f t="shared" si="3"/>
        <v>OK</v>
      </c>
      <c r="W107" s="47" t="str">
        <f t="shared" si="5"/>
        <v/>
      </c>
      <c r="X107" s="3"/>
      <c r="Y107" s="3"/>
      <c r="Z107" s="3"/>
    </row>
    <row r="108" spans="1:26" ht="15" customHeight="1" outlineLevel="1" x14ac:dyDescent="0.3">
      <c r="A108" s="3"/>
      <c r="B108" s="10"/>
      <c r="C108" s="62"/>
      <c r="D108" s="62"/>
      <c r="E108" s="12">
        <f t="shared" si="27"/>
        <v>0</v>
      </c>
      <c r="F108" s="12">
        <f t="shared" si="28"/>
        <v>0</v>
      </c>
      <c r="G108" s="67"/>
      <c r="H108" s="63"/>
      <c r="I108" s="63"/>
      <c r="J108" s="64" t="s">
        <v>96</v>
      </c>
      <c r="K108" s="62"/>
      <c r="L108" s="12"/>
      <c r="M108" s="12"/>
      <c r="N108" s="12"/>
      <c r="O108" s="12"/>
      <c r="P108" s="12"/>
      <c r="Q108" s="12"/>
      <c r="R108" s="12"/>
      <c r="S108" s="12"/>
      <c r="T108" s="12"/>
      <c r="U108" s="62"/>
      <c r="V108" s="44" t="str">
        <f t="shared" si="3"/>
        <v>OK</v>
      </c>
      <c r="W108" s="47" t="str">
        <f t="shared" si="5"/>
        <v/>
      </c>
      <c r="X108" s="3"/>
      <c r="Y108" s="3"/>
      <c r="Z108" s="3"/>
    </row>
    <row r="109" spans="1:26" ht="15" customHeight="1" outlineLevel="1" x14ac:dyDescent="0.3">
      <c r="A109" s="3"/>
      <c r="B109" s="10"/>
      <c r="C109" s="62"/>
      <c r="D109" s="62"/>
      <c r="E109" s="12">
        <f t="shared" si="27"/>
        <v>0</v>
      </c>
      <c r="F109" s="12">
        <f t="shared" si="28"/>
        <v>0</v>
      </c>
      <c r="G109" s="67"/>
      <c r="H109" s="63"/>
      <c r="I109" s="63"/>
      <c r="J109" s="64" t="s">
        <v>96</v>
      </c>
      <c r="K109" s="62"/>
      <c r="L109" s="12"/>
      <c r="M109" s="12"/>
      <c r="N109" s="12"/>
      <c r="O109" s="12"/>
      <c r="P109" s="12"/>
      <c r="Q109" s="12"/>
      <c r="R109" s="12"/>
      <c r="S109" s="12"/>
      <c r="T109" s="12"/>
      <c r="U109" s="62"/>
      <c r="V109" s="44" t="str">
        <f t="shared" si="3"/>
        <v>OK</v>
      </c>
      <c r="W109" s="47" t="str">
        <f t="shared" si="5"/>
        <v/>
      </c>
      <c r="X109" s="3"/>
      <c r="Y109" s="3"/>
      <c r="Z109" s="3"/>
    </row>
    <row r="110" spans="1:26" ht="15" customHeight="1" outlineLevel="1" x14ac:dyDescent="0.3">
      <c r="A110" s="3"/>
      <c r="B110" s="10"/>
      <c r="C110" s="62"/>
      <c r="D110" s="62"/>
      <c r="E110" s="12">
        <f t="shared" si="27"/>
        <v>0</v>
      </c>
      <c r="F110" s="12">
        <f t="shared" si="28"/>
        <v>0</v>
      </c>
      <c r="G110" s="67"/>
      <c r="H110" s="63"/>
      <c r="I110" s="63"/>
      <c r="J110" s="64" t="s">
        <v>96</v>
      </c>
      <c r="K110" s="62"/>
      <c r="L110" s="12"/>
      <c r="M110" s="12"/>
      <c r="N110" s="12"/>
      <c r="O110" s="12"/>
      <c r="P110" s="12"/>
      <c r="Q110" s="12"/>
      <c r="R110" s="12"/>
      <c r="S110" s="12"/>
      <c r="T110" s="12"/>
      <c r="U110" s="62"/>
      <c r="V110" s="44" t="str">
        <f t="shared" si="3"/>
        <v>OK</v>
      </c>
      <c r="W110" s="47" t="str">
        <f t="shared" si="5"/>
        <v/>
      </c>
      <c r="X110" s="3"/>
      <c r="Y110" s="3"/>
      <c r="Z110" s="3"/>
    </row>
    <row r="111" spans="1:26" ht="15" customHeight="1" outlineLevel="1" x14ac:dyDescent="0.3">
      <c r="A111" s="3"/>
      <c r="B111" s="10"/>
      <c r="C111" s="62"/>
      <c r="D111" s="62"/>
      <c r="E111" s="12">
        <f t="shared" si="27"/>
        <v>0</v>
      </c>
      <c r="F111" s="12">
        <f t="shared" si="28"/>
        <v>0</v>
      </c>
      <c r="G111" s="67"/>
      <c r="H111" s="63"/>
      <c r="I111" s="63"/>
      <c r="J111" s="64" t="s">
        <v>96</v>
      </c>
      <c r="K111" s="62"/>
      <c r="L111" s="12"/>
      <c r="M111" s="12"/>
      <c r="N111" s="12"/>
      <c r="O111" s="12"/>
      <c r="P111" s="12"/>
      <c r="Q111" s="12"/>
      <c r="R111" s="12"/>
      <c r="S111" s="12"/>
      <c r="T111" s="12"/>
      <c r="U111" s="62"/>
      <c r="V111" s="44" t="str">
        <f t="shared" si="3"/>
        <v>OK</v>
      </c>
      <c r="W111" s="47" t="str">
        <f t="shared" si="5"/>
        <v/>
      </c>
      <c r="X111" s="3"/>
      <c r="Y111" s="3"/>
      <c r="Z111" s="3"/>
    </row>
    <row r="112" spans="1:26" ht="15" customHeight="1" outlineLevel="1" x14ac:dyDescent="0.3">
      <c r="A112" s="3"/>
      <c r="B112" s="10"/>
      <c r="C112" s="62"/>
      <c r="D112" s="62"/>
      <c r="E112" s="12">
        <f t="shared" si="27"/>
        <v>0</v>
      </c>
      <c r="F112" s="12">
        <f t="shared" si="28"/>
        <v>0</v>
      </c>
      <c r="G112" s="67"/>
      <c r="H112" s="63"/>
      <c r="I112" s="63"/>
      <c r="J112" s="64" t="s">
        <v>96</v>
      </c>
      <c r="K112" s="62"/>
      <c r="L112" s="12"/>
      <c r="M112" s="12"/>
      <c r="N112" s="12"/>
      <c r="O112" s="12"/>
      <c r="P112" s="12"/>
      <c r="Q112" s="12"/>
      <c r="R112" s="12"/>
      <c r="S112" s="12"/>
      <c r="T112" s="12"/>
      <c r="U112" s="62"/>
      <c r="V112" s="44" t="str">
        <f t="shared" si="3"/>
        <v>OK</v>
      </c>
      <c r="W112" s="47" t="str">
        <f t="shared" si="5"/>
        <v/>
      </c>
      <c r="X112" s="3"/>
      <c r="Y112" s="3"/>
      <c r="Z112" s="3"/>
    </row>
    <row r="113" spans="1:26" ht="15" customHeight="1" outlineLevel="1" x14ac:dyDescent="0.3">
      <c r="A113" s="3"/>
      <c r="B113" s="10"/>
      <c r="C113" s="62"/>
      <c r="D113" s="62"/>
      <c r="E113" s="12">
        <f t="shared" si="27"/>
        <v>0</v>
      </c>
      <c r="F113" s="12">
        <f t="shared" si="28"/>
        <v>0</v>
      </c>
      <c r="G113" s="67"/>
      <c r="H113" s="63"/>
      <c r="I113" s="63"/>
      <c r="J113" s="64" t="s">
        <v>96</v>
      </c>
      <c r="K113" s="62"/>
      <c r="L113" s="12"/>
      <c r="M113" s="12"/>
      <c r="N113" s="12"/>
      <c r="O113" s="12"/>
      <c r="P113" s="12"/>
      <c r="Q113" s="12"/>
      <c r="R113" s="12"/>
      <c r="S113" s="12"/>
      <c r="T113" s="12"/>
      <c r="U113" s="62"/>
      <c r="V113" s="44" t="str">
        <f t="shared" si="3"/>
        <v>OK</v>
      </c>
      <c r="W113" s="47" t="str">
        <f t="shared" si="5"/>
        <v/>
      </c>
      <c r="X113" s="3"/>
      <c r="Y113" s="3"/>
      <c r="Z113" s="3"/>
    </row>
    <row r="114" spans="1:26" ht="15" customHeight="1" outlineLevel="1" x14ac:dyDescent="0.3">
      <c r="A114" s="3"/>
      <c r="B114" s="10"/>
      <c r="C114" s="62"/>
      <c r="D114" s="62"/>
      <c r="E114" s="12">
        <f t="shared" si="27"/>
        <v>0</v>
      </c>
      <c r="F114" s="12">
        <f t="shared" si="28"/>
        <v>0</v>
      </c>
      <c r="G114" s="67"/>
      <c r="H114" s="63"/>
      <c r="I114" s="63"/>
      <c r="J114" s="64" t="s">
        <v>96</v>
      </c>
      <c r="K114" s="62"/>
      <c r="L114" s="12"/>
      <c r="M114" s="12"/>
      <c r="N114" s="12"/>
      <c r="O114" s="12"/>
      <c r="P114" s="12"/>
      <c r="Q114" s="12"/>
      <c r="R114" s="12"/>
      <c r="S114" s="12"/>
      <c r="T114" s="12"/>
      <c r="U114" s="62"/>
      <c r="V114" s="44" t="str">
        <f t="shared" si="3"/>
        <v>OK</v>
      </c>
      <c r="W114" s="47" t="str">
        <f t="shared" si="5"/>
        <v/>
      </c>
      <c r="X114" s="3"/>
      <c r="Y114" s="3"/>
      <c r="Z114" s="3"/>
    </row>
    <row r="115" spans="1:26" ht="15" customHeight="1" outlineLevel="1" x14ac:dyDescent="0.3">
      <c r="A115" s="3"/>
      <c r="B115" s="10"/>
      <c r="C115" s="62"/>
      <c r="D115" s="62"/>
      <c r="E115" s="12">
        <f t="shared" si="27"/>
        <v>0</v>
      </c>
      <c r="F115" s="12">
        <f t="shared" si="28"/>
        <v>0</v>
      </c>
      <c r="G115" s="67"/>
      <c r="H115" s="63"/>
      <c r="I115" s="63"/>
      <c r="J115" s="64" t="s">
        <v>96</v>
      </c>
      <c r="K115" s="62"/>
      <c r="L115" s="12"/>
      <c r="M115" s="12"/>
      <c r="N115" s="12"/>
      <c r="O115" s="12"/>
      <c r="P115" s="12"/>
      <c r="Q115" s="12"/>
      <c r="R115" s="12"/>
      <c r="S115" s="12"/>
      <c r="T115" s="12"/>
      <c r="U115" s="62"/>
      <c r="V115" s="44" t="str">
        <f t="shared" si="3"/>
        <v>OK</v>
      </c>
      <c r="W115" s="47" t="str">
        <f t="shared" si="5"/>
        <v/>
      </c>
      <c r="X115" s="3"/>
      <c r="Y115" s="3"/>
      <c r="Z115" s="3"/>
    </row>
    <row r="116" spans="1:26" ht="15" customHeight="1" outlineLevel="1" x14ac:dyDescent="0.3">
      <c r="A116" s="3"/>
      <c r="B116" s="10"/>
      <c r="C116" s="62"/>
      <c r="D116" s="62"/>
      <c r="E116" s="12">
        <f t="shared" si="27"/>
        <v>0</v>
      </c>
      <c r="F116" s="12">
        <f t="shared" si="28"/>
        <v>0</v>
      </c>
      <c r="G116" s="67"/>
      <c r="H116" s="63"/>
      <c r="I116" s="63"/>
      <c r="J116" s="64" t="s">
        <v>96</v>
      </c>
      <c r="K116" s="62"/>
      <c r="L116" s="12"/>
      <c r="M116" s="12"/>
      <c r="N116" s="12"/>
      <c r="O116" s="12"/>
      <c r="P116" s="12"/>
      <c r="Q116" s="12"/>
      <c r="R116" s="12"/>
      <c r="S116" s="12"/>
      <c r="T116" s="12"/>
      <c r="U116" s="62"/>
      <c r="V116" s="44" t="str">
        <f t="shared" si="3"/>
        <v>OK</v>
      </c>
      <c r="W116" s="47" t="str">
        <f t="shared" si="5"/>
        <v/>
      </c>
      <c r="X116" s="3"/>
      <c r="Y116" s="3"/>
      <c r="Z116" s="3"/>
    </row>
    <row r="117" spans="1:26" ht="15" customHeight="1" outlineLevel="1" x14ac:dyDescent="0.3">
      <c r="A117" s="3"/>
      <c r="B117" s="10"/>
      <c r="C117" s="62"/>
      <c r="D117" s="62"/>
      <c r="E117" s="12">
        <f t="shared" si="27"/>
        <v>0</v>
      </c>
      <c r="F117" s="12">
        <f t="shared" si="28"/>
        <v>0</v>
      </c>
      <c r="G117" s="67"/>
      <c r="H117" s="63"/>
      <c r="I117" s="63"/>
      <c r="J117" s="64" t="s">
        <v>96</v>
      </c>
      <c r="K117" s="62"/>
      <c r="L117" s="12"/>
      <c r="M117" s="12"/>
      <c r="N117" s="12"/>
      <c r="O117" s="12"/>
      <c r="P117" s="12"/>
      <c r="Q117" s="12"/>
      <c r="R117" s="12"/>
      <c r="S117" s="12"/>
      <c r="T117" s="12"/>
      <c r="U117" s="62"/>
      <c r="V117" s="44" t="str">
        <f t="shared" si="3"/>
        <v>OK</v>
      </c>
      <c r="W117" s="47" t="str">
        <f t="shared" si="5"/>
        <v/>
      </c>
      <c r="X117" s="3"/>
      <c r="Y117" s="3"/>
      <c r="Z117" s="3"/>
    </row>
    <row r="118" spans="1:26" ht="15" customHeight="1" outlineLevel="1" x14ac:dyDescent="0.3">
      <c r="A118" s="3"/>
      <c r="B118" s="10"/>
      <c r="C118" s="62"/>
      <c r="D118" s="62"/>
      <c r="E118" s="12">
        <f t="shared" si="27"/>
        <v>0</v>
      </c>
      <c r="F118" s="12">
        <f t="shared" si="28"/>
        <v>0</v>
      </c>
      <c r="G118" s="67"/>
      <c r="H118" s="63"/>
      <c r="I118" s="63"/>
      <c r="J118" s="64" t="s">
        <v>96</v>
      </c>
      <c r="K118" s="62"/>
      <c r="L118" s="12"/>
      <c r="M118" s="12"/>
      <c r="N118" s="12"/>
      <c r="O118" s="12"/>
      <c r="P118" s="12"/>
      <c r="Q118" s="12"/>
      <c r="R118" s="12"/>
      <c r="S118" s="12"/>
      <c r="T118" s="12"/>
      <c r="U118" s="62"/>
      <c r="V118" s="44" t="str">
        <f t="shared" si="3"/>
        <v>OK</v>
      </c>
      <c r="W118" s="47" t="str">
        <f t="shared" si="5"/>
        <v/>
      </c>
      <c r="X118" s="3"/>
      <c r="Y118" s="3"/>
      <c r="Z118" s="3"/>
    </row>
    <row r="119" spans="1:26" ht="15" customHeight="1" outlineLevel="1" x14ac:dyDescent="0.3">
      <c r="A119" s="3"/>
      <c r="B119" s="10"/>
      <c r="C119" s="62"/>
      <c r="D119" s="62"/>
      <c r="E119" s="12">
        <f t="shared" si="27"/>
        <v>0</v>
      </c>
      <c r="F119" s="12">
        <f t="shared" si="28"/>
        <v>0</v>
      </c>
      <c r="G119" s="67"/>
      <c r="H119" s="63"/>
      <c r="I119" s="63"/>
      <c r="J119" s="64" t="s">
        <v>96</v>
      </c>
      <c r="K119" s="62"/>
      <c r="L119" s="12"/>
      <c r="M119" s="12"/>
      <c r="N119" s="12"/>
      <c r="O119" s="12"/>
      <c r="P119" s="12"/>
      <c r="Q119" s="12"/>
      <c r="R119" s="12"/>
      <c r="S119" s="12"/>
      <c r="T119" s="12"/>
      <c r="U119" s="62"/>
      <c r="V119" s="44" t="str">
        <f t="shared" si="3"/>
        <v>OK</v>
      </c>
      <c r="W119" s="47" t="str">
        <f t="shared" si="5"/>
        <v/>
      </c>
      <c r="X119" s="3"/>
      <c r="Y119" s="3"/>
      <c r="Z119" s="3"/>
    </row>
    <row r="120" spans="1:26" ht="15" customHeight="1" outlineLevel="1" x14ac:dyDescent="0.3">
      <c r="A120" s="3"/>
      <c r="B120" s="10"/>
      <c r="C120" s="62"/>
      <c r="D120" s="62"/>
      <c r="E120" s="12">
        <f t="shared" si="27"/>
        <v>0</v>
      </c>
      <c r="F120" s="12">
        <f t="shared" si="28"/>
        <v>0</v>
      </c>
      <c r="G120" s="67"/>
      <c r="H120" s="63"/>
      <c r="I120" s="63"/>
      <c r="J120" s="64"/>
      <c r="K120" s="62"/>
      <c r="L120" s="12"/>
      <c r="M120" s="12"/>
      <c r="N120" s="12"/>
      <c r="O120" s="12"/>
      <c r="P120" s="12"/>
      <c r="Q120" s="12"/>
      <c r="R120" s="12"/>
      <c r="S120" s="12"/>
      <c r="T120" s="12"/>
      <c r="U120" s="62"/>
      <c r="V120" s="44" t="str">
        <f t="shared" si="3"/>
        <v>OK</v>
      </c>
      <c r="W120" s="47" t="str">
        <f t="shared" si="5"/>
        <v/>
      </c>
      <c r="X120" s="3"/>
      <c r="Y120" s="3"/>
      <c r="Z120" s="3"/>
    </row>
    <row r="121" spans="1:26" ht="15" customHeight="1" outlineLevel="1" x14ac:dyDescent="0.3">
      <c r="A121" s="3"/>
      <c r="B121" s="10"/>
      <c r="C121" s="62"/>
      <c r="D121" s="62"/>
      <c r="E121" s="12">
        <f t="shared" si="27"/>
        <v>0</v>
      </c>
      <c r="F121" s="12">
        <f t="shared" si="28"/>
        <v>0</v>
      </c>
      <c r="G121" s="67"/>
      <c r="H121" s="63"/>
      <c r="I121" s="63"/>
      <c r="J121" s="64"/>
      <c r="K121" s="62"/>
      <c r="L121" s="12"/>
      <c r="M121" s="12"/>
      <c r="N121" s="12"/>
      <c r="O121" s="12"/>
      <c r="P121" s="12"/>
      <c r="Q121" s="12"/>
      <c r="R121" s="12"/>
      <c r="S121" s="12"/>
      <c r="T121" s="12"/>
      <c r="U121" s="62"/>
      <c r="V121" s="44" t="str">
        <f t="shared" si="3"/>
        <v>OK</v>
      </c>
      <c r="W121" s="47" t="str">
        <f t="shared" si="5"/>
        <v/>
      </c>
      <c r="X121" s="3"/>
      <c r="Y121" s="3"/>
      <c r="Z121" s="3"/>
    </row>
    <row r="122" spans="1:26" ht="15" customHeight="1" outlineLevel="1" x14ac:dyDescent="0.3">
      <c r="A122" s="3"/>
      <c r="B122" s="10"/>
      <c r="C122" s="62"/>
      <c r="D122" s="62"/>
      <c r="E122" s="12">
        <f t="shared" si="27"/>
        <v>0</v>
      </c>
      <c r="F122" s="12">
        <f t="shared" si="28"/>
        <v>0</v>
      </c>
      <c r="G122" s="67"/>
      <c r="H122" s="63"/>
      <c r="I122" s="63"/>
      <c r="J122" s="64"/>
      <c r="K122" s="62"/>
      <c r="L122" s="12"/>
      <c r="M122" s="12"/>
      <c r="N122" s="12"/>
      <c r="O122" s="12"/>
      <c r="P122" s="12"/>
      <c r="Q122" s="12"/>
      <c r="R122" s="12"/>
      <c r="S122" s="12"/>
      <c r="T122" s="12"/>
      <c r="U122" s="62"/>
      <c r="V122" s="44" t="str">
        <f t="shared" si="3"/>
        <v>OK</v>
      </c>
      <c r="W122" s="47" t="str">
        <f t="shared" si="5"/>
        <v/>
      </c>
      <c r="X122" s="3"/>
      <c r="Y122" s="3"/>
      <c r="Z122" s="3"/>
    </row>
    <row r="123" spans="1:26" ht="15" customHeight="1" outlineLevel="1" x14ac:dyDescent="0.3">
      <c r="A123" s="3"/>
      <c r="B123" s="10"/>
      <c r="C123" s="62"/>
      <c r="D123" s="62"/>
      <c r="E123" s="12">
        <f t="shared" si="27"/>
        <v>0</v>
      </c>
      <c r="F123" s="12">
        <f t="shared" si="28"/>
        <v>0</v>
      </c>
      <c r="G123" s="67"/>
      <c r="H123" s="63"/>
      <c r="I123" s="63"/>
      <c r="J123" s="64"/>
      <c r="K123" s="62"/>
      <c r="L123" s="12"/>
      <c r="M123" s="12"/>
      <c r="N123" s="12"/>
      <c r="O123" s="12"/>
      <c r="P123" s="12"/>
      <c r="Q123" s="12"/>
      <c r="R123" s="12"/>
      <c r="S123" s="12"/>
      <c r="T123" s="12"/>
      <c r="U123" s="62"/>
      <c r="V123" s="44" t="str">
        <f t="shared" si="3"/>
        <v>OK</v>
      </c>
      <c r="W123" s="47" t="str">
        <f t="shared" si="5"/>
        <v/>
      </c>
      <c r="X123" s="3"/>
      <c r="Y123" s="3"/>
      <c r="Z123" s="3"/>
    </row>
    <row r="124" spans="1:26" ht="15" customHeight="1" outlineLevel="1" x14ac:dyDescent="0.3">
      <c r="A124" s="3"/>
      <c r="B124" s="10"/>
      <c r="C124" s="62"/>
      <c r="D124" s="62"/>
      <c r="E124" s="12">
        <f t="shared" si="27"/>
        <v>0</v>
      </c>
      <c r="F124" s="12">
        <f t="shared" si="28"/>
        <v>0</v>
      </c>
      <c r="G124" s="67"/>
      <c r="H124" s="63"/>
      <c r="I124" s="63"/>
      <c r="J124" s="64"/>
      <c r="K124" s="62"/>
      <c r="L124" s="12"/>
      <c r="M124" s="12"/>
      <c r="N124" s="12"/>
      <c r="O124" s="12"/>
      <c r="P124" s="12"/>
      <c r="Q124" s="12"/>
      <c r="R124" s="12"/>
      <c r="S124" s="12"/>
      <c r="T124" s="12"/>
      <c r="U124" s="62"/>
      <c r="V124" s="44" t="str">
        <f t="shared" si="3"/>
        <v>OK</v>
      </c>
      <c r="W124" s="47" t="str">
        <f t="shared" si="5"/>
        <v/>
      </c>
      <c r="X124" s="3"/>
      <c r="Y124" s="3"/>
      <c r="Z124" s="3"/>
    </row>
    <row r="125" spans="1:26" ht="15" customHeight="1" outlineLevel="1" x14ac:dyDescent="0.3">
      <c r="A125" s="3"/>
      <c r="B125" s="10"/>
      <c r="C125" s="62"/>
      <c r="D125" s="62"/>
      <c r="E125" s="12">
        <f t="shared" si="27"/>
        <v>0</v>
      </c>
      <c r="F125" s="12">
        <f t="shared" si="28"/>
        <v>0</v>
      </c>
      <c r="G125" s="67"/>
      <c r="H125" s="63"/>
      <c r="I125" s="63"/>
      <c r="J125" s="64"/>
      <c r="K125" s="62"/>
      <c r="L125" s="12"/>
      <c r="M125" s="12"/>
      <c r="N125" s="12"/>
      <c r="O125" s="12"/>
      <c r="P125" s="12"/>
      <c r="Q125" s="12"/>
      <c r="R125" s="12"/>
      <c r="S125" s="12"/>
      <c r="T125" s="12"/>
      <c r="U125" s="62"/>
      <c r="V125" s="44" t="str">
        <f t="shared" si="3"/>
        <v>OK</v>
      </c>
      <c r="W125" s="47" t="str">
        <f t="shared" si="5"/>
        <v/>
      </c>
      <c r="X125" s="3"/>
      <c r="Y125" s="3"/>
      <c r="Z125" s="3"/>
    </row>
    <row r="126" spans="1:26" ht="15" customHeight="1" outlineLevel="1" x14ac:dyDescent="0.3">
      <c r="A126" s="3"/>
      <c r="B126" s="10"/>
      <c r="C126" s="62"/>
      <c r="D126" s="62"/>
      <c r="E126" s="12">
        <f t="shared" si="27"/>
        <v>0</v>
      </c>
      <c r="F126" s="12">
        <f t="shared" si="28"/>
        <v>0</v>
      </c>
      <c r="G126" s="67"/>
      <c r="H126" s="63"/>
      <c r="I126" s="63"/>
      <c r="J126" s="64"/>
      <c r="K126" s="62"/>
      <c r="L126" s="12"/>
      <c r="M126" s="12"/>
      <c r="N126" s="12"/>
      <c r="O126" s="12"/>
      <c r="P126" s="12"/>
      <c r="Q126" s="12"/>
      <c r="R126" s="12"/>
      <c r="S126" s="12"/>
      <c r="T126" s="12"/>
      <c r="U126" s="62"/>
      <c r="V126" s="44" t="str">
        <f t="shared" si="3"/>
        <v>OK</v>
      </c>
      <c r="W126" s="47" t="str">
        <f t="shared" si="5"/>
        <v/>
      </c>
      <c r="X126" s="3"/>
      <c r="Y126" s="3"/>
      <c r="Z126" s="3"/>
    </row>
    <row r="127" spans="1:26" ht="15.75" customHeight="1" x14ac:dyDescent="0.3">
      <c r="A127" s="3"/>
      <c r="B127" s="73" t="s">
        <v>62</v>
      </c>
      <c r="C127" s="56" t="s">
        <v>43</v>
      </c>
      <c r="D127" s="56" t="s">
        <v>43</v>
      </c>
      <c r="E127" s="57">
        <f t="shared" ref="E127:F127" si="29">SUM(E128,E131,,E135,E139,E143)</f>
        <v>0</v>
      </c>
      <c r="F127" s="57">
        <f t="shared" si="29"/>
        <v>617.21</v>
      </c>
      <c r="G127" s="58" t="s">
        <v>43</v>
      </c>
      <c r="H127" s="74"/>
      <c r="I127" s="74"/>
      <c r="J127" s="3"/>
      <c r="K127" s="3"/>
      <c r="L127" s="3"/>
      <c r="M127" s="3"/>
      <c r="N127" s="3"/>
      <c r="O127" s="3"/>
      <c r="P127" s="3"/>
      <c r="Q127" s="3"/>
      <c r="R127" s="3"/>
      <c r="S127" s="3"/>
      <c r="T127" s="3"/>
      <c r="U127" s="3"/>
      <c r="V127" s="44"/>
      <c r="W127" s="41"/>
      <c r="X127" s="3"/>
      <c r="Y127" s="3"/>
      <c r="Z127" s="3"/>
    </row>
    <row r="128" spans="1:26" ht="15.75" hidden="1" customHeight="1" outlineLevel="1" x14ac:dyDescent="0.3">
      <c r="A128" s="3"/>
      <c r="B128" s="75" t="s">
        <v>230</v>
      </c>
      <c r="C128" s="76" t="s">
        <v>43</v>
      </c>
      <c r="D128" s="76" t="s">
        <v>43</v>
      </c>
      <c r="E128" s="77">
        <f t="shared" ref="E128:F128" si="30">SUM(E129:E130)</f>
        <v>0</v>
      </c>
      <c r="F128" s="77">
        <f t="shared" si="30"/>
        <v>416.21</v>
      </c>
      <c r="G128" s="78" t="s">
        <v>43</v>
      </c>
      <c r="H128" s="79"/>
      <c r="I128" s="79"/>
      <c r="J128" s="3"/>
      <c r="K128" s="3"/>
      <c r="L128" s="3"/>
      <c r="M128" s="3"/>
      <c r="N128" s="3"/>
      <c r="O128" s="3"/>
      <c r="P128" s="3"/>
      <c r="Q128" s="3"/>
      <c r="R128" s="3"/>
      <c r="S128" s="3"/>
      <c r="T128" s="3"/>
      <c r="U128" s="3"/>
      <c r="V128" s="44"/>
      <c r="W128" s="41"/>
      <c r="X128" s="3"/>
      <c r="Y128" s="3"/>
      <c r="Z128" s="3"/>
    </row>
    <row r="129" spans="1:26" ht="15" hidden="1" customHeight="1" outlineLevel="1" x14ac:dyDescent="0.3">
      <c r="A129" s="3"/>
      <c r="B129" s="10" t="s">
        <v>231</v>
      </c>
      <c r="C129" s="62">
        <v>5</v>
      </c>
      <c r="D129" s="62" t="s">
        <v>94</v>
      </c>
      <c r="E129" s="12">
        <v>0</v>
      </c>
      <c r="F129" s="12">
        <v>416.21</v>
      </c>
      <c r="G129" s="67"/>
      <c r="H129" s="63" t="s">
        <v>37</v>
      </c>
      <c r="I129" s="63"/>
      <c r="J129" s="3"/>
      <c r="K129" s="3"/>
      <c r="L129" s="3"/>
      <c r="M129" s="3"/>
      <c r="N129" s="3"/>
      <c r="O129" s="3"/>
      <c r="P129" s="3"/>
      <c r="Q129" s="3"/>
      <c r="R129" s="3"/>
      <c r="S129" s="3"/>
      <c r="T129" s="3"/>
      <c r="U129" s="3"/>
      <c r="V129" s="44"/>
      <c r="W129" s="41"/>
      <c r="X129" s="3"/>
      <c r="Y129" s="3"/>
      <c r="Z129" s="3"/>
    </row>
    <row r="130" spans="1:26" ht="15" hidden="1" customHeight="1" outlineLevel="1" x14ac:dyDescent="0.3">
      <c r="A130" s="3"/>
      <c r="B130" s="10" t="s">
        <v>61</v>
      </c>
      <c r="C130" s="62"/>
      <c r="D130" s="62"/>
      <c r="E130" s="12">
        <v>0</v>
      </c>
      <c r="F130" s="12">
        <v>0</v>
      </c>
      <c r="G130" s="67"/>
      <c r="H130" s="63"/>
      <c r="I130" s="63"/>
      <c r="J130" s="3"/>
      <c r="K130" s="3"/>
      <c r="L130" s="3"/>
      <c r="M130" s="3"/>
      <c r="N130" s="3"/>
      <c r="O130" s="3"/>
      <c r="P130" s="3"/>
      <c r="Q130" s="3"/>
      <c r="R130" s="3"/>
      <c r="S130" s="3"/>
      <c r="T130" s="3"/>
      <c r="U130" s="3"/>
      <c r="V130" s="44"/>
      <c r="W130" s="41"/>
      <c r="X130" s="3"/>
      <c r="Y130" s="3"/>
      <c r="Z130" s="3"/>
    </row>
    <row r="131" spans="1:26" ht="15.75" hidden="1" customHeight="1" outlineLevel="1" x14ac:dyDescent="0.3">
      <c r="A131" s="3"/>
      <c r="B131" s="75" t="s">
        <v>232</v>
      </c>
      <c r="C131" s="76" t="s">
        <v>43</v>
      </c>
      <c r="D131" s="76" t="s">
        <v>43</v>
      </c>
      <c r="E131" s="77">
        <f t="shared" ref="E131:F131" si="31">SUM(E132:E134)</f>
        <v>0</v>
      </c>
      <c r="F131" s="77">
        <f t="shared" si="31"/>
        <v>105</v>
      </c>
      <c r="G131" s="78" t="s">
        <v>43</v>
      </c>
      <c r="H131" s="79"/>
      <c r="I131" s="79"/>
      <c r="J131" s="3"/>
      <c r="K131" s="3"/>
      <c r="L131" s="3"/>
      <c r="M131" s="3"/>
      <c r="N131" s="3"/>
      <c r="O131" s="3"/>
      <c r="P131" s="3"/>
      <c r="Q131" s="3"/>
      <c r="R131" s="3"/>
      <c r="S131" s="3"/>
      <c r="T131" s="3"/>
      <c r="U131" s="3"/>
      <c r="V131" s="44"/>
      <c r="W131" s="41"/>
      <c r="X131" s="3"/>
      <c r="Y131" s="3"/>
      <c r="Z131" s="3"/>
    </row>
    <row r="132" spans="1:26" ht="15.75" hidden="1" customHeight="1" outlineLevel="1" x14ac:dyDescent="0.3">
      <c r="A132" s="3"/>
      <c r="B132" s="10" t="s">
        <v>231</v>
      </c>
      <c r="C132" s="80" t="s">
        <v>233</v>
      </c>
      <c r="D132" s="62" t="s">
        <v>94</v>
      </c>
      <c r="E132" s="12">
        <v>0</v>
      </c>
      <c r="F132" s="12">
        <f>89+4+4+4+4</f>
        <v>105</v>
      </c>
      <c r="G132" s="67"/>
      <c r="H132" s="63" t="s">
        <v>234</v>
      </c>
      <c r="I132" s="63"/>
      <c r="J132" s="3"/>
      <c r="K132" s="3"/>
      <c r="L132" s="3"/>
      <c r="M132" s="3"/>
      <c r="N132" s="3"/>
      <c r="O132" s="3"/>
      <c r="P132" s="3"/>
      <c r="Q132" s="3"/>
      <c r="R132" s="3"/>
      <c r="S132" s="3"/>
      <c r="T132" s="3"/>
      <c r="U132" s="3"/>
      <c r="V132" s="44"/>
      <c r="W132" s="41"/>
      <c r="X132" s="3"/>
      <c r="Y132" s="3"/>
      <c r="Z132" s="3"/>
    </row>
    <row r="133" spans="1:26" ht="15" hidden="1" customHeight="1" outlineLevel="1" x14ac:dyDescent="0.3">
      <c r="A133" s="3"/>
      <c r="B133" s="10" t="s">
        <v>63</v>
      </c>
      <c r="C133" s="62"/>
      <c r="D133" s="62"/>
      <c r="E133" s="12">
        <v>0</v>
      </c>
      <c r="F133" s="12">
        <v>0</v>
      </c>
      <c r="G133" s="67"/>
      <c r="H133" s="63"/>
      <c r="I133" s="63"/>
      <c r="J133" s="3"/>
      <c r="K133" s="3"/>
      <c r="L133" s="3"/>
      <c r="M133" s="3"/>
      <c r="N133" s="3"/>
      <c r="O133" s="3"/>
      <c r="P133" s="3"/>
      <c r="Q133" s="3"/>
      <c r="R133" s="3"/>
      <c r="S133" s="3"/>
      <c r="T133" s="3"/>
      <c r="U133" s="3"/>
      <c r="V133" s="44"/>
      <c r="W133" s="41"/>
      <c r="X133" s="3"/>
      <c r="Y133" s="3"/>
      <c r="Z133" s="3"/>
    </row>
    <row r="134" spans="1:26" ht="15" hidden="1" customHeight="1" outlineLevel="1" x14ac:dyDescent="0.3">
      <c r="A134" s="3"/>
      <c r="B134" s="10" t="s">
        <v>61</v>
      </c>
      <c r="C134" s="62"/>
      <c r="D134" s="62"/>
      <c r="E134" s="12">
        <v>0</v>
      </c>
      <c r="F134" s="12">
        <v>0</v>
      </c>
      <c r="G134" s="67"/>
      <c r="H134" s="63"/>
      <c r="I134" s="63"/>
      <c r="J134" s="3"/>
      <c r="K134" s="3"/>
      <c r="L134" s="3"/>
      <c r="M134" s="3"/>
      <c r="N134" s="3"/>
      <c r="O134" s="3"/>
      <c r="P134" s="3"/>
      <c r="Q134" s="3"/>
      <c r="R134" s="3"/>
      <c r="S134" s="3"/>
      <c r="T134" s="3"/>
      <c r="U134" s="3"/>
      <c r="V134" s="44"/>
      <c r="W134" s="41"/>
      <c r="X134" s="3"/>
      <c r="Y134" s="3"/>
      <c r="Z134" s="3"/>
    </row>
    <row r="135" spans="1:26" ht="15.75" hidden="1" customHeight="1" outlineLevel="1" x14ac:dyDescent="0.3">
      <c r="A135" s="3"/>
      <c r="B135" s="75" t="s">
        <v>235</v>
      </c>
      <c r="C135" s="76" t="s">
        <v>43</v>
      </c>
      <c r="D135" s="76" t="s">
        <v>43</v>
      </c>
      <c r="E135" s="77">
        <f t="shared" ref="E135:F135" si="32">SUM(E136:E138)</f>
        <v>0</v>
      </c>
      <c r="F135" s="77">
        <f t="shared" si="32"/>
        <v>96</v>
      </c>
      <c r="G135" s="78" t="s">
        <v>43</v>
      </c>
      <c r="H135" s="79"/>
      <c r="I135" s="79"/>
      <c r="J135" s="3"/>
      <c r="K135" s="3"/>
      <c r="L135" s="3"/>
      <c r="M135" s="3"/>
      <c r="N135" s="3"/>
      <c r="O135" s="3"/>
      <c r="P135" s="3"/>
      <c r="Q135" s="3"/>
      <c r="R135" s="3"/>
      <c r="S135" s="3"/>
      <c r="T135" s="3"/>
      <c r="U135" s="3"/>
      <c r="V135" s="44"/>
      <c r="W135" s="41"/>
      <c r="X135" s="3"/>
      <c r="Y135" s="3"/>
      <c r="Z135" s="3"/>
    </row>
    <row r="136" spans="1:26" ht="15" hidden="1" customHeight="1" outlineLevel="1" x14ac:dyDescent="0.3">
      <c r="A136" s="3"/>
      <c r="B136" s="10" t="s">
        <v>231</v>
      </c>
      <c r="C136" s="62">
        <v>5</v>
      </c>
      <c r="D136" s="62" t="s">
        <v>94</v>
      </c>
      <c r="E136" s="12">
        <v>0</v>
      </c>
      <c r="F136" s="12">
        <v>96</v>
      </c>
      <c r="G136" s="70" t="s">
        <v>236</v>
      </c>
      <c r="H136" s="63" t="s">
        <v>37</v>
      </c>
      <c r="I136" s="63"/>
      <c r="J136" s="3"/>
      <c r="K136" s="3"/>
      <c r="L136" s="3"/>
      <c r="M136" s="3"/>
      <c r="N136" s="3"/>
      <c r="O136" s="3"/>
      <c r="P136" s="3"/>
      <c r="Q136" s="3"/>
      <c r="R136" s="3"/>
      <c r="S136" s="3"/>
      <c r="T136" s="3"/>
      <c r="U136" s="3"/>
      <c r="V136" s="44"/>
      <c r="W136" s="41"/>
      <c r="X136" s="3"/>
      <c r="Y136" s="3"/>
      <c r="Z136" s="3"/>
    </row>
    <row r="137" spans="1:26" ht="15" hidden="1" customHeight="1" outlineLevel="1" x14ac:dyDescent="0.3">
      <c r="A137" s="3"/>
      <c r="B137" s="10" t="s">
        <v>63</v>
      </c>
      <c r="C137" s="62"/>
      <c r="D137" s="62"/>
      <c r="E137" s="12">
        <v>0</v>
      </c>
      <c r="F137" s="12">
        <v>0</v>
      </c>
      <c r="G137" s="67"/>
      <c r="H137" s="63"/>
      <c r="I137" s="63"/>
      <c r="J137" s="3"/>
      <c r="K137" s="3"/>
      <c r="L137" s="3"/>
      <c r="M137" s="3"/>
      <c r="N137" s="3"/>
      <c r="O137" s="3"/>
      <c r="P137" s="3"/>
      <c r="Q137" s="3"/>
      <c r="R137" s="3"/>
      <c r="S137" s="3"/>
      <c r="T137" s="3"/>
      <c r="U137" s="3"/>
      <c r="V137" s="44"/>
      <c r="W137" s="41"/>
      <c r="X137" s="3"/>
      <c r="Y137" s="3"/>
      <c r="Z137" s="3"/>
    </row>
    <row r="138" spans="1:26" ht="15" hidden="1" customHeight="1" outlineLevel="1" x14ac:dyDescent="0.3">
      <c r="A138" s="3"/>
      <c r="B138" s="10" t="s">
        <v>61</v>
      </c>
      <c r="C138" s="62"/>
      <c r="D138" s="62"/>
      <c r="E138" s="12">
        <v>0</v>
      </c>
      <c r="F138" s="12">
        <v>0</v>
      </c>
      <c r="G138" s="67"/>
      <c r="H138" s="63"/>
      <c r="I138" s="63"/>
      <c r="J138" s="3"/>
      <c r="K138" s="3"/>
      <c r="L138" s="3"/>
      <c r="M138" s="3"/>
      <c r="N138" s="3"/>
      <c r="O138" s="3"/>
      <c r="P138" s="3"/>
      <c r="Q138" s="3"/>
      <c r="R138" s="3"/>
      <c r="S138" s="3"/>
      <c r="T138" s="3"/>
      <c r="U138" s="3"/>
      <c r="V138" s="44"/>
      <c r="W138" s="41"/>
      <c r="X138" s="3"/>
      <c r="Y138" s="3"/>
      <c r="Z138" s="3"/>
    </row>
    <row r="139" spans="1:26" ht="15.75" hidden="1" customHeight="1" outlineLevel="1" x14ac:dyDescent="0.3">
      <c r="A139" s="3"/>
      <c r="B139" s="75" t="s">
        <v>237</v>
      </c>
      <c r="C139" s="76" t="s">
        <v>43</v>
      </c>
      <c r="D139" s="76" t="s">
        <v>43</v>
      </c>
      <c r="E139" s="77">
        <f t="shared" ref="E139:F139" si="33">SUM(E140:E142)</f>
        <v>0</v>
      </c>
      <c r="F139" s="77">
        <f t="shared" si="33"/>
        <v>0</v>
      </c>
      <c r="G139" s="78" t="s">
        <v>43</v>
      </c>
      <c r="H139" s="79"/>
      <c r="I139" s="79"/>
      <c r="J139" s="3"/>
      <c r="K139" s="3"/>
      <c r="L139" s="3"/>
      <c r="M139" s="3"/>
      <c r="N139" s="3"/>
      <c r="O139" s="3"/>
      <c r="P139" s="3"/>
      <c r="Q139" s="3"/>
      <c r="R139" s="3"/>
      <c r="S139" s="3"/>
      <c r="T139" s="3"/>
      <c r="U139" s="3"/>
      <c r="V139" s="44"/>
      <c r="W139" s="41"/>
      <c r="X139" s="3"/>
      <c r="Y139" s="3"/>
      <c r="Z139" s="3"/>
    </row>
    <row r="140" spans="1:26" ht="15" hidden="1" customHeight="1" outlineLevel="1" x14ac:dyDescent="0.3">
      <c r="A140" s="3"/>
      <c r="B140" s="10" t="s">
        <v>231</v>
      </c>
      <c r="C140" s="62"/>
      <c r="D140" s="62"/>
      <c r="E140" s="12">
        <v>0</v>
      </c>
      <c r="F140" s="12">
        <v>0</v>
      </c>
      <c r="G140" s="67"/>
      <c r="H140" s="63"/>
      <c r="I140" s="63"/>
      <c r="J140" s="3"/>
      <c r="K140" s="3"/>
      <c r="L140" s="3"/>
      <c r="M140" s="3"/>
      <c r="N140" s="3"/>
      <c r="O140" s="3"/>
      <c r="P140" s="3"/>
      <c r="Q140" s="3"/>
      <c r="R140" s="3"/>
      <c r="S140" s="3"/>
      <c r="T140" s="3"/>
      <c r="U140" s="3"/>
      <c r="V140" s="44"/>
      <c r="W140" s="41"/>
      <c r="X140" s="3"/>
      <c r="Y140" s="3"/>
      <c r="Z140" s="3"/>
    </row>
    <row r="141" spans="1:26" ht="15" hidden="1" customHeight="1" outlineLevel="1" x14ac:dyDescent="0.3">
      <c r="A141" s="3"/>
      <c r="B141" s="10" t="s">
        <v>63</v>
      </c>
      <c r="C141" s="62"/>
      <c r="D141" s="62"/>
      <c r="E141" s="12">
        <v>0</v>
      </c>
      <c r="F141" s="12">
        <v>0</v>
      </c>
      <c r="G141" s="67"/>
      <c r="H141" s="63"/>
      <c r="I141" s="63"/>
      <c r="J141" s="3"/>
      <c r="K141" s="3"/>
      <c r="L141" s="3"/>
      <c r="M141" s="3"/>
      <c r="N141" s="3"/>
      <c r="O141" s="3"/>
      <c r="P141" s="3"/>
      <c r="Q141" s="3"/>
      <c r="R141" s="3"/>
      <c r="S141" s="3"/>
      <c r="T141" s="3"/>
      <c r="U141" s="3"/>
      <c r="V141" s="44"/>
      <c r="W141" s="41"/>
      <c r="X141" s="3"/>
      <c r="Y141" s="3"/>
      <c r="Z141" s="3"/>
    </row>
    <row r="142" spans="1:26" ht="15" hidden="1" customHeight="1" outlineLevel="1" x14ac:dyDescent="0.3">
      <c r="A142" s="3"/>
      <c r="B142" s="10" t="s">
        <v>61</v>
      </c>
      <c r="C142" s="62"/>
      <c r="D142" s="62"/>
      <c r="E142" s="12">
        <v>0</v>
      </c>
      <c r="F142" s="12">
        <v>0</v>
      </c>
      <c r="G142" s="67"/>
      <c r="H142" s="63"/>
      <c r="I142" s="63"/>
      <c r="J142" s="3"/>
      <c r="K142" s="3"/>
      <c r="L142" s="3"/>
      <c r="M142" s="3"/>
      <c r="N142" s="3"/>
      <c r="O142" s="3"/>
      <c r="P142" s="3"/>
      <c r="Q142" s="3"/>
      <c r="R142" s="3"/>
      <c r="S142" s="3"/>
      <c r="T142" s="3"/>
      <c r="U142" s="3"/>
      <c r="V142" s="44"/>
      <c r="W142" s="41"/>
      <c r="X142" s="3"/>
      <c r="Y142" s="3"/>
      <c r="Z142" s="3"/>
    </row>
    <row r="143" spans="1:26" ht="15.75" hidden="1" customHeight="1" outlineLevel="1" x14ac:dyDescent="0.3">
      <c r="A143" s="3"/>
      <c r="B143" s="75" t="s">
        <v>238</v>
      </c>
      <c r="C143" s="76" t="s">
        <v>43</v>
      </c>
      <c r="D143" s="76" t="s">
        <v>43</v>
      </c>
      <c r="E143" s="77">
        <f t="shared" ref="E143:F143" si="34">SUM(E144:E146)</f>
        <v>0</v>
      </c>
      <c r="F143" s="77">
        <f t="shared" si="34"/>
        <v>0</v>
      </c>
      <c r="G143" s="78" t="s">
        <v>43</v>
      </c>
      <c r="H143" s="79"/>
      <c r="I143" s="79"/>
      <c r="J143" s="3"/>
      <c r="K143" s="3"/>
      <c r="L143" s="3"/>
      <c r="M143" s="3"/>
      <c r="N143" s="3"/>
      <c r="O143" s="3"/>
      <c r="P143" s="3"/>
      <c r="Q143" s="3"/>
      <c r="R143" s="3"/>
      <c r="S143" s="3"/>
      <c r="T143" s="3"/>
      <c r="U143" s="3"/>
      <c r="V143" s="44"/>
      <c r="W143" s="41"/>
      <c r="X143" s="3"/>
      <c r="Y143" s="3"/>
      <c r="Z143" s="3"/>
    </row>
    <row r="144" spans="1:26" ht="15" hidden="1" customHeight="1" outlineLevel="1" x14ac:dyDescent="0.3">
      <c r="A144" s="3"/>
      <c r="B144" s="10" t="s">
        <v>231</v>
      </c>
      <c r="C144" s="62"/>
      <c r="D144" s="62"/>
      <c r="E144" s="12">
        <v>0</v>
      </c>
      <c r="F144" s="12">
        <v>0</v>
      </c>
      <c r="G144" s="67"/>
      <c r="H144" s="63"/>
      <c r="I144" s="63"/>
      <c r="J144" s="3"/>
      <c r="K144" s="3"/>
      <c r="L144" s="3"/>
      <c r="M144" s="3"/>
      <c r="N144" s="3"/>
      <c r="O144" s="3"/>
      <c r="P144" s="3"/>
      <c r="Q144" s="3"/>
      <c r="R144" s="3"/>
      <c r="S144" s="3"/>
      <c r="T144" s="3"/>
      <c r="U144" s="3"/>
      <c r="V144" s="44"/>
      <c r="W144" s="41"/>
      <c r="X144" s="3"/>
      <c r="Y144" s="3"/>
      <c r="Z144" s="3"/>
    </row>
    <row r="145" spans="1:26" ht="15" hidden="1" customHeight="1" outlineLevel="1" x14ac:dyDescent="0.3">
      <c r="A145" s="3"/>
      <c r="B145" s="10" t="s">
        <v>63</v>
      </c>
      <c r="C145" s="62"/>
      <c r="D145" s="62"/>
      <c r="E145" s="12">
        <v>0</v>
      </c>
      <c r="F145" s="12">
        <v>0</v>
      </c>
      <c r="G145" s="67"/>
      <c r="H145" s="63"/>
      <c r="I145" s="63"/>
      <c r="J145" s="3"/>
      <c r="K145" s="3"/>
      <c r="L145" s="3"/>
      <c r="M145" s="3"/>
      <c r="N145" s="3"/>
      <c r="O145" s="3"/>
      <c r="P145" s="3"/>
      <c r="Q145" s="3"/>
      <c r="R145" s="3"/>
      <c r="S145" s="3"/>
      <c r="T145" s="3"/>
      <c r="U145" s="3"/>
      <c r="V145" s="44"/>
      <c r="W145" s="41"/>
      <c r="X145" s="3"/>
      <c r="Y145" s="3"/>
      <c r="Z145" s="3"/>
    </row>
    <row r="146" spans="1:26" ht="15" hidden="1" customHeight="1" outlineLevel="1" x14ac:dyDescent="0.3">
      <c r="A146" s="3"/>
      <c r="B146" s="10" t="s">
        <v>61</v>
      </c>
      <c r="C146" s="62"/>
      <c r="D146" s="62"/>
      <c r="E146" s="12">
        <v>0</v>
      </c>
      <c r="F146" s="12">
        <v>0</v>
      </c>
      <c r="G146" s="67"/>
      <c r="H146" s="63"/>
      <c r="I146" s="63"/>
      <c r="J146" s="3"/>
      <c r="K146" s="3"/>
      <c r="L146" s="3"/>
      <c r="M146" s="3"/>
      <c r="N146" s="3"/>
      <c r="O146" s="3"/>
      <c r="P146" s="3"/>
      <c r="Q146" s="3"/>
      <c r="R146" s="3"/>
      <c r="S146" s="3"/>
      <c r="T146" s="3"/>
      <c r="U146" s="3"/>
      <c r="V146" s="44"/>
      <c r="W146" s="41"/>
      <c r="X146" s="3"/>
      <c r="Y146" s="3"/>
      <c r="Z146" s="3"/>
    </row>
    <row r="147" spans="1:26" ht="15.75" customHeight="1" collapsed="1" x14ac:dyDescent="0.3">
      <c r="A147" s="3"/>
      <c r="B147" s="73" t="s">
        <v>239</v>
      </c>
      <c r="C147" s="56" t="s">
        <v>43</v>
      </c>
      <c r="D147" s="56" t="s">
        <v>43</v>
      </c>
      <c r="E147" s="57">
        <f t="shared" ref="E147:F147" si="35">SUM(E148,E153,E158,E162)</f>
        <v>0</v>
      </c>
      <c r="F147" s="57">
        <f t="shared" si="35"/>
        <v>1964</v>
      </c>
      <c r="G147" s="58" t="s">
        <v>43</v>
      </c>
      <c r="H147" s="74"/>
      <c r="I147" s="74"/>
      <c r="J147" s="3"/>
      <c r="K147" s="3"/>
      <c r="L147" s="3"/>
      <c r="M147" s="3"/>
      <c r="N147" s="3"/>
      <c r="O147" s="3"/>
      <c r="P147" s="3"/>
      <c r="Q147" s="3"/>
      <c r="R147" s="3"/>
      <c r="S147" s="3"/>
      <c r="T147" s="3"/>
      <c r="U147" s="3"/>
      <c r="V147" s="44"/>
      <c r="W147" s="41"/>
      <c r="X147" s="3"/>
      <c r="Y147" s="3"/>
      <c r="Z147" s="3"/>
    </row>
    <row r="148" spans="1:26" ht="15.75" hidden="1" customHeight="1" outlineLevel="1" x14ac:dyDescent="0.3">
      <c r="A148" s="3"/>
      <c r="B148" s="75" t="s">
        <v>240</v>
      </c>
      <c r="C148" s="76" t="s">
        <v>43</v>
      </c>
      <c r="D148" s="76" t="s">
        <v>43</v>
      </c>
      <c r="E148" s="77">
        <f t="shared" ref="E148:F148" si="36">SUM(E149:E152)</f>
        <v>0</v>
      </c>
      <c r="F148" s="77">
        <f t="shared" si="36"/>
        <v>455</v>
      </c>
      <c r="G148" s="78" t="s">
        <v>43</v>
      </c>
      <c r="H148" s="79"/>
      <c r="I148" s="79"/>
      <c r="J148" s="3"/>
      <c r="K148" s="3"/>
      <c r="L148" s="3"/>
      <c r="M148" s="3"/>
      <c r="N148" s="3"/>
      <c r="O148" s="3"/>
      <c r="P148" s="3"/>
      <c r="Q148" s="3"/>
      <c r="R148" s="3"/>
      <c r="S148" s="3"/>
      <c r="T148" s="3"/>
      <c r="U148" s="3"/>
      <c r="V148" s="44"/>
      <c r="W148" s="41"/>
      <c r="X148" s="3"/>
      <c r="Y148" s="3"/>
      <c r="Z148" s="3"/>
    </row>
    <row r="149" spans="1:26" ht="15" hidden="1" customHeight="1" outlineLevel="1" x14ac:dyDescent="0.3">
      <c r="A149" s="3"/>
      <c r="B149" s="10" t="s">
        <v>241</v>
      </c>
      <c r="C149" s="62">
        <v>2</v>
      </c>
      <c r="D149" s="62" t="s">
        <v>94</v>
      </c>
      <c r="E149" s="12">
        <v>0</v>
      </c>
      <c r="F149" s="12">
        <f>10+3+50+10+15+15+10+10+10+20+20</f>
        <v>173</v>
      </c>
      <c r="G149" s="67"/>
      <c r="H149" s="63" t="s">
        <v>37</v>
      </c>
      <c r="I149" s="63"/>
      <c r="J149" s="3"/>
      <c r="K149" s="3"/>
      <c r="L149" s="3"/>
      <c r="M149" s="3"/>
      <c r="N149" s="3"/>
      <c r="O149" s="3"/>
      <c r="P149" s="3"/>
      <c r="Q149" s="3"/>
      <c r="R149" s="3"/>
      <c r="S149" s="3"/>
      <c r="T149" s="3"/>
      <c r="U149" s="3"/>
      <c r="V149" s="44"/>
      <c r="W149" s="41"/>
      <c r="X149" s="3"/>
      <c r="Y149" s="3"/>
      <c r="Z149" s="3"/>
    </row>
    <row r="150" spans="1:26" ht="15" hidden="1" customHeight="1" outlineLevel="1" x14ac:dyDescent="0.3">
      <c r="A150" s="3"/>
      <c r="B150" s="10" t="s">
        <v>242</v>
      </c>
      <c r="C150" s="62">
        <v>2</v>
      </c>
      <c r="D150" s="62" t="s">
        <v>94</v>
      </c>
      <c r="E150" s="12">
        <v>0</v>
      </c>
      <c r="F150" s="12">
        <v>80</v>
      </c>
      <c r="G150" s="67"/>
      <c r="H150" s="63" t="s">
        <v>36</v>
      </c>
      <c r="I150" s="63"/>
      <c r="J150" s="3"/>
      <c r="K150" s="3"/>
      <c r="L150" s="3"/>
      <c r="M150" s="3"/>
      <c r="N150" s="3"/>
      <c r="O150" s="3"/>
      <c r="P150" s="3"/>
      <c r="Q150" s="3"/>
      <c r="R150" s="3"/>
      <c r="S150" s="3"/>
      <c r="T150" s="3"/>
      <c r="U150" s="3"/>
      <c r="V150" s="44"/>
      <c r="W150" s="41"/>
      <c r="X150" s="3"/>
      <c r="Y150" s="3"/>
      <c r="Z150" s="3"/>
    </row>
    <row r="151" spans="1:26" ht="15" hidden="1" customHeight="1" outlineLevel="1" x14ac:dyDescent="0.3">
      <c r="A151" s="3"/>
      <c r="B151" s="10" t="s">
        <v>243</v>
      </c>
      <c r="C151" s="62">
        <v>16</v>
      </c>
      <c r="D151" s="62" t="s">
        <v>94</v>
      </c>
      <c r="E151" s="12">
        <v>0</v>
      </c>
      <c r="F151" s="12">
        <v>105</v>
      </c>
      <c r="G151" s="67"/>
      <c r="H151" s="63" t="s">
        <v>37</v>
      </c>
      <c r="I151" s="63"/>
      <c r="J151" s="3"/>
      <c r="K151" s="3"/>
      <c r="L151" s="3"/>
      <c r="M151" s="3"/>
      <c r="N151" s="3"/>
      <c r="O151" s="3"/>
      <c r="P151" s="3"/>
      <c r="Q151" s="3"/>
      <c r="R151" s="3"/>
      <c r="S151" s="3"/>
      <c r="T151" s="3"/>
      <c r="U151" s="3"/>
      <c r="V151" s="44"/>
      <c r="W151" s="41"/>
      <c r="X151" s="3"/>
      <c r="Y151" s="3"/>
      <c r="Z151" s="3"/>
    </row>
    <row r="152" spans="1:26" ht="15" hidden="1" customHeight="1" outlineLevel="1" x14ac:dyDescent="0.3">
      <c r="A152" s="3"/>
      <c r="B152" s="10" t="s">
        <v>244</v>
      </c>
      <c r="C152" s="62">
        <v>16</v>
      </c>
      <c r="D152" s="62" t="s">
        <v>94</v>
      </c>
      <c r="E152" s="12">
        <v>0</v>
      </c>
      <c r="F152" s="12">
        <v>97</v>
      </c>
      <c r="G152" s="67"/>
      <c r="H152" s="63" t="s">
        <v>36</v>
      </c>
      <c r="I152" s="63"/>
      <c r="J152" s="3"/>
      <c r="K152" s="3"/>
      <c r="L152" s="3"/>
      <c r="M152" s="3"/>
      <c r="N152" s="3"/>
      <c r="O152" s="3"/>
      <c r="P152" s="3"/>
      <c r="Q152" s="3"/>
      <c r="R152" s="3"/>
      <c r="S152" s="3"/>
      <c r="T152" s="3"/>
      <c r="U152" s="3"/>
      <c r="V152" s="44"/>
      <c r="W152" s="41"/>
      <c r="X152" s="3"/>
      <c r="Y152" s="3"/>
      <c r="Z152" s="3"/>
    </row>
    <row r="153" spans="1:26" ht="15.75" hidden="1" customHeight="1" outlineLevel="1" x14ac:dyDescent="0.3">
      <c r="A153" s="3"/>
      <c r="B153" s="75" t="s">
        <v>245</v>
      </c>
      <c r="C153" s="76" t="s">
        <v>43</v>
      </c>
      <c r="D153" s="76" t="s">
        <v>43</v>
      </c>
      <c r="E153" s="77">
        <f t="shared" ref="E153:F153" si="37">SUM(E154:E157)</f>
        <v>0</v>
      </c>
      <c r="F153" s="77">
        <f t="shared" si="37"/>
        <v>1009</v>
      </c>
      <c r="G153" s="78" t="s">
        <v>43</v>
      </c>
      <c r="H153" s="79"/>
      <c r="I153" s="79"/>
      <c r="J153" s="3"/>
      <c r="K153" s="3"/>
      <c r="L153" s="3"/>
      <c r="M153" s="3"/>
      <c r="N153" s="3"/>
      <c r="O153" s="3"/>
      <c r="P153" s="3"/>
      <c r="Q153" s="3"/>
      <c r="R153" s="3"/>
      <c r="S153" s="3"/>
      <c r="T153" s="3"/>
      <c r="U153" s="3"/>
      <c r="V153" s="44"/>
      <c r="W153" s="41"/>
      <c r="X153" s="3"/>
      <c r="Y153" s="3"/>
      <c r="Z153" s="3"/>
    </row>
    <row r="154" spans="1:26" ht="15.75" hidden="1" customHeight="1" outlineLevel="1" x14ac:dyDescent="0.3">
      <c r="A154" s="3"/>
      <c r="B154" s="10" t="s">
        <v>241</v>
      </c>
      <c r="C154" s="62"/>
      <c r="D154" s="62" t="s">
        <v>94</v>
      </c>
      <c r="E154" s="12">
        <v>0</v>
      </c>
      <c r="F154" s="12">
        <f>27+18+18+18+18+9+18+9+9+9+18+18+10+45+27+9+18+54+18+18+18+9+9</f>
        <v>424</v>
      </c>
      <c r="G154" s="69"/>
      <c r="H154" s="63" t="s">
        <v>37</v>
      </c>
      <c r="I154" s="63"/>
      <c r="J154" s="3"/>
      <c r="K154" s="3"/>
      <c r="L154" s="3"/>
      <c r="M154" s="3"/>
      <c r="N154" s="3"/>
      <c r="O154" s="3"/>
      <c r="P154" s="3"/>
      <c r="Q154" s="3"/>
      <c r="R154" s="3"/>
      <c r="S154" s="3"/>
      <c r="T154" s="3"/>
      <c r="U154" s="3"/>
      <c r="V154" s="44"/>
      <c r="W154" s="41"/>
      <c r="X154" s="3"/>
      <c r="Y154" s="3"/>
      <c r="Z154" s="3"/>
    </row>
    <row r="155" spans="1:26" ht="15" hidden="1" customHeight="1" outlineLevel="1" x14ac:dyDescent="0.3">
      <c r="A155" s="3"/>
      <c r="B155" s="10" t="s">
        <v>242</v>
      </c>
      <c r="C155" s="62"/>
      <c r="D155" s="62"/>
      <c r="E155" s="12">
        <v>0</v>
      </c>
      <c r="F155" s="12">
        <v>0</v>
      </c>
      <c r="G155" s="67"/>
      <c r="H155" s="63" t="s">
        <v>36</v>
      </c>
      <c r="I155" s="63"/>
      <c r="J155" s="3"/>
      <c r="K155" s="3"/>
      <c r="L155" s="3"/>
      <c r="M155" s="3"/>
      <c r="N155" s="3"/>
      <c r="O155" s="3"/>
      <c r="P155" s="3"/>
      <c r="Q155" s="3"/>
      <c r="R155" s="3"/>
      <c r="S155" s="3"/>
      <c r="T155" s="3"/>
      <c r="U155" s="3"/>
      <c r="V155" s="44"/>
      <c r="W155" s="41"/>
      <c r="X155" s="3"/>
      <c r="Y155" s="3"/>
      <c r="Z155" s="3"/>
    </row>
    <row r="156" spans="1:26" ht="15" hidden="1" customHeight="1" outlineLevel="1" x14ac:dyDescent="0.3">
      <c r="A156" s="3"/>
      <c r="B156" s="10" t="s">
        <v>243</v>
      </c>
      <c r="C156" s="62">
        <v>16</v>
      </c>
      <c r="D156" s="62" t="s">
        <v>94</v>
      </c>
      <c r="E156" s="12">
        <v>0</v>
      </c>
      <c r="F156" s="12">
        <v>468</v>
      </c>
      <c r="G156" s="67"/>
      <c r="H156" s="63" t="s">
        <v>37</v>
      </c>
      <c r="I156" s="63"/>
      <c r="J156" s="3"/>
      <c r="K156" s="3"/>
      <c r="L156" s="3"/>
      <c r="M156" s="3"/>
      <c r="N156" s="3"/>
      <c r="O156" s="3"/>
      <c r="P156" s="3"/>
      <c r="Q156" s="3"/>
      <c r="R156" s="3"/>
      <c r="S156" s="3"/>
      <c r="T156" s="3"/>
      <c r="U156" s="3"/>
      <c r="V156" s="44"/>
      <c r="W156" s="41"/>
      <c r="X156" s="3"/>
      <c r="Y156" s="3"/>
      <c r="Z156" s="3"/>
    </row>
    <row r="157" spans="1:26" ht="15" hidden="1" customHeight="1" outlineLevel="1" x14ac:dyDescent="0.3">
      <c r="A157" s="3"/>
      <c r="B157" s="10" t="s">
        <v>244</v>
      </c>
      <c r="C157" s="62">
        <v>16</v>
      </c>
      <c r="D157" s="62" t="s">
        <v>94</v>
      </c>
      <c r="E157" s="12">
        <v>0</v>
      </c>
      <c r="F157" s="12">
        <v>117</v>
      </c>
      <c r="G157" s="67"/>
      <c r="H157" s="63" t="s">
        <v>36</v>
      </c>
      <c r="I157" s="63"/>
      <c r="J157" s="3"/>
      <c r="K157" s="3"/>
      <c r="L157" s="3"/>
      <c r="M157" s="3"/>
      <c r="N157" s="3"/>
      <c r="O157" s="3"/>
      <c r="P157" s="3"/>
      <c r="Q157" s="3"/>
      <c r="R157" s="3"/>
      <c r="S157" s="3"/>
      <c r="T157" s="3"/>
      <c r="U157" s="3"/>
      <c r="V157" s="44"/>
      <c r="W157" s="41"/>
      <c r="X157" s="3"/>
      <c r="Y157" s="3"/>
      <c r="Z157" s="3"/>
    </row>
    <row r="158" spans="1:26" ht="15.75" hidden="1" customHeight="1" outlineLevel="1" x14ac:dyDescent="0.3">
      <c r="A158" s="3"/>
      <c r="B158" s="75" t="s">
        <v>246</v>
      </c>
      <c r="C158" s="76" t="s">
        <v>43</v>
      </c>
      <c r="D158" s="76" t="s">
        <v>43</v>
      </c>
      <c r="E158" s="77">
        <f t="shared" ref="E158:F158" si="38">SUM(E159:E161)</f>
        <v>0</v>
      </c>
      <c r="F158" s="77">
        <f t="shared" si="38"/>
        <v>500</v>
      </c>
      <c r="G158" s="78" t="s">
        <v>43</v>
      </c>
      <c r="H158" s="79"/>
      <c r="I158" s="79"/>
      <c r="J158" s="3"/>
      <c r="K158" s="3"/>
      <c r="L158" s="3"/>
      <c r="M158" s="3"/>
      <c r="N158" s="3"/>
      <c r="O158" s="3"/>
      <c r="P158" s="3"/>
      <c r="Q158" s="3"/>
      <c r="R158" s="3"/>
      <c r="S158" s="3"/>
      <c r="T158" s="3"/>
      <c r="U158" s="3"/>
      <c r="V158" s="44"/>
      <c r="W158" s="41"/>
      <c r="X158" s="3"/>
      <c r="Y158" s="3"/>
      <c r="Z158" s="3"/>
    </row>
    <row r="159" spans="1:26" ht="15.75" hidden="1" customHeight="1" outlineLevel="1" x14ac:dyDescent="0.3">
      <c r="A159" s="3"/>
      <c r="B159" s="10" t="s">
        <v>247</v>
      </c>
      <c r="C159" s="80" t="s">
        <v>248</v>
      </c>
      <c r="D159" s="62" t="s">
        <v>94</v>
      </c>
      <c r="E159" s="12">
        <v>0</v>
      </c>
      <c r="F159" s="12">
        <f>20+20+40+50+40+40+60+20+40+120</f>
        <v>450</v>
      </c>
      <c r="G159" s="71" t="s">
        <v>249</v>
      </c>
      <c r="H159" s="63" t="s">
        <v>37</v>
      </c>
      <c r="I159" s="63"/>
      <c r="J159" s="3"/>
      <c r="K159" s="3"/>
      <c r="L159" s="3"/>
      <c r="M159" s="3"/>
      <c r="N159" s="3"/>
      <c r="O159" s="3"/>
      <c r="P159" s="3"/>
      <c r="Q159" s="3"/>
      <c r="R159" s="3"/>
      <c r="S159" s="3"/>
      <c r="T159" s="3"/>
      <c r="U159" s="3"/>
      <c r="V159" s="44"/>
      <c r="W159" s="41"/>
      <c r="X159" s="3"/>
      <c r="Y159" s="3"/>
      <c r="Z159" s="3"/>
    </row>
    <row r="160" spans="1:26" ht="15" hidden="1" customHeight="1" outlineLevel="1" x14ac:dyDescent="0.3">
      <c r="A160" s="3"/>
      <c r="B160" s="10" t="s">
        <v>250</v>
      </c>
      <c r="C160" s="80">
        <v>13</v>
      </c>
      <c r="D160" s="62" t="s">
        <v>94</v>
      </c>
      <c r="E160" s="12">
        <v>0</v>
      </c>
      <c r="F160" s="12">
        <v>50</v>
      </c>
      <c r="G160" s="70" t="s">
        <v>251</v>
      </c>
      <c r="H160" s="63" t="s">
        <v>36</v>
      </c>
      <c r="I160" s="63"/>
      <c r="J160" s="3"/>
      <c r="K160" s="3"/>
      <c r="L160" s="3"/>
      <c r="M160" s="3"/>
      <c r="N160" s="3"/>
      <c r="O160" s="3"/>
      <c r="P160" s="3"/>
      <c r="Q160" s="3"/>
      <c r="R160" s="3"/>
      <c r="S160" s="3"/>
      <c r="T160" s="3"/>
      <c r="U160" s="3"/>
      <c r="V160" s="44"/>
      <c r="W160" s="41"/>
      <c r="X160" s="3"/>
      <c r="Y160" s="3"/>
      <c r="Z160" s="3"/>
    </row>
    <row r="161" spans="1:26" ht="15" hidden="1" customHeight="1" outlineLevel="1" x14ac:dyDescent="0.3">
      <c r="A161" s="3"/>
      <c r="B161" s="10" t="s">
        <v>252</v>
      </c>
      <c r="C161" s="62"/>
      <c r="D161" s="62"/>
      <c r="E161" s="12">
        <v>0</v>
      </c>
      <c r="F161" s="12">
        <v>0</v>
      </c>
      <c r="G161" s="67"/>
      <c r="H161" s="63"/>
      <c r="I161" s="63"/>
      <c r="J161" s="3"/>
      <c r="K161" s="3"/>
      <c r="L161" s="3"/>
      <c r="M161" s="3"/>
      <c r="N161" s="3"/>
      <c r="O161" s="3"/>
      <c r="P161" s="3"/>
      <c r="Q161" s="3"/>
      <c r="R161" s="3"/>
      <c r="S161" s="3"/>
      <c r="T161" s="3"/>
      <c r="U161" s="3"/>
      <c r="V161" s="44"/>
      <c r="W161" s="41"/>
      <c r="X161" s="3"/>
      <c r="Y161" s="3"/>
      <c r="Z161" s="3"/>
    </row>
    <row r="162" spans="1:26" ht="15.75" hidden="1" customHeight="1" outlineLevel="1" x14ac:dyDescent="0.3">
      <c r="A162" s="3"/>
      <c r="B162" s="75" t="s">
        <v>61</v>
      </c>
      <c r="C162" s="76" t="s">
        <v>43</v>
      </c>
      <c r="D162" s="76" t="s">
        <v>43</v>
      </c>
      <c r="E162" s="77">
        <f t="shared" ref="E162:F162" si="39">SUM(E163:E165)</f>
        <v>0</v>
      </c>
      <c r="F162" s="77">
        <f t="shared" si="39"/>
        <v>0</v>
      </c>
      <c r="G162" s="78" t="s">
        <v>43</v>
      </c>
      <c r="H162" s="79"/>
      <c r="I162" s="79"/>
      <c r="J162" s="3"/>
      <c r="K162" s="3"/>
      <c r="L162" s="3"/>
      <c r="M162" s="3"/>
      <c r="N162" s="3"/>
      <c r="O162" s="3"/>
      <c r="P162" s="3"/>
      <c r="Q162" s="3"/>
      <c r="R162" s="3"/>
      <c r="S162" s="3"/>
      <c r="T162" s="3"/>
      <c r="U162" s="3"/>
      <c r="V162" s="44"/>
      <c r="W162" s="41"/>
      <c r="X162" s="3"/>
      <c r="Y162" s="3"/>
      <c r="Z162" s="3"/>
    </row>
    <row r="163" spans="1:26" ht="15" hidden="1" customHeight="1" outlineLevel="1" x14ac:dyDescent="0.3">
      <c r="A163" s="3"/>
      <c r="B163" s="10" t="s">
        <v>253</v>
      </c>
      <c r="C163" s="62"/>
      <c r="D163" s="62"/>
      <c r="E163" s="12">
        <v>0</v>
      </c>
      <c r="F163" s="12">
        <v>0</v>
      </c>
      <c r="G163" s="70"/>
      <c r="H163" s="63"/>
      <c r="I163" s="63"/>
      <c r="J163" s="3"/>
      <c r="K163" s="3"/>
      <c r="L163" s="3"/>
      <c r="M163" s="3"/>
      <c r="N163" s="3"/>
      <c r="O163" s="3"/>
      <c r="P163" s="3"/>
      <c r="Q163" s="3"/>
      <c r="R163" s="3"/>
      <c r="S163" s="3"/>
      <c r="T163" s="3"/>
      <c r="U163" s="3"/>
      <c r="V163" s="44"/>
      <c r="W163" s="41"/>
      <c r="X163" s="3"/>
      <c r="Y163" s="3"/>
      <c r="Z163" s="3"/>
    </row>
    <row r="164" spans="1:26" ht="15.75" hidden="1" customHeight="1" outlineLevel="1" x14ac:dyDescent="0.3">
      <c r="A164" s="3"/>
      <c r="B164" s="10" t="s">
        <v>254</v>
      </c>
      <c r="C164" s="62"/>
      <c r="D164" s="62"/>
      <c r="E164" s="12">
        <v>0</v>
      </c>
      <c r="F164" s="12">
        <v>0</v>
      </c>
      <c r="G164" s="69"/>
      <c r="H164" s="63"/>
      <c r="I164" s="63"/>
      <c r="J164" s="3"/>
      <c r="K164" s="3"/>
      <c r="L164" s="3"/>
      <c r="M164" s="3"/>
      <c r="N164" s="3"/>
      <c r="O164" s="3"/>
      <c r="P164" s="3"/>
      <c r="Q164" s="3"/>
      <c r="R164" s="3"/>
      <c r="S164" s="3"/>
      <c r="T164" s="3"/>
      <c r="U164" s="3"/>
      <c r="V164" s="44"/>
      <c r="W164" s="41"/>
      <c r="X164" s="3"/>
      <c r="Y164" s="3"/>
      <c r="Z164" s="3"/>
    </row>
    <row r="165" spans="1:26" ht="15" hidden="1" customHeight="1" outlineLevel="1" x14ac:dyDescent="0.3">
      <c r="A165" s="3"/>
      <c r="B165" s="10" t="s">
        <v>255</v>
      </c>
      <c r="C165" s="62"/>
      <c r="D165" s="62"/>
      <c r="E165" s="12">
        <v>0</v>
      </c>
      <c r="F165" s="12">
        <v>0</v>
      </c>
      <c r="G165" s="67"/>
      <c r="H165" s="63"/>
      <c r="I165" s="63"/>
      <c r="J165" s="3"/>
      <c r="K165" s="3"/>
      <c r="L165" s="3"/>
      <c r="M165" s="3"/>
      <c r="N165" s="3"/>
      <c r="O165" s="3"/>
      <c r="P165" s="3"/>
      <c r="Q165" s="3"/>
      <c r="R165" s="3"/>
      <c r="S165" s="3"/>
      <c r="T165" s="3"/>
      <c r="U165" s="3"/>
      <c r="V165" s="44"/>
      <c r="W165" s="41"/>
      <c r="X165" s="3"/>
      <c r="Y165" s="3"/>
      <c r="Z165" s="3"/>
    </row>
    <row r="166" spans="1:26" ht="15.75" customHeight="1" collapsed="1" x14ac:dyDescent="0.3">
      <c r="A166" s="3"/>
      <c r="B166" s="73" t="s">
        <v>63</v>
      </c>
      <c r="C166" s="56" t="s">
        <v>43</v>
      </c>
      <c r="D166" s="56" t="s">
        <v>43</v>
      </c>
      <c r="E166" s="57">
        <f t="shared" ref="E166:F166" si="40">SUM(E167:E169)</f>
        <v>0</v>
      </c>
      <c r="F166" s="57">
        <f t="shared" si="40"/>
        <v>20</v>
      </c>
      <c r="G166" s="58" t="s">
        <v>43</v>
      </c>
      <c r="H166" s="74"/>
      <c r="I166" s="74"/>
      <c r="J166" s="3"/>
      <c r="K166" s="3"/>
      <c r="L166" s="3"/>
      <c r="M166" s="3"/>
      <c r="N166" s="3"/>
      <c r="O166" s="3"/>
      <c r="P166" s="3"/>
      <c r="Q166" s="3"/>
      <c r="R166" s="3"/>
      <c r="S166" s="3"/>
      <c r="T166" s="3"/>
      <c r="U166" s="3"/>
      <c r="V166" s="44"/>
      <c r="W166" s="41"/>
      <c r="X166" s="3"/>
      <c r="Y166" s="3"/>
      <c r="Z166" s="3"/>
    </row>
    <row r="167" spans="1:26" ht="15" hidden="1" customHeight="1" outlineLevel="1" x14ac:dyDescent="0.3">
      <c r="A167" s="3"/>
      <c r="B167" s="10" t="s">
        <v>256</v>
      </c>
      <c r="C167" s="62">
        <v>31</v>
      </c>
      <c r="D167" s="62" t="s">
        <v>94</v>
      </c>
      <c r="E167" s="12">
        <v>0</v>
      </c>
      <c r="F167" s="12">
        <v>20</v>
      </c>
      <c r="G167" s="67"/>
      <c r="H167" s="63" t="s">
        <v>36</v>
      </c>
      <c r="I167" s="63"/>
      <c r="J167" s="3"/>
      <c r="K167" s="3"/>
      <c r="L167" s="3"/>
      <c r="M167" s="3"/>
      <c r="N167" s="3"/>
      <c r="O167" s="3"/>
      <c r="P167" s="3"/>
      <c r="Q167" s="3"/>
      <c r="R167" s="3"/>
      <c r="S167" s="3"/>
      <c r="T167" s="3"/>
      <c r="U167" s="3"/>
      <c r="V167" s="44"/>
      <c r="W167" s="41"/>
      <c r="X167" s="3"/>
      <c r="Y167" s="3"/>
      <c r="Z167" s="3"/>
    </row>
    <row r="168" spans="1:26" ht="15" hidden="1" customHeight="1" outlineLevel="1" x14ac:dyDescent="0.3">
      <c r="A168" s="3"/>
      <c r="B168" s="10" t="s">
        <v>257</v>
      </c>
      <c r="C168" s="62"/>
      <c r="D168" s="62"/>
      <c r="E168" s="12">
        <v>0</v>
      </c>
      <c r="F168" s="12">
        <v>0</v>
      </c>
      <c r="G168" s="67"/>
      <c r="H168" s="63"/>
      <c r="I168" s="63"/>
      <c r="J168" s="3"/>
      <c r="K168" s="3"/>
      <c r="L168" s="3"/>
      <c r="M168" s="3"/>
      <c r="N168" s="3"/>
      <c r="O168" s="3"/>
      <c r="P168" s="3"/>
      <c r="Q168" s="3"/>
      <c r="R168" s="3"/>
      <c r="S168" s="3"/>
      <c r="T168" s="3"/>
      <c r="U168" s="3"/>
      <c r="V168" s="44"/>
      <c r="W168" s="41"/>
      <c r="X168" s="3"/>
      <c r="Y168" s="3"/>
      <c r="Z168" s="3"/>
    </row>
    <row r="169" spans="1:26" ht="15" hidden="1" customHeight="1" outlineLevel="1" x14ac:dyDescent="0.3">
      <c r="A169" s="3"/>
      <c r="B169" s="10" t="s">
        <v>258</v>
      </c>
      <c r="C169" s="62"/>
      <c r="D169" s="62"/>
      <c r="E169" s="12">
        <v>0</v>
      </c>
      <c r="F169" s="12">
        <v>0</v>
      </c>
      <c r="G169" s="67"/>
      <c r="H169" s="63"/>
      <c r="I169" s="63"/>
      <c r="J169" s="3"/>
      <c r="K169" s="3"/>
      <c r="L169" s="3"/>
      <c r="M169" s="3"/>
      <c r="N169" s="3"/>
      <c r="O169" s="3"/>
      <c r="P169" s="3"/>
      <c r="Q169" s="3"/>
      <c r="R169" s="3"/>
      <c r="S169" s="3"/>
      <c r="T169" s="3"/>
      <c r="U169" s="3"/>
      <c r="V169" s="44"/>
      <c r="W169" s="41"/>
      <c r="X169" s="3"/>
      <c r="Y169" s="3"/>
      <c r="Z169" s="3"/>
    </row>
    <row r="170" spans="1:26" ht="15.75" customHeight="1" collapsed="1" x14ac:dyDescent="0.3">
      <c r="A170" s="3"/>
      <c r="B170" s="73" t="s">
        <v>259</v>
      </c>
      <c r="C170" s="56" t="s">
        <v>43</v>
      </c>
      <c r="D170" s="56" t="s">
        <v>43</v>
      </c>
      <c r="E170" s="57">
        <f t="shared" ref="E170:F170" si="41">SUM(E171:E177)</f>
        <v>0</v>
      </c>
      <c r="F170" s="57">
        <f t="shared" si="41"/>
        <v>301.48</v>
      </c>
      <c r="G170" s="58" t="s">
        <v>43</v>
      </c>
      <c r="H170" s="74"/>
      <c r="I170" s="74"/>
      <c r="J170" s="3"/>
      <c r="K170" s="3"/>
      <c r="L170" s="3"/>
      <c r="M170" s="3"/>
      <c r="N170" s="3"/>
      <c r="O170" s="3"/>
      <c r="P170" s="3"/>
      <c r="Q170" s="3"/>
      <c r="R170" s="3"/>
      <c r="S170" s="3"/>
      <c r="T170" s="3"/>
      <c r="U170" s="3"/>
      <c r="V170" s="44"/>
      <c r="W170" s="41"/>
      <c r="X170" s="3"/>
      <c r="Y170" s="3"/>
      <c r="Z170" s="3"/>
    </row>
    <row r="171" spans="1:26" ht="15" hidden="1" customHeight="1" outlineLevel="1" x14ac:dyDescent="0.3">
      <c r="A171" s="3"/>
      <c r="B171" s="10" t="s">
        <v>260</v>
      </c>
      <c r="C171" s="62"/>
      <c r="D171" s="62"/>
      <c r="E171" s="12">
        <v>0</v>
      </c>
      <c r="F171" s="12">
        <v>0</v>
      </c>
      <c r="G171" s="67"/>
      <c r="H171" s="63"/>
      <c r="I171" s="63"/>
      <c r="J171" s="3"/>
      <c r="K171" s="3"/>
      <c r="L171" s="3"/>
      <c r="M171" s="3"/>
      <c r="N171" s="3"/>
      <c r="O171" s="3"/>
      <c r="P171" s="3"/>
      <c r="Q171" s="3"/>
      <c r="R171" s="3"/>
      <c r="S171" s="3"/>
      <c r="T171" s="3"/>
      <c r="U171" s="3"/>
      <c r="V171" s="44"/>
      <c r="W171" s="41"/>
      <c r="X171" s="3"/>
      <c r="Y171" s="3"/>
      <c r="Z171" s="3"/>
    </row>
    <row r="172" spans="1:26" ht="15.75" hidden="1" customHeight="1" outlineLevel="1" x14ac:dyDescent="0.3">
      <c r="A172" s="3"/>
      <c r="B172" s="10" t="s">
        <v>261</v>
      </c>
      <c r="C172" s="62" t="s">
        <v>262</v>
      </c>
      <c r="D172" s="62" t="s">
        <v>94</v>
      </c>
      <c r="E172" s="12">
        <v>0</v>
      </c>
      <c r="F172" s="12">
        <v>301.47000000000003</v>
      </c>
      <c r="G172" s="69"/>
      <c r="H172" s="63" t="s">
        <v>38</v>
      </c>
      <c r="I172" s="63"/>
      <c r="J172" s="3"/>
      <c r="K172" s="3"/>
      <c r="L172" s="3"/>
      <c r="M172" s="3"/>
      <c r="N172" s="3"/>
      <c r="O172" s="3"/>
      <c r="P172" s="3"/>
      <c r="Q172" s="3"/>
      <c r="R172" s="3"/>
      <c r="S172" s="3"/>
      <c r="T172" s="3"/>
      <c r="U172" s="3"/>
      <c r="V172" s="44"/>
      <c r="W172" s="41"/>
      <c r="X172" s="3"/>
      <c r="Y172" s="3"/>
      <c r="Z172" s="3"/>
    </row>
    <row r="173" spans="1:26" ht="15" hidden="1" customHeight="1" outlineLevel="1" x14ac:dyDescent="0.3">
      <c r="A173" s="3"/>
      <c r="B173" s="10" t="s">
        <v>263</v>
      </c>
      <c r="C173" s="62"/>
      <c r="D173" s="62"/>
      <c r="E173" s="12">
        <v>0</v>
      </c>
      <c r="F173" s="12">
        <v>0</v>
      </c>
      <c r="G173" s="67"/>
      <c r="H173" s="63"/>
      <c r="I173" s="63"/>
      <c r="J173" s="3"/>
      <c r="K173" s="3"/>
      <c r="L173" s="3"/>
      <c r="M173" s="3"/>
      <c r="N173" s="3"/>
      <c r="O173" s="3"/>
      <c r="P173" s="3"/>
      <c r="Q173" s="3"/>
      <c r="R173" s="3"/>
      <c r="S173" s="3"/>
      <c r="T173" s="3"/>
      <c r="U173" s="3"/>
      <c r="V173" s="44"/>
      <c r="W173" s="41"/>
      <c r="X173" s="3"/>
      <c r="Y173" s="3"/>
      <c r="Z173" s="3"/>
    </row>
    <row r="174" spans="1:26" ht="15" hidden="1" customHeight="1" outlineLevel="1" x14ac:dyDescent="0.3">
      <c r="A174" s="3"/>
      <c r="B174" s="10" t="s">
        <v>264</v>
      </c>
      <c r="C174" s="62">
        <v>4</v>
      </c>
      <c r="D174" s="62" t="s">
        <v>94</v>
      </c>
      <c r="E174" s="12">
        <v>0</v>
      </c>
      <c r="F174" s="12">
        <v>0.01</v>
      </c>
      <c r="G174" s="67"/>
      <c r="H174" s="63" t="s">
        <v>265</v>
      </c>
      <c r="I174" s="63"/>
      <c r="J174" s="3"/>
      <c r="K174" s="3"/>
      <c r="L174" s="3"/>
      <c r="M174" s="3"/>
      <c r="N174" s="3"/>
      <c r="O174" s="3"/>
      <c r="P174" s="3"/>
      <c r="Q174" s="3"/>
      <c r="R174" s="3"/>
      <c r="S174" s="3"/>
      <c r="T174" s="3"/>
      <c r="U174" s="3"/>
      <c r="V174" s="44"/>
      <c r="W174" s="41"/>
      <c r="X174" s="3"/>
      <c r="Y174" s="3"/>
      <c r="Z174" s="3"/>
    </row>
    <row r="175" spans="1:26" ht="15" hidden="1" customHeight="1" outlineLevel="1" x14ac:dyDescent="0.3">
      <c r="A175" s="3"/>
      <c r="B175" s="10" t="s">
        <v>266</v>
      </c>
      <c r="C175" s="62"/>
      <c r="D175" s="62"/>
      <c r="E175" s="12">
        <v>0</v>
      </c>
      <c r="F175" s="12">
        <v>0</v>
      </c>
      <c r="G175" s="67"/>
      <c r="H175" s="63"/>
      <c r="I175" s="63"/>
      <c r="J175" s="3"/>
      <c r="K175" s="3"/>
      <c r="L175" s="3"/>
      <c r="M175" s="3"/>
      <c r="N175" s="3"/>
      <c r="O175" s="3"/>
      <c r="P175" s="3"/>
      <c r="Q175" s="3"/>
      <c r="R175" s="3"/>
      <c r="S175" s="3"/>
      <c r="T175" s="3"/>
      <c r="U175" s="3"/>
      <c r="V175" s="44"/>
      <c r="W175" s="41"/>
      <c r="X175" s="3"/>
      <c r="Y175" s="3"/>
      <c r="Z175" s="3"/>
    </row>
    <row r="176" spans="1:26" ht="15" hidden="1" customHeight="1" outlineLevel="1" x14ac:dyDescent="0.3">
      <c r="A176" s="3"/>
      <c r="B176" s="10" t="s">
        <v>267</v>
      </c>
      <c r="C176" s="62"/>
      <c r="D176" s="62"/>
      <c r="E176" s="12">
        <v>0</v>
      </c>
      <c r="F176" s="12">
        <v>0</v>
      </c>
      <c r="G176" s="67"/>
      <c r="H176" s="63"/>
      <c r="I176" s="63"/>
      <c r="J176" s="3"/>
      <c r="K176" s="3"/>
      <c r="L176" s="3"/>
      <c r="M176" s="3"/>
      <c r="N176" s="3"/>
      <c r="O176" s="3"/>
      <c r="P176" s="3"/>
      <c r="Q176" s="3"/>
      <c r="R176" s="3"/>
      <c r="S176" s="3"/>
      <c r="T176" s="3"/>
      <c r="U176" s="3"/>
      <c r="V176" s="44"/>
      <c r="W176" s="41"/>
      <c r="X176" s="3"/>
      <c r="Y176" s="3"/>
      <c r="Z176" s="3"/>
    </row>
    <row r="177" spans="1:26" ht="15" hidden="1" customHeight="1" outlineLevel="1" x14ac:dyDescent="0.3">
      <c r="A177" s="3"/>
      <c r="B177" s="10" t="s">
        <v>268</v>
      </c>
      <c r="C177" s="62"/>
      <c r="D177" s="62"/>
      <c r="E177" s="12">
        <v>0</v>
      </c>
      <c r="F177" s="12">
        <v>0</v>
      </c>
      <c r="G177" s="67"/>
      <c r="H177" s="63"/>
      <c r="I177" s="63"/>
      <c r="J177" s="3"/>
      <c r="K177" s="3"/>
      <c r="L177" s="3"/>
      <c r="M177" s="3"/>
      <c r="N177" s="3"/>
      <c r="O177" s="3"/>
      <c r="P177" s="3"/>
      <c r="Q177" s="3"/>
      <c r="R177" s="3"/>
      <c r="S177" s="3"/>
      <c r="T177" s="3"/>
      <c r="U177" s="3"/>
      <c r="V177" s="44"/>
      <c r="W177" s="41"/>
      <c r="X177" s="3"/>
      <c r="Y177" s="3"/>
      <c r="Z177" s="3"/>
    </row>
    <row r="178" spans="1:26" ht="15.75" customHeight="1" collapsed="1" x14ac:dyDescent="0.3">
      <c r="A178" s="3"/>
      <c r="B178" s="3"/>
      <c r="C178" s="37"/>
      <c r="D178" s="37"/>
      <c r="E178" s="37"/>
      <c r="F178" s="37"/>
      <c r="G178" s="37"/>
      <c r="H178" s="37"/>
      <c r="I178" s="37"/>
      <c r="J178" s="37"/>
      <c r="K178" s="37"/>
      <c r="L178" s="37"/>
      <c r="M178" s="37"/>
      <c r="N178" s="37"/>
      <c r="O178" s="37"/>
      <c r="P178" s="37"/>
      <c r="Q178" s="37"/>
      <c r="R178" s="37"/>
      <c r="S178" s="37"/>
      <c r="T178" s="37"/>
      <c r="U178" s="37"/>
      <c r="V178" s="44"/>
      <c r="W178" s="41"/>
    </row>
    <row r="179" spans="1:26" ht="15.75" customHeight="1" x14ac:dyDescent="0.3">
      <c r="A179" s="3"/>
      <c r="B179" s="3"/>
      <c r="C179" s="37"/>
      <c r="D179" s="37"/>
      <c r="E179" s="37"/>
      <c r="F179" s="37"/>
      <c r="G179" s="37"/>
      <c r="H179" s="37"/>
      <c r="I179" s="37"/>
      <c r="J179" s="37"/>
      <c r="K179" s="37"/>
      <c r="L179" s="37"/>
      <c r="M179" s="37"/>
      <c r="N179" s="37"/>
      <c r="O179" s="37"/>
      <c r="P179" s="37"/>
      <c r="Q179" s="37"/>
      <c r="R179" s="37"/>
      <c r="S179" s="37"/>
      <c r="T179" s="37"/>
      <c r="U179" s="37"/>
      <c r="V179" s="44"/>
      <c r="W179" s="41"/>
    </row>
    <row r="180" spans="1:26" ht="15.75" customHeight="1" x14ac:dyDescent="0.3">
      <c r="A180" s="3"/>
      <c r="B180" s="3"/>
      <c r="C180" s="37"/>
      <c r="D180" s="37"/>
      <c r="E180" s="37"/>
      <c r="F180" s="37"/>
      <c r="G180" s="37"/>
      <c r="H180" s="37"/>
      <c r="I180" s="37"/>
      <c r="J180" s="37"/>
      <c r="K180" s="37"/>
      <c r="L180" s="37"/>
      <c r="M180" s="37"/>
      <c r="N180" s="37"/>
      <c r="O180" s="37"/>
      <c r="P180" s="37"/>
      <c r="Q180" s="37"/>
      <c r="R180" s="37"/>
      <c r="S180" s="37"/>
      <c r="T180" s="37"/>
      <c r="U180" s="37"/>
      <c r="V180" s="44"/>
      <c r="W180" s="41"/>
    </row>
    <row r="181" spans="1:26" ht="15.75" customHeight="1" x14ac:dyDescent="0.3">
      <c r="A181" s="3"/>
      <c r="B181" s="3"/>
      <c r="C181" s="37"/>
      <c r="D181" s="37"/>
      <c r="E181" s="37"/>
      <c r="F181" s="37"/>
      <c r="G181" s="37"/>
      <c r="H181" s="37"/>
      <c r="I181" s="37"/>
      <c r="J181" s="37"/>
      <c r="K181" s="37"/>
      <c r="L181" s="37"/>
      <c r="M181" s="37"/>
      <c r="N181" s="37"/>
      <c r="O181" s="37"/>
      <c r="P181" s="37"/>
      <c r="Q181" s="37"/>
      <c r="R181" s="37"/>
      <c r="S181" s="37"/>
      <c r="T181" s="37"/>
      <c r="U181" s="37"/>
      <c r="V181" s="44"/>
      <c r="W181" s="41"/>
    </row>
    <row r="182" spans="1:26" ht="15.75" customHeight="1" x14ac:dyDescent="0.3">
      <c r="A182" s="3"/>
      <c r="B182" s="3"/>
      <c r="C182" s="37"/>
      <c r="D182" s="37"/>
      <c r="E182" s="37"/>
      <c r="F182" s="37"/>
      <c r="G182" s="37"/>
      <c r="H182" s="37"/>
      <c r="I182" s="37"/>
      <c r="J182" s="37"/>
      <c r="K182" s="37"/>
      <c r="L182" s="37"/>
      <c r="M182" s="37"/>
      <c r="N182" s="37"/>
      <c r="O182" s="37"/>
      <c r="P182" s="37"/>
      <c r="Q182" s="37"/>
      <c r="R182" s="37"/>
      <c r="S182" s="37"/>
      <c r="T182" s="37"/>
      <c r="U182" s="37"/>
      <c r="V182" s="44"/>
      <c r="W182" s="41"/>
    </row>
    <row r="183" spans="1:26" ht="15.75" customHeight="1" x14ac:dyDescent="0.3">
      <c r="A183" s="3"/>
      <c r="B183" s="3"/>
      <c r="C183" s="37"/>
      <c r="D183" s="37"/>
      <c r="E183" s="37"/>
      <c r="F183" s="37"/>
      <c r="G183" s="37"/>
      <c r="H183" s="37"/>
      <c r="I183" s="37"/>
      <c r="J183" s="37"/>
      <c r="K183" s="37"/>
      <c r="L183" s="37"/>
      <c r="M183" s="37"/>
      <c r="N183" s="37"/>
      <c r="O183" s="37"/>
      <c r="P183" s="37"/>
      <c r="Q183" s="37"/>
      <c r="R183" s="37"/>
      <c r="S183" s="37"/>
      <c r="T183" s="37"/>
      <c r="U183" s="37"/>
      <c r="V183" s="44"/>
      <c r="W183" s="41"/>
    </row>
    <row r="184" spans="1:26" ht="15.75" customHeight="1" x14ac:dyDescent="0.3">
      <c r="A184" s="3"/>
      <c r="B184" s="3"/>
      <c r="C184" s="37"/>
      <c r="D184" s="37"/>
      <c r="E184" s="37"/>
      <c r="F184" s="37"/>
      <c r="G184" s="37"/>
      <c r="H184" s="37"/>
      <c r="I184" s="37"/>
      <c r="J184" s="37"/>
      <c r="K184" s="37"/>
      <c r="L184" s="37"/>
      <c r="M184" s="37"/>
      <c r="N184" s="37"/>
      <c r="O184" s="37"/>
      <c r="P184" s="37"/>
      <c r="Q184" s="37"/>
      <c r="R184" s="37"/>
      <c r="S184" s="37"/>
      <c r="T184" s="37"/>
      <c r="U184" s="37"/>
      <c r="V184" s="44"/>
      <c r="W184" s="41"/>
    </row>
    <row r="185" spans="1:26" ht="15.75" customHeight="1" x14ac:dyDescent="0.3">
      <c r="A185" s="3"/>
      <c r="B185" s="3"/>
      <c r="C185" s="37"/>
      <c r="D185" s="37"/>
      <c r="E185" s="37"/>
      <c r="F185" s="37"/>
      <c r="G185" s="37"/>
      <c r="H185" s="37"/>
      <c r="I185" s="37"/>
      <c r="J185" s="37"/>
      <c r="K185" s="37"/>
      <c r="L185" s="37"/>
      <c r="M185" s="37"/>
      <c r="N185" s="37"/>
      <c r="O185" s="37"/>
      <c r="P185" s="37"/>
      <c r="Q185" s="37"/>
      <c r="R185" s="37"/>
      <c r="S185" s="37"/>
      <c r="T185" s="37"/>
      <c r="U185" s="37"/>
      <c r="V185" s="44"/>
      <c r="W185" s="41"/>
    </row>
    <row r="186" spans="1:26" ht="15.75" customHeight="1" x14ac:dyDescent="0.3">
      <c r="A186" s="3"/>
      <c r="B186" s="3"/>
      <c r="C186" s="37"/>
      <c r="D186" s="37"/>
      <c r="E186" s="37"/>
      <c r="F186" s="37"/>
      <c r="G186" s="37"/>
      <c r="H186" s="37"/>
      <c r="I186" s="37"/>
      <c r="J186" s="37"/>
      <c r="K186" s="37"/>
      <c r="L186" s="37"/>
      <c r="M186" s="37"/>
      <c r="N186" s="37"/>
      <c r="O186" s="37"/>
      <c r="P186" s="37"/>
      <c r="Q186" s="37"/>
      <c r="R186" s="37"/>
      <c r="S186" s="37"/>
      <c r="T186" s="37"/>
      <c r="U186" s="37"/>
      <c r="V186" s="44"/>
      <c r="W186" s="41"/>
    </row>
    <row r="187" spans="1:26" ht="15.75" customHeight="1" x14ac:dyDescent="0.3">
      <c r="A187" s="3"/>
      <c r="B187" s="3"/>
      <c r="C187" s="37"/>
      <c r="D187" s="37"/>
      <c r="E187" s="37"/>
      <c r="F187" s="37"/>
      <c r="G187" s="37"/>
      <c r="H187" s="37"/>
      <c r="I187" s="37"/>
      <c r="J187" s="37"/>
      <c r="K187" s="37"/>
      <c r="L187" s="37"/>
      <c r="M187" s="37"/>
      <c r="N187" s="37"/>
      <c r="O187" s="37"/>
      <c r="P187" s="37"/>
      <c r="Q187" s="37"/>
      <c r="R187" s="37"/>
      <c r="S187" s="37"/>
      <c r="T187" s="37"/>
      <c r="U187" s="37"/>
      <c r="V187" s="44"/>
      <c r="W187" s="41"/>
    </row>
    <row r="188" spans="1:26" ht="15.75" customHeight="1" x14ac:dyDescent="0.3">
      <c r="A188" s="3"/>
      <c r="B188" s="3"/>
      <c r="C188" s="37"/>
      <c r="D188" s="37"/>
      <c r="E188" s="37"/>
      <c r="F188" s="37"/>
      <c r="G188" s="37"/>
      <c r="H188" s="37"/>
      <c r="I188" s="37"/>
      <c r="J188" s="37"/>
      <c r="K188" s="37"/>
      <c r="L188" s="37"/>
      <c r="M188" s="37"/>
      <c r="N188" s="37"/>
      <c r="O188" s="37"/>
      <c r="P188" s="37"/>
      <c r="Q188" s="37"/>
      <c r="R188" s="37"/>
      <c r="S188" s="37"/>
      <c r="T188" s="37"/>
      <c r="U188" s="37"/>
      <c r="V188" s="44"/>
      <c r="W188" s="41"/>
    </row>
    <row r="189" spans="1:26" ht="15.75" customHeight="1" x14ac:dyDescent="0.3">
      <c r="A189" s="3"/>
      <c r="B189" s="3"/>
      <c r="C189" s="37"/>
      <c r="D189" s="37"/>
      <c r="E189" s="37"/>
      <c r="F189" s="37"/>
      <c r="G189" s="37"/>
      <c r="H189" s="37"/>
      <c r="I189" s="37"/>
      <c r="J189" s="37"/>
      <c r="K189" s="37"/>
      <c r="L189" s="37"/>
      <c r="M189" s="37"/>
      <c r="N189" s="37"/>
      <c r="O189" s="37"/>
      <c r="P189" s="37"/>
      <c r="Q189" s="37"/>
      <c r="R189" s="37"/>
      <c r="S189" s="37"/>
      <c r="T189" s="37"/>
      <c r="U189" s="37"/>
      <c r="V189" s="44"/>
      <c r="W189" s="41"/>
    </row>
    <row r="190" spans="1:26" ht="15.75" customHeight="1" x14ac:dyDescent="0.3">
      <c r="A190" s="3"/>
      <c r="B190" s="3"/>
      <c r="C190" s="37"/>
      <c r="D190" s="37"/>
      <c r="E190" s="37"/>
      <c r="F190" s="37"/>
      <c r="G190" s="37"/>
      <c r="H190" s="37"/>
      <c r="I190" s="37"/>
      <c r="J190" s="37"/>
      <c r="K190" s="37"/>
      <c r="L190" s="37"/>
      <c r="M190" s="37"/>
      <c r="N190" s="37"/>
      <c r="O190" s="37"/>
      <c r="P190" s="37"/>
      <c r="Q190" s="37"/>
      <c r="R190" s="37"/>
      <c r="S190" s="37"/>
      <c r="T190" s="37"/>
      <c r="U190" s="37"/>
      <c r="V190" s="44"/>
      <c r="W190" s="41"/>
    </row>
    <row r="191" spans="1:26" ht="15.75" customHeight="1" x14ac:dyDescent="0.3">
      <c r="A191" s="3"/>
      <c r="B191" s="3"/>
      <c r="C191" s="37"/>
      <c r="D191" s="37"/>
      <c r="E191" s="37"/>
      <c r="F191" s="37"/>
      <c r="G191" s="37"/>
      <c r="H191" s="37"/>
      <c r="I191" s="37"/>
      <c r="J191" s="37"/>
      <c r="K191" s="37"/>
      <c r="L191" s="37"/>
      <c r="M191" s="37"/>
      <c r="N191" s="37"/>
      <c r="O191" s="37"/>
      <c r="P191" s="37"/>
      <c r="Q191" s="37"/>
      <c r="R191" s="37"/>
      <c r="S191" s="37"/>
      <c r="T191" s="37"/>
      <c r="U191" s="37"/>
      <c r="V191" s="44"/>
      <c r="W191" s="41"/>
    </row>
    <row r="192" spans="1:26" ht="15.75" customHeight="1" x14ac:dyDescent="0.3">
      <c r="A192" s="3"/>
      <c r="B192" s="3"/>
      <c r="C192" s="37"/>
      <c r="D192" s="37"/>
      <c r="E192" s="37"/>
      <c r="F192" s="37"/>
      <c r="G192" s="37"/>
      <c r="H192" s="37"/>
      <c r="I192" s="37"/>
      <c r="J192" s="37"/>
      <c r="K192" s="37"/>
      <c r="L192" s="37"/>
      <c r="M192" s="37"/>
      <c r="N192" s="37"/>
      <c r="O192" s="37"/>
      <c r="P192" s="37"/>
      <c r="Q192" s="37"/>
      <c r="R192" s="37"/>
      <c r="S192" s="37"/>
      <c r="T192" s="37"/>
      <c r="U192" s="37"/>
      <c r="V192" s="44"/>
      <c r="W192" s="41"/>
    </row>
    <row r="193" spans="1:23" ht="15.75" customHeight="1" x14ac:dyDescent="0.3">
      <c r="A193" s="3"/>
      <c r="B193" s="3"/>
      <c r="C193" s="37"/>
      <c r="D193" s="37"/>
      <c r="E193" s="37"/>
      <c r="F193" s="37"/>
      <c r="G193" s="37"/>
      <c r="H193" s="37"/>
      <c r="I193" s="37"/>
      <c r="J193" s="37"/>
      <c r="K193" s="37"/>
      <c r="L193" s="37"/>
      <c r="M193" s="37"/>
      <c r="N193" s="37"/>
      <c r="O193" s="37"/>
      <c r="P193" s="37"/>
      <c r="Q193" s="37"/>
      <c r="R193" s="37"/>
      <c r="S193" s="37"/>
      <c r="T193" s="37"/>
      <c r="U193" s="37"/>
      <c r="V193" s="44"/>
      <c r="W193" s="41"/>
    </row>
    <row r="194" spans="1:23" ht="15.75" customHeight="1" x14ac:dyDescent="0.3">
      <c r="A194" s="3"/>
      <c r="B194" s="3"/>
      <c r="C194" s="37"/>
      <c r="D194" s="37"/>
      <c r="E194" s="37"/>
      <c r="F194" s="37"/>
      <c r="G194" s="37"/>
      <c r="H194" s="37"/>
      <c r="I194" s="37"/>
      <c r="J194" s="37"/>
      <c r="K194" s="37"/>
      <c r="L194" s="37"/>
      <c r="M194" s="37"/>
      <c r="N194" s="37"/>
      <c r="O194" s="37"/>
      <c r="P194" s="37"/>
      <c r="Q194" s="37"/>
      <c r="R194" s="37"/>
      <c r="S194" s="37"/>
      <c r="T194" s="37"/>
      <c r="U194" s="37"/>
      <c r="V194" s="44"/>
      <c r="W194" s="41"/>
    </row>
    <row r="195" spans="1:23" ht="15.75" customHeight="1" x14ac:dyDescent="0.3">
      <c r="A195" s="3"/>
      <c r="B195" s="3"/>
      <c r="C195" s="37"/>
      <c r="D195" s="37"/>
      <c r="E195" s="37"/>
      <c r="F195" s="37"/>
      <c r="G195" s="37"/>
      <c r="H195" s="37"/>
      <c r="I195" s="37"/>
      <c r="J195" s="37"/>
      <c r="K195" s="37"/>
      <c r="L195" s="37"/>
      <c r="M195" s="37"/>
      <c r="N195" s="37"/>
      <c r="O195" s="37"/>
      <c r="P195" s="37"/>
      <c r="Q195" s="37"/>
      <c r="R195" s="37"/>
      <c r="S195" s="37"/>
      <c r="T195" s="37"/>
      <c r="U195" s="37"/>
      <c r="V195" s="44"/>
      <c r="W195" s="41"/>
    </row>
    <row r="196" spans="1:23" ht="15.75" customHeight="1" x14ac:dyDescent="0.3">
      <c r="A196" s="3"/>
      <c r="B196" s="3"/>
      <c r="C196" s="37"/>
      <c r="D196" s="37"/>
      <c r="E196" s="37"/>
      <c r="F196" s="37"/>
      <c r="G196" s="37"/>
      <c r="H196" s="37"/>
      <c r="I196" s="37"/>
      <c r="J196" s="37"/>
      <c r="K196" s="37"/>
      <c r="L196" s="37"/>
      <c r="M196" s="37"/>
      <c r="N196" s="37"/>
      <c r="O196" s="37"/>
      <c r="P196" s="37"/>
      <c r="Q196" s="37"/>
      <c r="R196" s="37"/>
      <c r="S196" s="37"/>
      <c r="T196" s="37"/>
      <c r="U196" s="37"/>
      <c r="V196" s="44"/>
      <c r="W196" s="41"/>
    </row>
    <row r="197" spans="1:23" ht="15.75" customHeight="1" x14ac:dyDescent="0.3">
      <c r="A197" s="3"/>
      <c r="B197" s="3"/>
      <c r="C197" s="37"/>
      <c r="D197" s="37"/>
      <c r="E197" s="37"/>
      <c r="F197" s="37"/>
      <c r="G197" s="37"/>
      <c r="H197" s="37"/>
      <c r="I197" s="37"/>
      <c r="J197" s="37"/>
      <c r="K197" s="37"/>
      <c r="L197" s="37"/>
      <c r="M197" s="37"/>
      <c r="N197" s="37"/>
      <c r="O197" s="37"/>
      <c r="P197" s="37"/>
      <c r="Q197" s="37"/>
      <c r="R197" s="37"/>
      <c r="S197" s="37"/>
      <c r="T197" s="37"/>
      <c r="U197" s="37"/>
      <c r="V197" s="44"/>
      <c r="W197" s="41"/>
    </row>
    <row r="198" spans="1:23" ht="15.75" customHeight="1" x14ac:dyDescent="0.3">
      <c r="A198" s="3"/>
      <c r="B198" s="3"/>
      <c r="C198" s="37"/>
      <c r="D198" s="37"/>
      <c r="E198" s="37"/>
      <c r="F198" s="37"/>
      <c r="G198" s="37"/>
      <c r="H198" s="37"/>
      <c r="I198" s="37"/>
      <c r="J198" s="37"/>
      <c r="K198" s="37"/>
      <c r="L198" s="37"/>
      <c r="M198" s="37"/>
      <c r="N198" s="37"/>
      <c r="O198" s="37"/>
      <c r="P198" s="37"/>
      <c r="Q198" s="37"/>
      <c r="R198" s="37"/>
      <c r="S198" s="37"/>
      <c r="T198" s="37"/>
      <c r="U198" s="37"/>
      <c r="V198" s="44"/>
      <c r="W198" s="41"/>
    </row>
    <row r="199" spans="1:23" ht="15.75" customHeight="1" x14ac:dyDescent="0.3">
      <c r="A199" s="3"/>
      <c r="B199" s="3"/>
      <c r="C199" s="37"/>
      <c r="D199" s="37"/>
      <c r="E199" s="37"/>
      <c r="F199" s="37"/>
      <c r="G199" s="37"/>
      <c r="H199" s="37"/>
      <c r="I199" s="37"/>
      <c r="J199" s="37"/>
      <c r="K199" s="37"/>
      <c r="L199" s="37"/>
      <c r="M199" s="37"/>
      <c r="N199" s="37"/>
      <c r="O199" s="37"/>
      <c r="P199" s="37"/>
      <c r="Q199" s="37"/>
      <c r="R199" s="37"/>
      <c r="S199" s="37"/>
      <c r="T199" s="37"/>
      <c r="U199" s="37"/>
      <c r="V199" s="44"/>
      <c r="W199" s="41"/>
    </row>
    <row r="200" spans="1:23" ht="15.75" customHeight="1" x14ac:dyDescent="0.3">
      <c r="A200" s="3"/>
      <c r="B200" s="3"/>
      <c r="C200" s="37"/>
      <c r="D200" s="37"/>
      <c r="E200" s="37"/>
      <c r="F200" s="37"/>
      <c r="G200" s="37"/>
      <c r="H200" s="37"/>
      <c r="I200" s="37"/>
      <c r="J200" s="37"/>
      <c r="K200" s="37"/>
      <c r="L200" s="37"/>
      <c r="M200" s="37"/>
      <c r="N200" s="37"/>
      <c r="O200" s="37"/>
      <c r="P200" s="37"/>
      <c r="Q200" s="37"/>
      <c r="R200" s="37"/>
      <c r="S200" s="37"/>
      <c r="T200" s="37"/>
      <c r="U200" s="37"/>
      <c r="V200" s="44"/>
      <c r="W200" s="41"/>
    </row>
    <row r="201" spans="1:23" ht="15.75" customHeight="1" x14ac:dyDescent="0.3">
      <c r="A201" s="3"/>
      <c r="B201" s="3"/>
      <c r="C201" s="37"/>
      <c r="D201" s="37"/>
      <c r="E201" s="37"/>
      <c r="F201" s="37"/>
      <c r="G201" s="37"/>
      <c r="H201" s="37"/>
      <c r="I201" s="37"/>
      <c r="J201" s="37"/>
      <c r="K201" s="37"/>
      <c r="L201" s="37"/>
      <c r="M201" s="37"/>
      <c r="N201" s="37"/>
      <c r="O201" s="37"/>
      <c r="P201" s="37"/>
      <c r="Q201" s="37"/>
      <c r="R201" s="37"/>
      <c r="S201" s="37"/>
      <c r="T201" s="37"/>
      <c r="U201" s="37"/>
      <c r="V201" s="44"/>
      <c r="W201" s="41"/>
    </row>
    <row r="202" spans="1:23" ht="15.75" customHeight="1" x14ac:dyDescent="0.3">
      <c r="A202" s="3"/>
      <c r="B202" s="3"/>
      <c r="C202" s="37"/>
      <c r="D202" s="37"/>
      <c r="E202" s="37"/>
      <c r="F202" s="37"/>
      <c r="G202" s="37"/>
      <c r="H202" s="37"/>
      <c r="I202" s="37"/>
      <c r="J202" s="37"/>
      <c r="K202" s="37"/>
      <c r="L202" s="37"/>
      <c r="M202" s="37"/>
      <c r="N202" s="37"/>
      <c r="O202" s="37"/>
      <c r="P202" s="37"/>
      <c r="Q202" s="37"/>
      <c r="R202" s="37"/>
      <c r="S202" s="37"/>
      <c r="T202" s="37"/>
      <c r="U202" s="37"/>
      <c r="V202" s="44"/>
      <c r="W202" s="41"/>
    </row>
    <row r="203" spans="1:23" ht="15.75" customHeight="1" x14ac:dyDescent="0.3">
      <c r="A203" s="3"/>
      <c r="B203" s="3"/>
      <c r="C203" s="37"/>
      <c r="D203" s="37"/>
      <c r="E203" s="37"/>
      <c r="F203" s="37"/>
      <c r="G203" s="37"/>
      <c r="H203" s="37"/>
      <c r="I203" s="37"/>
      <c r="J203" s="37"/>
      <c r="K203" s="37"/>
      <c r="L203" s="37"/>
      <c r="M203" s="37"/>
      <c r="N203" s="37"/>
      <c r="O203" s="37"/>
      <c r="P203" s="37"/>
      <c r="Q203" s="37"/>
      <c r="R203" s="37"/>
      <c r="S203" s="37"/>
      <c r="T203" s="37"/>
      <c r="U203" s="37"/>
      <c r="V203" s="44"/>
      <c r="W203" s="41"/>
    </row>
    <row r="204" spans="1:23" ht="15.75" customHeight="1" x14ac:dyDescent="0.3">
      <c r="A204" s="3"/>
      <c r="B204" s="3"/>
      <c r="C204" s="37"/>
      <c r="D204" s="37"/>
      <c r="E204" s="37"/>
      <c r="F204" s="37"/>
      <c r="G204" s="37"/>
      <c r="H204" s="37"/>
      <c r="I204" s="37"/>
      <c r="J204" s="37"/>
      <c r="K204" s="37"/>
      <c r="L204" s="37"/>
      <c r="M204" s="37"/>
      <c r="N204" s="37"/>
      <c r="O204" s="37"/>
      <c r="P204" s="37"/>
      <c r="Q204" s="37"/>
      <c r="R204" s="37"/>
      <c r="S204" s="37"/>
      <c r="T204" s="37"/>
      <c r="U204" s="37"/>
      <c r="V204" s="44"/>
      <c r="W204" s="41"/>
    </row>
    <row r="205" spans="1:23" ht="15.75" customHeight="1" x14ac:dyDescent="0.3">
      <c r="A205" s="3"/>
      <c r="B205" s="3"/>
      <c r="C205" s="37"/>
      <c r="D205" s="37"/>
      <c r="E205" s="37"/>
      <c r="F205" s="37"/>
      <c r="G205" s="37"/>
      <c r="H205" s="37"/>
      <c r="I205" s="37"/>
      <c r="J205" s="37"/>
      <c r="K205" s="37"/>
      <c r="L205" s="37"/>
      <c r="M205" s="37"/>
      <c r="N205" s="37"/>
      <c r="O205" s="37"/>
      <c r="P205" s="37"/>
      <c r="Q205" s="37"/>
      <c r="R205" s="37"/>
      <c r="S205" s="37"/>
      <c r="T205" s="37"/>
      <c r="U205" s="37"/>
      <c r="V205" s="44"/>
      <c r="W205" s="41"/>
    </row>
    <row r="206" spans="1:23" ht="15.75" customHeight="1" x14ac:dyDescent="0.3">
      <c r="A206" s="3"/>
      <c r="B206" s="3"/>
      <c r="C206" s="37"/>
      <c r="D206" s="37"/>
      <c r="E206" s="37"/>
      <c r="F206" s="37"/>
      <c r="G206" s="37"/>
      <c r="H206" s="37"/>
      <c r="I206" s="37"/>
      <c r="J206" s="37"/>
      <c r="K206" s="37"/>
      <c r="L206" s="37"/>
      <c r="M206" s="37"/>
      <c r="N206" s="37"/>
      <c r="O206" s="37"/>
      <c r="P206" s="37"/>
      <c r="Q206" s="37"/>
      <c r="R206" s="37"/>
      <c r="S206" s="37"/>
      <c r="T206" s="37"/>
      <c r="U206" s="37"/>
      <c r="V206" s="44"/>
      <c r="W206" s="41"/>
    </row>
    <row r="207" spans="1:23" ht="15.75" customHeight="1" x14ac:dyDescent="0.3">
      <c r="A207" s="3"/>
      <c r="B207" s="3"/>
      <c r="C207" s="37"/>
      <c r="D207" s="37"/>
      <c r="E207" s="37"/>
      <c r="F207" s="37"/>
      <c r="G207" s="37"/>
      <c r="H207" s="37"/>
      <c r="I207" s="37"/>
      <c r="J207" s="37"/>
      <c r="K207" s="37"/>
      <c r="L207" s="37"/>
      <c r="M207" s="37"/>
      <c r="N207" s="37"/>
      <c r="O207" s="37"/>
      <c r="P207" s="37"/>
      <c r="Q207" s="37"/>
      <c r="R207" s="37"/>
      <c r="S207" s="37"/>
      <c r="T207" s="37"/>
      <c r="U207" s="37"/>
      <c r="V207" s="44"/>
      <c r="W207" s="41"/>
    </row>
    <row r="208" spans="1:23" ht="15.75" customHeight="1" x14ac:dyDescent="0.3">
      <c r="A208" s="3"/>
      <c r="B208" s="3"/>
      <c r="C208" s="37"/>
      <c r="D208" s="37"/>
      <c r="E208" s="37"/>
      <c r="F208" s="37"/>
      <c r="G208" s="37"/>
      <c r="H208" s="37"/>
      <c r="I208" s="37"/>
      <c r="J208" s="37"/>
      <c r="K208" s="37"/>
      <c r="L208" s="37"/>
      <c r="M208" s="37"/>
      <c r="N208" s="37"/>
      <c r="O208" s="37"/>
      <c r="P208" s="37"/>
      <c r="Q208" s="37"/>
      <c r="R208" s="37"/>
      <c r="S208" s="37"/>
      <c r="T208" s="37"/>
      <c r="U208" s="37"/>
      <c r="V208" s="44"/>
      <c r="W208" s="41"/>
    </row>
    <row r="209" spans="1:23" ht="15.75" customHeight="1" x14ac:dyDescent="0.3">
      <c r="A209" s="3"/>
      <c r="B209" s="3"/>
      <c r="C209" s="37"/>
      <c r="D209" s="37"/>
      <c r="E209" s="37"/>
      <c r="F209" s="37"/>
      <c r="G209" s="37"/>
      <c r="H209" s="37"/>
      <c r="I209" s="37"/>
      <c r="J209" s="37"/>
      <c r="K209" s="37"/>
      <c r="L209" s="37"/>
      <c r="M209" s="37"/>
      <c r="N209" s="37"/>
      <c r="O209" s="37"/>
      <c r="P209" s="37"/>
      <c r="Q209" s="37"/>
      <c r="R209" s="37"/>
      <c r="S209" s="37"/>
      <c r="T209" s="37"/>
      <c r="U209" s="37"/>
      <c r="V209" s="44"/>
      <c r="W209" s="41"/>
    </row>
    <row r="210" spans="1:23" ht="15.75" customHeight="1" x14ac:dyDescent="0.3">
      <c r="A210" s="3"/>
      <c r="B210" s="3"/>
      <c r="C210" s="37"/>
      <c r="D210" s="37"/>
      <c r="E210" s="37"/>
      <c r="F210" s="37"/>
      <c r="G210" s="37"/>
      <c r="H210" s="37"/>
      <c r="I210" s="37"/>
      <c r="J210" s="37"/>
      <c r="K210" s="37"/>
      <c r="L210" s="37"/>
      <c r="M210" s="37"/>
      <c r="N210" s="37"/>
      <c r="O210" s="37"/>
      <c r="P210" s="37"/>
      <c r="Q210" s="37"/>
      <c r="R210" s="37"/>
      <c r="S210" s="37"/>
      <c r="T210" s="37"/>
      <c r="U210" s="37"/>
      <c r="V210" s="44"/>
      <c r="W210" s="41"/>
    </row>
    <row r="211" spans="1:23" ht="15.75" customHeight="1" x14ac:dyDescent="0.3">
      <c r="A211" s="3"/>
      <c r="B211" s="3"/>
      <c r="C211" s="37"/>
      <c r="D211" s="37"/>
      <c r="E211" s="37"/>
      <c r="F211" s="37"/>
      <c r="G211" s="37"/>
      <c r="H211" s="37"/>
      <c r="I211" s="37"/>
      <c r="J211" s="37"/>
      <c r="K211" s="37"/>
      <c r="L211" s="37"/>
      <c r="M211" s="37"/>
      <c r="N211" s="37"/>
      <c r="O211" s="37"/>
      <c r="P211" s="37"/>
      <c r="Q211" s="37"/>
      <c r="R211" s="37"/>
      <c r="S211" s="37"/>
      <c r="T211" s="37"/>
      <c r="U211" s="37"/>
      <c r="V211" s="44"/>
      <c r="W211" s="41"/>
    </row>
    <row r="212" spans="1:23" ht="15.75" customHeight="1" x14ac:dyDescent="0.3">
      <c r="A212" s="3"/>
      <c r="B212" s="3"/>
      <c r="C212" s="37"/>
      <c r="D212" s="37"/>
      <c r="E212" s="37"/>
      <c r="F212" s="37"/>
      <c r="G212" s="37"/>
      <c r="H212" s="37"/>
      <c r="I212" s="37"/>
      <c r="J212" s="37"/>
      <c r="K212" s="37"/>
      <c r="L212" s="37"/>
      <c r="M212" s="37"/>
      <c r="N212" s="37"/>
      <c r="O212" s="37"/>
      <c r="P212" s="37"/>
      <c r="Q212" s="37"/>
      <c r="R212" s="37"/>
      <c r="S212" s="37"/>
      <c r="T212" s="37"/>
      <c r="U212" s="37"/>
      <c r="V212" s="44"/>
      <c r="W212" s="41"/>
    </row>
    <row r="213" spans="1:23" ht="15.75" customHeight="1" x14ac:dyDescent="0.3">
      <c r="A213" s="3"/>
      <c r="B213" s="3"/>
      <c r="C213" s="37"/>
      <c r="D213" s="37"/>
      <c r="E213" s="37"/>
      <c r="F213" s="37"/>
      <c r="G213" s="37"/>
      <c r="H213" s="37"/>
      <c r="I213" s="37"/>
      <c r="J213" s="37"/>
      <c r="K213" s="37"/>
      <c r="L213" s="37"/>
      <c r="M213" s="37"/>
      <c r="N213" s="37"/>
      <c r="O213" s="37"/>
      <c r="P213" s="37"/>
      <c r="Q213" s="37"/>
      <c r="R213" s="37"/>
      <c r="S213" s="37"/>
      <c r="T213" s="37"/>
      <c r="U213" s="37"/>
      <c r="V213" s="44"/>
      <c r="W213" s="41"/>
    </row>
    <row r="214" spans="1:23" ht="15.75" customHeight="1" x14ac:dyDescent="0.3">
      <c r="A214" s="3"/>
      <c r="B214" s="3"/>
      <c r="C214" s="37"/>
      <c r="D214" s="37"/>
      <c r="E214" s="37"/>
      <c r="F214" s="37"/>
      <c r="G214" s="37"/>
      <c r="H214" s="37"/>
      <c r="I214" s="37"/>
      <c r="J214" s="37"/>
      <c r="K214" s="37"/>
      <c r="L214" s="37"/>
      <c r="M214" s="37"/>
      <c r="N214" s="37"/>
      <c r="O214" s="37"/>
      <c r="P214" s="37"/>
      <c r="Q214" s="37"/>
      <c r="R214" s="37"/>
      <c r="S214" s="37"/>
      <c r="T214" s="37"/>
      <c r="U214" s="37"/>
      <c r="V214" s="44"/>
      <c r="W214" s="41"/>
    </row>
    <row r="215" spans="1:23" ht="15.75" customHeight="1" x14ac:dyDescent="0.3">
      <c r="A215" s="3"/>
      <c r="B215" s="3"/>
      <c r="C215" s="37"/>
      <c r="D215" s="37"/>
      <c r="E215" s="37"/>
      <c r="F215" s="37"/>
      <c r="G215" s="37"/>
      <c r="H215" s="37"/>
      <c r="I215" s="37"/>
      <c r="J215" s="37"/>
      <c r="K215" s="37"/>
      <c r="L215" s="37"/>
      <c r="M215" s="37"/>
      <c r="N215" s="37"/>
      <c r="O215" s="37"/>
      <c r="P215" s="37"/>
      <c r="Q215" s="37"/>
      <c r="R215" s="37"/>
      <c r="S215" s="37"/>
      <c r="T215" s="37"/>
      <c r="U215" s="37"/>
      <c r="V215" s="44"/>
      <c r="W215" s="41"/>
    </row>
    <row r="216" spans="1:23" ht="15.75" customHeight="1" x14ac:dyDescent="0.3">
      <c r="A216" s="3"/>
      <c r="B216" s="3"/>
      <c r="C216" s="37"/>
      <c r="D216" s="37"/>
      <c r="E216" s="37"/>
      <c r="F216" s="37"/>
      <c r="G216" s="37"/>
      <c r="H216" s="37"/>
      <c r="I216" s="37"/>
      <c r="J216" s="37"/>
      <c r="K216" s="37"/>
      <c r="L216" s="37"/>
      <c r="M216" s="37"/>
      <c r="N216" s="37"/>
      <c r="O216" s="37"/>
      <c r="P216" s="37"/>
      <c r="Q216" s="37"/>
      <c r="R216" s="37"/>
      <c r="S216" s="37"/>
      <c r="T216" s="37"/>
      <c r="U216" s="37"/>
      <c r="V216" s="44"/>
      <c r="W216" s="41"/>
    </row>
    <row r="217" spans="1:23" ht="15.75" customHeight="1" x14ac:dyDescent="0.3">
      <c r="A217" s="3"/>
      <c r="B217" s="3"/>
      <c r="C217" s="37"/>
      <c r="D217" s="37"/>
      <c r="E217" s="37"/>
      <c r="F217" s="37"/>
      <c r="G217" s="37"/>
      <c r="H217" s="37"/>
      <c r="I217" s="37"/>
      <c r="J217" s="37"/>
      <c r="K217" s="37"/>
      <c r="L217" s="37"/>
      <c r="M217" s="37"/>
      <c r="N217" s="37"/>
      <c r="O217" s="37"/>
      <c r="P217" s="37"/>
      <c r="Q217" s="37"/>
      <c r="R217" s="37"/>
      <c r="S217" s="37"/>
      <c r="T217" s="37"/>
      <c r="U217" s="37"/>
      <c r="V217" s="44"/>
      <c r="W217" s="41"/>
    </row>
    <row r="218" spans="1:23" ht="15.75" customHeight="1" x14ac:dyDescent="0.3">
      <c r="A218" s="3"/>
      <c r="B218" s="3"/>
      <c r="C218" s="37"/>
      <c r="D218" s="37"/>
      <c r="E218" s="37"/>
      <c r="F218" s="37"/>
      <c r="G218" s="37"/>
      <c r="H218" s="37"/>
      <c r="I218" s="37"/>
      <c r="J218" s="37"/>
      <c r="K218" s="37"/>
      <c r="L218" s="37"/>
      <c r="M218" s="37"/>
      <c r="N218" s="37"/>
      <c r="O218" s="37"/>
      <c r="P218" s="37"/>
      <c r="Q218" s="37"/>
      <c r="R218" s="37"/>
      <c r="S218" s="37"/>
      <c r="T218" s="37"/>
      <c r="U218" s="37"/>
      <c r="V218" s="44"/>
      <c r="W218" s="41"/>
    </row>
    <row r="219" spans="1:23" ht="15.75" customHeight="1" x14ac:dyDescent="0.3">
      <c r="A219" s="3"/>
      <c r="B219" s="3"/>
      <c r="C219" s="37"/>
      <c r="D219" s="37"/>
      <c r="E219" s="37"/>
      <c r="F219" s="37"/>
      <c r="G219" s="37"/>
      <c r="H219" s="37"/>
      <c r="I219" s="37"/>
      <c r="J219" s="37"/>
      <c r="K219" s="37"/>
      <c r="L219" s="37"/>
      <c r="M219" s="37"/>
      <c r="N219" s="37"/>
      <c r="O219" s="37"/>
      <c r="P219" s="37"/>
      <c r="Q219" s="37"/>
      <c r="R219" s="37"/>
      <c r="S219" s="37"/>
      <c r="T219" s="37"/>
      <c r="U219" s="37"/>
      <c r="V219" s="44"/>
      <c r="W219" s="41"/>
    </row>
    <row r="220" spans="1:23" ht="15.75" customHeight="1" x14ac:dyDescent="0.3">
      <c r="A220" s="3"/>
      <c r="B220" s="3"/>
      <c r="C220" s="37"/>
      <c r="D220" s="37"/>
      <c r="E220" s="37"/>
      <c r="F220" s="37"/>
      <c r="G220" s="37"/>
      <c r="H220" s="37"/>
      <c r="I220" s="37"/>
      <c r="J220" s="37"/>
      <c r="K220" s="37"/>
      <c r="L220" s="37"/>
      <c r="M220" s="37"/>
      <c r="N220" s="37"/>
      <c r="O220" s="37"/>
      <c r="P220" s="37"/>
      <c r="Q220" s="37"/>
      <c r="R220" s="37"/>
      <c r="S220" s="37"/>
      <c r="T220" s="37"/>
      <c r="U220" s="37"/>
      <c r="V220" s="44"/>
      <c r="W220" s="41"/>
    </row>
    <row r="221" spans="1:23" ht="15.75" customHeight="1" x14ac:dyDescent="0.3">
      <c r="A221" s="3"/>
      <c r="B221" s="3"/>
      <c r="C221" s="37"/>
      <c r="D221" s="37"/>
      <c r="E221" s="37"/>
      <c r="F221" s="37"/>
      <c r="G221" s="37"/>
      <c r="H221" s="37"/>
      <c r="I221" s="37"/>
      <c r="J221" s="37"/>
      <c r="K221" s="37"/>
      <c r="L221" s="37"/>
      <c r="M221" s="37"/>
      <c r="N221" s="37"/>
      <c r="O221" s="37"/>
      <c r="P221" s="37"/>
      <c r="Q221" s="37"/>
      <c r="R221" s="37"/>
      <c r="S221" s="37"/>
      <c r="T221" s="37"/>
      <c r="U221" s="37"/>
      <c r="V221" s="44"/>
      <c r="W221" s="41"/>
    </row>
    <row r="222" spans="1:23" ht="15.75" customHeight="1" x14ac:dyDescent="0.3">
      <c r="A222" s="3"/>
      <c r="B222" s="3"/>
      <c r="C222" s="37"/>
      <c r="D222" s="37"/>
      <c r="E222" s="37"/>
      <c r="F222" s="37"/>
      <c r="G222" s="37"/>
      <c r="H222" s="37"/>
      <c r="I222" s="37"/>
      <c r="J222" s="37"/>
      <c r="K222" s="37"/>
      <c r="L222" s="37"/>
      <c r="M222" s="37"/>
      <c r="N222" s="37"/>
      <c r="O222" s="37"/>
      <c r="P222" s="37"/>
      <c r="Q222" s="37"/>
      <c r="R222" s="37"/>
      <c r="S222" s="37"/>
      <c r="T222" s="37"/>
      <c r="U222" s="37"/>
      <c r="V222" s="44"/>
      <c r="W222" s="41"/>
    </row>
    <row r="223" spans="1:23" ht="15.75" customHeight="1" x14ac:dyDescent="0.3">
      <c r="A223" s="3"/>
      <c r="B223" s="3"/>
      <c r="C223" s="37"/>
      <c r="D223" s="37"/>
      <c r="E223" s="37"/>
      <c r="F223" s="37"/>
      <c r="G223" s="37"/>
      <c r="H223" s="37"/>
      <c r="I223" s="37"/>
      <c r="J223" s="37"/>
      <c r="K223" s="37"/>
      <c r="L223" s="37"/>
      <c r="M223" s="37"/>
      <c r="N223" s="37"/>
      <c r="O223" s="37"/>
      <c r="P223" s="37"/>
      <c r="Q223" s="37"/>
      <c r="R223" s="37"/>
      <c r="S223" s="37"/>
      <c r="T223" s="37"/>
      <c r="U223" s="37"/>
      <c r="V223" s="44"/>
      <c r="W223" s="41"/>
    </row>
    <row r="224" spans="1:23" ht="15.75" customHeight="1" x14ac:dyDescent="0.3">
      <c r="A224" s="3"/>
      <c r="B224" s="3"/>
      <c r="C224" s="37"/>
      <c r="D224" s="37"/>
      <c r="E224" s="37"/>
      <c r="F224" s="37"/>
      <c r="G224" s="37"/>
      <c r="H224" s="37"/>
      <c r="I224" s="37"/>
      <c r="J224" s="37"/>
      <c r="K224" s="37"/>
      <c r="L224" s="37"/>
      <c r="M224" s="37"/>
      <c r="N224" s="37"/>
      <c r="O224" s="37"/>
      <c r="P224" s="37"/>
      <c r="Q224" s="37"/>
      <c r="R224" s="37"/>
      <c r="S224" s="37"/>
      <c r="T224" s="37"/>
      <c r="U224" s="37"/>
      <c r="V224" s="44"/>
      <c r="W224" s="41"/>
    </row>
    <row r="225" spans="1:23" ht="15.75" customHeight="1" x14ac:dyDescent="0.3">
      <c r="A225" s="3"/>
      <c r="B225" s="3"/>
      <c r="C225" s="37"/>
      <c r="D225" s="37"/>
      <c r="E225" s="37"/>
      <c r="F225" s="37"/>
      <c r="G225" s="37"/>
      <c r="H225" s="37"/>
      <c r="I225" s="37"/>
      <c r="J225" s="37"/>
      <c r="K225" s="37"/>
      <c r="L225" s="37"/>
      <c r="M225" s="37"/>
      <c r="N225" s="37"/>
      <c r="O225" s="37"/>
      <c r="P225" s="37"/>
      <c r="Q225" s="37"/>
      <c r="R225" s="37"/>
      <c r="S225" s="37"/>
      <c r="T225" s="37"/>
      <c r="U225" s="37"/>
      <c r="V225" s="44"/>
      <c r="W225" s="41"/>
    </row>
    <row r="226" spans="1:23" ht="15.75" customHeight="1" x14ac:dyDescent="0.3">
      <c r="A226" s="3"/>
      <c r="B226" s="3"/>
      <c r="C226" s="37"/>
      <c r="D226" s="37"/>
      <c r="E226" s="37"/>
      <c r="F226" s="37"/>
      <c r="G226" s="37"/>
      <c r="H226" s="37"/>
      <c r="I226" s="37"/>
      <c r="J226" s="37"/>
      <c r="K226" s="37"/>
      <c r="L226" s="37"/>
      <c r="M226" s="37"/>
      <c r="N226" s="37"/>
      <c r="O226" s="37"/>
      <c r="P226" s="37"/>
      <c r="Q226" s="37"/>
      <c r="R226" s="37"/>
      <c r="S226" s="37"/>
      <c r="T226" s="37"/>
      <c r="U226" s="37"/>
      <c r="V226" s="44"/>
      <c r="W226" s="41"/>
    </row>
    <row r="227" spans="1:23" ht="15.75" customHeight="1" x14ac:dyDescent="0.3">
      <c r="A227" s="3"/>
      <c r="B227" s="3"/>
      <c r="C227" s="37"/>
      <c r="D227" s="37"/>
      <c r="E227" s="37"/>
      <c r="F227" s="37"/>
      <c r="G227" s="37"/>
      <c r="H227" s="37"/>
      <c r="I227" s="37"/>
      <c r="J227" s="37"/>
      <c r="K227" s="37"/>
      <c r="L227" s="37"/>
      <c r="M227" s="37"/>
      <c r="N227" s="37"/>
      <c r="O227" s="37"/>
      <c r="P227" s="37"/>
      <c r="Q227" s="37"/>
      <c r="R227" s="37"/>
      <c r="S227" s="37"/>
      <c r="T227" s="37"/>
      <c r="U227" s="37"/>
      <c r="V227" s="44"/>
      <c r="W227" s="41"/>
    </row>
    <row r="228" spans="1:23" ht="15.75" customHeight="1" x14ac:dyDescent="0.3">
      <c r="A228" s="3"/>
      <c r="B228" s="3"/>
      <c r="C228" s="37"/>
      <c r="D228" s="37"/>
      <c r="E228" s="37"/>
      <c r="F228" s="37"/>
      <c r="G228" s="37"/>
      <c r="H228" s="37"/>
      <c r="I228" s="37"/>
      <c r="J228" s="37"/>
      <c r="K228" s="37"/>
      <c r="L228" s="37"/>
      <c r="M228" s="37"/>
      <c r="N228" s="37"/>
      <c r="O228" s="37"/>
      <c r="P228" s="37"/>
      <c r="Q228" s="37"/>
      <c r="R228" s="37"/>
      <c r="S228" s="37"/>
      <c r="T228" s="37"/>
      <c r="U228" s="37"/>
      <c r="V228" s="44"/>
      <c r="W228" s="41"/>
    </row>
    <row r="229" spans="1:23" ht="15.75" customHeight="1" x14ac:dyDescent="0.3">
      <c r="A229" s="3"/>
      <c r="B229" s="3"/>
      <c r="C229" s="37"/>
      <c r="D229" s="37"/>
      <c r="E229" s="37"/>
      <c r="F229" s="37"/>
      <c r="G229" s="37"/>
      <c r="H229" s="37"/>
      <c r="I229" s="37"/>
      <c r="J229" s="37"/>
      <c r="K229" s="37"/>
      <c r="L229" s="37"/>
      <c r="M229" s="37"/>
      <c r="N229" s="37"/>
      <c r="O229" s="37"/>
      <c r="P229" s="37"/>
      <c r="Q229" s="37"/>
      <c r="R229" s="37"/>
      <c r="S229" s="37"/>
      <c r="T229" s="37"/>
      <c r="U229" s="37"/>
      <c r="V229" s="44"/>
      <c r="W229" s="41"/>
    </row>
    <row r="230" spans="1:23" ht="15.75" customHeight="1" x14ac:dyDescent="0.3">
      <c r="A230" s="3"/>
      <c r="B230" s="3"/>
      <c r="C230" s="37"/>
      <c r="D230" s="37"/>
      <c r="E230" s="37"/>
      <c r="F230" s="37"/>
      <c r="G230" s="37"/>
      <c r="H230" s="37"/>
      <c r="I230" s="37"/>
      <c r="J230" s="37"/>
      <c r="K230" s="37"/>
      <c r="L230" s="37"/>
      <c r="M230" s="37"/>
      <c r="N230" s="37"/>
      <c r="O230" s="37"/>
      <c r="P230" s="37"/>
      <c r="Q230" s="37"/>
      <c r="R230" s="37"/>
      <c r="S230" s="37"/>
      <c r="T230" s="37"/>
      <c r="U230" s="37"/>
      <c r="V230" s="44"/>
      <c r="W230" s="41"/>
    </row>
    <row r="231" spans="1:23" ht="15.75" customHeight="1" x14ac:dyDescent="0.3">
      <c r="A231" s="3"/>
      <c r="B231" s="3"/>
      <c r="C231" s="37"/>
      <c r="D231" s="37"/>
      <c r="E231" s="37"/>
      <c r="F231" s="37"/>
      <c r="G231" s="37"/>
      <c r="H231" s="37"/>
      <c r="I231" s="37"/>
      <c r="J231" s="37"/>
      <c r="K231" s="37"/>
      <c r="L231" s="37"/>
      <c r="M231" s="37"/>
      <c r="N231" s="37"/>
      <c r="O231" s="37"/>
      <c r="P231" s="37"/>
      <c r="Q231" s="37"/>
      <c r="R231" s="37"/>
      <c r="S231" s="37"/>
      <c r="T231" s="37"/>
      <c r="U231" s="37"/>
      <c r="V231" s="44"/>
      <c r="W231" s="41"/>
    </row>
    <row r="232" spans="1:23" ht="15.75" customHeight="1" x14ac:dyDescent="0.3">
      <c r="A232" s="3"/>
      <c r="B232" s="3"/>
      <c r="C232" s="37"/>
      <c r="D232" s="37"/>
      <c r="E232" s="37"/>
      <c r="F232" s="37"/>
      <c r="G232" s="37"/>
      <c r="H232" s="37"/>
      <c r="I232" s="37"/>
      <c r="J232" s="37"/>
      <c r="K232" s="37"/>
      <c r="L232" s="37"/>
      <c r="M232" s="37"/>
      <c r="N232" s="37"/>
      <c r="O232" s="37"/>
      <c r="P232" s="37"/>
      <c r="Q232" s="37"/>
      <c r="R232" s="37"/>
      <c r="S232" s="37"/>
      <c r="T232" s="37"/>
      <c r="U232" s="37"/>
      <c r="V232" s="44"/>
      <c r="W232" s="41"/>
    </row>
    <row r="233" spans="1:23" ht="15.75" customHeight="1" x14ac:dyDescent="0.3">
      <c r="A233" s="3"/>
      <c r="B233" s="3"/>
      <c r="C233" s="37"/>
      <c r="D233" s="37"/>
      <c r="E233" s="37"/>
      <c r="F233" s="37"/>
      <c r="G233" s="37"/>
      <c r="H233" s="37"/>
      <c r="I233" s="37"/>
      <c r="J233" s="37"/>
      <c r="K233" s="37"/>
      <c r="L233" s="37"/>
      <c r="M233" s="37"/>
      <c r="N233" s="37"/>
      <c r="O233" s="37"/>
      <c r="P233" s="37"/>
      <c r="Q233" s="37"/>
      <c r="R233" s="37"/>
      <c r="S233" s="37"/>
      <c r="T233" s="37"/>
      <c r="U233" s="37"/>
      <c r="V233" s="44"/>
      <c r="W233" s="41"/>
    </row>
    <row r="234" spans="1:23" ht="15.75" customHeight="1" x14ac:dyDescent="0.3">
      <c r="A234" s="3"/>
      <c r="B234" s="3"/>
      <c r="C234" s="37"/>
      <c r="D234" s="37"/>
      <c r="E234" s="37"/>
      <c r="F234" s="37"/>
      <c r="G234" s="37"/>
      <c r="H234" s="37"/>
      <c r="I234" s="37"/>
      <c r="J234" s="37"/>
      <c r="K234" s="37"/>
      <c r="L234" s="37"/>
      <c r="M234" s="37"/>
      <c r="N234" s="37"/>
      <c r="O234" s="37"/>
      <c r="P234" s="37"/>
      <c r="Q234" s="37"/>
      <c r="R234" s="37"/>
      <c r="S234" s="37"/>
      <c r="T234" s="37"/>
      <c r="U234" s="37"/>
      <c r="V234" s="44"/>
      <c r="W234" s="41"/>
    </row>
    <row r="235" spans="1:23" ht="15.75" customHeight="1" x14ac:dyDescent="0.3">
      <c r="A235" s="3"/>
      <c r="B235" s="3"/>
      <c r="C235" s="37"/>
      <c r="D235" s="37"/>
      <c r="E235" s="37"/>
      <c r="F235" s="37"/>
      <c r="G235" s="37"/>
      <c r="H235" s="37"/>
      <c r="I235" s="37"/>
      <c r="J235" s="37"/>
      <c r="K235" s="37"/>
      <c r="L235" s="37"/>
      <c r="M235" s="37"/>
      <c r="N235" s="37"/>
      <c r="O235" s="37"/>
      <c r="P235" s="37"/>
      <c r="Q235" s="37"/>
      <c r="R235" s="37"/>
      <c r="S235" s="37"/>
      <c r="T235" s="37"/>
      <c r="U235" s="37"/>
      <c r="V235" s="44"/>
      <c r="W235" s="41"/>
    </row>
    <row r="236" spans="1:23" ht="15.75" customHeight="1" x14ac:dyDescent="0.3">
      <c r="A236" s="3"/>
      <c r="B236" s="3"/>
      <c r="C236" s="37"/>
      <c r="D236" s="37"/>
      <c r="E236" s="37"/>
      <c r="F236" s="37"/>
      <c r="G236" s="37"/>
      <c r="H236" s="37"/>
      <c r="I236" s="37"/>
      <c r="J236" s="37"/>
      <c r="K236" s="37"/>
      <c r="L236" s="37"/>
      <c r="M236" s="37"/>
      <c r="N236" s="37"/>
      <c r="O236" s="37"/>
      <c r="P236" s="37"/>
      <c r="Q236" s="37"/>
      <c r="R236" s="37"/>
      <c r="S236" s="37"/>
      <c r="T236" s="37"/>
      <c r="U236" s="37"/>
      <c r="V236" s="44"/>
      <c r="W236" s="41"/>
    </row>
    <row r="237" spans="1:23" ht="15.75" customHeight="1" x14ac:dyDescent="0.3">
      <c r="A237" s="3"/>
      <c r="B237" s="3"/>
      <c r="C237" s="37"/>
      <c r="D237" s="37"/>
      <c r="E237" s="37"/>
      <c r="F237" s="37"/>
      <c r="G237" s="37"/>
      <c r="H237" s="37"/>
      <c r="I237" s="37"/>
      <c r="J237" s="37"/>
      <c r="K237" s="37"/>
      <c r="L237" s="37"/>
      <c r="M237" s="37"/>
      <c r="N237" s="37"/>
      <c r="O237" s="37"/>
      <c r="P237" s="37"/>
      <c r="Q237" s="37"/>
      <c r="R237" s="37"/>
      <c r="S237" s="37"/>
      <c r="T237" s="37"/>
      <c r="U237" s="37"/>
      <c r="V237" s="44"/>
      <c r="W237" s="41"/>
    </row>
    <row r="238" spans="1:23" ht="15.75" customHeight="1" x14ac:dyDescent="0.3">
      <c r="A238" s="3"/>
      <c r="B238" s="3"/>
      <c r="C238" s="37"/>
      <c r="D238" s="37"/>
      <c r="E238" s="37"/>
      <c r="F238" s="37"/>
      <c r="G238" s="37"/>
      <c r="H238" s="37"/>
      <c r="I238" s="37"/>
      <c r="J238" s="37"/>
      <c r="K238" s="37"/>
      <c r="L238" s="37"/>
      <c r="M238" s="37"/>
      <c r="N238" s="37"/>
      <c r="O238" s="37"/>
      <c r="P238" s="37"/>
      <c r="Q238" s="37"/>
      <c r="R238" s="37"/>
      <c r="S238" s="37"/>
      <c r="T238" s="37"/>
      <c r="U238" s="37"/>
      <c r="V238" s="44"/>
      <c r="W238" s="41"/>
    </row>
    <row r="239" spans="1:23" ht="15.75" customHeight="1" x14ac:dyDescent="0.3">
      <c r="A239" s="3"/>
      <c r="B239" s="3"/>
      <c r="C239" s="37"/>
      <c r="D239" s="37"/>
      <c r="E239" s="37"/>
      <c r="F239" s="37"/>
      <c r="G239" s="37"/>
      <c r="H239" s="37"/>
      <c r="I239" s="37"/>
      <c r="J239" s="37"/>
      <c r="K239" s="37"/>
      <c r="L239" s="37"/>
      <c r="M239" s="37"/>
      <c r="N239" s="37"/>
      <c r="O239" s="37"/>
      <c r="P239" s="37"/>
      <c r="Q239" s="37"/>
      <c r="R239" s="37"/>
      <c r="S239" s="37"/>
      <c r="T239" s="37"/>
      <c r="U239" s="37"/>
      <c r="V239" s="44"/>
      <c r="W239" s="41"/>
    </row>
    <row r="240" spans="1:23" ht="15.75" customHeight="1" x14ac:dyDescent="0.3">
      <c r="A240" s="3"/>
      <c r="B240" s="3"/>
      <c r="C240" s="37"/>
      <c r="D240" s="37"/>
      <c r="E240" s="37"/>
      <c r="F240" s="37"/>
      <c r="G240" s="37"/>
      <c r="H240" s="37"/>
      <c r="I240" s="37"/>
      <c r="J240" s="37"/>
      <c r="K240" s="37"/>
      <c r="L240" s="37"/>
      <c r="M240" s="37"/>
      <c r="N240" s="37"/>
      <c r="O240" s="37"/>
      <c r="P240" s="37"/>
      <c r="Q240" s="37"/>
      <c r="R240" s="37"/>
      <c r="S240" s="37"/>
      <c r="T240" s="37"/>
      <c r="U240" s="37"/>
      <c r="V240" s="44"/>
      <c r="W240" s="41"/>
    </row>
    <row r="241" spans="1:23" ht="15.75" customHeight="1" x14ac:dyDescent="0.3">
      <c r="A241" s="3"/>
      <c r="B241" s="3"/>
      <c r="C241" s="37"/>
      <c r="D241" s="37"/>
      <c r="E241" s="37"/>
      <c r="F241" s="37"/>
      <c r="G241" s="37"/>
      <c r="H241" s="37"/>
      <c r="I241" s="37"/>
      <c r="J241" s="37"/>
      <c r="K241" s="37"/>
      <c r="L241" s="37"/>
      <c r="M241" s="37"/>
      <c r="N241" s="37"/>
      <c r="O241" s="37"/>
      <c r="P241" s="37"/>
      <c r="Q241" s="37"/>
      <c r="R241" s="37"/>
      <c r="S241" s="37"/>
      <c r="T241" s="37"/>
      <c r="U241" s="37"/>
      <c r="V241" s="44"/>
      <c r="W241" s="41"/>
    </row>
    <row r="242" spans="1:23" ht="15.75" customHeight="1" x14ac:dyDescent="0.3">
      <c r="A242" s="3"/>
      <c r="B242" s="3"/>
      <c r="C242" s="37"/>
      <c r="D242" s="37"/>
      <c r="E242" s="37"/>
      <c r="F242" s="37"/>
      <c r="G242" s="37"/>
      <c r="H242" s="37"/>
      <c r="I242" s="37"/>
      <c r="J242" s="37"/>
      <c r="K242" s="37"/>
      <c r="L242" s="37"/>
      <c r="M242" s="37"/>
      <c r="N242" s="37"/>
      <c r="O242" s="37"/>
      <c r="P242" s="37"/>
      <c r="Q242" s="37"/>
      <c r="R242" s="37"/>
      <c r="S242" s="37"/>
      <c r="T242" s="37"/>
      <c r="U242" s="37"/>
      <c r="V242" s="44"/>
      <c r="W242" s="41"/>
    </row>
    <row r="243" spans="1:23" ht="15.75" customHeight="1" x14ac:dyDescent="0.3">
      <c r="A243" s="3"/>
      <c r="B243" s="3"/>
      <c r="C243" s="37"/>
      <c r="D243" s="37"/>
      <c r="E243" s="37"/>
      <c r="F243" s="37"/>
      <c r="G243" s="37"/>
      <c r="H243" s="37"/>
      <c r="I243" s="37"/>
      <c r="J243" s="37"/>
      <c r="K243" s="37"/>
      <c r="L243" s="37"/>
      <c r="M243" s="37"/>
      <c r="N243" s="37"/>
      <c r="O243" s="37"/>
      <c r="P243" s="37"/>
      <c r="Q243" s="37"/>
      <c r="R243" s="37"/>
      <c r="S243" s="37"/>
      <c r="T243" s="37"/>
      <c r="U243" s="37"/>
      <c r="V243" s="44"/>
      <c r="W243" s="41"/>
    </row>
    <row r="244" spans="1:23" ht="15.75" customHeight="1" x14ac:dyDescent="0.3">
      <c r="A244" s="3"/>
      <c r="B244" s="3"/>
      <c r="C244" s="37"/>
      <c r="D244" s="37"/>
      <c r="E244" s="37"/>
      <c r="F244" s="37"/>
      <c r="G244" s="37"/>
      <c r="H244" s="37"/>
      <c r="I244" s="37"/>
      <c r="J244" s="37"/>
      <c r="K244" s="37"/>
      <c r="L244" s="37"/>
      <c r="M244" s="37"/>
      <c r="N244" s="37"/>
      <c r="O244" s="37"/>
      <c r="P244" s="37"/>
      <c r="Q244" s="37"/>
      <c r="R244" s="37"/>
      <c r="S244" s="37"/>
      <c r="T244" s="37"/>
      <c r="U244" s="37"/>
      <c r="V244" s="44"/>
      <c r="W244" s="41"/>
    </row>
    <row r="245" spans="1:23" ht="15.75" customHeight="1" x14ac:dyDescent="0.3">
      <c r="A245" s="3"/>
      <c r="B245" s="3"/>
      <c r="C245" s="37"/>
      <c r="D245" s="37"/>
      <c r="E245" s="37"/>
      <c r="F245" s="37"/>
      <c r="G245" s="37"/>
      <c r="H245" s="37"/>
      <c r="I245" s="37"/>
      <c r="J245" s="37"/>
      <c r="K245" s="37"/>
      <c r="L245" s="37"/>
      <c r="M245" s="37"/>
      <c r="N245" s="37"/>
      <c r="O245" s="37"/>
      <c r="P245" s="37"/>
      <c r="Q245" s="37"/>
      <c r="R245" s="37"/>
      <c r="S245" s="37"/>
      <c r="T245" s="37"/>
      <c r="U245" s="37"/>
      <c r="V245" s="44"/>
      <c r="W245" s="41"/>
    </row>
    <row r="246" spans="1:23" ht="15.75" customHeight="1" x14ac:dyDescent="0.3">
      <c r="A246" s="3"/>
      <c r="B246" s="3"/>
      <c r="C246" s="37"/>
      <c r="D246" s="37"/>
      <c r="E246" s="37"/>
      <c r="F246" s="37"/>
      <c r="G246" s="37"/>
      <c r="H246" s="37"/>
      <c r="I246" s="37"/>
      <c r="J246" s="37"/>
      <c r="K246" s="37"/>
      <c r="L246" s="37"/>
      <c r="M246" s="37"/>
      <c r="N246" s="37"/>
      <c r="O246" s="37"/>
      <c r="P246" s="37"/>
      <c r="Q246" s="37"/>
      <c r="R246" s="37"/>
      <c r="S246" s="37"/>
      <c r="T246" s="37"/>
      <c r="U246" s="37"/>
      <c r="V246" s="44"/>
      <c r="W246" s="41"/>
    </row>
    <row r="247" spans="1:23" ht="15.75" customHeight="1" x14ac:dyDescent="0.3">
      <c r="A247" s="3"/>
      <c r="B247" s="3"/>
      <c r="C247" s="37"/>
      <c r="D247" s="37"/>
      <c r="E247" s="37"/>
      <c r="F247" s="37"/>
      <c r="G247" s="37"/>
      <c r="H247" s="37"/>
      <c r="I247" s="37"/>
      <c r="J247" s="37"/>
      <c r="K247" s="37"/>
      <c r="L247" s="37"/>
      <c r="M247" s="37"/>
      <c r="N247" s="37"/>
      <c r="O247" s="37"/>
      <c r="P247" s="37"/>
      <c r="Q247" s="37"/>
      <c r="R247" s="37"/>
      <c r="S247" s="37"/>
      <c r="T247" s="37"/>
      <c r="U247" s="37"/>
      <c r="V247" s="44"/>
      <c r="W247" s="41"/>
    </row>
    <row r="248" spans="1:23" ht="15.75" customHeight="1" x14ac:dyDescent="0.3">
      <c r="A248" s="3"/>
      <c r="B248" s="3"/>
      <c r="C248" s="37"/>
      <c r="D248" s="37"/>
      <c r="E248" s="37"/>
      <c r="F248" s="37"/>
      <c r="G248" s="37"/>
      <c r="H248" s="37"/>
      <c r="I248" s="37"/>
      <c r="J248" s="37"/>
      <c r="K248" s="37"/>
      <c r="L248" s="37"/>
      <c r="M248" s="37"/>
      <c r="N248" s="37"/>
      <c r="O248" s="37"/>
      <c r="P248" s="37"/>
      <c r="Q248" s="37"/>
      <c r="R248" s="37"/>
      <c r="S248" s="37"/>
      <c r="T248" s="37"/>
      <c r="U248" s="37"/>
      <c r="V248" s="44"/>
      <c r="W248" s="41"/>
    </row>
    <row r="249" spans="1:23" ht="15.75" customHeight="1" x14ac:dyDescent="0.3">
      <c r="A249" s="3"/>
      <c r="B249" s="3"/>
      <c r="C249" s="37"/>
      <c r="D249" s="37"/>
      <c r="E249" s="37"/>
      <c r="F249" s="37"/>
      <c r="G249" s="37"/>
      <c r="H249" s="37"/>
      <c r="I249" s="37"/>
      <c r="J249" s="37"/>
      <c r="K249" s="37"/>
      <c r="L249" s="37"/>
      <c r="M249" s="37"/>
      <c r="N249" s="37"/>
      <c r="O249" s="37"/>
      <c r="P249" s="37"/>
      <c r="Q249" s="37"/>
      <c r="R249" s="37"/>
      <c r="S249" s="37"/>
      <c r="T249" s="37"/>
      <c r="U249" s="37"/>
      <c r="V249" s="44"/>
      <c r="W249" s="41"/>
    </row>
    <row r="250" spans="1:23" ht="15.75" customHeight="1" x14ac:dyDescent="0.3">
      <c r="A250" s="3"/>
      <c r="B250" s="3"/>
      <c r="C250" s="37"/>
      <c r="D250" s="37"/>
      <c r="E250" s="37"/>
      <c r="F250" s="37"/>
      <c r="G250" s="37"/>
      <c r="H250" s="37"/>
      <c r="I250" s="37"/>
      <c r="J250" s="37"/>
      <c r="K250" s="37"/>
      <c r="L250" s="37"/>
      <c r="M250" s="37"/>
      <c r="N250" s="37"/>
      <c r="O250" s="37"/>
      <c r="P250" s="37"/>
      <c r="Q250" s="37"/>
      <c r="R250" s="37"/>
      <c r="S250" s="37"/>
      <c r="T250" s="37"/>
      <c r="U250" s="37"/>
      <c r="V250" s="44"/>
      <c r="W250" s="41"/>
    </row>
    <row r="251" spans="1:23" ht="15.75" customHeight="1" x14ac:dyDescent="0.3">
      <c r="A251" s="3"/>
      <c r="B251" s="3"/>
      <c r="C251" s="37"/>
      <c r="D251" s="37"/>
      <c r="E251" s="37"/>
      <c r="F251" s="37"/>
      <c r="G251" s="37"/>
      <c r="H251" s="37"/>
      <c r="I251" s="37"/>
      <c r="J251" s="37"/>
      <c r="K251" s="37"/>
      <c r="L251" s="37"/>
      <c r="M251" s="37"/>
      <c r="N251" s="37"/>
      <c r="O251" s="37"/>
      <c r="P251" s="37"/>
      <c r="Q251" s="37"/>
      <c r="R251" s="37"/>
      <c r="S251" s="37"/>
      <c r="T251" s="37"/>
      <c r="U251" s="37"/>
      <c r="V251" s="44"/>
      <c r="W251" s="41"/>
    </row>
    <row r="252" spans="1:23" ht="15.75" customHeight="1" x14ac:dyDescent="0.3">
      <c r="A252" s="3"/>
      <c r="B252" s="3"/>
      <c r="C252" s="37"/>
      <c r="D252" s="37"/>
      <c r="E252" s="37"/>
      <c r="F252" s="37"/>
      <c r="G252" s="37"/>
      <c r="H252" s="37"/>
      <c r="I252" s="37"/>
      <c r="J252" s="37"/>
      <c r="K252" s="37"/>
      <c r="L252" s="37"/>
      <c r="M252" s="37"/>
      <c r="N252" s="37"/>
      <c r="O252" s="37"/>
      <c r="P252" s="37"/>
      <c r="Q252" s="37"/>
      <c r="R252" s="37"/>
      <c r="S252" s="37"/>
      <c r="T252" s="37"/>
      <c r="U252" s="37"/>
      <c r="V252" s="44"/>
      <c r="W252" s="41"/>
    </row>
    <row r="253" spans="1:23" ht="15.75" customHeight="1" x14ac:dyDescent="0.3">
      <c r="A253" s="3"/>
      <c r="B253" s="3"/>
      <c r="C253" s="37"/>
      <c r="D253" s="37"/>
      <c r="E253" s="37"/>
      <c r="F253" s="37"/>
      <c r="G253" s="37"/>
      <c r="H253" s="37"/>
      <c r="I253" s="37"/>
      <c r="J253" s="37"/>
      <c r="K253" s="37"/>
      <c r="L253" s="37"/>
      <c r="M253" s="37"/>
      <c r="N253" s="37"/>
      <c r="O253" s="37"/>
      <c r="P253" s="37"/>
      <c r="Q253" s="37"/>
      <c r="R253" s="37"/>
      <c r="S253" s="37"/>
      <c r="T253" s="37"/>
      <c r="U253" s="37"/>
      <c r="V253" s="44"/>
      <c r="W253" s="41"/>
    </row>
    <row r="254" spans="1:23" ht="15.75" customHeight="1" x14ac:dyDescent="0.3">
      <c r="A254" s="3"/>
      <c r="B254" s="3"/>
      <c r="C254" s="37"/>
      <c r="D254" s="37"/>
      <c r="E254" s="37"/>
      <c r="F254" s="37"/>
      <c r="G254" s="37"/>
      <c r="H254" s="37"/>
      <c r="I254" s="37"/>
      <c r="J254" s="37"/>
      <c r="K254" s="37"/>
      <c r="L254" s="37"/>
      <c r="M254" s="37"/>
      <c r="N254" s="37"/>
      <c r="O254" s="37"/>
      <c r="P254" s="37"/>
      <c r="Q254" s="37"/>
      <c r="R254" s="37"/>
      <c r="S254" s="37"/>
      <c r="T254" s="37"/>
      <c r="U254" s="37"/>
      <c r="V254" s="44"/>
      <c r="W254" s="41"/>
    </row>
    <row r="255" spans="1:23" ht="15.75" customHeight="1" x14ac:dyDescent="0.3">
      <c r="A255" s="3"/>
      <c r="B255" s="3"/>
      <c r="C255" s="37"/>
      <c r="D255" s="37"/>
      <c r="E255" s="37"/>
      <c r="F255" s="37"/>
      <c r="G255" s="37"/>
      <c r="H255" s="37"/>
      <c r="I255" s="37"/>
      <c r="J255" s="37"/>
      <c r="K255" s="37"/>
      <c r="L255" s="37"/>
      <c r="M255" s="37"/>
      <c r="N255" s="37"/>
      <c r="O255" s="37"/>
      <c r="P255" s="37"/>
      <c r="Q255" s="37"/>
      <c r="R255" s="37"/>
      <c r="S255" s="37"/>
      <c r="T255" s="37"/>
      <c r="U255" s="37"/>
      <c r="V255" s="44"/>
      <c r="W255" s="41"/>
    </row>
    <row r="256" spans="1:23" ht="15.75" customHeight="1" x14ac:dyDescent="0.3">
      <c r="A256" s="3"/>
      <c r="B256" s="3"/>
      <c r="C256" s="37"/>
      <c r="D256" s="37"/>
      <c r="E256" s="37"/>
      <c r="F256" s="37"/>
      <c r="G256" s="37"/>
      <c r="H256" s="37"/>
      <c r="I256" s="37"/>
      <c r="J256" s="37"/>
      <c r="K256" s="37"/>
      <c r="L256" s="37"/>
      <c r="M256" s="37"/>
      <c r="N256" s="37"/>
      <c r="O256" s="37"/>
      <c r="P256" s="37"/>
      <c r="Q256" s="37"/>
      <c r="R256" s="37"/>
      <c r="S256" s="37"/>
      <c r="T256" s="37"/>
      <c r="U256" s="37"/>
      <c r="V256" s="44"/>
      <c r="W256" s="41"/>
    </row>
    <row r="257" spans="1:23" ht="15.75" customHeight="1" x14ac:dyDescent="0.3">
      <c r="A257" s="3"/>
      <c r="B257" s="3"/>
      <c r="C257" s="37"/>
      <c r="D257" s="37"/>
      <c r="E257" s="37"/>
      <c r="F257" s="37"/>
      <c r="G257" s="37"/>
      <c r="H257" s="37"/>
      <c r="I257" s="37"/>
      <c r="J257" s="37"/>
      <c r="K257" s="37"/>
      <c r="L257" s="37"/>
      <c r="M257" s="37"/>
      <c r="N257" s="37"/>
      <c r="O257" s="37"/>
      <c r="P257" s="37"/>
      <c r="Q257" s="37"/>
      <c r="R257" s="37"/>
      <c r="S257" s="37"/>
      <c r="T257" s="37"/>
      <c r="U257" s="37"/>
      <c r="V257" s="44"/>
      <c r="W257" s="41"/>
    </row>
    <row r="258" spans="1:23" ht="15.75" customHeight="1" x14ac:dyDescent="0.3">
      <c r="A258" s="3"/>
      <c r="B258" s="3"/>
      <c r="C258" s="37"/>
      <c r="D258" s="37"/>
      <c r="E258" s="37"/>
      <c r="F258" s="37"/>
      <c r="G258" s="37"/>
      <c r="H258" s="37"/>
      <c r="I258" s="37"/>
      <c r="J258" s="37"/>
      <c r="K258" s="37"/>
      <c r="L258" s="37"/>
      <c r="M258" s="37"/>
      <c r="N258" s="37"/>
      <c r="O258" s="37"/>
      <c r="P258" s="37"/>
      <c r="Q258" s="37"/>
      <c r="R258" s="37"/>
      <c r="S258" s="37"/>
      <c r="T258" s="37"/>
      <c r="U258" s="37"/>
      <c r="V258" s="44"/>
      <c r="W258" s="41"/>
    </row>
    <row r="259" spans="1:23" ht="15.75" customHeight="1" x14ac:dyDescent="0.3">
      <c r="A259" s="3"/>
      <c r="B259" s="3"/>
      <c r="C259" s="37"/>
      <c r="D259" s="37"/>
      <c r="E259" s="37"/>
      <c r="F259" s="37"/>
      <c r="G259" s="37"/>
      <c r="H259" s="37"/>
      <c r="I259" s="37"/>
      <c r="J259" s="37"/>
      <c r="K259" s="37"/>
      <c r="L259" s="37"/>
      <c r="M259" s="37"/>
      <c r="N259" s="37"/>
      <c r="O259" s="37"/>
      <c r="P259" s="37"/>
      <c r="Q259" s="37"/>
      <c r="R259" s="37"/>
      <c r="S259" s="37"/>
      <c r="T259" s="37"/>
      <c r="U259" s="37"/>
      <c r="V259" s="44"/>
      <c r="W259" s="41"/>
    </row>
    <row r="260" spans="1:23" ht="15.75" customHeight="1" x14ac:dyDescent="0.3">
      <c r="A260" s="3"/>
      <c r="B260" s="3"/>
      <c r="C260" s="37"/>
      <c r="D260" s="37"/>
      <c r="E260" s="37"/>
      <c r="F260" s="37"/>
      <c r="G260" s="37"/>
      <c r="H260" s="37"/>
      <c r="I260" s="37"/>
      <c r="J260" s="37"/>
      <c r="K260" s="37"/>
      <c r="L260" s="37"/>
      <c r="M260" s="37"/>
      <c r="N260" s="37"/>
      <c r="O260" s="37"/>
      <c r="P260" s="37"/>
      <c r="Q260" s="37"/>
      <c r="R260" s="37"/>
      <c r="S260" s="37"/>
      <c r="T260" s="37"/>
      <c r="U260" s="37"/>
      <c r="V260" s="44"/>
      <c r="W260" s="41"/>
    </row>
    <row r="261" spans="1:23" ht="15.75" customHeight="1" x14ac:dyDescent="0.3">
      <c r="A261" s="3"/>
      <c r="B261" s="3"/>
      <c r="C261" s="37"/>
      <c r="D261" s="37"/>
      <c r="E261" s="37"/>
      <c r="F261" s="37"/>
      <c r="G261" s="37"/>
      <c r="H261" s="37"/>
      <c r="I261" s="37"/>
      <c r="J261" s="37"/>
      <c r="K261" s="37"/>
      <c r="L261" s="37"/>
      <c r="M261" s="37"/>
      <c r="N261" s="37"/>
      <c r="O261" s="37"/>
      <c r="P261" s="37"/>
      <c r="Q261" s="37"/>
      <c r="R261" s="37"/>
      <c r="S261" s="37"/>
      <c r="T261" s="37"/>
      <c r="U261" s="37"/>
      <c r="V261" s="44"/>
      <c r="W261" s="41"/>
    </row>
    <row r="262" spans="1:23" ht="15.75" customHeight="1" x14ac:dyDescent="0.3">
      <c r="A262" s="3"/>
      <c r="B262" s="3"/>
      <c r="C262" s="37"/>
      <c r="D262" s="37"/>
      <c r="E262" s="37"/>
      <c r="F262" s="37"/>
      <c r="G262" s="37"/>
      <c r="H262" s="37"/>
      <c r="I262" s="37"/>
      <c r="J262" s="37"/>
      <c r="K262" s="37"/>
      <c r="L262" s="37"/>
      <c r="M262" s="37"/>
      <c r="N262" s="37"/>
      <c r="O262" s="37"/>
      <c r="P262" s="37"/>
      <c r="Q262" s="37"/>
      <c r="R262" s="37"/>
      <c r="S262" s="37"/>
      <c r="T262" s="37"/>
      <c r="U262" s="37"/>
      <c r="V262" s="44"/>
      <c r="W262" s="41"/>
    </row>
    <row r="263" spans="1:23" ht="15.75" customHeight="1" x14ac:dyDescent="0.3">
      <c r="A263" s="3"/>
      <c r="B263" s="3"/>
      <c r="C263" s="37"/>
      <c r="D263" s="37"/>
      <c r="E263" s="37"/>
      <c r="F263" s="37"/>
      <c r="G263" s="37"/>
      <c r="H263" s="37"/>
      <c r="I263" s="37"/>
      <c r="J263" s="37"/>
      <c r="K263" s="37"/>
      <c r="L263" s="37"/>
      <c r="M263" s="37"/>
      <c r="N263" s="37"/>
      <c r="O263" s="37"/>
      <c r="P263" s="37"/>
      <c r="Q263" s="37"/>
      <c r="R263" s="37"/>
      <c r="S263" s="37"/>
      <c r="T263" s="37"/>
      <c r="U263" s="37"/>
      <c r="V263" s="44"/>
      <c r="W263" s="41"/>
    </row>
    <row r="264" spans="1:23" ht="15.75" customHeight="1" x14ac:dyDescent="0.3">
      <c r="A264" s="3"/>
      <c r="B264" s="3"/>
      <c r="C264" s="37"/>
      <c r="D264" s="37"/>
      <c r="E264" s="37"/>
      <c r="F264" s="37"/>
      <c r="G264" s="37"/>
      <c r="H264" s="37"/>
      <c r="I264" s="37"/>
      <c r="J264" s="37"/>
      <c r="K264" s="37"/>
      <c r="L264" s="37"/>
      <c r="M264" s="37"/>
      <c r="N264" s="37"/>
      <c r="O264" s="37"/>
      <c r="P264" s="37"/>
      <c r="Q264" s="37"/>
      <c r="R264" s="37"/>
      <c r="S264" s="37"/>
      <c r="T264" s="37"/>
      <c r="U264" s="37"/>
      <c r="V264" s="44"/>
      <c r="W264" s="41"/>
    </row>
    <row r="265" spans="1:23" ht="15.75" customHeight="1" x14ac:dyDescent="0.3">
      <c r="A265" s="3"/>
      <c r="B265" s="3"/>
      <c r="C265" s="37"/>
      <c r="D265" s="37"/>
      <c r="E265" s="37"/>
      <c r="F265" s="37"/>
      <c r="G265" s="37"/>
      <c r="H265" s="37"/>
      <c r="I265" s="37"/>
      <c r="J265" s="37"/>
      <c r="K265" s="37"/>
      <c r="L265" s="37"/>
      <c r="M265" s="37"/>
      <c r="N265" s="37"/>
      <c r="O265" s="37"/>
      <c r="P265" s="37"/>
      <c r="Q265" s="37"/>
      <c r="R265" s="37"/>
      <c r="S265" s="37"/>
      <c r="T265" s="37"/>
      <c r="U265" s="37"/>
      <c r="V265" s="44"/>
      <c r="W265" s="41"/>
    </row>
    <row r="266" spans="1:23" ht="15.75" customHeight="1" x14ac:dyDescent="0.3">
      <c r="A266" s="3"/>
      <c r="B266" s="3"/>
      <c r="C266" s="37"/>
      <c r="D266" s="37"/>
      <c r="E266" s="37"/>
      <c r="F266" s="37"/>
      <c r="G266" s="37"/>
      <c r="H266" s="37"/>
      <c r="I266" s="37"/>
      <c r="J266" s="37"/>
      <c r="K266" s="37"/>
      <c r="L266" s="37"/>
      <c r="M266" s="37"/>
      <c r="N266" s="37"/>
      <c r="O266" s="37"/>
      <c r="P266" s="37"/>
      <c r="Q266" s="37"/>
      <c r="R266" s="37"/>
      <c r="S266" s="37"/>
      <c r="T266" s="37"/>
      <c r="U266" s="37"/>
      <c r="V266" s="44"/>
      <c r="W266" s="41"/>
    </row>
    <row r="267" spans="1:23" ht="15.75" customHeight="1" x14ac:dyDescent="0.3">
      <c r="A267" s="3"/>
      <c r="B267" s="3"/>
      <c r="C267" s="37"/>
      <c r="D267" s="37"/>
      <c r="E267" s="37"/>
      <c r="F267" s="37"/>
      <c r="G267" s="37"/>
      <c r="H267" s="37"/>
      <c r="I267" s="37"/>
      <c r="J267" s="37"/>
      <c r="K267" s="37"/>
      <c r="L267" s="37"/>
      <c r="M267" s="37"/>
      <c r="N267" s="37"/>
      <c r="O267" s="37"/>
      <c r="P267" s="37"/>
      <c r="Q267" s="37"/>
      <c r="R267" s="37"/>
      <c r="S267" s="37"/>
      <c r="T267" s="37"/>
      <c r="U267" s="37"/>
      <c r="V267" s="44"/>
      <c r="W267" s="41"/>
    </row>
    <row r="268" spans="1:23" ht="15.75" customHeight="1" x14ac:dyDescent="0.3">
      <c r="A268" s="3"/>
      <c r="B268" s="3"/>
      <c r="C268" s="37"/>
      <c r="D268" s="37"/>
      <c r="E268" s="37"/>
      <c r="F268" s="37"/>
      <c r="G268" s="37"/>
      <c r="H268" s="37"/>
      <c r="I268" s="37"/>
      <c r="J268" s="37"/>
      <c r="K268" s="37"/>
      <c r="L268" s="37"/>
      <c r="M268" s="37"/>
      <c r="N268" s="37"/>
      <c r="O268" s="37"/>
      <c r="P268" s="37"/>
      <c r="Q268" s="37"/>
      <c r="R268" s="37"/>
      <c r="S268" s="37"/>
      <c r="T268" s="37"/>
      <c r="U268" s="37"/>
      <c r="V268" s="44"/>
      <c r="W268" s="41"/>
    </row>
    <row r="269" spans="1:23" ht="15.75" customHeight="1" x14ac:dyDescent="0.3">
      <c r="A269" s="3"/>
      <c r="B269" s="3"/>
      <c r="C269" s="37"/>
      <c r="D269" s="37"/>
      <c r="E269" s="37"/>
      <c r="F269" s="37"/>
      <c r="G269" s="37"/>
      <c r="H269" s="37"/>
      <c r="I269" s="37"/>
      <c r="J269" s="37"/>
      <c r="K269" s="37"/>
      <c r="L269" s="37"/>
      <c r="M269" s="37"/>
      <c r="N269" s="37"/>
      <c r="O269" s="37"/>
      <c r="P269" s="37"/>
      <c r="Q269" s="37"/>
      <c r="R269" s="37"/>
      <c r="S269" s="37"/>
      <c r="T269" s="37"/>
      <c r="U269" s="37"/>
      <c r="V269" s="44"/>
      <c r="W269" s="41"/>
    </row>
    <row r="270" spans="1:23" ht="15.75" customHeight="1" x14ac:dyDescent="0.3">
      <c r="A270" s="3"/>
      <c r="B270" s="3"/>
      <c r="C270" s="37"/>
      <c r="D270" s="37"/>
      <c r="E270" s="37"/>
      <c r="F270" s="37"/>
      <c r="G270" s="37"/>
      <c r="H270" s="37"/>
      <c r="I270" s="37"/>
      <c r="J270" s="37"/>
      <c r="K270" s="37"/>
      <c r="L270" s="37"/>
      <c r="M270" s="37"/>
      <c r="N270" s="37"/>
      <c r="O270" s="37"/>
      <c r="P270" s="37"/>
      <c r="Q270" s="37"/>
      <c r="R270" s="37"/>
      <c r="S270" s="37"/>
      <c r="T270" s="37"/>
      <c r="U270" s="37"/>
      <c r="V270" s="44"/>
      <c r="W270" s="41"/>
    </row>
    <row r="271" spans="1:23" ht="15.75" customHeight="1" x14ac:dyDescent="0.3">
      <c r="A271" s="3"/>
      <c r="B271" s="3"/>
      <c r="C271" s="37"/>
      <c r="D271" s="37"/>
      <c r="E271" s="37"/>
      <c r="F271" s="37"/>
      <c r="G271" s="37"/>
      <c r="H271" s="37"/>
      <c r="I271" s="37"/>
      <c r="J271" s="37"/>
      <c r="K271" s="37"/>
      <c r="L271" s="37"/>
      <c r="M271" s="37"/>
      <c r="N271" s="37"/>
      <c r="O271" s="37"/>
      <c r="P271" s="37"/>
      <c r="Q271" s="37"/>
      <c r="R271" s="37"/>
      <c r="S271" s="37"/>
      <c r="T271" s="37"/>
      <c r="U271" s="37"/>
      <c r="V271" s="44"/>
      <c r="W271" s="41"/>
    </row>
    <row r="272" spans="1:23" ht="15.75" customHeight="1" x14ac:dyDescent="0.3">
      <c r="A272" s="3"/>
      <c r="B272" s="3"/>
      <c r="C272" s="37"/>
      <c r="D272" s="37"/>
      <c r="E272" s="37"/>
      <c r="F272" s="37"/>
      <c r="G272" s="37"/>
      <c r="H272" s="37"/>
      <c r="I272" s="37"/>
      <c r="J272" s="37"/>
      <c r="K272" s="37"/>
      <c r="L272" s="37"/>
      <c r="M272" s="37"/>
      <c r="N272" s="37"/>
      <c r="O272" s="37"/>
      <c r="P272" s="37"/>
      <c r="Q272" s="37"/>
      <c r="R272" s="37"/>
      <c r="S272" s="37"/>
      <c r="T272" s="37"/>
      <c r="U272" s="37"/>
      <c r="V272" s="44"/>
      <c r="W272" s="41"/>
    </row>
    <row r="273" spans="1:23" ht="15.75" customHeight="1" x14ac:dyDescent="0.3">
      <c r="A273" s="3"/>
      <c r="B273" s="3"/>
      <c r="C273" s="37"/>
      <c r="D273" s="37"/>
      <c r="E273" s="37"/>
      <c r="F273" s="37"/>
      <c r="G273" s="37"/>
      <c r="H273" s="37"/>
      <c r="I273" s="37"/>
      <c r="J273" s="37"/>
      <c r="K273" s="37"/>
      <c r="L273" s="37"/>
      <c r="M273" s="37"/>
      <c r="N273" s="37"/>
      <c r="O273" s="37"/>
      <c r="P273" s="37"/>
      <c r="Q273" s="37"/>
      <c r="R273" s="37"/>
      <c r="S273" s="37"/>
      <c r="T273" s="37"/>
      <c r="U273" s="37"/>
      <c r="V273" s="44"/>
      <c r="W273" s="41"/>
    </row>
    <row r="274" spans="1:23" ht="15.75" customHeight="1" x14ac:dyDescent="0.3">
      <c r="A274" s="3"/>
      <c r="B274" s="3"/>
      <c r="C274" s="37"/>
      <c r="D274" s="37"/>
      <c r="E274" s="37"/>
      <c r="F274" s="37"/>
      <c r="G274" s="37"/>
      <c r="H274" s="37"/>
      <c r="I274" s="37"/>
      <c r="J274" s="37"/>
      <c r="K274" s="37"/>
      <c r="L274" s="37"/>
      <c r="M274" s="37"/>
      <c r="N274" s="37"/>
      <c r="O274" s="37"/>
      <c r="P274" s="37"/>
      <c r="Q274" s="37"/>
      <c r="R274" s="37"/>
      <c r="S274" s="37"/>
      <c r="T274" s="37"/>
      <c r="U274" s="37"/>
      <c r="V274" s="44"/>
      <c r="W274" s="41"/>
    </row>
    <row r="275" spans="1:23" ht="15.75" customHeight="1" x14ac:dyDescent="0.3">
      <c r="A275" s="3"/>
      <c r="B275" s="3"/>
      <c r="C275" s="37"/>
      <c r="D275" s="37"/>
      <c r="E275" s="37"/>
      <c r="F275" s="37"/>
      <c r="G275" s="37"/>
      <c r="H275" s="37"/>
      <c r="I275" s="37"/>
      <c r="J275" s="37"/>
      <c r="K275" s="37"/>
      <c r="L275" s="37"/>
      <c r="M275" s="37"/>
      <c r="N275" s="37"/>
      <c r="O275" s="37"/>
      <c r="P275" s="37"/>
      <c r="Q275" s="37"/>
      <c r="R275" s="37"/>
      <c r="S275" s="37"/>
      <c r="T275" s="37"/>
      <c r="U275" s="37"/>
      <c r="V275" s="44"/>
      <c r="W275" s="41"/>
    </row>
    <row r="276" spans="1:23" ht="15.75" customHeight="1" x14ac:dyDescent="0.3">
      <c r="A276" s="3"/>
      <c r="B276" s="3"/>
      <c r="C276" s="37"/>
      <c r="D276" s="37"/>
      <c r="E276" s="37"/>
      <c r="F276" s="37"/>
      <c r="G276" s="37"/>
      <c r="H276" s="37"/>
      <c r="I276" s="37"/>
      <c r="J276" s="37"/>
      <c r="K276" s="37"/>
      <c r="L276" s="37"/>
      <c r="M276" s="37"/>
      <c r="N276" s="37"/>
      <c r="O276" s="37"/>
      <c r="P276" s="37"/>
      <c r="Q276" s="37"/>
      <c r="R276" s="37"/>
      <c r="S276" s="37"/>
      <c r="T276" s="37"/>
      <c r="U276" s="37"/>
      <c r="V276" s="44"/>
      <c r="W276" s="41"/>
    </row>
    <row r="277" spans="1:23" ht="15.75" customHeight="1" x14ac:dyDescent="0.3">
      <c r="A277" s="3"/>
      <c r="B277" s="3"/>
      <c r="C277" s="37"/>
      <c r="D277" s="37"/>
      <c r="E277" s="37"/>
      <c r="F277" s="37"/>
      <c r="G277" s="37"/>
      <c r="H277" s="37"/>
      <c r="I277" s="37"/>
      <c r="J277" s="37"/>
      <c r="K277" s="37"/>
      <c r="L277" s="37"/>
      <c r="M277" s="37"/>
      <c r="N277" s="37"/>
      <c r="O277" s="37"/>
      <c r="P277" s="37"/>
      <c r="Q277" s="37"/>
      <c r="R277" s="37"/>
      <c r="S277" s="37"/>
      <c r="T277" s="37"/>
      <c r="U277" s="37"/>
      <c r="V277" s="44"/>
      <c r="W277" s="41"/>
    </row>
    <row r="278" spans="1:23" ht="15.75" customHeight="1" x14ac:dyDescent="0.3">
      <c r="A278" s="3"/>
      <c r="B278" s="3"/>
      <c r="C278" s="37"/>
      <c r="D278" s="37"/>
      <c r="E278" s="37"/>
      <c r="F278" s="37"/>
      <c r="G278" s="37"/>
      <c r="H278" s="37"/>
      <c r="I278" s="37"/>
      <c r="J278" s="37"/>
      <c r="K278" s="37"/>
      <c r="L278" s="37"/>
      <c r="M278" s="37"/>
      <c r="N278" s="37"/>
      <c r="O278" s="37"/>
      <c r="P278" s="37"/>
      <c r="Q278" s="37"/>
      <c r="R278" s="37"/>
      <c r="S278" s="37"/>
      <c r="T278" s="37"/>
      <c r="U278" s="37"/>
      <c r="V278" s="44"/>
      <c r="W278" s="41"/>
    </row>
    <row r="279" spans="1:23" ht="15.75" customHeight="1" x14ac:dyDescent="0.3">
      <c r="A279" s="3"/>
      <c r="B279" s="3"/>
      <c r="C279" s="37"/>
      <c r="D279" s="37"/>
      <c r="E279" s="37"/>
      <c r="F279" s="37"/>
      <c r="G279" s="37"/>
      <c r="H279" s="37"/>
      <c r="I279" s="37"/>
      <c r="J279" s="37"/>
      <c r="K279" s="37"/>
      <c r="L279" s="37"/>
      <c r="M279" s="37"/>
      <c r="N279" s="37"/>
      <c r="O279" s="37"/>
      <c r="P279" s="37"/>
      <c r="Q279" s="37"/>
      <c r="R279" s="37"/>
      <c r="S279" s="37"/>
      <c r="T279" s="37"/>
      <c r="U279" s="37"/>
      <c r="V279" s="44"/>
      <c r="W279" s="41"/>
    </row>
    <row r="280" spans="1:23" ht="15.75" customHeight="1" x14ac:dyDescent="0.3">
      <c r="A280" s="3"/>
      <c r="B280" s="3"/>
      <c r="C280" s="37"/>
      <c r="D280" s="37"/>
      <c r="E280" s="37"/>
      <c r="F280" s="37"/>
      <c r="G280" s="37"/>
      <c r="H280" s="37"/>
      <c r="I280" s="37"/>
      <c r="J280" s="37"/>
      <c r="K280" s="37"/>
      <c r="L280" s="37"/>
      <c r="M280" s="37"/>
      <c r="N280" s="37"/>
      <c r="O280" s="37"/>
      <c r="P280" s="37"/>
      <c r="Q280" s="37"/>
      <c r="R280" s="37"/>
      <c r="S280" s="37"/>
      <c r="T280" s="37"/>
      <c r="U280" s="37"/>
      <c r="V280" s="44"/>
      <c r="W280" s="41"/>
    </row>
    <row r="281" spans="1:23" ht="15.75" customHeight="1" x14ac:dyDescent="0.3">
      <c r="A281" s="3"/>
      <c r="B281" s="3"/>
      <c r="C281" s="37"/>
      <c r="D281" s="37"/>
      <c r="E281" s="37"/>
      <c r="F281" s="37"/>
      <c r="G281" s="37"/>
      <c r="H281" s="37"/>
      <c r="I281" s="37"/>
      <c r="J281" s="37"/>
      <c r="K281" s="37"/>
      <c r="L281" s="37"/>
      <c r="M281" s="37"/>
      <c r="N281" s="37"/>
      <c r="O281" s="37"/>
      <c r="P281" s="37"/>
      <c r="Q281" s="37"/>
      <c r="R281" s="37"/>
      <c r="S281" s="37"/>
      <c r="T281" s="37"/>
      <c r="U281" s="37"/>
      <c r="V281" s="44"/>
      <c r="W281" s="41"/>
    </row>
    <row r="282" spans="1:23" ht="15.75" customHeight="1" x14ac:dyDescent="0.3">
      <c r="A282" s="3"/>
      <c r="B282" s="3"/>
      <c r="C282" s="37"/>
      <c r="D282" s="37"/>
      <c r="E282" s="37"/>
      <c r="F282" s="37"/>
      <c r="G282" s="37"/>
      <c r="H282" s="37"/>
      <c r="I282" s="37"/>
      <c r="J282" s="37"/>
      <c r="K282" s="37"/>
      <c r="L282" s="37"/>
      <c r="M282" s="37"/>
      <c r="N282" s="37"/>
      <c r="O282" s="37"/>
      <c r="P282" s="37"/>
      <c r="Q282" s="37"/>
      <c r="R282" s="37"/>
      <c r="S282" s="37"/>
      <c r="T282" s="37"/>
      <c r="U282" s="37"/>
      <c r="V282" s="44"/>
      <c r="W282" s="41"/>
    </row>
    <row r="283" spans="1:23" ht="15.75" customHeight="1" x14ac:dyDescent="0.3">
      <c r="A283" s="3"/>
      <c r="B283" s="3"/>
      <c r="C283" s="37"/>
      <c r="D283" s="37"/>
      <c r="E283" s="37"/>
      <c r="F283" s="37"/>
      <c r="G283" s="37"/>
      <c r="H283" s="37"/>
      <c r="I283" s="37"/>
      <c r="J283" s="37"/>
      <c r="K283" s="37"/>
      <c r="L283" s="37"/>
      <c r="M283" s="37"/>
      <c r="N283" s="37"/>
      <c r="O283" s="37"/>
      <c r="P283" s="37"/>
      <c r="Q283" s="37"/>
      <c r="R283" s="37"/>
      <c r="S283" s="37"/>
      <c r="T283" s="37"/>
      <c r="U283" s="37"/>
      <c r="V283" s="44"/>
      <c r="W283" s="41"/>
    </row>
    <row r="284" spans="1:23" ht="15.75" customHeight="1" x14ac:dyDescent="0.3">
      <c r="A284" s="3"/>
      <c r="B284" s="3"/>
      <c r="C284" s="37"/>
      <c r="D284" s="37"/>
      <c r="E284" s="37"/>
      <c r="F284" s="37"/>
      <c r="G284" s="37"/>
      <c r="H284" s="37"/>
      <c r="I284" s="37"/>
      <c r="J284" s="37"/>
      <c r="K284" s="37"/>
      <c r="L284" s="37"/>
      <c r="M284" s="37"/>
      <c r="N284" s="37"/>
      <c r="O284" s="37"/>
      <c r="P284" s="37"/>
      <c r="Q284" s="37"/>
      <c r="R284" s="37"/>
      <c r="S284" s="37"/>
      <c r="T284" s="37"/>
      <c r="U284" s="37"/>
      <c r="V284" s="44"/>
      <c r="W284" s="41"/>
    </row>
    <row r="285" spans="1:23" ht="15.75" customHeight="1" x14ac:dyDescent="0.3">
      <c r="A285" s="3"/>
      <c r="B285" s="3"/>
      <c r="C285" s="37"/>
      <c r="D285" s="37"/>
      <c r="E285" s="37"/>
      <c r="F285" s="37"/>
      <c r="G285" s="37"/>
      <c r="H285" s="37"/>
      <c r="I285" s="37"/>
      <c r="J285" s="37"/>
      <c r="K285" s="37"/>
      <c r="L285" s="37"/>
      <c r="M285" s="37"/>
      <c r="N285" s="37"/>
      <c r="O285" s="37"/>
      <c r="P285" s="37"/>
      <c r="Q285" s="37"/>
      <c r="R285" s="37"/>
      <c r="S285" s="37"/>
      <c r="T285" s="37"/>
      <c r="U285" s="37"/>
      <c r="V285" s="44"/>
      <c r="W285" s="41"/>
    </row>
    <row r="286" spans="1:23" ht="15.75" customHeight="1" x14ac:dyDescent="0.3">
      <c r="A286" s="3"/>
      <c r="B286" s="3"/>
      <c r="C286" s="37"/>
      <c r="D286" s="37"/>
      <c r="E286" s="37"/>
      <c r="F286" s="37"/>
      <c r="G286" s="37"/>
      <c r="H286" s="37"/>
      <c r="I286" s="37"/>
      <c r="J286" s="37"/>
      <c r="K286" s="37"/>
      <c r="L286" s="37"/>
      <c r="M286" s="37"/>
      <c r="N286" s="37"/>
      <c r="O286" s="37"/>
      <c r="P286" s="37"/>
      <c r="Q286" s="37"/>
      <c r="R286" s="37"/>
      <c r="S286" s="37"/>
      <c r="T286" s="37"/>
      <c r="U286" s="37"/>
      <c r="V286" s="44"/>
      <c r="W286" s="41"/>
    </row>
    <row r="287" spans="1:23" ht="15.75" customHeight="1" x14ac:dyDescent="0.3">
      <c r="A287" s="3"/>
      <c r="B287" s="3"/>
      <c r="C287" s="37"/>
      <c r="D287" s="37"/>
      <c r="E287" s="37"/>
      <c r="F287" s="37"/>
      <c r="G287" s="37"/>
      <c r="H287" s="37"/>
      <c r="I287" s="37"/>
      <c r="J287" s="37"/>
      <c r="K287" s="37"/>
      <c r="L287" s="37"/>
      <c r="M287" s="37"/>
      <c r="N287" s="37"/>
      <c r="O287" s="37"/>
      <c r="P287" s="37"/>
      <c r="Q287" s="37"/>
      <c r="R287" s="37"/>
      <c r="S287" s="37"/>
      <c r="T287" s="37"/>
      <c r="U287" s="37"/>
      <c r="V287" s="44"/>
      <c r="W287" s="41"/>
    </row>
    <row r="288" spans="1:23" ht="15.75" customHeight="1" x14ac:dyDescent="0.3">
      <c r="A288" s="3"/>
      <c r="B288" s="3"/>
      <c r="C288" s="37"/>
      <c r="D288" s="37"/>
      <c r="E288" s="37"/>
      <c r="F288" s="37"/>
      <c r="G288" s="37"/>
      <c r="H288" s="37"/>
      <c r="I288" s="37"/>
      <c r="J288" s="37"/>
      <c r="K288" s="37"/>
      <c r="L288" s="37"/>
      <c r="M288" s="37"/>
      <c r="N288" s="37"/>
      <c r="O288" s="37"/>
      <c r="P288" s="37"/>
      <c r="Q288" s="37"/>
      <c r="R288" s="37"/>
      <c r="S288" s="37"/>
      <c r="T288" s="37"/>
      <c r="U288" s="37"/>
      <c r="V288" s="44"/>
      <c r="W288" s="41"/>
    </row>
    <row r="289" spans="1:23" ht="15.75" customHeight="1" x14ac:dyDescent="0.3">
      <c r="A289" s="3"/>
      <c r="B289" s="3"/>
      <c r="C289" s="37"/>
      <c r="D289" s="37"/>
      <c r="E289" s="37"/>
      <c r="F289" s="37"/>
      <c r="G289" s="37"/>
      <c r="H289" s="37"/>
      <c r="I289" s="37"/>
      <c r="J289" s="37"/>
      <c r="K289" s="37"/>
      <c r="L289" s="37"/>
      <c r="M289" s="37"/>
      <c r="N289" s="37"/>
      <c r="O289" s="37"/>
      <c r="P289" s="37"/>
      <c r="Q289" s="37"/>
      <c r="R289" s="37"/>
      <c r="S289" s="37"/>
      <c r="T289" s="37"/>
      <c r="U289" s="37"/>
      <c r="V289" s="44"/>
      <c r="W289" s="41"/>
    </row>
    <row r="290" spans="1:23" ht="15.75" customHeight="1" x14ac:dyDescent="0.3">
      <c r="A290" s="3"/>
      <c r="B290" s="3"/>
      <c r="C290" s="37"/>
      <c r="D290" s="37"/>
      <c r="E290" s="37"/>
      <c r="F290" s="37"/>
      <c r="G290" s="37"/>
      <c r="H290" s="37"/>
      <c r="I290" s="37"/>
      <c r="J290" s="37"/>
      <c r="K290" s="37"/>
      <c r="L290" s="37"/>
      <c r="M290" s="37"/>
      <c r="N290" s="37"/>
      <c r="O290" s="37"/>
      <c r="P290" s="37"/>
      <c r="Q290" s="37"/>
      <c r="R290" s="37"/>
      <c r="S290" s="37"/>
      <c r="T290" s="37"/>
      <c r="U290" s="37"/>
      <c r="V290" s="44"/>
      <c r="W290" s="41"/>
    </row>
    <row r="291" spans="1:23" ht="15.75" customHeight="1" x14ac:dyDescent="0.3">
      <c r="A291" s="3"/>
      <c r="B291" s="3"/>
      <c r="C291" s="37"/>
      <c r="D291" s="37"/>
      <c r="E291" s="37"/>
      <c r="F291" s="37"/>
      <c r="G291" s="37"/>
      <c r="H291" s="37"/>
      <c r="I291" s="37"/>
      <c r="J291" s="37"/>
      <c r="K291" s="37"/>
      <c r="L291" s="37"/>
      <c r="M291" s="37"/>
      <c r="N291" s="37"/>
      <c r="O291" s="37"/>
      <c r="P291" s="37"/>
      <c r="Q291" s="37"/>
      <c r="R291" s="37"/>
      <c r="S291" s="37"/>
      <c r="T291" s="37"/>
      <c r="U291" s="37"/>
      <c r="V291" s="44"/>
      <c r="W291" s="41"/>
    </row>
    <row r="292" spans="1:23" ht="15.75" customHeight="1" x14ac:dyDescent="0.3">
      <c r="A292" s="3"/>
      <c r="B292" s="3"/>
      <c r="C292" s="37"/>
      <c r="D292" s="37"/>
      <c r="E292" s="37"/>
      <c r="F292" s="37"/>
      <c r="G292" s="37"/>
      <c r="H292" s="37"/>
      <c r="I292" s="37"/>
      <c r="J292" s="37"/>
      <c r="K292" s="37"/>
      <c r="L292" s="37"/>
      <c r="M292" s="37"/>
      <c r="N292" s="37"/>
      <c r="O292" s="37"/>
      <c r="P292" s="37"/>
      <c r="Q292" s="37"/>
      <c r="R292" s="37"/>
      <c r="S292" s="37"/>
      <c r="T292" s="37"/>
      <c r="U292" s="37"/>
      <c r="V292" s="44"/>
      <c r="W292" s="41"/>
    </row>
    <row r="293" spans="1:23" ht="15.75" customHeight="1" x14ac:dyDescent="0.3">
      <c r="A293" s="3"/>
      <c r="B293" s="3"/>
      <c r="C293" s="37"/>
      <c r="D293" s="37"/>
      <c r="E293" s="37"/>
      <c r="F293" s="37"/>
      <c r="G293" s="37"/>
      <c r="H293" s="37"/>
      <c r="I293" s="37"/>
      <c r="J293" s="37"/>
      <c r="K293" s="37"/>
      <c r="L293" s="37"/>
      <c r="M293" s="37"/>
      <c r="N293" s="37"/>
      <c r="O293" s="37"/>
      <c r="P293" s="37"/>
      <c r="Q293" s="37"/>
      <c r="R293" s="37"/>
      <c r="S293" s="37"/>
      <c r="T293" s="37"/>
      <c r="U293" s="37"/>
      <c r="V293" s="44"/>
      <c r="W293" s="41"/>
    </row>
    <row r="294" spans="1:23" ht="15.75" customHeight="1" x14ac:dyDescent="0.3">
      <c r="A294" s="3"/>
      <c r="B294" s="3"/>
      <c r="C294" s="37"/>
      <c r="D294" s="37"/>
      <c r="E294" s="37"/>
      <c r="F294" s="37"/>
      <c r="G294" s="37"/>
      <c r="H294" s="37"/>
      <c r="I294" s="37"/>
      <c r="J294" s="37"/>
      <c r="K294" s="37"/>
      <c r="L294" s="37"/>
      <c r="M294" s="37"/>
      <c r="N294" s="37"/>
      <c r="O294" s="37"/>
      <c r="P294" s="37"/>
      <c r="Q294" s="37"/>
      <c r="R294" s="37"/>
      <c r="S294" s="37"/>
      <c r="T294" s="37"/>
      <c r="U294" s="37"/>
      <c r="V294" s="44"/>
      <c r="W294" s="41"/>
    </row>
    <row r="295" spans="1:23" ht="15.75" customHeight="1" x14ac:dyDescent="0.3">
      <c r="A295" s="3"/>
      <c r="B295" s="3"/>
      <c r="C295" s="37"/>
      <c r="D295" s="37"/>
      <c r="E295" s="37"/>
      <c r="F295" s="37"/>
      <c r="G295" s="37"/>
      <c r="H295" s="37"/>
      <c r="I295" s="37"/>
      <c r="J295" s="37"/>
      <c r="K295" s="37"/>
      <c r="L295" s="37"/>
      <c r="M295" s="37"/>
      <c r="N295" s="37"/>
      <c r="O295" s="37"/>
      <c r="P295" s="37"/>
      <c r="Q295" s="37"/>
      <c r="R295" s="37"/>
      <c r="S295" s="37"/>
      <c r="T295" s="37"/>
      <c r="U295" s="37"/>
      <c r="V295" s="44"/>
      <c r="W295" s="41"/>
    </row>
    <row r="296" spans="1:23" ht="15.75" customHeight="1" x14ac:dyDescent="0.3">
      <c r="A296" s="3"/>
      <c r="B296" s="3"/>
      <c r="C296" s="37"/>
      <c r="D296" s="37"/>
      <c r="E296" s="37"/>
      <c r="F296" s="37"/>
      <c r="G296" s="37"/>
      <c r="H296" s="37"/>
      <c r="I296" s="37"/>
      <c r="J296" s="37"/>
      <c r="K296" s="37"/>
      <c r="L296" s="37"/>
      <c r="M296" s="37"/>
      <c r="N296" s="37"/>
      <c r="O296" s="37"/>
      <c r="P296" s="37"/>
      <c r="Q296" s="37"/>
      <c r="R296" s="37"/>
      <c r="S296" s="37"/>
      <c r="T296" s="37"/>
      <c r="U296" s="37"/>
      <c r="V296" s="44"/>
      <c r="W296" s="41"/>
    </row>
    <row r="297" spans="1:23" ht="15.75" customHeight="1" x14ac:dyDescent="0.3">
      <c r="A297" s="3"/>
      <c r="B297" s="3"/>
      <c r="C297" s="37"/>
      <c r="D297" s="37"/>
      <c r="E297" s="37"/>
      <c r="F297" s="37"/>
      <c r="G297" s="37"/>
      <c r="H297" s="37"/>
      <c r="I297" s="37"/>
      <c r="J297" s="37"/>
      <c r="K297" s="37"/>
      <c r="L297" s="37"/>
      <c r="M297" s="37"/>
      <c r="N297" s="37"/>
      <c r="O297" s="37"/>
      <c r="P297" s="37"/>
      <c r="Q297" s="37"/>
      <c r="R297" s="37"/>
      <c r="S297" s="37"/>
      <c r="T297" s="37"/>
      <c r="U297" s="37"/>
      <c r="V297" s="44"/>
      <c r="W297" s="41"/>
    </row>
    <row r="298" spans="1:23" ht="15.75" customHeight="1" x14ac:dyDescent="0.3">
      <c r="A298" s="3"/>
      <c r="B298" s="3"/>
      <c r="C298" s="37"/>
      <c r="D298" s="37"/>
      <c r="E298" s="37"/>
      <c r="F298" s="37"/>
      <c r="G298" s="37"/>
      <c r="H298" s="37"/>
      <c r="I298" s="37"/>
      <c r="J298" s="37"/>
      <c r="K298" s="37"/>
      <c r="L298" s="37"/>
      <c r="M298" s="37"/>
      <c r="N298" s="37"/>
      <c r="O298" s="37"/>
      <c r="P298" s="37"/>
      <c r="Q298" s="37"/>
      <c r="R298" s="37"/>
      <c r="S298" s="37"/>
      <c r="T298" s="37"/>
      <c r="U298" s="37"/>
      <c r="V298" s="44"/>
      <c r="W298" s="41"/>
    </row>
    <row r="299" spans="1:23" ht="15.75" customHeight="1" x14ac:dyDescent="0.3">
      <c r="A299" s="3"/>
      <c r="B299" s="3"/>
      <c r="C299" s="37"/>
      <c r="D299" s="37"/>
      <c r="E299" s="37"/>
      <c r="F299" s="37"/>
      <c r="G299" s="37"/>
      <c r="H299" s="37"/>
      <c r="I299" s="37"/>
      <c r="J299" s="37"/>
      <c r="K299" s="37"/>
      <c r="L299" s="37"/>
      <c r="M299" s="37"/>
      <c r="N299" s="37"/>
      <c r="O299" s="37"/>
      <c r="P299" s="37"/>
      <c r="Q299" s="37"/>
      <c r="R299" s="37"/>
      <c r="S299" s="37"/>
      <c r="T299" s="37"/>
      <c r="U299" s="37"/>
      <c r="V299" s="44"/>
      <c r="W299" s="41"/>
    </row>
    <row r="300" spans="1:23" ht="15.75" customHeight="1" x14ac:dyDescent="0.3">
      <c r="A300" s="3"/>
      <c r="B300" s="3"/>
      <c r="C300" s="37"/>
      <c r="D300" s="37"/>
      <c r="E300" s="37"/>
      <c r="F300" s="37"/>
      <c r="G300" s="37"/>
      <c r="H300" s="37"/>
      <c r="I300" s="37"/>
      <c r="J300" s="37"/>
      <c r="K300" s="37"/>
      <c r="L300" s="37"/>
      <c r="M300" s="37"/>
      <c r="N300" s="37"/>
      <c r="O300" s="37"/>
      <c r="P300" s="37"/>
      <c r="Q300" s="37"/>
      <c r="R300" s="37"/>
      <c r="S300" s="37"/>
      <c r="T300" s="37"/>
      <c r="U300" s="37"/>
      <c r="V300" s="44"/>
      <c r="W300" s="41"/>
    </row>
    <row r="301" spans="1:23" ht="15.75" customHeight="1" x14ac:dyDescent="0.3">
      <c r="A301" s="3"/>
      <c r="B301" s="3"/>
      <c r="C301" s="37"/>
      <c r="D301" s="37"/>
      <c r="E301" s="37"/>
      <c r="F301" s="37"/>
      <c r="G301" s="37"/>
      <c r="H301" s="37"/>
      <c r="I301" s="37"/>
      <c r="J301" s="37"/>
      <c r="K301" s="37"/>
      <c r="L301" s="37"/>
      <c r="M301" s="37"/>
      <c r="N301" s="37"/>
      <c r="O301" s="37"/>
      <c r="P301" s="37"/>
      <c r="Q301" s="37"/>
      <c r="R301" s="37"/>
      <c r="S301" s="37"/>
      <c r="T301" s="37"/>
      <c r="U301" s="37"/>
      <c r="V301" s="44"/>
      <c r="W301" s="41"/>
    </row>
    <row r="302" spans="1:23" ht="15.75" customHeight="1" x14ac:dyDescent="0.3">
      <c r="A302" s="3"/>
      <c r="B302" s="3"/>
      <c r="C302" s="37"/>
      <c r="D302" s="37"/>
      <c r="E302" s="37"/>
      <c r="F302" s="37"/>
      <c r="G302" s="37"/>
      <c r="H302" s="37"/>
      <c r="I302" s="37"/>
      <c r="J302" s="37"/>
      <c r="K302" s="37"/>
      <c r="L302" s="37"/>
      <c r="M302" s="37"/>
      <c r="N302" s="37"/>
      <c r="O302" s="37"/>
      <c r="P302" s="37"/>
      <c r="Q302" s="37"/>
      <c r="R302" s="37"/>
      <c r="S302" s="37"/>
      <c r="T302" s="37"/>
      <c r="U302" s="37"/>
      <c r="V302" s="44"/>
      <c r="W302" s="41"/>
    </row>
    <row r="303" spans="1:23" ht="15.75" customHeight="1" x14ac:dyDescent="0.3">
      <c r="A303" s="3"/>
      <c r="B303" s="3"/>
      <c r="C303" s="37"/>
      <c r="D303" s="37"/>
      <c r="E303" s="37"/>
      <c r="F303" s="37"/>
      <c r="G303" s="37"/>
      <c r="H303" s="37"/>
      <c r="I303" s="37"/>
      <c r="J303" s="37"/>
      <c r="K303" s="37"/>
      <c r="L303" s="37"/>
      <c r="M303" s="37"/>
      <c r="N303" s="37"/>
      <c r="O303" s="37"/>
      <c r="P303" s="37"/>
      <c r="Q303" s="37"/>
      <c r="R303" s="37"/>
      <c r="S303" s="37"/>
      <c r="T303" s="37"/>
      <c r="U303" s="37"/>
      <c r="V303" s="44"/>
      <c r="W303" s="41"/>
    </row>
    <row r="304" spans="1:23" ht="15.75" customHeight="1" x14ac:dyDescent="0.3">
      <c r="A304" s="3"/>
      <c r="B304" s="3"/>
      <c r="C304" s="37"/>
      <c r="D304" s="37"/>
      <c r="E304" s="37"/>
      <c r="F304" s="37"/>
      <c r="G304" s="37"/>
      <c r="H304" s="37"/>
      <c r="I304" s="37"/>
      <c r="J304" s="37"/>
      <c r="K304" s="37"/>
      <c r="L304" s="37"/>
      <c r="M304" s="37"/>
      <c r="N304" s="37"/>
      <c r="O304" s="37"/>
      <c r="P304" s="37"/>
      <c r="Q304" s="37"/>
      <c r="R304" s="37"/>
      <c r="S304" s="37"/>
      <c r="T304" s="37"/>
      <c r="U304" s="37"/>
      <c r="V304" s="44"/>
      <c r="W304" s="41"/>
    </row>
    <row r="305" spans="1:23" ht="15.75" customHeight="1" x14ac:dyDescent="0.3">
      <c r="A305" s="3"/>
      <c r="B305" s="3"/>
      <c r="C305" s="37"/>
      <c r="D305" s="37"/>
      <c r="E305" s="37"/>
      <c r="F305" s="37"/>
      <c r="G305" s="37"/>
      <c r="H305" s="37"/>
      <c r="I305" s="37"/>
      <c r="J305" s="37"/>
      <c r="K305" s="37"/>
      <c r="L305" s="37"/>
      <c r="M305" s="37"/>
      <c r="N305" s="37"/>
      <c r="O305" s="37"/>
      <c r="P305" s="37"/>
      <c r="Q305" s="37"/>
      <c r="R305" s="37"/>
      <c r="S305" s="37"/>
      <c r="T305" s="37"/>
      <c r="U305" s="37"/>
      <c r="V305" s="44"/>
      <c r="W305" s="41"/>
    </row>
    <row r="306" spans="1:23" ht="15.75" customHeight="1" x14ac:dyDescent="0.3">
      <c r="A306" s="3"/>
      <c r="B306" s="3"/>
      <c r="C306" s="37"/>
      <c r="D306" s="37"/>
      <c r="E306" s="37"/>
      <c r="F306" s="37"/>
      <c r="G306" s="37"/>
      <c r="H306" s="37"/>
      <c r="I306" s="37"/>
      <c r="J306" s="37"/>
      <c r="K306" s="37"/>
      <c r="L306" s="37"/>
      <c r="M306" s="37"/>
      <c r="N306" s="37"/>
      <c r="O306" s="37"/>
      <c r="P306" s="37"/>
      <c r="Q306" s="37"/>
      <c r="R306" s="37"/>
      <c r="S306" s="37"/>
      <c r="T306" s="37"/>
      <c r="U306" s="37"/>
      <c r="V306" s="44"/>
      <c r="W306" s="41"/>
    </row>
    <row r="307" spans="1:23" ht="15.75" customHeight="1" x14ac:dyDescent="0.3">
      <c r="A307" s="3"/>
      <c r="B307" s="3"/>
      <c r="C307" s="37"/>
      <c r="D307" s="37"/>
      <c r="E307" s="37"/>
      <c r="F307" s="37"/>
      <c r="G307" s="37"/>
      <c r="H307" s="37"/>
      <c r="I307" s="37"/>
      <c r="J307" s="37"/>
      <c r="K307" s="37"/>
      <c r="L307" s="37"/>
      <c r="M307" s="37"/>
      <c r="N307" s="37"/>
      <c r="O307" s="37"/>
      <c r="P307" s="37"/>
      <c r="Q307" s="37"/>
      <c r="R307" s="37"/>
      <c r="S307" s="37"/>
      <c r="T307" s="37"/>
      <c r="U307" s="37"/>
      <c r="V307" s="44"/>
      <c r="W307" s="41"/>
    </row>
    <row r="308" spans="1:23" ht="15.75" customHeight="1" x14ac:dyDescent="0.3">
      <c r="A308" s="3"/>
      <c r="B308" s="3"/>
      <c r="C308" s="37"/>
      <c r="D308" s="37"/>
      <c r="E308" s="37"/>
      <c r="F308" s="37"/>
      <c r="G308" s="37"/>
      <c r="H308" s="37"/>
      <c r="I308" s="37"/>
      <c r="J308" s="37"/>
      <c r="K308" s="37"/>
      <c r="L308" s="37"/>
      <c r="M308" s="37"/>
      <c r="N308" s="37"/>
      <c r="O308" s="37"/>
      <c r="P308" s="37"/>
      <c r="Q308" s="37"/>
      <c r="R308" s="37"/>
      <c r="S308" s="37"/>
      <c r="T308" s="37"/>
      <c r="U308" s="37"/>
      <c r="V308" s="44"/>
      <c r="W308" s="41"/>
    </row>
    <row r="309" spans="1:23" ht="15.75" customHeight="1" x14ac:dyDescent="0.3">
      <c r="A309" s="3"/>
      <c r="B309" s="3"/>
      <c r="C309" s="37"/>
      <c r="D309" s="37"/>
      <c r="E309" s="37"/>
      <c r="F309" s="37"/>
      <c r="G309" s="37"/>
      <c r="H309" s="37"/>
      <c r="I309" s="37"/>
      <c r="J309" s="37"/>
      <c r="K309" s="37"/>
      <c r="L309" s="37"/>
      <c r="M309" s="37"/>
      <c r="N309" s="37"/>
      <c r="O309" s="37"/>
      <c r="P309" s="37"/>
      <c r="Q309" s="37"/>
      <c r="R309" s="37"/>
      <c r="S309" s="37"/>
      <c r="T309" s="37"/>
      <c r="U309" s="37"/>
      <c r="V309" s="44"/>
      <c r="W309" s="41"/>
    </row>
    <row r="310" spans="1:23" ht="15.75" customHeight="1" x14ac:dyDescent="0.3">
      <c r="A310" s="3"/>
      <c r="B310" s="3"/>
      <c r="C310" s="37"/>
      <c r="D310" s="37"/>
      <c r="E310" s="37"/>
      <c r="F310" s="37"/>
      <c r="G310" s="37"/>
      <c r="H310" s="37"/>
      <c r="I310" s="37"/>
      <c r="J310" s="37"/>
      <c r="K310" s="37"/>
      <c r="L310" s="37"/>
      <c r="M310" s="37"/>
      <c r="N310" s="37"/>
      <c r="O310" s="37"/>
      <c r="P310" s="37"/>
      <c r="Q310" s="37"/>
      <c r="R310" s="37"/>
      <c r="S310" s="37"/>
      <c r="T310" s="37"/>
      <c r="U310" s="37"/>
      <c r="V310" s="44"/>
      <c r="W310" s="41"/>
    </row>
    <row r="311" spans="1:23" ht="15.75" customHeight="1" x14ac:dyDescent="0.3">
      <c r="A311" s="3"/>
      <c r="B311" s="3"/>
      <c r="C311" s="37"/>
      <c r="D311" s="37"/>
      <c r="E311" s="37"/>
      <c r="F311" s="37"/>
      <c r="G311" s="37"/>
      <c r="H311" s="37"/>
      <c r="I311" s="37"/>
      <c r="J311" s="37"/>
      <c r="K311" s="37"/>
      <c r="L311" s="37"/>
      <c r="M311" s="37"/>
      <c r="N311" s="37"/>
      <c r="O311" s="37"/>
      <c r="P311" s="37"/>
      <c r="Q311" s="37"/>
      <c r="R311" s="37"/>
      <c r="S311" s="37"/>
      <c r="T311" s="37"/>
      <c r="U311" s="37"/>
      <c r="V311" s="44"/>
      <c r="W311" s="41"/>
    </row>
    <row r="312" spans="1:23" ht="15.75" customHeight="1" x14ac:dyDescent="0.3">
      <c r="A312" s="3"/>
      <c r="B312" s="3"/>
      <c r="C312" s="37"/>
      <c r="D312" s="37"/>
      <c r="E312" s="37"/>
      <c r="F312" s="37"/>
      <c r="G312" s="37"/>
      <c r="H312" s="37"/>
      <c r="I312" s="37"/>
      <c r="J312" s="37"/>
      <c r="K312" s="37"/>
      <c r="L312" s="37"/>
      <c r="M312" s="37"/>
      <c r="N312" s="37"/>
      <c r="O312" s="37"/>
      <c r="P312" s="37"/>
      <c r="Q312" s="37"/>
      <c r="R312" s="37"/>
      <c r="S312" s="37"/>
      <c r="T312" s="37"/>
      <c r="U312" s="37"/>
      <c r="V312" s="44"/>
      <c r="W312" s="41"/>
    </row>
    <row r="313" spans="1:23" ht="15.75" customHeight="1" x14ac:dyDescent="0.3">
      <c r="A313" s="3"/>
      <c r="B313" s="3"/>
      <c r="C313" s="37"/>
      <c r="D313" s="37"/>
      <c r="E313" s="37"/>
      <c r="F313" s="37"/>
      <c r="G313" s="37"/>
      <c r="H313" s="37"/>
      <c r="I313" s="37"/>
      <c r="J313" s="37"/>
      <c r="K313" s="37"/>
      <c r="L313" s="37"/>
      <c r="M313" s="37"/>
      <c r="N313" s="37"/>
      <c r="O313" s="37"/>
      <c r="P313" s="37"/>
      <c r="Q313" s="37"/>
      <c r="R313" s="37"/>
      <c r="S313" s="37"/>
      <c r="T313" s="37"/>
      <c r="U313" s="37"/>
      <c r="V313" s="44"/>
      <c r="W313" s="41"/>
    </row>
    <row r="314" spans="1:23" ht="15.75" customHeight="1" x14ac:dyDescent="0.3">
      <c r="A314" s="3"/>
      <c r="B314" s="3"/>
      <c r="C314" s="37"/>
      <c r="D314" s="37"/>
      <c r="E314" s="37"/>
      <c r="F314" s="37"/>
      <c r="G314" s="37"/>
      <c r="H314" s="37"/>
      <c r="I314" s="37"/>
      <c r="J314" s="37"/>
      <c r="K314" s="37"/>
      <c r="L314" s="37"/>
      <c r="M314" s="37"/>
      <c r="N314" s="37"/>
      <c r="O314" s="37"/>
      <c r="P314" s="37"/>
      <c r="Q314" s="37"/>
      <c r="R314" s="37"/>
      <c r="S314" s="37"/>
      <c r="T314" s="37"/>
      <c r="U314" s="37"/>
      <c r="V314" s="44"/>
      <c r="W314" s="41"/>
    </row>
    <row r="315" spans="1:23" ht="15.75" customHeight="1" x14ac:dyDescent="0.3">
      <c r="A315" s="3"/>
      <c r="B315" s="3"/>
      <c r="C315" s="37"/>
      <c r="D315" s="37"/>
      <c r="E315" s="37"/>
      <c r="F315" s="37"/>
      <c r="G315" s="37"/>
      <c r="H315" s="37"/>
      <c r="I315" s="37"/>
      <c r="J315" s="37"/>
      <c r="K315" s="37"/>
      <c r="L315" s="37"/>
      <c r="M315" s="37"/>
      <c r="N315" s="37"/>
      <c r="O315" s="37"/>
      <c r="P315" s="37"/>
      <c r="Q315" s="37"/>
      <c r="R315" s="37"/>
      <c r="S315" s="37"/>
      <c r="T315" s="37"/>
      <c r="U315" s="37"/>
      <c r="V315" s="44"/>
      <c r="W315" s="41"/>
    </row>
    <row r="316" spans="1:23" ht="15.75" customHeight="1" x14ac:dyDescent="0.3">
      <c r="A316" s="3"/>
      <c r="B316" s="3"/>
      <c r="C316" s="37"/>
      <c r="D316" s="37"/>
      <c r="E316" s="37"/>
      <c r="F316" s="37"/>
      <c r="G316" s="37"/>
      <c r="H316" s="37"/>
      <c r="I316" s="37"/>
      <c r="J316" s="37"/>
      <c r="K316" s="37"/>
      <c r="L316" s="37"/>
      <c r="M316" s="37"/>
      <c r="N316" s="37"/>
      <c r="O316" s="37"/>
      <c r="P316" s="37"/>
      <c r="Q316" s="37"/>
      <c r="R316" s="37"/>
      <c r="S316" s="37"/>
      <c r="T316" s="37"/>
      <c r="U316" s="37"/>
      <c r="V316" s="44"/>
      <c r="W316" s="41"/>
    </row>
    <row r="317" spans="1:23" ht="15.75" customHeight="1" x14ac:dyDescent="0.3">
      <c r="A317" s="3"/>
      <c r="B317" s="3"/>
      <c r="C317" s="37"/>
      <c r="D317" s="37"/>
      <c r="E317" s="37"/>
      <c r="F317" s="37"/>
      <c r="G317" s="37"/>
      <c r="H317" s="37"/>
      <c r="I317" s="37"/>
      <c r="J317" s="37"/>
      <c r="K317" s="37"/>
      <c r="L317" s="37"/>
      <c r="M317" s="37"/>
      <c r="N317" s="37"/>
      <c r="O317" s="37"/>
      <c r="P317" s="37"/>
      <c r="Q317" s="37"/>
      <c r="R317" s="37"/>
      <c r="S317" s="37"/>
      <c r="T317" s="37"/>
      <c r="U317" s="37"/>
      <c r="V317" s="44"/>
      <c r="W317" s="41"/>
    </row>
    <row r="318" spans="1:23" ht="15.75" customHeight="1" x14ac:dyDescent="0.3">
      <c r="A318" s="3"/>
      <c r="B318" s="3"/>
      <c r="C318" s="37"/>
      <c r="D318" s="37"/>
      <c r="E318" s="37"/>
      <c r="F318" s="37"/>
      <c r="G318" s="37"/>
      <c r="H318" s="37"/>
      <c r="I318" s="37"/>
      <c r="J318" s="37"/>
      <c r="K318" s="37"/>
      <c r="L318" s="37"/>
      <c r="M318" s="37"/>
      <c r="N318" s="37"/>
      <c r="O318" s="37"/>
      <c r="P318" s="37"/>
      <c r="Q318" s="37"/>
      <c r="R318" s="37"/>
      <c r="S318" s="37"/>
      <c r="T318" s="37"/>
      <c r="U318" s="37"/>
      <c r="V318" s="44"/>
      <c r="W318" s="41"/>
    </row>
    <row r="319" spans="1:23" ht="15.75" customHeight="1" x14ac:dyDescent="0.3">
      <c r="A319" s="3"/>
      <c r="B319" s="3"/>
      <c r="C319" s="37"/>
      <c r="D319" s="37"/>
      <c r="E319" s="37"/>
      <c r="F319" s="37"/>
      <c r="G319" s="37"/>
      <c r="H319" s="37"/>
      <c r="I319" s="37"/>
      <c r="J319" s="37"/>
      <c r="K319" s="37"/>
      <c r="L319" s="37"/>
      <c r="M319" s="37"/>
      <c r="N319" s="37"/>
      <c r="O319" s="37"/>
      <c r="P319" s="37"/>
      <c r="Q319" s="37"/>
      <c r="R319" s="37"/>
      <c r="S319" s="37"/>
      <c r="T319" s="37"/>
      <c r="U319" s="37"/>
      <c r="V319" s="44"/>
      <c r="W319" s="41"/>
    </row>
    <row r="320" spans="1:23" ht="15.75" customHeight="1" x14ac:dyDescent="0.3">
      <c r="A320" s="3"/>
      <c r="B320" s="3"/>
      <c r="C320" s="37"/>
      <c r="D320" s="37"/>
      <c r="E320" s="37"/>
      <c r="F320" s="37"/>
      <c r="G320" s="37"/>
      <c r="H320" s="37"/>
      <c r="I320" s="37"/>
      <c r="J320" s="37"/>
      <c r="K320" s="37"/>
      <c r="L320" s="37"/>
      <c r="M320" s="37"/>
      <c r="N320" s="37"/>
      <c r="O320" s="37"/>
      <c r="P320" s="37"/>
      <c r="Q320" s="37"/>
      <c r="R320" s="37"/>
      <c r="S320" s="37"/>
      <c r="T320" s="37"/>
      <c r="U320" s="37"/>
      <c r="V320" s="44"/>
      <c r="W320" s="41"/>
    </row>
    <row r="321" spans="1:23" ht="15.75" customHeight="1" x14ac:dyDescent="0.3">
      <c r="A321" s="3"/>
      <c r="B321" s="3"/>
      <c r="C321" s="37"/>
      <c r="D321" s="37"/>
      <c r="E321" s="37"/>
      <c r="F321" s="37"/>
      <c r="G321" s="37"/>
      <c r="H321" s="37"/>
      <c r="I321" s="37"/>
      <c r="J321" s="37"/>
      <c r="K321" s="37"/>
      <c r="L321" s="37"/>
      <c r="M321" s="37"/>
      <c r="N321" s="37"/>
      <c r="O321" s="37"/>
      <c r="P321" s="37"/>
      <c r="Q321" s="37"/>
      <c r="R321" s="37"/>
      <c r="S321" s="37"/>
      <c r="T321" s="37"/>
      <c r="U321" s="37"/>
      <c r="V321" s="44"/>
      <c r="W321" s="41"/>
    </row>
    <row r="322" spans="1:23" ht="15.75" customHeight="1" x14ac:dyDescent="0.3">
      <c r="A322" s="3"/>
      <c r="B322" s="3"/>
      <c r="C322" s="37"/>
      <c r="D322" s="37"/>
      <c r="E322" s="37"/>
      <c r="F322" s="37"/>
      <c r="G322" s="37"/>
      <c r="H322" s="37"/>
      <c r="I322" s="37"/>
      <c r="J322" s="37"/>
      <c r="K322" s="37"/>
      <c r="L322" s="37"/>
      <c r="M322" s="37"/>
      <c r="N322" s="37"/>
      <c r="O322" s="37"/>
      <c r="P322" s="37"/>
      <c r="Q322" s="37"/>
      <c r="R322" s="37"/>
      <c r="S322" s="37"/>
      <c r="T322" s="37"/>
      <c r="U322" s="37"/>
      <c r="V322" s="44"/>
      <c r="W322" s="41"/>
    </row>
    <row r="323" spans="1:23" ht="15.75" customHeight="1" x14ac:dyDescent="0.3">
      <c r="A323" s="3"/>
      <c r="B323" s="3"/>
      <c r="C323" s="37"/>
      <c r="D323" s="37"/>
      <c r="E323" s="37"/>
      <c r="F323" s="37"/>
      <c r="G323" s="37"/>
      <c r="H323" s="37"/>
      <c r="I323" s="37"/>
      <c r="J323" s="37"/>
      <c r="K323" s="37"/>
      <c r="L323" s="37"/>
      <c r="M323" s="37"/>
      <c r="N323" s="37"/>
      <c r="O323" s="37"/>
      <c r="P323" s="37"/>
      <c r="Q323" s="37"/>
      <c r="R323" s="37"/>
      <c r="S323" s="37"/>
      <c r="T323" s="37"/>
      <c r="U323" s="37"/>
      <c r="V323" s="44"/>
      <c r="W323" s="41"/>
    </row>
    <row r="324" spans="1:23" ht="15.75" customHeight="1" x14ac:dyDescent="0.3">
      <c r="A324" s="3"/>
      <c r="B324" s="3"/>
      <c r="C324" s="37"/>
      <c r="D324" s="37"/>
      <c r="E324" s="37"/>
      <c r="F324" s="37"/>
      <c r="G324" s="37"/>
      <c r="H324" s="37"/>
      <c r="I324" s="37"/>
      <c r="J324" s="37"/>
      <c r="K324" s="37"/>
      <c r="L324" s="37"/>
      <c r="M324" s="37"/>
      <c r="N324" s="37"/>
      <c r="O324" s="37"/>
      <c r="P324" s="37"/>
      <c r="Q324" s="37"/>
      <c r="R324" s="37"/>
      <c r="S324" s="37"/>
      <c r="T324" s="37"/>
      <c r="U324" s="37"/>
      <c r="V324" s="44"/>
      <c r="W324" s="41"/>
    </row>
    <row r="325" spans="1:23" ht="15.75" customHeight="1" x14ac:dyDescent="0.3">
      <c r="A325" s="3"/>
      <c r="B325" s="3"/>
      <c r="C325" s="37"/>
      <c r="D325" s="37"/>
      <c r="E325" s="37"/>
      <c r="F325" s="37"/>
      <c r="G325" s="37"/>
      <c r="H325" s="37"/>
      <c r="I325" s="37"/>
      <c r="J325" s="37"/>
      <c r="K325" s="37"/>
      <c r="L325" s="37"/>
      <c r="M325" s="37"/>
      <c r="N325" s="37"/>
      <c r="O325" s="37"/>
      <c r="P325" s="37"/>
      <c r="Q325" s="37"/>
      <c r="R325" s="37"/>
      <c r="S325" s="37"/>
      <c r="T325" s="37"/>
      <c r="U325" s="37"/>
      <c r="V325" s="44"/>
      <c r="W325" s="41"/>
    </row>
    <row r="326" spans="1:23" ht="15.75" customHeight="1" x14ac:dyDescent="0.3">
      <c r="A326" s="3"/>
      <c r="B326" s="3"/>
      <c r="C326" s="37"/>
      <c r="D326" s="37"/>
      <c r="E326" s="37"/>
      <c r="F326" s="37"/>
      <c r="G326" s="37"/>
      <c r="H326" s="37"/>
      <c r="I326" s="37"/>
      <c r="J326" s="37"/>
      <c r="K326" s="37"/>
      <c r="L326" s="37"/>
      <c r="M326" s="37"/>
      <c r="N326" s="37"/>
      <c r="O326" s="37"/>
      <c r="P326" s="37"/>
      <c r="Q326" s="37"/>
      <c r="R326" s="37"/>
      <c r="S326" s="37"/>
      <c r="T326" s="37"/>
      <c r="U326" s="37"/>
      <c r="V326" s="44"/>
      <c r="W326" s="41"/>
    </row>
    <row r="327" spans="1:23" ht="15.75" customHeight="1" x14ac:dyDescent="0.3">
      <c r="A327" s="3"/>
      <c r="B327" s="3"/>
      <c r="C327" s="37"/>
      <c r="D327" s="37"/>
      <c r="E327" s="37"/>
      <c r="F327" s="37"/>
      <c r="G327" s="37"/>
      <c r="H327" s="37"/>
      <c r="I327" s="37"/>
      <c r="J327" s="37"/>
      <c r="K327" s="37"/>
      <c r="L327" s="37"/>
      <c r="M327" s="37"/>
      <c r="N327" s="37"/>
      <c r="O327" s="37"/>
      <c r="P327" s="37"/>
      <c r="Q327" s="37"/>
      <c r="R327" s="37"/>
      <c r="S327" s="37"/>
      <c r="T327" s="37"/>
      <c r="U327" s="37"/>
      <c r="V327" s="44"/>
      <c r="W327" s="41"/>
    </row>
    <row r="328" spans="1:23" ht="15.75" customHeight="1" x14ac:dyDescent="0.3">
      <c r="A328" s="3"/>
      <c r="B328" s="3"/>
      <c r="C328" s="37"/>
      <c r="D328" s="37"/>
      <c r="E328" s="37"/>
      <c r="F328" s="37"/>
      <c r="G328" s="37"/>
      <c r="H328" s="37"/>
      <c r="I328" s="37"/>
      <c r="J328" s="37"/>
      <c r="K328" s="37"/>
      <c r="L328" s="37"/>
      <c r="M328" s="37"/>
      <c r="N328" s="37"/>
      <c r="O328" s="37"/>
      <c r="P328" s="37"/>
      <c r="Q328" s="37"/>
      <c r="R328" s="37"/>
      <c r="S328" s="37"/>
      <c r="T328" s="37"/>
      <c r="U328" s="37"/>
      <c r="V328" s="44"/>
      <c r="W328" s="41"/>
    </row>
    <row r="329" spans="1:23" ht="15.75" customHeight="1" x14ac:dyDescent="0.3">
      <c r="A329" s="3"/>
      <c r="B329" s="3"/>
      <c r="C329" s="37"/>
      <c r="D329" s="37"/>
      <c r="E329" s="37"/>
      <c r="F329" s="37"/>
      <c r="G329" s="37"/>
      <c r="H329" s="37"/>
      <c r="I329" s="37"/>
      <c r="J329" s="37"/>
      <c r="K329" s="37"/>
      <c r="L329" s="37"/>
      <c r="M329" s="37"/>
      <c r="N329" s="37"/>
      <c r="O329" s="37"/>
      <c r="P329" s="37"/>
      <c r="Q329" s="37"/>
      <c r="R329" s="37"/>
      <c r="S329" s="37"/>
      <c r="T329" s="37"/>
      <c r="U329" s="37"/>
      <c r="V329" s="44"/>
      <c r="W329" s="41"/>
    </row>
    <row r="330" spans="1:23" ht="15.75" customHeight="1" x14ac:dyDescent="0.3">
      <c r="A330" s="3"/>
      <c r="B330" s="3"/>
      <c r="C330" s="37"/>
      <c r="D330" s="37"/>
      <c r="E330" s="37"/>
      <c r="F330" s="37"/>
      <c r="G330" s="37"/>
      <c r="H330" s="37"/>
      <c r="I330" s="37"/>
      <c r="J330" s="37"/>
      <c r="K330" s="37"/>
      <c r="L330" s="37"/>
      <c r="M330" s="37"/>
      <c r="N330" s="37"/>
      <c r="O330" s="37"/>
      <c r="P330" s="37"/>
      <c r="Q330" s="37"/>
      <c r="R330" s="37"/>
      <c r="S330" s="37"/>
      <c r="T330" s="37"/>
      <c r="U330" s="37"/>
      <c r="V330" s="44"/>
      <c r="W330" s="41"/>
    </row>
    <row r="331" spans="1:23" ht="15.75" customHeight="1" x14ac:dyDescent="0.3">
      <c r="A331" s="3"/>
      <c r="B331" s="3"/>
      <c r="C331" s="37"/>
      <c r="D331" s="37"/>
      <c r="E331" s="37"/>
      <c r="F331" s="37"/>
      <c r="G331" s="37"/>
      <c r="H331" s="37"/>
      <c r="I331" s="37"/>
      <c r="J331" s="37"/>
      <c r="K331" s="37"/>
      <c r="L331" s="37"/>
      <c r="M331" s="37"/>
      <c r="N331" s="37"/>
      <c r="O331" s="37"/>
      <c r="P331" s="37"/>
      <c r="Q331" s="37"/>
      <c r="R331" s="37"/>
      <c r="S331" s="37"/>
      <c r="T331" s="37"/>
      <c r="U331" s="37"/>
      <c r="V331" s="44"/>
      <c r="W331" s="41"/>
    </row>
    <row r="332" spans="1:23" ht="15.75" customHeight="1" x14ac:dyDescent="0.3">
      <c r="A332" s="3"/>
      <c r="B332" s="3"/>
      <c r="C332" s="37"/>
      <c r="D332" s="37"/>
      <c r="E332" s="37"/>
      <c r="F332" s="37"/>
      <c r="G332" s="37"/>
      <c r="H332" s="37"/>
      <c r="I332" s="37"/>
      <c r="J332" s="37"/>
      <c r="K332" s="37"/>
      <c r="L332" s="37"/>
      <c r="M332" s="37"/>
      <c r="N332" s="37"/>
      <c r="O332" s="37"/>
      <c r="P332" s="37"/>
      <c r="Q332" s="37"/>
      <c r="R332" s="37"/>
      <c r="S332" s="37"/>
      <c r="T332" s="37"/>
      <c r="U332" s="37"/>
      <c r="V332" s="44"/>
      <c r="W332" s="41"/>
    </row>
    <row r="333" spans="1:23" ht="15.75" customHeight="1" x14ac:dyDescent="0.3">
      <c r="A333" s="3"/>
      <c r="B333" s="3"/>
      <c r="C333" s="37"/>
      <c r="D333" s="37"/>
      <c r="E333" s="37"/>
      <c r="F333" s="37"/>
      <c r="G333" s="37"/>
      <c r="H333" s="37"/>
      <c r="I333" s="37"/>
      <c r="J333" s="37"/>
      <c r="K333" s="37"/>
      <c r="L333" s="37"/>
      <c r="M333" s="37"/>
      <c r="N333" s="37"/>
      <c r="O333" s="37"/>
      <c r="P333" s="37"/>
      <c r="Q333" s="37"/>
      <c r="R333" s="37"/>
      <c r="S333" s="37"/>
      <c r="T333" s="37"/>
      <c r="U333" s="37"/>
      <c r="V333" s="44"/>
      <c r="W333" s="41"/>
    </row>
    <row r="334" spans="1:23" ht="15.75" customHeight="1" x14ac:dyDescent="0.3">
      <c r="A334" s="3"/>
      <c r="B334" s="3"/>
      <c r="C334" s="37"/>
      <c r="D334" s="37"/>
      <c r="E334" s="37"/>
      <c r="F334" s="37"/>
      <c r="G334" s="37"/>
      <c r="H334" s="37"/>
      <c r="I334" s="37"/>
      <c r="J334" s="37"/>
      <c r="K334" s="37"/>
      <c r="L334" s="37"/>
      <c r="M334" s="37"/>
      <c r="N334" s="37"/>
      <c r="O334" s="37"/>
      <c r="P334" s="37"/>
      <c r="Q334" s="37"/>
      <c r="R334" s="37"/>
      <c r="S334" s="37"/>
      <c r="T334" s="37"/>
      <c r="U334" s="37"/>
      <c r="V334" s="44"/>
      <c r="W334" s="41"/>
    </row>
    <row r="335" spans="1:23" ht="15.75" customHeight="1" x14ac:dyDescent="0.3">
      <c r="A335" s="3"/>
      <c r="B335" s="3"/>
      <c r="C335" s="37"/>
      <c r="D335" s="37"/>
      <c r="E335" s="37"/>
      <c r="F335" s="37"/>
      <c r="G335" s="37"/>
      <c r="H335" s="37"/>
      <c r="I335" s="37"/>
      <c r="J335" s="37"/>
      <c r="K335" s="37"/>
      <c r="L335" s="37"/>
      <c r="M335" s="37"/>
      <c r="N335" s="37"/>
      <c r="O335" s="37"/>
      <c r="P335" s="37"/>
      <c r="Q335" s="37"/>
      <c r="R335" s="37"/>
      <c r="S335" s="37"/>
      <c r="T335" s="37"/>
      <c r="U335" s="37"/>
      <c r="V335" s="44"/>
      <c r="W335" s="41"/>
    </row>
    <row r="336" spans="1:23" ht="15.75" customHeight="1" x14ac:dyDescent="0.3">
      <c r="A336" s="3"/>
      <c r="B336" s="3"/>
      <c r="C336" s="37"/>
      <c r="D336" s="37"/>
      <c r="E336" s="37"/>
      <c r="F336" s="37"/>
      <c r="G336" s="37"/>
      <c r="H336" s="37"/>
      <c r="I336" s="37"/>
      <c r="J336" s="37"/>
      <c r="K336" s="37"/>
      <c r="L336" s="37"/>
      <c r="M336" s="37"/>
      <c r="N336" s="37"/>
      <c r="O336" s="37"/>
      <c r="P336" s="37"/>
      <c r="Q336" s="37"/>
      <c r="R336" s="37"/>
      <c r="S336" s="37"/>
      <c r="T336" s="37"/>
      <c r="U336" s="37"/>
      <c r="V336" s="44"/>
      <c r="W336" s="41"/>
    </row>
    <row r="337" spans="1:23" ht="15.75" customHeight="1" x14ac:dyDescent="0.3">
      <c r="A337" s="3"/>
      <c r="B337" s="3"/>
      <c r="C337" s="37"/>
      <c r="D337" s="37"/>
      <c r="E337" s="37"/>
      <c r="F337" s="37"/>
      <c r="G337" s="37"/>
      <c r="H337" s="37"/>
      <c r="I337" s="37"/>
      <c r="J337" s="37"/>
      <c r="K337" s="37"/>
      <c r="L337" s="37"/>
      <c r="M337" s="37"/>
      <c r="N337" s="37"/>
      <c r="O337" s="37"/>
      <c r="P337" s="37"/>
      <c r="Q337" s="37"/>
      <c r="R337" s="37"/>
      <c r="S337" s="37"/>
      <c r="T337" s="37"/>
      <c r="U337" s="37"/>
      <c r="V337" s="44"/>
      <c r="W337" s="41"/>
    </row>
    <row r="338" spans="1:23" ht="15.75" customHeight="1" x14ac:dyDescent="0.3">
      <c r="A338" s="3"/>
      <c r="B338" s="3"/>
      <c r="C338" s="37"/>
      <c r="D338" s="37"/>
      <c r="E338" s="37"/>
      <c r="F338" s="37"/>
      <c r="G338" s="37"/>
      <c r="H338" s="37"/>
      <c r="I338" s="37"/>
      <c r="J338" s="37"/>
      <c r="K338" s="37"/>
      <c r="L338" s="37"/>
      <c r="M338" s="37"/>
      <c r="N338" s="37"/>
      <c r="O338" s="37"/>
      <c r="P338" s="37"/>
      <c r="Q338" s="37"/>
      <c r="R338" s="37"/>
      <c r="S338" s="37"/>
      <c r="T338" s="37"/>
      <c r="U338" s="37"/>
      <c r="V338" s="44"/>
      <c r="W338" s="41"/>
    </row>
    <row r="339" spans="1:23" ht="15.75" customHeight="1" x14ac:dyDescent="0.3">
      <c r="A339" s="3"/>
      <c r="B339" s="3"/>
      <c r="C339" s="37"/>
      <c r="D339" s="37"/>
      <c r="E339" s="37"/>
      <c r="F339" s="37"/>
      <c r="G339" s="37"/>
      <c r="H339" s="37"/>
      <c r="I339" s="37"/>
      <c r="J339" s="37"/>
      <c r="K339" s="37"/>
      <c r="L339" s="37"/>
      <c r="M339" s="37"/>
      <c r="N339" s="37"/>
      <c r="O339" s="37"/>
      <c r="P339" s="37"/>
      <c r="Q339" s="37"/>
      <c r="R339" s="37"/>
      <c r="S339" s="37"/>
      <c r="T339" s="37"/>
      <c r="U339" s="37"/>
      <c r="V339" s="44"/>
      <c r="W339" s="41"/>
    </row>
    <row r="340" spans="1:23" ht="15.75" customHeight="1" x14ac:dyDescent="0.3">
      <c r="A340" s="3"/>
      <c r="B340" s="3"/>
      <c r="C340" s="37"/>
      <c r="D340" s="37"/>
      <c r="E340" s="37"/>
      <c r="F340" s="37"/>
      <c r="G340" s="37"/>
      <c r="H340" s="37"/>
      <c r="I340" s="37"/>
      <c r="J340" s="37"/>
      <c r="K340" s="37"/>
      <c r="L340" s="37"/>
      <c r="M340" s="37"/>
      <c r="N340" s="37"/>
      <c r="O340" s="37"/>
      <c r="P340" s="37"/>
      <c r="Q340" s="37"/>
      <c r="R340" s="37"/>
      <c r="S340" s="37"/>
      <c r="T340" s="37"/>
      <c r="U340" s="37"/>
      <c r="V340" s="44"/>
      <c r="W340" s="41"/>
    </row>
    <row r="341" spans="1:23" ht="15.75" customHeight="1" x14ac:dyDescent="0.3">
      <c r="A341" s="3"/>
      <c r="B341" s="3"/>
      <c r="C341" s="37"/>
      <c r="D341" s="37"/>
      <c r="E341" s="37"/>
      <c r="F341" s="37"/>
      <c r="G341" s="37"/>
      <c r="H341" s="37"/>
      <c r="I341" s="37"/>
      <c r="J341" s="37"/>
      <c r="K341" s="37"/>
      <c r="L341" s="37"/>
      <c r="M341" s="37"/>
      <c r="N341" s="37"/>
      <c r="O341" s="37"/>
      <c r="P341" s="37"/>
      <c r="Q341" s="37"/>
      <c r="R341" s="37"/>
      <c r="S341" s="37"/>
      <c r="T341" s="37"/>
      <c r="U341" s="37"/>
      <c r="V341" s="44"/>
      <c r="W341" s="41"/>
    </row>
    <row r="342" spans="1:23" ht="15.75" customHeight="1" x14ac:dyDescent="0.3">
      <c r="A342" s="3"/>
      <c r="B342" s="3"/>
      <c r="C342" s="37"/>
      <c r="D342" s="37"/>
      <c r="E342" s="37"/>
      <c r="F342" s="37"/>
      <c r="G342" s="37"/>
      <c r="H342" s="37"/>
      <c r="I342" s="37"/>
      <c r="J342" s="37"/>
      <c r="K342" s="37"/>
      <c r="L342" s="37"/>
      <c r="M342" s="37"/>
      <c r="N342" s="37"/>
      <c r="O342" s="37"/>
      <c r="P342" s="37"/>
      <c r="Q342" s="37"/>
      <c r="R342" s="37"/>
      <c r="S342" s="37"/>
      <c r="T342" s="37"/>
      <c r="U342" s="37"/>
      <c r="V342" s="44"/>
      <c r="W342" s="41"/>
    </row>
    <row r="343" spans="1:23" ht="15.75" customHeight="1" x14ac:dyDescent="0.3">
      <c r="A343" s="3"/>
      <c r="B343" s="3"/>
      <c r="C343" s="37"/>
      <c r="D343" s="37"/>
      <c r="E343" s="37"/>
      <c r="F343" s="37"/>
      <c r="G343" s="37"/>
      <c r="H343" s="37"/>
      <c r="I343" s="37"/>
      <c r="J343" s="37"/>
      <c r="K343" s="37"/>
      <c r="L343" s="37"/>
      <c r="M343" s="37"/>
      <c r="N343" s="37"/>
      <c r="O343" s="37"/>
      <c r="P343" s="37"/>
      <c r="Q343" s="37"/>
      <c r="R343" s="37"/>
      <c r="S343" s="37"/>
      <c r="T343" s="37"/>
      <c r="U343" s="37"/>
      <c r="V343" s="44"/>
      <c r="W343" s="41"/>
    </row>
    <row r="344" spans="1:23" ht="15.75" customHeight="1" x14ac:dyDescent="0.3">
      <c r="A344" s="3"/>
      <c r="B344" s="3"/>
      <c r="C344" s="37"/>
      <c r="D344" s="37"/>
      <c r="E344" s="37"/>
      <c r="F344" s="37"/>
      <c r="G344" s="37"/>
      <c r="H344" s="37"/>
      <c r="I344" s="37"/>
      <c r="J344" s="37"/>
      <c r="K344" s="37"/>
      <c r="L344" s="37"/>
      <c r="M344" s="37"/>
      <c r="N344" s="37"/>
      <c r="O344" s="37"/>
      <c r="P344" s="37"/>
      <c r="Q344" s="37"/>
      <c r="R344" s="37"/>
      <c r="S344" s="37"/>
      <c r="T344" s="37"/>
      <c r="U344" s="37"/>
      <c r="V344" s="44"/>
      <c r="W344" s="41"/>
    </row>
    <row r="345" spans="1:23" ht="15.75" customHeight="1" x14ac:dyDescent="0.3">
      <c r="A345" s="3"/>
      <c r="B345" s="3"/>
      <c r="C345" s="37"/>
      <c r="D345" s="37"/>
      <c r="E345" s="37"/>
      <c r="F345" s="37"/>
      <c r="G345" s="37"/>
      <c r="H345" s="37"/>
      <c r="I345" s="37"/>
      <c r="J345" s="37"/>
      <c r="K345" s="37"/>
      <c r="L345" s="37"/>
      <c r="M345" s="37"/>
      <c r="N345" s="37"/>
      <c r="O345" s="37"/>
      <c r="P345" s="37"/>
      <c r="Q345" s="37"/>
      <c r="R345" s="37"/>
      <c r="S345" s="37"/>
      <c r="T345" s="37"/>
      <c r="U345" s="37"/>
      <c r="V345" s="44"/>
      <c r="W345" s="41"/>
    </row>
    <row r="346" spans="1:23" ht="15.75" customHeight="1" x14ac:dyDescent="0.3">
      <c r="A346" s="3"/>
      <c r="B346" s="3"/>
      <c r="C346" s="37"/>
      <c r="D346" s="37"/>
      <c r="E346" s="37"/>
      <c r="F346" s="37"/>
      <c r="G346" s="37"/>
      <c r="H346" s="37"/>
      <c r="I346" s="37"/>
      <c r="J346" s="37"/>
      <c r="K346" s="37"/>
      <c r="L346" s="37"/>
      <c r="M346" s="37"/>
      <c r="N346" s="37"/>
      <c r="O346" s="37"/>
      <c r="P346" s="37"/>
      <c r="Q346" s="37"/>
      <c r="R346" s="37"/>
      <c r="S346" s="37"/>
      <c r="T346" s="37"/>
      <c r="U346" s="37"/>
      <c r="V346" s="44"/>
      <c r="W346" s="41"/>
    </row>
    <row r="347" spans="1:23" ht="15.75" customHeight="1" x14ac:dyDescent="0.3">
      <c r="A347" s="3"/>
      <c r="B347" s="3"/>
      <c r="C347" s="37"/>
      <c r="D347" s="37"/>
      <c r="E347" s="37"/>
      <c r="F347" s="37"/>
      <c r="G347" s="37"/>
      <c r="H347" s="37"/>
      <c r="I347" s="37"/>
      <c r="J347" s="37"/>
      <c r="K347" s="37"/>
      <c r="L347" s="37"/>
      <c r="M347" s="37"/>
      <c r="N347" s="37"/>
      <c r="O347" s="37"/>
      <c r="P347" s="37"/>
      <c r="Q347" s="37"/>
      <c r="R347" s="37"/>
      <c r="S347" s="37"/>
      <c r="T347" s="37"/>
      <c r="U347" s="37"/>
      <c r="V347" s="44"/>
      <c r="W347" s="41"/>
    </row>
    <row r="348" spans="1:23" ht="15.75" customHeight="1" x14ac:dyDescent="0.3">
      <c r="A348" s="3"/>
      <c r="B348" s="3"/>
      <c r="C348" s="37"/>
      <c r="D348" s="37"/>
      <c r="E348" s="37"/>
      <c r="F348" s="37"/>
      <c r="G348" s="37"/>
      <c r="H348" s="37"/>
      <c r="I348" s="37"/>
      <c r="J348" s="37"/>
      <c r="K348" s="37"/>
      <c r="L348" s="37"/>
      <c r="M348" s="37"/>
      <c r="N348" s="37"/>
      <c r="O348" s="37"/>
      <c r="P348" s="37"/>
      <c r="Q348" s="37"/>
      <c r="R348" s="37"/>
      <c r="S348" s="37"/>
      <c r="T348" s="37"/>
      <c r="U348" s="37"/>
      <c r="V348" s="44"/>
      <c r="W348" s="41"/>
    </row>
    <row r="349" spans="1:23" ht="15.75" customHeight="1" x14ac:dyDescent="0.3">
      <c r="A349" s="3"/>
      <c r="B349" s="3"/>
      <c r="C349" s="37"/>
      <c r="D349" s="37"/>
      <c r="E349" s="37"/>
      <c r="F349" s="37"/>
      <c r="G349" s="37"/>
      <c r="H349" s="37"/>
      <c r="I349" s="37"/>
      <c r="J349" s="37"/>
      <c r="K349" s="37"/>
      <c r="L349" s="37"/>
      <c r="M349" s="37"/>
      <c r="N349" s="37"/>
      <c r="O349" s="37"/>
      <c r="P349" s="37"/>
      <c r="Q349" s="37"/>
      <c r="R349" s="37"/>
      <c r="S349" s="37"/>
      <c r="T349" s="37"/>
      <c r="U349" s="37"/>
      <c r="V349" s="44"/>
      <c r="W349" s="41"/>
    </row>
    <row r="350" spans="1:23" ht="15.75" customHeight="1" x14ac:dyDescent="0.3">
      <c r="A350" s="3"/>
      <c r="B350" s="3"/>
      <c r="C350" s="37"/>
      <c r="D350" s="37"/>
      <c r="E350" s="37"/>
      <c r="F350" s="37"/>
      <c r="G350" s="37"/>
      <c r="H350" s="37"/>
      <c r="I350" s="37"/>
      <c r="J350" s="37"/>
      <c r="K350" s="37"/>
      <c r="L350" s="37"/>
      <c r="M350" s="37"/>
      <c r="N350" s="37"/>
      <c r="O350" s="37"/>
      <c r="P350" s="37"/>
      <c r="Q350" s="37"/>
      <c r="R350" s="37"/>
      <c r="S350" s="37"/>
      <c r="T350" s="37"/>
      <c r="U350" s="37"/>
      <c r="V350" s="44"/>
      <c r="W350" s="41"/>
    </row>
    <row r="351" spans="1:23" ht="15.75" customHeight="1" x14ac:dyDescent="0.3">
      <c r="A351" s="3"/>
      <c r="B351" s="3"/>
      <c r="C351" s="37"/>
      <c r="D351" s="37"/>
      <c r="E351" s="37"/>
      <c r="F351" s="37"/>
      <c r="G351" s="37"/>
      <c r="H351" s="37"/>
      <c r="I351" s="37"/>
      <c r="J351" s="37"/>
      <c r="K351" s="37"/>
      <c r="L351" s="37"/>
      <c r="M351" s="37"/>
      <c r="N351" s="37"/>
      <c r="O351" s="37"/>
      <c r="P351" s="37"/>
      <c r="Q351" s="37"/>
      <c r="R351" s="37"/>
      <c r="S351" s="37"/>
      <c r="T351" s="37"/>
      <c r="U351" s="37"/>
      <c r="V351" s="44"/>
      <c r="W351" s="41"/>
    </row>
    <row r="352" spans="1:23" ht="15.75" customHeight="1" x14ac:dyDescent="0.3">
      <c r="A352" s="3"/>
      <c r="B352" s="3"/>
      <c r="C352" s="37"/>
      <c r="D352" s="37"/>
      <c r="E352" s="37"/>
      <c r="F352" s="37"/>
      <c r="G352" s="37"/>
      <c r="H352" s="37"/>
      <c r="I352" s="37"/>
      <c r="J352" s="37"/>
      <c r="K352" s="37"/>
      <c r="L352" s="37"/>
      <c r="M352" s="37"/>
      <c r="N352" s="37"/>
      <c r="O352" s="37"/>
      <c r="P352" s="37"/>
      <c r="Q352" s="37"/>
      <c r="R352" s="37"/>
      <c r="S352" s="37"/>
      <c r="T352" s="37"/>
      <c r="U352" s="37"/>
      <c r="V352" s="44"/>
      <c r="W352" s="41"/>
    </row>
    <row r="353" spans="1:23" ht="15.75" customHeight="1" x14ac:dyDescent="0.3">
      <c r="A353" s="3"/>
      <c r="B353" s="3"/>
      <c r="C353" s="37"/>
      <c r="D353" s="37"/>
      <c r="E353" s="37"/>
      <c r="F353" s="37"/>
      <c r="G353" s="37"/>
      <c r="H353" s="37"/>
      <c r="I353" s="37"/>
      <c r="J353" s="37"/>
      <c r="K353" s="37"/>
      <c r="L353" s="37"/>
      <c r="M353" s="37"/>
      <c r="N353" s="37"/>
      <c r="O353" s="37"/>
      <c r="P353" s="37"/>
      <c r="Q353" s="37"/>
      <c r="R353" s="37"/>
      <c r="S353" s="37"/>
      <c r="T353" s="37"/>
      <c r="U353" s="37"/>
      <c r="V353" s="44"/>
      <c r="W353" s="41"/>
    </row>
    <row r="354" spans="1:23" ht="15.75" customHeight="1" x14ac:dyDescent="0.3">
      <c r="A354" s="3"/>
      <c r="B354" s="3"/>
      <c r="C354" s="37"/>
      <c r="D354" s="37"/>
      <c r="E354" s="37"/>
      <c r="F354" s="37"/>
      <c r="G354" s="37"/>
      <c r="H354" s="37"/>
      <c r="I354" s="37"/>
      <c r="J354" s="37"/>
      <c r="K354" s="37"/>
      <c r="L354" s="37"/>
      <c r="M354" s="37"/>
      <c r="N354" s="37"/>
      <c r="O354" s="37"/>
      <c r="P354" s="37"/>
      <c r="Q354" s="37"/>
      <c r="R354" s="37"/>
      <c r="S354" s="37"/>
      <c r="T354" s="37"/>
      <c r="U354" s="37"/>
      <c r="V354" s="44"/>
      <c r="W354" s="41"/>
    </row>
    <row r="355" spans="1:23" ht="15.75" customHeight="1" x14ac:dyDescent="0.3">
      <c r="A355" s="3"/>
      <c r="B355" s="3"/>
      <c r="C355" s="37"/>
      <c r="D355" s="37"/>
      <c r="E355" s="37"/>
      <c r="F355" s="37"/>
      <c r="G355" s="37"/>
      <c r="H355" s="37"/>
      <c r="I355" s="37"/>
      <c r="J355" s="37"/>
      <c r="K355" s="37"/>
      <c r="L355" s="37"/>
      <c r="M355" s="37"/>
      <c r="N355" s="37"/>
      <c r="O355" s="37"/>
      <c r="P355" s="37"/>
      <c r="Q355" s="37"/>
      <c r="R355" s="37"/>
      <c r="S355" s="37"/>
      <c r="T355" s="37"/>
      <c r="U355" s="37"/>
      <c r="V355" s="44"/>
      <c r="W355" s="41"/>
    </row>
    <row r="356" spans="1:23" ht="15.75" customHeight="1" x14ac:dyDescent="0.3">
      <c r="A356" s="3"/>
      <c r="B356" s="3"/>
      <c r="C356" s="37"/>
      <c r="D356" s="37"/>
      <c r="E356" s="37"/>
      <c r="F356" s="37"/>
      <c r="G356" s="37"/>
      <c r="H356" s="37"/>
      <c r="I356" s="37"/>
      <c r="J356" s="37"/>
      <c r="K356" s="37"/>
      <c r="L356" s="37"/>
      <c r="M356" s="37"/>
      <c r="N356" s="37"/>
      <c r="O356" s="37"/>
      <c r="P356" s="37"/>
      <c r="Q356" s="37"/>
      <c r="R356" s="37"/>
      <c r="S356" s="37"/>
      <c r="T356" s="37"/>
      <c r="U356" s="37"/>
      <c r="V356" s="44"/>
      <c r="W356" s="41"/>
    </row>
    <row r="357" spans="1:23" ht="15.75" customHeight="1" x14ac:dyDescent="0.3">
      <c r="A357" s="3"/>
      <c r="B357" s="3"/>
      <c r="C357" s="37"/>
      <c r="D357" s="37"/>
      <c r="E357" s="37"/>
      <c r="F357" s="37"/>
      <c r="G357" s="37"/>
      <c r="H357" s="37"/>
      <c r="I357" s="37"/>
      <c r="J357" s="37"/>
      <c r="K357" s="37"/>
      <c r="L357" s="37"/>
      <c r="M357" s="37"/>
      <c r="N357" s="37"/>
      <c r="O357" s="37"/>
      <c r="P357" s="37"/>
      <c r="Q357" s="37"/>
      <c r="R357" s="37"/>
      <c r="S357" s="37"/>
      <c r="T357" s="37"/>
      <c r="U357" s="37"/>
      <c r="V357" s="44"/>
      <c r="W357" s="41"/>
    </row>
    <row r="358" spans="1:23" ht="15.75" customHeight="1" x14ac:dyDescent="0.3">
      <c r="A358" s="3"/>
      <c r="B358" s="3"/>
      <c r="C358" s="37"/>
      <c r="D358" s="37"/>
      <c r="E358" s="37"/>
      <c r="F358" s="37"/>
      <c r="G358" s="37"/>
      <c r="H358" s="37"/>
      <c r="I358" s="37"/>
      <c r="J358" s="37"/>
      <c r="K358" s="37"/>
      <c r="L358" s="37"/>
      <c r="M358" s="37"/>
      <c r="N358" s="37"/>
      <c r="O358" s="37"/>
      <c r="P358" s="37"/>
      <c r="Q358" s="37"/>
      <c r="R358" s="37"/>
      <c r="S358" s="37"/>
      <c r="T358" s="37"/>
      <c r="U358" s="37"/>
      <c r="V358" s="44"/>
      <c r="W358" s="41"/>
    </row>
    <row r="359" spans="1:23" ht="15.75" customHeight="1" x14ac:dyDescent="0.3">
      <c r="A359" s="3"/>
      <c r="B359" s="3"/>
      <c r="C359" s="37"/>
      <c r="D359" s="37"/>
      <c r="E359" s="37"/>
      <c r="F359" s="37"/>
      <c r="G359" s="37"/>
      <c r="H359" s="37"/>
      <c r="I359" s="37"/>
      <c r="J359" s="37"/>
      <c r="K359" s="37"/>
      <c r="L359" s="37"/>
      <c r="M359" s="37"/>
      <c r="N359" s="37"/>
      <c r="O359" s="37"/>
      <c r="P359" s="37"/>
      <c r="Q359" s="37"/>
      <c r="R359" s="37"/>
      <c r="S359" s="37"/>
      <c r="T359" s="37"/>
      <c r="U359" s="37"/>
      <c r="V359" s="44"/>
      <c r="W359" s="41"/>
    </row>
    <row r="360" spans="1:23" ht="15.75" customHeight="1" x14ac:dyDescent="0.3">
      <c r="A360" s="3"/>
      <c r="B360" s="3"/>
      <c r="C360" s="37"/>
      <c r="D360" s="37"/>
      <c r="E360" s="37"/>
      <c r="F360" s="37"/>
      <c r="G360" s="37"/>
      <c r="H360" s="37"/>
      <c r="I360" s="37"/>
      <c r="J360" s="37"/>
      <c r="K360" s="37"/>
      <c r="L360" s="37"/>
      <c r="M360" s="37"/>
      <c r="N360" s="37"/>
      <c r="O360" s="37"/>
      <c r="P360" s="37"/>
      <c r="Q360" s="37"/>
      <c r="R360" s="37"/>
      <c r="S360" s="37"/>
      <c r="T360" s="37"/>
      <c r="U360" s="37"/>
      <c r="V360" s="44"/>
      <c r="W360" s="41"/>
    </row>
    <row r="361" spans="1:23" ht="15.75" customHeight="1" x14ac:dyDescent="0.3">
      <c r="A361" s="3"/>
      <c r="B361" s="3"/>
      <c r="C361" s="37"/>
      <c r="D361" s="37"/>
      <c r="E361" s="37"/>
      <c r="F361" s="37"/>
      <c r="G361" s="37"/>
      <c r="H361" s="37"/>
      <c r="I361" s="37"/>
      <c r="J361" s="37"/>
      <c r="K361" s="37"/>
      <c r="L361" s="37"/>
      <c r="M361" s="37"/>
      <c r="N361" s="37"/>
      <c r="O361" s="37"/>
      <c r="P361" s="37"/>
      <c r="Q361" s="37"/>
      <c r="R361" s="37"/>
      <c r="S361" s="37"/>
      <c r="T361" s="37"/>
      <c r="U361" s="37"/>
      <c r="V361" s="44"/>
      <c r="W361" s="41"/>
    </row>
    <row r="362" spans="1:23" ht="15.75" customHeight="1" x14ac:dyDescent="0.3">
      <c r="A362" s="3"/>
      <c r="B362" s="3"/>
      <c r="C362" s="37"/>
      <c r="D362" s="37"/>
      <c r="E362" s="37"/>
      <c r="F362" s="37"/>
      <c r="G362" s="37"/>
      <c r="H362" s="37"/>
      <c r="I362" s="37"/>
      <c r="J362" s="37"/>
      <c r="K362" s="37"/>
      <c r="L362" s="37"/>
      <c r="M362" s="37"/>
      <c r="N362" s="37"/>
      <c r="O362" s="37"/>
      <c r="P362" s="37"/>
      <c r="Q362" s="37"/>
      <c r="R362" s="37"/>
      <c r="S362" s="37"/>
      <c r="T362" s="37"/>
      <c r="U362" s="37"/>
      <c r="V362" s="44"/>
      <c r="W362" s="41"/>
    </row>
    <row r="363" spans="1:23" ht="15.75" customHeight="1" x14ac:dyDescent="0.3">
      <c r="A363" s="3"/>
      <c r="B363" s="3"/>
      <c r="C363" s="37"/>
      <c r="D363" s="37"/>
      <c r="E363" s="37"/>
      <c r="F363" s="37"/>
      <c r="G363" s="37"/>
      <c r="H363" s="37"/>
      <c r="I363" s="37"/>
      <c r="J363" s="37"/>
      <c r="K363" s="37"/>
      <c r="L363" s="37"/>
      <c r="M363" s="37"/>
      <c r="N363" s="37"/>
      <c r="O363" s="37"/>
      <c r="P363" s="37"/>
      <c r="Q363" s="37"/>
      <c r="R363" s="37"/>
      <c r="S363" s="37"/>
      <c r="T363" s="37"/>
      <c r="U363" s="37"/>
      <c r="V363" s="44"/>
      <c r="W363" s="41"/>
    </row>
    <row r="364" spans="1:23" ht="15.75" customHeight="1" x14ac:dyDescent="0.3">
      <c r="A364" s="3"/>
      <c r="B364" s="3"/>
      <c r="C364" s="37"/>
      <c r="D364" s="37"/>
      <c r="E364" s="37"/>
      <c r="F364" s="37"/>
      <c r="G364" s="37"/>
      <c r="H364" s="37"/>
      <c r="I364" s="37"/>
      <c r="J364" s="37"/>
      <c r="K364" s="37"/>
      <c r="L364" s="37"/>
      <c r="M364" s="37"/>
      <c r="N364" s="37"/>
      <c r="O364" s="37"/>
      <c r="P364" s="37"/>
      <c r="Q364" s="37"/>
      <c r="R364" s="37"/>
      <c r="S364" s="37"/>
      <c r="T364" s="37"/>
      <c r="U364" s="37"/>
      <c r="V364" s="44"/>
      <c r="W364" s="41"/>
    </row>
    <row r="365" spans="1:23" ht="15.75" customHeight="1" x14ac:dyDescent="0.3">
      <c r="A365" s="3"/>
      <c r="B365" s="3"/>
      <c r="C365" s="37"/>
      <c r="D365" s="37"/>
      <c r="E365" s="37"/>
      <c r="F365" s="37"/>
      <c r="G365" s="37"/>
      <c r="H365" s="37"/>
      <c r="I365" s="37"/>
      <c r="J365" s="37"/>
      <c r="K365" s="37"/>
      <c r="L365" s="37"/>
      <c r="M365" s="37"/>
      <c r="N365" s="37"/>
      <c r="O365" s="37"/>
      <c r="P365" s="37"/>
      <c r="Q365" s="37"/>
      <c r="R365" s="37"/>
      <c r="S365" s="37"/>
      <c r="T365" s="37"/>
      <c r="U365" s="37"/>
      <c r="V365" s="44"/>
      <c r="W365" s="41"/>
    </row>
    <row r="366" spans="1:23" ht="15.75" customHeight="1" x14ac:dyDescent="0.3">
      <c r="A366" s="3"/>
      <c r="B366" s="3"/>
      <c r="C366" s="37"/>
      <c r="D366" s="37"/>
      <c r="E366" s="37"/>
      <c r="F366" s="37"/>
      <c r="G366" s="37"/>
      <c r="H366" s="37"/>
      <c r="I366" s="37"/>
      <c r="J366" s="37"/>
      <c r="K366" s="37"/>
      <c r="L366" s="37"/>
      <c r="M366" s="37"/>
      <c r="N366" s="37"/>
      <c r="O366" s="37"/>
      <c r="P366" s="37"/>
      <c r="Q366" s="37"/>
      <c r="R366" s="37"/>
      <c r="S366" s="37"/>
      <c r="T366" s="37"/>
      <c r="U366" s="37"/>
      <c r="V366" s="44"/>
      <c r="W366" s="41"/>
    </row>
    <row r="367" spans="1:23" ht="15.75" customHeight="1" x14ac:dyDescent="0.3">
      <c r="A367" s="3"/>
      <c r="B367" s="3"/>
      <c r="C367" s="37"/>
      <c r="D367" s="37"/>
      <c r="E367" s="37"/>
      <c r="F367" s="37"/>
      <c r="G367" s="37"/>
      <c r="H367" s="37"/>
      <c r="I367" s="37"/>
      <c r="J367" s="37"/>
      <c r="K367" s="37"/>
      <c r="L367" s="37"/>
      <c r="M367" s="37"/>
      <c r="N367" s="37"/>
      <c r="O367" s="37"/>
      <c r="P367" s="37"/>
      <c r="Q367" s="37"/>
      <c r="R367" s="37"/>
      <c r="S367" s="37"/>
      <c r="T367" s="37"/>
      <c r="U367" s="37"/>
      <c r="V367" s="44"/>
      <c r="W367" s="41"/>
    </row>
    <row r="368" spans="1:23" ht="15.75" customHeight="1" x14ac:dyDescent="0.3">
      <c r="A368" s="3"/>
      <c r="B368" s="3"/>
      <c r="C368" s="37"/>
      <c r="D368" s="37"/>
      <c r="E368" s="37"/>
      <c r="F368" s="37"/>
      <c r="G368" s="37"/>
      <c r="H368" s="37"/>
      <c r="I368" s="37"/>
      <c r="J368" s="37"/>
      <c r="K368" s="37"/>
      <c r="L368" s="37"/>
      <c r="M368" s="37"/>
      <c r="N368" s="37"/>
      <c r="O368" s="37"/>
      <c r="P368" s="37"/>
      <c r="Q368" s="37"/>
      <c r="R368" s="37"/>
      <c r="S368" s="37"/>
      <c r="T368" s="37"/>
      <c r="U368" s="37"/>
      <c r="V368" s="44"/>
      <c r="W368" s="41"/>
    </row>
    <row r="369" spans="1:23" ht="15.75" customHeight="1" x14ac:dyDescent="0.3">
      <c r="A369" s="3"/>
      <c r="B369" s="3"/>
      <c r="C369" s="37"/>
      <c r="D369" s="37"/>
      <c r="E369" s="37"/>
      <c r="F369" s="37"/>
      <c r="G369" s="37"/>
      <c r="H369" s="37"/>
      <c r="I369" s="37"/>
      <c r="J369" s="37"/>
      <c r="K369" s="37"/>
      <c r="L369" s="37"/>
      <c r="M369" s="37"/>
      <c r="N369" s="37"/>
      <c r="O369" s="37"/>
      <c r="P369" s="37"/>
      <c r="Q369" s="37"/>
      <c r="R369" s="37"/>
      <c r="S369" s="37"/>
      <c r="T369" s="37"/>
      <c r="U369" s="37"/>
      <c r="V369" s="44"/>
      <c r="W369" s="41"/>
    </row>
    <row r="370" spans="1:23" ht="15.75" customHeight="1" x14ac:dyDescent="0.3">
      <c r="A370" s="3"/>
      <c r="B370" s="3"/>
      <c r="C370" s="37"/>
      <c r="D370" s="37"/>
      <c r="E370" s="37"/>
      <c r="F370" s="37"/>
      <c r="G370" s="37"/>
      <c r="H370" s="37"/>
      <c r="I370" s="37"/>
      <c r="J370" s="37"/>
      <c r="K370" s="37"/>
      <c r="L370" s="37"/>
      <c r="M370" s="37"/>
      <c r="N370" s="37"/>
      <c r="O370" s="37"/>
      <c r="P370" s="37"/>
      <c r="Q370" s="37"/>
      <c r="R370" s="37"/>
      <c r="S370" s="37"/>
      <c r="T370" s="37"/>
      <c r="U370" s="37"/>
      <c r="V370" s="44"/>
      <c r="W370" s="41"/>
    </row>
    <row r="371" spans="1:23" ht="15.75" customHeight="1" x14ac:dyDescent="0.3">
      <c r="A371" s="3"/>
      <c r="B371" s="3"/>
      <c r="C371" s="37"/>
      <c r="D371" s="37"/>
      <c r="E371" s="37"/>
      <c r="F371" s="37"/>
      <c r="G371" s="37"/>
      <c r="H371" s="37"/>
      <c r="I371" s="37"/>
      <c r="J371" s="37"/>
      <c r="K371" s="37"/>
      <c r="L371" s="37"/>
      <c r="M371" s="37"/>
      <c r="N371" s="37"/>
      <c r="O371" s="37"/>
      <c r="P371" s="37"/>
      <c r="Q371" s="37"/>
      <c r="R371" s="37"/>
      <c r="S371" s="37"/>
      <c r="T371" s="37"/>
      <c r="U371" s="37"/>
      <c r="V371" s="44"/>
      <c r="W371" s="41"/>
    </row>
    <row r="372" spans="1:23" ht="15.75" customHeight="1" x14ac:dyDescent="0.3">
      <c r="A372" s="3"/>
      <c r="B372" s="3"/>
      <c r="C372" s="37"/>
      <c r="D372" s="37"/>
      <c r="E372" s="37"/>
      <c r="F372" s="37"/>
      <c r="G372" s="37"/>
      <c r="H372" s="37"/>
      <c r="I372" s="37"/>
      <c r="J372" s="37"/>
      <c r="K372" s="37"/>
      <c r="L372" s="37"/>
      <c r="M372" s="37"/>
      <c r="N372" s="37"/>
      <c r="O372" s="37"/>
      <c r="P372" s="37"/>
      <c r="Q372" s="37"/>
      <c r="R372" s="37"/>
      <c r="S372" s="37"/>
      <c r="T372" s="37"/>
      <c r="U372" s="37"/>
      <c r="V372" s="44"/>
      <c r="W372" s="41"/>
    </row>
    <row r="373" spans="1:23" ht="15.75" customHeight="1" x14ac:dyDescent="0.3">
      <c r="A373" s="3"/>
      <c r="B373" s="3"/>
      <c r="C373" s="37"/>
      <c r="D373" s="37"/>
      <c r="E373" s="37"/>
      <c r="F373" s="37"/>
      <c r="G373" s="37"/>
      <c r="H373" s="37"/>
      <c r="I373" s="37"/>
      <c r="J373" s="37"/>
      <c r="K373" s="37"/>
      <c r="L373" s="37"/>
      <c r="M373" s="37"/>
      <c r="N373" s="37"/>
      <c r="O373" s="37"/>
      <c r="P373" s="37"/>
      <c r="Q373" s="37"/>
      <c r="R373" s="37"/>
      <c r="S373" s="37"/>
      <c r="T373" s="37"/>
      <c r="U373" s="37"/>
      <c r="V373" s="44"/>
      <c r="W373" s="41"/>
    </row>
    <row r="374" spans="1:23" ht="15.75" customHeight="1" x14ac:dyDescent="0.3">
      <c r="A374" s="3"/>
      <c r="B374" s="3"/>
      <c r="C374" s="37"/>
      <c r="D374" s="37"/>
      <c r="E374" s="37"/>
      <c r="F374" s="37"/>
      <c r="G374" s="37"/>
      <c r="H374" s="37"/>
      <c r="I374" s="37"/>
      <c r="J374" s="37"/>
      <c r="K374" s="37"/>
      <c r="L374" s="37"/>
      <c r="M374" s="37"/>
      <c r="N374" s="37"/>
      <c r="O374" s="37"/>
      <c r="P374" s="37"/>
      <c r="Q374" s="37"/>
      <c r="R374" s="37"/>
      <c r="S374" s="37"/>
      <c r="T374" s="37"/>
      <c r="U374" s="37"/>
      <c r="V374" s="44"/>
      <c r="W374" s="41"/>
    </row>
    <row r="375" spans="1:23" ht="15.75" customHeight="1" x14ac:dyDescent="0.3">
      <c r="A375" s="3"/>
      <c r="B375" s="3"/>
      <c r="C375" s="37"/>
      <c r="D375" s="37"/>
      <c r="E375" s="37"/>
      <c r="F375" s="37"/>
      <c r="G375" s="37"/>
      <c r="H375" s="37"/>
      <c r="I375" s="37"/>
      <c r="J375" s="37"/>
      <c r="K375" s="37"/>
      <c r="L375" s="37"/>
      <c r="M375" s="37"/>
      <c r="N375" s="37"/>
      <c r="O375" s="37"/>
      <c r="P375" s="37"/>
      <c r="Q375" s="37"/>
      <c r="R375" s="37"/>
      <c r="S375" s="37"/>
      <c r="T375" s="37"/>
      <c r="U375" s="37"/>
      <c r="V375" s="44"/>
      <c r="W375" s="41"/>
    </row>
    <row r="376" spans="1:23" ht="15.75" customHeight="1" x14ac:dyDescent="0.3">
      <c r="A376" s="3"/>
      <c r="B376" s="3"/>
      <c r="C376" s="37"/>
      <c r="D376" s="37"/>
      <c r="E376" s="37"/>
      <c r="F376" s="37"/>
      <c r="G376" s="37"/>
      <c r="H376" s="37"/>
      <c r="I376" s="37"/>
      <c r="J376" s="37"/>
      <c r="K376" s="37"/>
      <c r="L376" s="37"/>
      <c r="M376" s="37"/>
      <c r="N376" s="37"/>
      <c r="O376" s="37"/>
      <c r="P376" s="37"/>
      <c r="Q376" s="37"/>
      <c r="R376" s="37"/>
      <c r="S376" s="37"/>
      <c r="T376" s="37"/>
      <c r="U376" s="37"/>
      <c r="V376" s="44"/>
      <c r="W376" s="41"/>
    </row>
    <row r="377" spans="1:23" ht="15.75" customHeight="1" x14ac:dyDescent="0.3">
      <c r="A377" s="3"/>
      <c r="B377" s="3"/>
      <c r="C377" s="37"/>
      <c r="D377" s="37"/>
      <c r="E377" s="37"/>
      <c r="F377" s="37"/>
      <c r="G377" s="37"/>
      <c r="H377" s="37"/>
      <c r="I377" s="37"/>
      <c r="J377" s="37"/>
      <c r="K377" s="37"/>
      <c r="L377" s="37"/>
      <c r="M377" s="37"/>
      <c r="N377" s="37"/>
      <c r="O377" s="37"/>
      <c r="P377" s="37"/>
      <c r="Q377" s="37"/>
      <c r="R377" s="37"/>
      <c r="S377" s="37"/>
      <c r="T377" s="37"/>
      <c r="U377" s="37"/>
      <c r="V377" s="44"/>
      <c r="W377" s="41"/>
    </row>
    <row r="378" spans="1:23" ht="15.75" customHeight="1" x14ac:dyDescent="0.3"/>
    <row r="379" spans="1:23" ht="15.75" customHeight="1" x14ac:dyDescent="0.3"/>
    <row r="380" spans="1:23" ht="15.75" customHeight="1" x14ac:dyDescent="0.3"/>
    <row r="381" spans="1:23" ht="15.75" customHeight="1" x14ac:dyDescent="0.3"/>
    <row r="382" spans="1:23" ht="15.75" customHeight="1" x14ac:dyDescent="0.3"/>
    <row r="383" spans="1:23" ht="15.75" customHeight="1" x14ac:dyDescent="0.3"/>
    <row r="384" spans="1:23"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77" xr:uid="{00000000-0009-0000-0000-000005000000}"/>
  <mergeCells count="35">
    <mergeCell ref="G90:G91"/>
    <mergeCell ref="G95:G96"/>
    <mergeCell ref="G98:G99"/>
    <mergeCell ref="G49:G50"/>
    <mergeCell ref="G51:G52"/>
    <mergeCell ref="G53:G54"/>
    <mergeCell ref="G55:G56"/>
    <mergeCell ref="G58:G59"/>
    <mergeCell ref="G61:G62"/>
    <mergeCell ref="G71:G72"/>
    <mergeCell ref="G47:G48"/>
    <mergeCell ref="G76:G77"/>
    <mergeCell ref="G82:G83"/>
    <mergeCell ref="G84:G85"/>
    <mergeCell ref="G86:G88"/>
    <mergeCell ref="G32:G33"/>
    <mergeCell ref="G34:G35"/>
    <mergeCell ref="G38:G39"/>
    <mergeCell ref="G40:G43"/>
    <mergeCell ref="G45:G46"/>
    <mergeCell ref="G21:G22"/>
    <mergeCell ref="G23:G24"/>
    <mergeCell ref="G25:G26"/>
    <mergeCell ref="G28:G29"/>
    <mergeCell ref="G30:G31"/>
    <mergeCell ref="G11:G12"/>
    <mergeCell ref="G13:G14"/>
    <mergeCell ref="G15:G16"/>
    <mergeCell ref="G17:G18"/>
    <mergeCell ref="G19:G20"/>
    <mergeCell ref="B2:B3"/>
    <mergeCell ref="B4:B5"/>
    <mergeCell ref="H4:H5"/>
    <mergeCell ref="I4:I5"/>
    <mergeCell ref="G7:G10"/>
  </mergeCells>
  <conditionalFormatting sqref="V6:V126">
    <cfRule type="cellIs" dxfId="33" priority="1" operator="equal">
      <formula>"Diferente"</formula>
    </cfRule>
    <cfRule type="cellIs" dxfId="32" priority="2" operator="equal">
      <formula>"OK"</formula>
    </cfRule>
  </conditionalFormatting>
  <dataValidations count="1">
    <dataValidation type="list" allowBlank="1" showErrorMessage="1" sqref="D7:D126 D129:D130 D132:D134 D136:D138 D140:D142 D144:D146 D149:D152 D154:D157 D159:D161 D163:D165 D167:D169 D171:D177" xr:uid="{00000000-0002-0000-0500-000001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'Plano de contas DG'!$C$5:$C$38</xm:f>
          </x14:formula1>
          <xm:sqref>I6:I48 I51:I67 I69:I75 I78:I177</xm:sqref>
        </x14:dataValidation>
        <x14:dataValidation type="list" allowBlank="1" showErrorMessage="1" xr:uid="{00000000-0002-0000-0500-000002000000}">
          <x14:formula1>
            <xm:f>Caixa!$B$5:$B$7</xm:f>
          </x14:formula1>
          <xm:sqref>H6:H48 H51:H177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36.10937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2"/>
      <c r="H2" s="82"/>
      <c r="I2" s="83"/>
      <c r="J2" s="82"/>
      <c r="K2" s="37"/>
      <c r="L2" s="37"/>
      <c r="M2" s="37"/>
      <c r="N2" s="37"/>
      <c r="O2" s="37"/>
      <c r="P2" s="37"/>
      <c r="Q2" s="37"/>
      <c r="R2" s="37"/>
      <c r="S2" s="37"/>
      <c r="T2" s="37"/>
      <c r="U2" s="3"/>
    </row>
    <row r="3" spans="1:26" ht="14.4" x14ac:dyDescent="0.3">
      <c r="A3" s="3"/>
      <c r="B3" s="206"/>
      <c r="C3" s="240"/>
      <c r="D3" s="241"/>
      <c r="E3" s="241"/>
      <c r="F3" s="242"/>
      <c r="G3" s="82"/>
      <c r="H3" s="82"/>
      <c r="I3" s="83"/>
      <c r="J3" s="82"/>
      <c r="K3" s="37"/>
      <c r="L3" s="37"/>
      <c r="M3" s="37"/>
      <c r="N3" s="37"/>
      <c r="O3" s="37"/>
      <c r="P3" s="37"/>
      <c r="Q3" s="37"/>
      <c r="R3" s="37"/>
      <c r="S3" s="37"/>
      <c r="T3" s="37"/>
      <c r="U3" s="3"/>
    </row>
    <row r="4" spans="1:26" ht="19.5" customHeight="1" x14ac:dyDescent="0.3">
      <c r="A4" s="3"/>
      <c r="B4" s="227" t="s">
        <v>73</v>
      </c>
      <c r="C4" s="48" t="s">
        <v>43</v>
      </c>
      <c r="D4" s="48" t="s">
        <v>43</v>
      </c>
      <c r="E4" s="26">
        <f>SUBTOTAL(9,E12,E37,E24,E105,E130,E136,E43,E6,E20,E192,E233,E142,E152,E162,E172,E182,E58)</f>
        <v>0</v>
      </c>
      <c r="F4" s="26">
        <f>SUBTOTAL(9,F12,F37,F24,F95,F105,F130,F136,F43,F6,F20,F192,F233,F142,F152,F162,F172,F182,F58)</f>
        <v>20359.32</v>
      </c>
      <c r="G4" s="48" t="s">
        <v>43</v>
      </c>
      <c r="H4" s="237" t="s">
        <v>1</v>
      </c>
      <c r="I4" s="243" t="s">
        <v>270</v>
      </c>
      <c r="J4" s="237" t="s">
        <v>74</v>
      </c>
      <c r="K4" s="37"/>
      <c r="L4" s="37"/>
      <c r="M4" s="37"/>
      <c r="N4" s="37"/>
      <c r="O4" s="37"/>
      <c r="P4" s="37"/>
      <c r="Q4" s="37"/>
      <c r="R4" s="37"/>
      <c r="S4" s="37"/>
      <c r="T4" s="37"/>
      <c r="U4" s="3"/>
      <c r="W4" s="3"/>
      <c r="X4" s="3"/>
      <c r="Y4" s="3"/>
      <c r="Z4" s="3"/>
    </row>
    <row r="5" spans="1:26" ht="15" customHeight="1"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 t="shared" ref="E6:F6" si="0">SUM(E7:E11)</f>
        <v>0</v>
      </c>
      <c r="F6" s="86">
        <f t="shared" si="0"/>
        <v>2464.52</v>
      </c>
      <c r="G6" s="87"/>
      <c r="H6" s="87"/>
      <c r="I6" s="88"/>
      <c r="J6" s="87"/>
      <c r="K6" s="37"/>
      <c r="L6" s="37"/>
      <c r="M6" s="37"/>
      <c r="N6" s="37"/>
      <c r="O6" s="37"/>
      <c r="P6" s="37"/>
      <c r="Q6" s="37"/>
      <c r="R6" s="37"/>
      <c r="S6" s="37"/>
      <c r="T6" s="37"/>
      <c r="U6" s="3"/>
      <c r="W6" s="3"/>
      <c r="X6" s="3"/>
      <c r="Y6" s="3"/>
      <c r="Z6" s="3"/>
    </row>
    <row r="7" spans="1:26" ht="60" outlineLevel="1" x14ac:dyDescent="0.3">
      <c r="A7" s="3"/>
      <c r="B7" s="10" t="s">
        <v>273</v>
      </c>
      <c r="C7" s="80" t="s">
        <v>274</v>
      </c>
      <c r="D7" s="62" t="s">
        <v>94</v>
      </c>
      <c r="E7" s="12">
        <v>0</v>
      </c>
      <c r="F7" s="12">
        <f>669.38+669.38</f>
        <v>1338.76</v>
      </c>
      <c r="G7" s="89" t="s">
        <v>275</v>
      </c>
      <c r="H7" s="65" t="s">
        <v>37</v>
      </c>
      <c r="I7" s="89" t="s">
        <v>276</v>
      </c>
      <c r="J7" s="65"/>
      <c r="K7" s="37"/>
      <c r="L7" s="37"/>
      <c r="M7" s="37"/>
      <c r="N7" s="37"/>
      <c r="O7" s="37"/>
      <c r="P7" s="37"/>
      <c r="Q7" s="37"/>
      <c r="R7" s="37"/>
      <c r="S7" s="37"/>
      <c r="T7" s="37"/>
      <c r="U7" s="3"/>
      <c r="W7" s="3"/>
      <c r="X7" s="3"/>
      <c r="Y7" s="3"/>
      <c r="Z7" s="3"/>
    </row>
    <row r="8" spans="1:26" ht="24" outlineLevel="1" x14ac:dyDescent="0.3">
      <c r="A8" s="3"/>
      <c r="B8" s="10" t="s">
        <v>277</v>
      </c>
      <c r="C8" s="62">
        <v>20</v>
      </c>
      <c r="D8" s="62" t="s">
        <v>94</v>
      </c>
      <c r="E8" s="12">
        <v>0</v>
      </c>
      <c r="F8" s="12">
        <v>325.99</v>
      </c>
      <c r="G8" s="65" t="s">
        <v>278</v>
      </c>
      <c r="H8" s="65" t="s">
        <v>37</v>
      </c>
      <c r="I8" s="90" t="s">
        <v>279</v>
      </c>
      <c r="J8" s="65"/>
      <c r="K8" s="37"/>
      <c r="L8" s="37"/>
      <c r="M8" s="37"/>
      <c r="N8" s="37"/>
      <c r="O8" s="37"/>
      <c r="P8" s="37"/>
      <c r="Q8" s="37"/>
      <c r="R8" s="37"/>
      <c r="S8" s="37"/>
      <c r="T8" s="37"/>
      <c r="U8" s="3"/>
      <c r="W8" s="3"/>
      <c r="X8" s="3"/>
      <c r="Y8" s="3"/>
      <c r="Z8" s="3"/>
    </row>
    <row r="9" spans="1:26" ht="14.4" outlineLevel="1" x14ac:dyDescent="0.3">
      <c r="A9" s="3"/>
      <c r="B9" s="10" t="s">
        <v>280</v>
      </c>
      <c r="C9" s="62"/>
      <c r="D9" s="62"/>
      <c r="E9" s="12">
        <v>0</v>
      </c>
      <c r="F9" s="12">
        <v>0</v>
      </c>
      <c r="G9" s="65"/>
      <c r="H9" s="65"/>
      <c r="I9" s="89"/>
      <c r="J9" s="65"/>
      <c r="K9" s="37"/>
      <c r="L9" s="37"/>
      <c r="M9" s="37"/>
      <c r="N9" s="37"/>
      <c r="O9" s="37"/>
      <c r="P9" s="37"/>
      <c r="Q9" s="37"/>
      <c r="R9" s="37"/>
      <c r="S9" s="37"/>
      <c r="T9" s="37"/>
      <c r="U9" s="3"/>
      <c r="W9" s="3"/>
      <c r="X9" s="3"/>
      <c r="Y9" s="3"/>
      <c r="Z9" s="3"/>
    </row>
    <row r="10" spans="1:26" ht="60" outlineLevel="1" x14ac:dyDescent="0.3">
      <c r="A10" s="3"/>
      <c r="B10" s="10" t="s">
        <v>281</v>
      </c>
      <c r="C10" s="80" t="s">
        <v>282</v>
      </c>
      <c r="D10" s="62" t="s">
        <v>94</v>
      </c>
      <c r="E10" s="12">
        <v>0</v>
      </c>
      <c r="F10" s="12">
        <f>263.06+40.12+92.04+11.51+263.06</f>
        <v>669.79</v>
      </c>
      <c r="G10" s="89" t="s">
        <v>283</v>
      </c>
      <c r="H10" s="65" t="s">
        <v>37</v>
      </c>
      <c r="I10" s="90" t="s">
        <v>284</v>
      </c>
      <c r="J10" s="89"/>
      <c r="K10" s="37"/>
      <c r="L10" s="37"/>
      <c r="M10" s="37"/>
      <c r="N10" s="37"/>
      <c r="O10" s="37"/>
      <c r="P10" s="37"/>
      <c r="Q10" s="37"/>
      <c r="R10" s="37"/>
      <c r="S10" s="37"/>
      <c r="T10" s="37"/>
      <c r="U10" s="3"/>
      <c r="W10" s="3"/>
      <c r="X10" s="3"/>
      <c r="Y10" s="3"/>
      <c r="Z10" s="3"/>
    </row>
    <row r="11" spans="1:26" ht="24" outlineLevel="1" x14ac:dyDescent="0.3">
      <c r="A11" s="3"/>
      <c r="B11" s="10" t="s">
        <v>65</v>
      </c>
      <c r="C11" s="62">
        <v>22</v>
      </c>
      <c r="D11" s="62" t="s">
        <v>94</v>
      </c>
      <c r="E11" s="12">
        <v>0</v>
      </c>
      <c r="F11" s="12">
        <v>129.97999999999999</v>
      </c>
      <c r="G11" s="65" t="s">
        <v>285</v>
      </c>
      <c r="H11" s="65" t="s">
        <v>37</v>
      </c>
      <c r="I11" s="90" t="s">
        <v>286</v>
      </c>
      <c r="J11" s="65"/>
      <c r="K11" s="37"/>
      <c r="L11" s="37"/>
      <c r="M11" s="37"/>
      <c r="N11" s="37"/>
      <c r="O11" s="37"/>
      <c r="P11" s="37"/>
      <c r="Q11" s="37"/>
      <c r="R11" s="37"/>
      <c r="S11" s="37"/>
      <c r="T11" s="37"/>
      <c r="U11" s="3"/>
      <c r="W11" s="3"/>
      <c r="X11" s="3"/>
      <c r="Y11" s="3"/>
      <c r="Z11" s="3"/>
    </row>
    <row r="12" spans="1:26" ht="20.399999999999999" x14ac:dyDescent="0.3">
      <c r="A12" s="3"/>
      <c r="B12" s="84" t="s">
        <v>287</v>
      </c>
      <c r="C12" s="85" t="s">
        <v>43</v>
      </c>
      <c r="D12" s="85" t="s">
        <v>43</v>
      </c>
      <c r="E12" s="86">
        <f t="shared" ref="E12:F12" si="1">SUM(E13:E19)</f>
        <v>0</v>
      </c>
      <c r="F12" s="86">
        <f t="shared" si="1"/>
        <v>5194.16</v>
      </c>
      <c r="G12" s="87"/>
      <c r="H12" s="87"/>
      <c r="I12" s="88"/>
      <c r="J12" s="87"/>
      <c r="K12" s="37"/>
      <c r="L12" s="37"/>
      <c r="M12" s="37"/>
      <c r="N12" s="37"/>
      <c r="O12" s="37"/>
      <c r="P12" s="37"/>
      <c r="Q12" s="37"/>
      <c r="R12" s="37"/>
      <c r="S12" s="37"/>
      <c r="T12" s="37"/>
      <c r="U12" s="3"/>
    </row>
    <row r="13" spans="1:26" ht="24" hidden="1" outlineLevel="1" x14ac:dyDescent="0.3">
      <c r="A13" s="3"/>
      <c r="B13" s="10" t="s">
        <v>288</v>
      </c>
      <c r="C13" s="62">
        <v>20</v>
      </c>
      <c r="D13" s="62" t="s">
        <v>94</v>
      </c>
      <c r="E13" s="12">
        <v>0</v>
      </c>
      <c r="F13" s="12">
        <v>2432.4299999999998</v>
      </c>
      <c r="G13" s="65"/>
      <c r="H13" s="65" t="s">
        <v>234</v>
      </c>
      <c r="I13" s="90" t="s">
        <v>289</v>
      </c>
      <c r="J13" s="65"/>
      <c r="K13" s="37"/>
      <c r="L13" s="37"/>
      <c r="M13" s="37"/>
      <c r="N13" s="37"/>
      <c r="O13" s="37"/>
      <c r="P13" s="37"/>
      <c r="Q13" s="37"/>
      <c r="R13" s="37"/>
      <c r="S13" s="37"/>
      <c r="T13" s="37"/>
      <c r="U13" s="3"/>
    </row>
    <row r="14" spans="1:26" ht="24" hidden="1" outlineLevel="1" x14ac:dyDescent="0.3">
      <c r="A14" s="3"/>
      <c r="B14" s="10" t="s">
        <v>290</v>
      </c>
      <c r="C14" s="62">
        <v>14</v>
      </c>
      <c r="D14" s="62" t="s">
        <v>94</v>
      </c>
      <c r="E14" s="12">
        <v>0</v>
      </c>
      <c r="F14" s="12">
        <v>1597</v>
      </c>
      <c r="G14" s="65"/>
      <c r="H14" s="65" t="s">
        <v>234</v>
      </c>
      <c r="I14" s="90" t="s">
        <v>291</v>
      </c>
      <c r="J14" s="65"/>
      <c r="K14" s="37"/>
      <c r="L14" s="37"/>
      <c r="M14" s="37"/>
      <c r="N14" s="37"/>
      <c r="O14" s="37"/>
      <c r="P14" s="37"/>
      <c r="Q14" s="37"/>
      <c r="R14" s="37"/>
      <c r="S14" s="37"/>
      <c r="T14" s="37"/>
      <c r="U14" s="3"/>
      <c r="V14" s="18"/>
    </row>
    <row r="15" spans="1:26" ht="24" hidden="1" outlineLevel="1" x14ac:dyDescent="0.3">
      <c r="A15" s="3"/>
      <c r="B15" s="10" t="s">
        <v>292</v>
      </c>
      <c r="C15" s="62">
        <v>1</v>
      </c>
      <c r="D15" s="62" t="s">
        <v>94</v>
      </c>
      <c r="E15" s="12">
        <v>0</v>
      </c>
      <c r="F15" s="12">
        <v>75</v>
      </c>
      <c r="G15" s="65"/>
      <c r="H15" s="65" t="s">
        <v>37</v>
      </c>
      <c r="I15" s="90" t="s">
        <v>293</v>
      </c>
      <c r="J15" s="65"/>
      <c r="K15" s="37"/>
      <c r="L15" s="37"/>
      <c r="M15" s="37"/>
      <c r="N15" s="37"/>
      <c r="O15" s="37"/>
      <c r="P15" s="37"/>
      <c r="Q15" s="37"/>
      <c r="R15" s="37"/>
      <c r="S15" s="37"/>
      <c r="T15" s="37"/>
      <c r="U15" s="3"/>
      <c r="V15" s="18"/>
    </row>
    <row r="16" spans="1:26" ht="36" hidden="1" outlineLevel="1" x14ac:dyDescent="0.3">
      <c r="A16" s="3"/>
      <c r="B16" s="10" t="s">
        <v>294</v>
      </c>
      <c r="C16" s="62">
        <v>29</v>
      </c>
      <c r="D16" s="62" t="s">
        <v>94</v>
      </c>
      <c r="E16" s="12">
        <v>0</v>
      </c>
      <c r="F16" s="12">
        <f>1089.73</f>
        <v>1089.73</v>
      </c>
      <c r="G16" s="89" t="s">
        <v>295</v>
      </c>
      <c r="H16" s="65" t="s">
        <v>37</v>
      </c>
      <c r="I16" s="90" t="s">
        <v>296</v>
      </c>
      <c r="J16" s="65"/>
      <c r="K16" s="37"/>
      <c r="L16" s="37"/>
      <c r="M16" s="37"/>
      <c r="N16" s="37"/>
      <c r="O16" s="37"/>
      <c r="P16" s="37"/>
      <c r="Q16" s="37"/>
      <c r="R16" s="37"/>
      <c r="S16" s="37"/>
      <c r="T16" s="37"/>
      <c r="U16" s="3"/>
    </row>
    <row r="17" spans="1:26" ht="14.4" hidden="1" outlineLevel="1" x14ac:dyDescent="0.3">
      <c r="A17" s="3"/>
      <c r="B17" s="10" t="s">
        <v>297</v>
      </c>
      <c r="C17" s="62"/>
      <c r="D17" s="62"/>
      <c r="E17" s="12">
        <v>0</v>
      </c>
      <c r="F17" s="12">
        <v>0</v>
      </c>
      <c r="G17" s="65"/>
      <c r="H17" s="65"/>
      <c r="I17" s="89"/>
      <c r="J17" s="65"/>
      <c r="K17" s="37"/>
      <c r="L17" s="37"/>
      <c r="M17" s="37"/>
      <c r="N17" s="37"/>
      <c r="O17" s="37"/>
      <c r="P17" s="37"/>
      <c r="Q17" s="37"/>
      <c r="R17" s="37"/>
      <c r="S17" s="37"/>
      <c r="T17" s="37"/>
      <c r="U17" s="3"/>
    </row>
    <row r="18" spans="1:26" ht="14.4" hidden="1" outlineLevel="1" x14ac:dyDescent="0.3">
      <c r="A18" s="3"/>
      <c r="B18" s="10" t="s">
        <v>298</v>
      </c>
      <c r="C18" s="62"/>
      <c r="D18" s="62"/>
      <c r="E18" s="12">
        <v>0</v>
      </c>
      <c r="F18" s="12">
        <v>0</v>
      </c>
      <c r="G18" s="65"/>
      <c r="H18" s="65"/>
      <c r="I18" s="89"/>
      <c r="J18" s="65"/>
      <c r="K18" s="37"/>
      <c r="L18" s="37"/>
      <c r="M18" s="37"/>
      <c r="N18" s="37"/>
      <c r="O18" s="37"/>
      <c r="P18" s="37"/>
      <c r="Q18" s="37"/>
      <c r="R18" s="37"/>
      <c r="S18" s="37"/>
      <c r="T18" s="37"/>
      <c r="U18" s="3"/>
    </row>
    <row r="19" spans="1:26" ht="14.4" hidden="1" outlineLevel="1" x14ac:dyDescent="0.3">
      <c r="A19" s="3"/>
      <c r="B19" s="10" t="s">
        <v>299</v>
      </c>
      <c r="C19" s="62"/>
      <c r="D19" s="62"/>
      <c r="E19" s="12">
        <v>0</v>
      </c>
      <c r="F19" s="12">
        <v>0</v>
      </c>
      <c r="G19" s="65"/>
      <c r="H19" s="65"/>
      <c r="I19" s="89"/>
      <c r="J19" s="65"/>
      <c r="K19" s="37"/>
      <c r="L19" s="37"/>
      <c r="M19" s="37"/>
      <c r="N19" s="37"/>
      <c r="O19" s="37"/>
      <c r="P19" s="37"/>
      <c r="Q19" s="37"/>
      <c r="R19" s="37"/>
      <c r="S19" s="37"/>
      <c r="T19" s="37"/>
      <c r="U19" s="3"/>
    </row>
    <row r="20" spans="1:26" ht="20.399999999999999" collapsed="1" x14ac:dyDescent="0.3">
      <c r="A20" s="3"/>
      <c r="B20" s="84" t="s">
        <v>300</v>
      </c>
      <c r="C20" s="85" t="s">
        <v>43</v>
      </c>
      <c r="D20" s="85" t="s">
        <v>43</v>
      </c>
      <c r="E20" s="86">
        <f t="shared" ref="E20:F20" si="2">SUM(E21:E23)</f>
        <v>0</v>
      </c>
      <c r="F20" s="86">
        <f t="shared" si="2"/>
        <v>185.82999999999998</v>
      </c>
      <c r="G20" s="87"/>
      <c r="H20" s="87"/>
      <c r="I20" s="88"/>
      <c r="J20" s="87"/>
      <c r="K20" s="37"/>
      <c r="L20" s="37"/>
      <c r="M20" s="37"/>
      <c r="N20" s="37"/>
      <c r="O20" s="37"/>
      <c r="P20" s="37"/>
      <c r="Q20" s="37"/>
      <c r="R20" s="37"/>
      <c r="S20" s="37"/>
      <c r="T20" s="37"/>
      <c r="U20" s="3"/>
      <c r="W20" s="3"/>
      <c r="X20" s="3"/>
      <c r="Y20" s="3"/>
      <c r="Z20" s="3"/>
    </row>
    <row r="21" spans="1:26" ht="15.75" hidden="1" customHeight="1" outlineLevel="1" x14ac:dyDescent="0.3">
      <c r="A21" s="3"/>
      <c r="B21" s="10" t="s">
        <v>301</v>
      </c>
      <c r="C21" s="62">
        <v>4</v>
      </c>
      <c r="D21" s="62" t="s">
        <v>94</v>
      </c>
      <c r="E21" s="12">
        <v>0</v>
      </c>
      <c r="F21" s="12">
        <v>118</v>
      </c>
      <c r="G21" s="65"/>
      <c r="H21" s="65" t="s">
        <v>265</v>
      </c>
      <c r="I21" s="90" t="s">
        <v>302</v>
      </c>
      <c r="J21" s="65"/>
      <c r="K21" s="37"/>
      <c r="L21" s="37"/>
      <c r="M21" s="37"/>
      <c r="N21" s="37"/>
      <c r="O21" s="37"/>
      <c r="P21" s="37"/>
      <c r="Q21" s="37"/>
      <c r="R21" s="37"/>
      <c r="S21" s="37"/>
      <c r="T21" s="37"/>
      <c r="U21" s="3"/>
      <c r="W21" s="3"/>
      <c r="X21" s="3"/>
      <c r="Y21" s="3"/>
      <c r="Z21" s="3"/>
    </row>
    <row r="22" spans="1:26" ht="15.75" hidden="1" customHeight="1" outlineLevel="1" x14ac:dyDescent="0.3">
      <c r="A22" s="3"/>
      <c r="B22" s="10" t="s">
        <v>303</v>
      </c>
      <c r="C22" s="62" t="s">
        <v>262</v>
      </c>
      <c r="D22" s="62" t="s">
        <v>94</v>
      </c>
      <c r="E22" s="12">
        <v>0</v>
      </c>
      <c r="F22" s="12">
        <v>67.83</v>
      </c>
      <c r="G22" s="65"/>
      <c r="H22" s="65" t="s">
        <v>38</v>
      </c>
      <c r="I22" s="90" t="s">
        <v>304</v>
      </c>
      <c r="J22" s="65"/>
      <c r="K22" s="37"/>
      <c r="L22" s="37"/>
      <c r="M22" s="37"/>
      <c r="N22" s="37"/>
      <c r="O22" s="37"/>
      <c r="P22" s="37"/>
      <c r="Q22" s="37"/>
      <c r="R22" s="37"/>
      <c r="S22" s="37"/>
      <c r="T22" s="37"/>
      <c r="U22" s="3"/>
      <c r="W22" s="3"/>
      <c r="X22" s="3"/>
      <c r="Y22" s="3"/>
      <c r="Z22" s="3"/>
    </row>
    <row r="23" spans="1:26" ht="15.75" hidden="1" customHeight="1" outlineLevel="1" x14ac:dyDescent="0.3">
      <c r="A23" s="3"/>
      <c r="B23" s="10" t="s">
        <v>305</v>
      </c>
      <c r="C23" s="62"/>
      <c r="D23" s="62"/>
      <c r="E23" s="12">
        <v>0</v>
      </c>
      <c r="F23" s="12">
        <v>0</v>
      </c>
      <c r="G23" s="65"/>
      <c r="H23" s="65"/>
      <c r="I23" s="89"/>
      <c r="J23" s="65"/>
      <c r="K23" s="37"/>
      <c r="L23" s="37"/>
      <c r="M23" s="37"/>
      <c r="N23" s="37"/>
      <c r="O23" s="37"/>
      <c r="P23" s="37"/>
      <c r="Q23" s="37"/>
      <c r="R23" s="37"/>
      <c r="S23" s="37"/>
      <c r="T23" s="37"/>
      <c r="U23" s="3"/>
      <c r="W23" s="3"/>
      <c r="X23" s="3"/>
      <c r="Y23" s="3"/>
      <c r="Z23" s="3"/>
    </row>
    <row r="24" spans="1:26" ht="15.75" customHeight="1" collapsed="1" x14ac:dyDescent="0.3">
      <c r="A24" s="3"/>
      <c r="B24" s="84" t="s">
        <v>306</v>
      </c>
      <c r="C24" s="85" t="s">
        <v>43</v>
      </c>
      <c r="D24" s="85" t="s">
        <v>43</v>
      </c>
      <c r="E24" s="86">
        <f t="shared" ref="E24:F24" si="3">SUM(E25:E36)</f>
        <v>0</v>
      </c>
      <c r="F24" s="86">
        <f t="shared" si="3"/>
        <v>4146.9400000000005</v>
      </c>
      <c r="G24" s="87"/>
      <c r="H24" s="87"/>
      <c r="I24" s="88"/>
      <c r="J24" s="87"/>
      <c r="K24" s="37"/>
      <c r="L24" s="37"/>
      <c r="M24" s="37"/>
      <c r="N24" s="37"/>
      <c r="O24" s="37"/>
      <c r="P24" s="37"/>
      <c r="Q24" s="37"/>
      <c r="R24" s="37"/>
      <c r="S24" s="37"/>
      <c r="T24" s="37"/>
      <c r="U24" s="3"/>
      <c r="W24" s="3"/>
      <c r="X24" s="3"/>
      <c r="Y24" s="3"/>
      <c r="Z24" s="3"/>
    </row>
    <row r="25" spans="1:26" ht="15.75" hidden="1" customHeight="1" outlineLevel="1" x14ac:dyDescent="0.3">
      <c r="A25" s="3"/>
      <c r="B25" s="10" t="s">
        <v>307</v>
      </c>
      <c r="C25" s="62">
        <v>20</v>
      </c>
      <c r="D25" s="62" t="s">
        <v>94</v>
      </c>
      <c r="E25" s="12">
        <v>0</v>
      </c>
      <c r="F25" s="12">
        <v>990.95</v>
      </c>
      <c r="G25" s="65"/>
      <c r="H25" s="65" t="s">
        <v>234</v>
      </c>
      <c r="I25" s="90" t="s">
        <v>308</v>
      </c>
      <c r="J25" s="65"/>
      <c r="K25" s="37"/>
      <c r="L25" s="37"/>
      <c r="M25" s="37"/>
      <c r="N25" s="37"/>
      <c r="O25" s="37"/>
      <c r="P25" s="37"/>
      <c r="Q25" s="37"/>
      <c r="R25" s="37"/>
      <c r="S25" s="37"/>
      <c r="T25" s="37"/>
      <c r="U25" s="3"/>
      <c r="W25" s="3"/>
      <c r="X25" s="3"/>
      <c r="Y25" s="3"/>
      <c r="Z25" s="3"/>
    </row>
    <row r="26" spans="1:26" ht="15.75" hidden="1" customHeight="1" outlineLevel="1" x14ac:dyDescent="0.3">
      <c r="A26" s="3"/>
      <c r="B26" s="10" t="s">
        <v>309</v>
      </c>
      <c r="C26" s="80">
        <v>17</v>
      </c>
      <c r="D26" s="62" t="s">
        <v>94</v>
      </c>
      <c r="E26" s="12">
        <v>0</v>
      </c>
      <c r="F26" s="12">
        <f>590</f>
        <v>590</v>
      </c>
      <c r="G26" s="89" t="s">
        <v>310</v>
      </c>
      <c r="H26" s="65" t="s">
        <v>37</v>
      </c>
      <c r="I26" s="90" t="s">
        <v>311</v>
      </c>
      <c r="J26" s="65"/>
      <c r="K26" s="37"/>
      <c r="L26" s="37"/>
      <c r="M26" s="37"/>
      <c r="N26" s="37"/>
      <c r="O26" s="37"/>
      <c r="P26" s="37"/>
      <c r="Q26" s="37"/>
      <c r="R26" s="37"/>
      <c r="S26" s="37"/>
      <c r="T26" s="37"/>
      <c r="U26" s="3"/>
      <c r="W26" s="3"/>
      <c r="X26" s="3"/>
      <c r="Y26" s="3"/>
      <c r="Z26" s="3"/>
    </row>
    <row r="27" spans="1:26" ht="15.75" hidden="1" customHeight="1" outlineLevel="1" x14ac:dyDescent="0.3">
      <c r="A27" s="3"/>
      <c r="B27" s="10" t="s">
        <v>312</v>
      </c>
      <c r="C27" s="62">
        <v>4</v>
      </c>
      <c r="D27" s="62" t="s">
        <v>94</v>
      </c>
      <c r="E27" s="12">
        <v>0</v>
      </c>
      <c r="F27" s="12">
        <v>396</v>
      </c>
      <c r="G27" s="65"/>
      <c r="H27" s="65" t="s">
        <v>37</v>
      </c>
      <c r="I27" s="90" t="s">
        <v>313</v>
      </c>
      <c r="J27" s="65"/>
      <c r="K27" s="37"/>
      <c r="L27" s="37"/>
      <c r="M27" s="37"/>
      <c r="N27" s="37"/>
      <c r="O27" s="37"/>
      <c r="P27" s="37"/>
      <c r="Q27" s="37"/>
      <c r="R27" s="37"/>
      <c r="S27" s="37"/>
      <c r="T27" s="37"/>
      <c r="U27" s="3"/>
      <c r="W27" s="3"/>
      <c r="X27" s="3"/>
      <c r="Y27" s="3"/>
      <c r="Z27" s="3"/>
    </row>
    <row r="28" spans="1:26" ht="15.75" hidden="1" customHeight="1" outlineLevel="1" x14ac:dyDescent="0.3">
      <c r="A28" s="3"/>
      <c r="B28" s="10" t="s">
        <v>314</v>
      </c>
      <c r="C28" s="62">
        <v>1</v>
      </c>
      <c r="D28" s="62" t="s">
        <v>94</v>
      </c>
      <c r="E28" s="12">
        <v>0</v>
      </c>
      <c r="F28" s="12">
        <v>79.989999999999995</v>
      </c>
      <c r="G28" s="65"/>
      <c r="H28" s="65" t="s">
        <v>37</v>
      </c>
      <c r="I28" s="90" t="s">
        <v>315</v>
      </c>
      <c r="J28" s="65"/>
      <c r="K28" s="37"/>
      <c r="L28" s="37"/>
      <c r="M28" s="37"/>
      <c r="N28" s="37"/>
      <c r="O28" s="37"/>
      <c r="P28" s="37"/>
      <c r="Q28" s="37"/>
      <c r="R28" s="37"/>
      <c r="S28" s="37"/>
      <c r="T28" s="37"/>
      <c r="U28" s="3"/>
      <c r="W28" s="3"/>
      <c r="X28" s="3"/>
      <c r="Y28" s="3"/>
      <c r="Z28" s="3"/>
    </row>
    <row r="29" spans="1:26" ht="15.75" hidden="1" customHeight="1" outlineLevel="1" x14ac:dyDescent="0.3">
      <c r="A29" s="3"/>
      <c r="B29" s="10" t="s">
        <v>316</v>
      </c>
      <c r="C29" s="62"/>
      <c r="D29" s="62"/>
      <c r="E29" s="12">
        <v>0</v>
      </c>
      <c r="F29" s="12">
        <v>0</v>
      </c>
      <c r="G29" s="65"/>
      <c r="H29" s="65"/>
      <c r="I29" s="89"/>
      <c r="J29" s="65"/>
      <c r="K29" s="37"/>
      <c r="L29" s="37"/>
      <c r="M29" s="37"/>
      <c r="N29" s="37"/>
      <c r="O29" s="37"/>
      <c r="P29" s="37"/>
      <c r="Q29" s="37"/>
      <c r="R29" s="37"/>
      <c r="S29" s="37"/>
      <c r="T29" s="37"/>
      <c r="U29" s="3"/>
      <c r="W29" s="3"/>
      <c r="X29" s="3"/>
      <c r="Y29" s="3"/>
      <c r="Z29" s="3"/>
    </row>
    <row r="30" spans="1:26" ht="15.75" hidden="1" customHeight="1" outlineLevel="1" x14ac:dyDescent="0.3">
      <c r="A30" s="3"/>
      <c r="B30" s="10" t="s">
        <v>317</v>
      </c>
      <c r="C30" s="62"/>
      <c r="D30" s="62"/>
      <c r="E30" s="12">
        <v>0</v>
      </c>
      <c r="F30" s="12">
        <v>0</v>
      </c>
      <c r="G30" s="65"/>
      <c r="H30" s="65"/>
      <c r="I30" s="89"/>
      <c r="J30" s="65"/>
      <c r="K30" s="37"/>
      <c r="L30" s="37"/>
      <c r="M30" s="37"/>
      <c r="N30" s="37"/>
      <c r="O30" s="37"/>
      <c r="P30" s="37"/>
      <c r="Q30" s="37"/>
      <c r="R30" s="37"/>
      <c r="S30" s="37"/>
      <c r="T30" s="37"/>
      <c r="U30" s="3"/>
      <c r="W30" s="3"/>
      <c r="X30" s="3"/>
      <c r="Y30" s="3"/>
      <c r="Z30" s="3"/>
    </row>
    <row r="31" spans="1:26" ht="15.75" hidden="1" customHeight="1" outlineLevel="1" x14ac:dyDescent="0.3">
      <c r="A31" s="3"/>
      <c r="B31" s="10" t="s">
        <v>318</v>
      </c>
      <c r="C31" s="62">
        <v>18</v>
      </c>
      <c r="D31" s="62" t="s">
        <v>94</v>
      </c>
      <c r="E31" s="12">
        <v>0</v>
      </c>
      <c r="F31" s="12">
        <v>200</v>
      </c>
      <c r="G31" s="65"/>
      <c r="H31" s="65" t="s">
        <v>37</v>
      </c>
      <c r="I31" s="90" t="s">
        <v>319</v>
      </c>
      <c r="J31" s="65"/>
      <c r="K31" s="37"/>
      <c r="L31" s="37"/>
      <c r="M31" s="37"/>
      <c r="N31" s="37"/>
      <c r="O31" s="37"/>
      <c r="P31" s="37"/>
      <c r="Q31" s="37"/>
      <c r="R31" s="37"/>
      <c r="S31" s="37"/>
      <c r="T31" s="37"/>
      <c r="U31" s="3"/>
      <c r="W31" s="3"/>
      <c r="X31" s="3"/>
      <c r="Y31" s="3"/>
      <c r="Z31" s="3"/>
    </row>
    <row r="32" spans="1:26" ht="15.75" hidden="1" customHeight="1" outlineLevel="1" x14ac:dyDescent="0.3">
      <c r="A32" s="3"/>
      <c r="B32" s="10" t="s">
        <v>320</v>
      </c>
      <c r="C32" s="62">
        <v>19</v>
      </c>
      <c r="D32" s="62" t="s">
        <v>94</v>
      </c>
      <c r="E32" s="12">
        <v>0</v>
      </c>
      <c r="F32" s="12">
        <v>800</v>
      </c>
      <c r="G32" s="65"/>
      <c r="H32" s="65" t="s">
        <v>37</v>
      </c>
      <c r="I32" s="90" t="s">
        <v>321</v>
      </c>
      <c r="J32" s="65"/>
      <c r="K32" s="37"/>
      <c r="L32" s="37"/>
      <c r="M32" s="37"/>
      <c r="N32" s="37"/>
      <c r="O32" s="37"/>
      <c r="P32" s="37"/>
      <c r="Q32" s="37"/>
      <c r="R32" s="37"/>
      <c r="S32" s="37"/>
      <c r="T32" s="37"/>
      <c r="U32" s="3"/>
      <c r="W32" s="3"/>
      <c r="X32" s="3"/>
      <c r="Y32" s="3"/>
      <c r="Z32" s="3"/>
    </row>
    <row r="33" spans="1:26" ht="15.75" hidden="1" customHeight="1" outlineLevel="1" x14ac:dyDescent="0.3">
      <c r="A33" s="3"/>
      <c r="B33" s="10" t="s">
        <v>322</v>
      </c>
      <c r="C33" s="62">
        <v>21</v>
      </c>
      <c r="D33" s="62" t="s">
        <v>94</v>
      </c>
      <c r="E33" s="12">
        <v>0</v>
      </c>
      <c r="F33" s="12">
        <v>290</v>
      </c>
      <c r="G33" s="65"/>
      <c r="H33" s="65" t="s">
        <v>37</v>
      </c>
      <c r="I33" s="90" t="s">
        <v>323</v>
      </c>
      <c r="J33" s="65"/>
      <c r="K33" s="37"/>
      <c r="L33" s="37"/>
      <c r="M33" s="37"/>
      <c r="N33" s="37"/>
      <c r="O33" s="37"/>
      <c r="P33" s="37"/>
      <c r="Q33" s="37"/>
      <c r="R33" s="37"/>
      <c r="S33" s="37"/>
      <c r="T33" s="37"/>
      <c r="U33" s="3"/>
      <c r="W33" s="3"/>
      <c r="X33" s="3"/>
      <c r="Y33" s="3"/>
      <c r="Z33" s="3"/>
    </row>
    <row r="34" spans="1:26" ht="15.75" hidden="1" customHeight="1" outlineLevel="1" x14ac:dyDescent="0.3">
      <c r="A34" s="3"/>
      <c r="B34" s="10" t="s">
        <v>324</v>
      </c>
      <c r="C34" s="62">
        <v>31</v>
      </c>
      <c r="D34" s="62" t="s">
        <v>94</v>
      </c>
      <c r="E34" s="12">
        <v>0</v>
      </c>
      <c r="F34" s="12">
        <v>800</v>
      </c>
      <c r="G34" s="65" t="s">
        <v>325</v>
      </c>
      <c r="H34" s="65" t="s">
        <v>36</v>
      </c>
      <c r="I34" s="90" t="s">
        <v>326</v>
      </c>
      <c r="J34" s="65"/>
      <c r="K34" s="37"/>
      <c r="L34" s="37"/>
      <c r="M34" s="37"/>
      <c r="N34" s="37"/>
      <c r="O34" s="37"/>
      <c r="P34" s="37"/>
      <c r="Q34" s="37"/>
      <c r="R34" s="37"/>
      <c r="S34" s="37"/>
      <c r="T34" s="37"/>
      <c r="U34" s="3"/>
      <c r="W34" s="3"/>
      <c r="X34" s="3"/>
      <c r="Y34" s="3"/>
      <c r="Z34" s="3"/>
    </row>
    <row r="35" spans="1:26" ht="15.75" hidden="1" customHeight="1" outlineLevel="1" x14ac:dyDescent="0.3">
      <c r="A35" s="3"/>
      <c r="B35" s="10" t="s">
        <v>327</v>
      </c>
      <c r="C35" s="62"/>
      <c r="D35" s="62"/>
      <c r="E35" s="12">
        <v>0</v>
      </c>
      <c r="F35" s="12">
        <v>0</v>
      </c>
      <c r="G35" s="65"/>
      <c r="H35" s="65"/>
      <c r="I35" s="89"/>
      <c r="J35" s="65"/>
      <c r="K35" s="37"/>
      <c r="L35" s="37"/>
      <c r="M35" s="37"/>
      <c r="N35" s="37"/>
      <c r="O35" s="37"/>
      <c r="P35" s="37"/>
      <c r="Q35" s="37"/>
      <c r="R35" s="37"/>
      <c r="S35" s="37"/>
      <c r="T35" s="37"/>
      <c r="U35" s="3"/>
      <c r="W35" s="3"/>
      <c r="X35" s="3"/>
      <c r="Y35" s="3"/>
      <c r="Z35" s="3"/>
    </row>
    <row r="36" spans="1:26" ht="15.75" hidden="1" customHeight="1" outlineLevel="1" x14ac:dyDescent="0.3">
      <c r="A36" s="3"/>
      <c r="B36" s="10" t="s">
        <v>328</v>
      </c>
      <c r="C36" s="62"/>
      <c r="D36" s="62"/>
      <c r="E36" s="12">
        <v>0</v>
      </c>
      <c r="F36" s="12">
        <v>0</v>
      </c>
      <c r="G36" s="65"/>
      <c r="H36" s="65"/>
      <c r="I36" s="89"/>
      <c r="J36" s="65"/>
      <c r="K36" s="37"/>
      <c r="L36" s="37"/>
      <c r="M36" s="37"/>
      <c r="N36" s="37"/>
      <c r="O36" s="37"/>
      <c r="P36" s="37"/>
      <c r="Q36" s="37"/>
      <c r="R36" s="37"/>
      <c r="S36" s="37"/>
      <c r="T36" s="37"/>
      <c r="U36" s="3"/>
      <c r="W36" s="3"/>
      <c r="X36" s="3"/>
      <c r="Y36" s="3"/>
      <c r="Z36" s="3"/>
    </row>
    <row r="37" spans="1:26" ht="15.75" customHeight="1" collapsed="1" x14ac:dyDescent="0.3">
      <c r="A37" s="3"/>
      <c r="B37" s="84" t="s">
        <v>329</v>
      </c>
      <c r="C37" s="85" t="s">
        <v>43</v>
      </c>
      <c r="D37" s="85" t="s">
        <v>43</v>
      </c>
      <c r="E37" s="86">
        <f t="shared" ref="E37:F37" si="4">SUM(E38:E42)</f>
        <v>0</v>
      </c>
      <c r="F37" s="86">
        <f t="shared" si="4"/>
        <v>2855.32</v>
      </c>
      <c r="G37" s="87"/>
      <c r="H37" s="87"/>
      <c r="I37" s="88"/>
      <c r="J37" s="87"/>
      <c r="K37" s="37"/>
      <c r="L37" s="37"/>
      <c r="M37" s="37"/>
      <c r="N37" s="37"/>
      <c r="O37" s="37"/>
      <c r="P37" s="37"/>
      <c r="Q37" s="37"/>
      <c r="R37" s="37"/>
      <c r="S37" s="37"/>
      <c r="T37" s="37"/>
      <c r="U37" s="3"/>
    </row>
    <row r="38" spans="1:26" ht="15.75" hidden="1" customHeight="1" outlineLevel="1" x14ac:dyDescent="0.3">
      <c r="A38" s="3"/>
      <c r="B38" s="10" t="s">
        <v>330</v>
      </c>
      <c r="C38" s="80" t="s">
        <v>331</v>
      </c>
      <c r="D38" s="62" t="s">
        <v>94</v>
      </c>
      <c r="E38" s="12">
        <v>0</v>
      </c>
      <c r="F38" s="12">
        <f>194.36+323.77+99+51.76+195.87+60</f>
        <v>924.76</v>
      </c>
      <c r="G38" s="89" t="s">
        <v>332</v>
      </c>
      <c r="H38" s="65" t="s">
        <v>37</v>
      </c>
      <c r="I38" s="89" t="s">
        <v>333</v>
      </c>
      <c r="J38" s="89"/>
      <c r="K38" s="37"/>
      <c r="L38" s="37"/>
      <c r="M38" s="37"/>
      <c r="N38" s="37"/>
      <c r="O38" s="37"/>
      <c r="P38" s="37"/>
      <c r="Q38" s="37"/>
      <c r="R38" s="37"/>
      <c r="S38" s="37"/>
      <c r="T38" s="37"/>
      <c r="U38" s="3"/>
      <c r="V38" s="18"/>
    </row>
    <row r="39" spans="1:26" ht="15.75" hidden="1" customHeight="1" outlineLevel="1" x14ac:dyDescent="0.3">
      <c r="A39" s="3"/>
      <c r="B39" s="10" t="s">
        <v>334</v>
      </c>
      <c r="C39" s="62">
        <v>6</v>
      </c>
      <c r="D39" s="62" t="s">
        <v>94</v>
      </c>
      <c r="E39" s="12">
        <v>0</v>
      </c>
      <c r="F39" s="12">
        <f>176</f>
        <v>176</v>
      </c>
      <c r="G39" s="65" t="s">
        <v>335</v>
      </c>
      <c r="H39" s="65" t="s">
        <v>234</v>
      </c>
      <c r="I39" s="90" t="s">
        <v>336</v>
      </c>
      <c r="J39" s="65"/>
      <c r="K39" s="37"/>
      <c r="L39" s="37"/>
      <c r="M39" s="37"/>
      <c r="N39" s="37"/>
      <c r="O39" s="37"/>
      <c r="P39" s="37"/>
      <c r="Q39" s="37"/>
      <c r="R39" s="37"/>
      <c r="S39" s="37"/>
      <c r="T39" s="37"/>
      <c r="U39" s="3"/>
    </row>
    <row r="40" spans="1:26" ht="15.75" hidden="1" customHeight="1" outlineLevel="1" x14ac:dyDescent="0.3">
      <c r="A40" s="3"/>
      <c r="B40" s="10" t="s">
        <v>337</v>
      </c>
      <c r="C40" s="80" t="s">
        <v>338</v>
      </c>
      <c r="D40" s="62" t="s">
        <v>94</v>
      </c>
      <c r="E40" s="12">
        <v>0</v>
      </c>
      <c r="F40" s="12">
        <f>344.38+54.52+471.89+35.94</f>
        <v>906.73</v>
      </c>
      <c r="G40" s="89" t="s">
        <v>339</v>
      </c>
      <c r="H40" s="65" t="s">
        <v>37</v>
      </c>
      <c r="I40" s="89" t="s">
        <v>340</v>
      </c>
      <c r="J40" s="89"/>
      <c r="K40" s="37"/>
      <c r="L40" s="37"/>
      <c r="M40" s="37"/>
      <c r="N40" s="37"/>
      <c r="O40" s="37"/>
      <c r="P40" s="37"/>
      <c r="Q40" s="37"/>
      <c r="R40" s="37"/>
      <c r="S40" s="37"/>
      <c r="T40" s="37"/>
      <c r="U40" s="3"/>
    </row>
    <row r="41" spans="1:26" ht="15.75" hidden="1" customHeight="1" outlineLevel="1" x14ac:dyDescent="0.3">
      <c r="A41" s="3"/>
      <c r="B41" s="10" t="s">
        <v>341</v>
      </c>
      <c r="C41" s="80" t="s">
        <v>342</v>
      </c>
      <c r="D41" s="62" t="s">
        <v>94</v>
      </c>
      <c r="E41" s="12">
        <v>0</v>
      </c>
      <c r="F41" s="12">
        <f>40+345.8+173.44+243.6+9.99</f>
        <v>812.83</v>
      </c>
      <c r="G41" s="89" t="s">
        <v>343</v>
      </c>
      <c r="H41" s="65" t="s">
        <v>37</v>
      </c>
      <c r="I41" s="89" t="s">
        <v>344</v>
      </c>
      <c r="J41" s="65"/>
      <c r="K41" s="37"/>
      <c r="L41" s="37"/>
      <c r="M41" s="37"/>
      <c r="N41" s="37"/>
      <c r="O41" s="37"/>
      <c r="P41" s="37"/>
      <c r="Q41" s="37"/>
      <c r="R41" s="37"/>
      <c r="S41" s="37"/>
      <c r="T41" s="37"/>
      <c r="U41" s="3"/>
      <c r="W41" s="3"/>
      <c r="X41" s="3"/>
      <c r="Y41" s="3"/>
      <c r="Z41" s="3"/>
    </row>
    <row r="42" spans="1:26" ht="15.75" hidden="1" customHeight="1" outlineLevel="1" x14ac:dyDescent="0.3">
      <c r="A42" s="3"/>
      <c r="B42" s="10" t="s">
        <v>345</v>
      </c>
      <c r="C42" s="62">
        <v>31</v>
      </c>
      <c r="D42" s="62" t="s">
        <v>94</v>
      </c>
      <c r="E42" s="12">
        <v>0</v>
      </c>
      <c r="F42" s="12">
        <v>35</v>
      </c>
      <c r="G42" s="65" t="s">
        <v>346</v>
      </c>
      <c r="H42" s="65" t="s">
        <v>36</v>
      </c>
      <c r="I42" s="90" t="s">
        <v>347</v>
      </c>
      <c r="J42" s="65"/>
      <c r="K42" s="37"/>
      <c r="L42" s="37"/>
      <c r="M42" s="37"/>
      <c r="N42" s="37"/>
      <c r="O42" s="37"/>
      <c r="P42" s="37"/>
      <c r="Q42" s="37"/>
      <c r="R42" s="37"/>
      <c r="S42" s="37"/>
      <c r="T42" s="37"/>
      <c r="U42" s="3"/>
      <c r="W42" s="3"/>
      <c r="X42" s="3"/>
      <c r="Y42" s="3"/>
      <c r="Z42" s="3"/>
    </row>
    <row r="43" spans="1:26" ht="15.75" customHeight="1" collapsed="1" x14ac:dyDescent="0.3">
      <c r="A43" s="3"/>
      <c r="B43" s="84" t="s">
        <v>348</v>
      </c>
      <c r="C43" s="85" t="s">
        <v>43</v>
      </c>
      <c r="D43" s="85" t="s">
        <v>43</v>
      </c>
      <c r="E43" s="86">
        <f t="shared" ref="E43:F43" si="5">SUM(E44,E50,E54)</f>
        <v>0</v>
      </c>
      <c r="F43" s="86">
        <f t="shared" si="5"/>
        <v>0</v>
      </c>
      <c r="G43" s="87"/>
      <c r="H43" s="87"/>
      <c r="I43" s="88"/>
      <c r="J43" s="87"/>
      <c r="K43" s="37"/>
      <c r="L43" s="37"/>
      <c r="M43" s="37"/>
      <c r="N43" s="37"/>
      <c r="O43" s="37"/>
      <c r="P43" s="37"/>
      <c r="Q43" s="37"/>
      <c r="R43" s="37"/>
      <c r="S43" s="37"/>
      <c r="T43" s="37"/>
      <c r="U43" s="3"/>
      <c r="W43" s="3"/>
      <c r="X43" s="3"/>
      <c r="Y43" s="3"/>
      <c r="Z43" s="3"/>
    </row>
    <row r="44" spans="1:26" ht="15.75" hidden="1" customHeight="1" outlineLevel="1" x14ac:dyDescent="0.3">
      <c r="A44" s="3"/>
      <c r="B44" s="91" t="s">
        <v>349</v>
      </c>
      <c r="C44" s="92"/>
      <c r="D44" s="92"/>
      <c r="E44" s="93">
        <f t="shared" ref="E44:F44" si="6">SUM(E45:E49)</f>
        <v>0</v>
      </c>
      <c r="F44" s="93">
        <f t="shared" si="6"/>
        <v>0</v>
      </c>
      <c r="G44" s="94"/>
      <c r="H44" s="94"/>
      <c r="I44" s="95"/>
      <c r="J44" s="94"/>
      <c r="K44" s="37"/>
      <c r="L44" s="37"/>
      <c r="M44" s="37"/>
      <c r="N44" s="37"/>
      <c r="O44" s="37"/>
      <c r="P44" s="37"/>
      <c r="Q44" s="37"/>
      <c r="R44" s="37"/>
      <c r="S44" s="37"/>
      <c r="T44" s="37"/>
      <c r="U44" s="3"/>
      <c r="W44" s="3"/>
      <c r="X44" s="3"/>
      <c r="Y44" s="3"/>
      <c r="Z44" s="3"/>
    </row>
    <row r="45" spans="1:26" ht="15.75" hidden="1" customHeight="1" outlineLevel="1" x14ac:dyDescent="0.3">
      <c r="A45" s="3"/>
      <c r="B45" s="10" t="s">
        <v>330</v>
      </c>
      <c r="C45" s="62"/>
      <c r="D45" s="62"/>
      <c r="E45" s="12">
        <v>0</v>
      </c>
      <c r="F45" s="12">
        <v>0</v>
      </c>
      <c r="G45" s="65"/>
      <c r="H45" s="65"/>
      <c r="I45" s="89"/>
      <c r="J45" s="65"/>
      <c r="K45" s="37"/>
      <c r="L45" s="37"/>
      <c r="M45" s="37"/>
      <c r="N45" s="37"/>
      <c r="O45" s="37"/>
      <c r="P45" s="37"/>
      <c r="Q45" s="37"/>
      <c r="R45" s="37"/>
      <c r="S45" s="37"/>
      <c r="T45" s="37"/>
      <c r="U45" s="3"/>
      <c r="W45" s="3"/>
      <c r="X45" s="3"/>
      <c r="Y45" s="3"/>
      <c r="Z45" s="3"/>
    </row>
    <row r="46" spans="1:26" ht="15.75" hidden="1" customHeight="1" outlineLevel="1" x14ac:dyDescent="0.3">
      <c r="A46" s="3"/>
      <c r="B46" s="10" t="s">
        <v>334</v>
      </c>
      <c r="C46" s="62"/>
      <c r="D46" s="62"/>
      <c r="E46" s="12">
        <v>0</v>
      </c>
      <c r="F46" s="12">
        <v>0</v>
      </c>
      <c r="G46" s="65"/>
      <c r="H46" s="65"/>
      <c r="I46" s="89"/>
      <c r="J46" s="65"/>
      <c r="K46" s="37"/>
      <c r="L46" s="37"/>
      <c r="M46" s="37"/>
      <c r="N46" s="37"/>
      <c r="O46" s="37"/>
      <c r="P46" s="37"/>
      <c r="Q46" s="37"/>
      <c r="R46" s="37"/>
      <c r="S46" s="37"/>
      <c r="T46" s="37"/>
      <c r="U46" s="3"/>
      <c r="W46" s="3"/>
      <c r="X46" s="3"/>
      <c r="Y46" s="3"/>
      <c r="Z46" s="3"/>
    </row>
    <row r="47" spans="1:26" ht="15.75" hidden="1" customHeight="1" outlineLevel="1" x14ac:dyDescent="0.3">
      <c r="A47" s="3"/>
      <c r="B47" s="10" t="s">
        <v>350</v>
      </c>
      <c r="C47" s="62"/>
      <c r="D47" s="62"/>
      <c r="E47" s="12">
        <v>0</v>
      </c>
      <c r="F47" s="12">
        <v>0</v>
      </c>
      <c r="G47" s="65"/>
      <c r="H47" s="65"/>
      <c r="I47" s="89"/>
      <c r="J47" s="65"/>
      <c r="K47" s="37"/>
      <c r="L47" s="37"/>
      <c r="M47" s="37"/>
      <c r="N47" s="37"/>
      <c r="O47" s="37"/>
      <c r="P47" s="37"/>
      <c r="Q47" s="37"/>
      <c r="R47" s="37"/>
      <c r="S47" s="37"/>
      <c r="T47" s="37"/>
      <c r="U47" s="3"/>
      <c r="W47" s="3"/>
      <c r="X47" s="3"/>
      <c r="Y47" s="3"/>
      <c r="Z47" s="3"/>
    </row>
    <row r="48" spans="1:26" ht="15.75" hidden="1" customHeight="1" outlineLevel="1" x14ac:dyDescent="0.3">
      <c r="A48" s="3"/>
      <c r="B48" s="10" t="s">
        <v>351</v>
      </c>
      <c r="C48" s="62"/>
      <c r="D48" s="62"/>
      <c r="E48" s="12">
        <v>0</v>
      </c>
      <c r="F48" s="12">
        <v>0</v>
      </c>
      <c r="G48" s="65"/>
      <c r="H48" s="65"/>
      <c r="I48" s="89"/>
      <c r="J48" s="65"/>
      <c r="K48" s="37"/>
      <c r="L48" s="37"/>
      <c r="M48" s="37"/>
      <c r="N48" s="37"/>
      <c r="O48" s="37"/>
      <c r="P48" s="37"/>
      <c r="Q48" s="37"/>
      <c r="R48" s="37"/>
      <c r="S48" s="37"/>
      <c r="T48" s="37"/>
      <c r="U48" s="3"/>
      <c r="W48" s="3"/>
      <c r="X48" s="3"/>
      <c r="Y48" s="3"/>
      <c r="Z48" s="3"/>
    </row>
    <row r="49" spans="1:26" ht="15.75" hidden="1" customHeight="1" outlineLevel="1" x14ac:dyDescent="0.3">
      <c r="A49" s="3"/>
      <c r="B49" s="10" t="s">
        <v>345</v>
      </c>
      <c r="C49" s="62"/>
      <c r="D49" s="62"/>
      <c r="E49" s="12">
        <v>0</v>
      </c>
      <c r="F49" s="12">
        <v>0</v>
      </c>
      <c r="G49" s="65"/>
      <c r="H49" s="65"/>
      <c r="I49" s="89"/>
      <c r="J49" s="65"/>
      <c r="K49" s="37"/>
      <c r="L49" s="37"/>
      <c r="M49" s="37"/>
      <c r="N49" s="37"/>
      <c r="O49" s="37"/>
      <c r="P49" s="37"/>
      <c r="Q49" s="37"/>
      <c r="R49" s="37"/>
      <c r="S49" s="37"/>
      <c r="T49" s="37"/>
      <c r="U49" s="3"/>
      <c r="W49" s="3"/>
      <c r="X49" s="3"/>
      <c r="Y49" s="3"/>
      <c r="Z49" s="3"/>
    </row>
    <row r="50" spans="1:26" ht="15.75" hidden="1" customHeight="1" outlineLevel="1" x14ac:dyDescent="0.3">
      <c r="A50" s="3"/>
      <c r="B50" s="91" t="s">
        <v>352</v>
      </c>
      <c r="C50" s="92"/>
      <c r="D50" s="92"/>
      <c r="E50" s="93">
        <f t="shared" ref="E50:F50" si="7">SUM(E51:E53)</f>
        <v>0</v>
      </c>
      <c r="F50" s="93">
        <f t="shared" si="7"/>
        <v>0</v>
      </c>
      <c r="G50" s="94"/>
      <c r="H50" s="94"/>
      <c r="I50" s="95"/>
      <c r="J50" s="94"/>
      <c r="K50" s="37"/>
      <c r="L50" s="37"/>
      <c r="M50" s="37"/>
      <c r="N50" s="37"/>
      <c r="O50" s="37"/>
      <c r="P50" s="37"/>
      <c r="Q50" s="37"/>
      <c r="R50" s="37"/>
      <c r="S50" s="37"/>
      <c r="T50" s="37"/>
      <c r="U50" s="3"/>
      <c r="W50" s="3"/>
      <c r="X50" s="3"/>
      <c r="Y50" s="3"/>
      <c r="Z50" s="3"/>
    </row>
    <row r="51" spans="1:26" ht="15.75" hidden="1" customHeight="1" outlineLevel="1" x14ac:dyDescent="0.3">
      <c r="A51" s="3"/>
      <c r="B51" s="10" t="s">
        <v>353</v>
      </c>
      <c r="C51" s="62"/>
      <c r="D51" s="62"/>
      <c r="E51" s="12">
        <v>0</v>
      </c>
      <c r="F51" s="12">
        <v>0</v>
      </c>
      <c r="G51" s="65"/>
      <c r="H51" s="65"/>
      <c r="I51" s="89"/>
      <c r="J51" s="65"/>
      <c r="K51" s="37"/>
      <c r="L51" s="37"/>
      <c r="M51" s="37"/>
      <c r="N51" s="37"/>
      <c r="O51" s="37"/>
      <c r="P51" s="37"/>
      <c r="Q51" s="37"/>
      <c r="R51" s="37"/>
      <c r="S51" s="37"/>
      <c r="T51" s="37"/>
      <c r="U51" s="3"/>
      <c r="W51" s="3"/>
      <c r="X51" s="3"/>
      <c r="Y51" s="3"/>
      <c r="Z51" s="3"/>
    </row>
    <row r="52" spans="1:26" ht="15.75" hidden="1" customHeight="1" outlineLevel="1" x14ac:dyDescent="0.3">
      <c r="A52" s="3"/>
      <c r="B52" s="10" t="s">
        <v>354</v>
      </c>
      <c r="C52" s="62"/>
      <c r="D52" s="62"/>
      <c r="E52" s="12">
        <v>0</v>
      </c>
      <c r="F52" s="12">
        <v>0</v>
      </c>
      <c r="G52" s="65"/>
      <c r="H52" s="65"/>
      <c r="I52" s="89"/>
      <c r="J52" s="65"/>
      <c r="K52" s="37"/>
      <c r="L52" s="37"/>
      <c r="M52" s="37"/>
      <c r="N52" s="37"/>
      <c r="O52" s="37"/>
      <c r="P52" s="37"/>
      <c r="Q52" s="37"/>
      <c r="R52" s="37"/>
      <c r="S52" s="37"/>
      <c r="T52" s="37"/>
      <c r="U52" s="3"/>
      <c r="W52" s="3"/>
      <c r="X52" s="3"/>
      <c r="Y52" s="3"/>
      <c r="Z52" s="3"/>
    </row>
    <row r="53" spans="1:26" ht="15.75" hidden="1" customHeight="1" outlineLevel="1" x14ac:dyDescent="0.3">
      <c r="A53" s="3"/>
      <c r="B53" s="10" t="s">
        <v>355</v>
      </c>
      <c r="C53" s="62"/>
      <c r="D53" s="62"/>
      <c r="E53" s="12">
        <v>0</v>
      </c>
      <c r="F53" s="12">
        <v>0</v>
      </c>
      <c r="G53" s="65"/>
      <c r="H53" s="65"/>
      <c r="I53" s="89"/>
      <c r="J53" s="65"/>
      <c r="K53" s="37"/>
      <c r="L53" s="37"/>
      <c r="M53" s="37"/>
      <c r="N53" s="37"/>
      <c r="O53" s="37"/>
      <c r="P53" s="37"/>
      <c r="Q53" s="37"/>
      <c r="R53" s="37"/>
      <c r="S53" s="37"/>
      <c r="T53" s="37"/>
      <c r="U53" s="3"/>
      <c r="W53" s="3"/>
      <c r="X53" s="3"/>
      <c r="Y53" s="3"/>
      <c r="Z53" s="3"/>
    </row>
    <row r="54" spans="1:26" ht="15.75" hidden="1" customHeight="1" outlineLevel="1" x14ac:dyDescent="0.3">
      <c r="A54" s="3"/>
      <c r="B54" s="91" t="s">
        <v>356</v>
      </c>
      <c r="C54" s="92"/>
      <c r="D54" s="92"/>
      <c r="E54" s="93">
        <f t="shared" ref="E54:F54" si="8">SUM(E55:E57)</f>
        <v>0</v>
      </c>
      <c r="F54" s="93">
        <f t="shared" si="8"/>
        <v>0</v>
      </c>
      <c r="G54" s="94"/>
      <c r="H54" s="94"/>
      <c r="I54" s="95"/>
      <c r="J54" s="94"/>
      <c r="K54" s="37"/>
      <c r="L54" s="37"/>
      <c r="M54" s="37"/>
      <c r="N54" s="37"/>
      <c r="O54" s="37"/>
      <c r="P54" s="37"/>
      <c r="Q54" s="37"/>
      <c r="R54" s="37"/>
      <c r="S54" s="37"/>
      <c r="T54" s="37"/>
      <c r="U54" s="3"/>
      <c r="W54" s="3"/>
      <c r="X54" s="3"/>
      <c r="Y54" s="3"/>
      <c r="Z54" s="3"/>
    </row>
    <row r="55" spans="1:26" ht="15.75" hidden="1" customHeight="1" outlineLevel="1" x14ac:dyDescent="0.3">
      <c r="A55" s="3"/>
      <c r="B55" s="10" t="s">
        <v>353</v>
      </c>
      <c r="C55" s="62"/>
      <c r="D55" s="62"/>
      <c r="E55" s="12">
        <v>0</v>
      </c>
      <c r="F55" s="12">
        <v>0</v>
      </c>
      <c r="G55" s="65"/>
      <c r="H55" s="65"/>
      <c r="I55" s="89"/>
      <c r="J55" s="65"/>
      <c r="K55" s="37"/>
      <c r="L55" s="37"/>
      <c r="M55" s="37"/>
      <c r="N55" s="37"/>
      <c r="O55" s="37"/>
      <c r="P55" s="37"/>
      <c r="Q55" s="37"/>
      <c r="R55" s="37"/>
      <c r="S55" s="37"/>
      <c r="T55" s="37"/>
      <c r="U55" s="3"/>
      <c r="W55" s="3"/>
      <c r="X55" s="3"/>
      <c r="Y55" s="3"/>
      <c r="Z55" s="3"/>
    </row>
    <row r="56" spans="1:26" ht="15.75" hidden="1" customHeight="1" outlineLevel="1" x14ac:dyDescent="0.3">
      <c r="A56" s="3"/>
      <c r="B56" s="10" t="s">
        <v>354</v>
      </c>
      <c r="C56" s="62"/>
      <c r="D56" s="62"/>
      <c r="E56" s="12">
        <v>0</v>
      </c>
      <c r="F56" s="12">
        <v>0</v>
      </c>
      <c r="G56" s="65"/>
      <c r="H56" s="65"/>
      <c r="I56" s="89"/>
      <c r="J56" s="65"/>
      <c r="K56" s="37"/>
      <c r="L56" s="37"/>
      <c r="M56" s="37"/>
      <c r="N56" s="37"/>
      <c r="O56" s="37"/>
      <c r="P56" s="37"/>
      <c r="Q56" s="37"/>
      <c r="R56" s="37"/>
      <c r="S56" s="37"/>
      <c r="T56" s="37"/>
      <c r="U56" s="3"/>
      <c r="W56" s="3"/>
      <c r="X56" s="3"/>
      <c r="Y56" s="3"/>
      <c r="Z56" s="3"/>
    </row>
    <row r="57" spans="1:26" ht="15.75" hidden="1" customHeight="1" outlineLevel="1" x14ac:dyDescent="0.3">
      <c r="A57" s="3"/>
      <c r="B57" s="10" t="s">
        <v>355</v>
      </c>
      <c r="C57" s="62"/>
      <c r="D57" s="62"/>
      <c r="E57" s="12">
        <v>0</v>
      </c>
      <c r="F57" s="12">
        <v>0</v>
      </c>
      <c r="G57" s="65"/>
      <c r="H57" s="65"/>
      <c r="I57" s="89"/>
      <c r="J57" s="65"/>
      <c r="K57" s="37"/>
      <c r="L57" s="37"/>
      <c r="M57" s="37"/>
      <c r="N57" s="37"/>
      <c r="O57" s="37"/>
      <c r="P57" s="37"/>
      <c r="Q57" s="37"/>
      <c r="R57" s="37"/>
      <c r="S57" s="37"/>
      <c r="T57" s="37"/>
      <c r="U57" s="3"/>
      <c r="W57" s="3"/>
      <c r="X57" s="3"/>
      <c r="Y57" s="3"/>
      <c r="Z57" s="3"/>
    </row>
    <row r="58" spans="1:26" ht="15.75" customHeight="1" collapsed="1" x14ac:dyDescent="0.3">
      <c r="A58" s="3"/>
      <c r="B58" s="84" t="s">
        <v>357</v>
      </c>
      <c r="C58" s="85" t="s">
        <v>43</v>
      </c>
      <c r="D58" s="85" t="s">
        <v>43</v>
      </c>
      <c r="E58" s="86">
        <f t="shared" ref="E58:F58" si="9">SUM(E59,E65,E75,E85)</f>
        <v>0</v>
      </c>
      <c r="F58" s="86">
        <f t="shared" si="9"/>
        <v>2025.22</v>
      </c>
      <c r="G58" s="87"/>
      <c r="H58" s="87"/>
      <c r="I58" s="88"/>
      <c r="J58" s="87"/>
      <c r="K58" s="37"/>
      <c r="L58" s="37"/>
      <c r="M58" s="37"/>
      <c r="N58" s="37"/>
      <c r="O58" s="37"/>
      <c r="P58" s="37"/>
      <c r="Q58" s="37"/>
      <c r="R58" s="37"/>
      <c r="S58" s="37"/>
      <c r="T58" s="37"/>
      <c r="U58" s="3"/>
      <c r="W58" s="3"/>
      <c r="X58" s="3"/>
      <c r="Y58" s="3"/>
      <c r="Z58" s="3"/>
    </row>
    <row r="59" spans="1:26" ht="15.75" hidden="1" customHeight="1" outlineLevel="1" x14ac:dyDescent="0.3">
      <c r="A59" s="3"/>
      <c r="B59" s="91" t="s">
        <v>358</v>
      </c>
      <c r="C59" s="92"/>
      <c r="D59" s="92"/>
      <c r="E59" s="93">
        <f t="shared" ref="E59:F59" si="10">SUM(E60:E64)</f>
        <v>0</v>
      </c>
      <c r="F59" s="93">
        <f t="shared" si="10"/>
        <v>0</v>
      </c>
      <c r="G59" s="94"/>
      <c r="H59" s="94"/>
      <c r="I59" s="95"/>
      <c r="J59" s="94"/>
      <c r="K59" s="37"/>
      <c r="L59" s="37"/>
      <c r="M59" s="37"/>
      <c r="N59" s="37"/>
      <c r="O59" s="37"/>
      <c r="P59" s="37"/>
      <c r="Q59" s="37"/>
      <c r="R59" s="37"/>
      <c r="S59" s="37"/>
      <c r="T59" s="37"/>
      <c r="U59" s="3"/>
      <c r="W59" s="3"/>
      <c r="X59" s="3"/>
      <c r="Y59" s="3"/>
      <c r="Z59" s="3"/>
    </row>
    <row r="60" spans="1:26" ht="15.75" hidden="1" customHeight="1" outlineLevel="1" x14ac:dyDescent="0.3">
      <c r="A60" s="3"/>
      <c r="B60" s="10" t="s">
        <v>337</v>
      </c>
      <c r="C60" s="62"/>
      <c r="D60" s="62"/>
      <c r="E60" s="12">
        <v>0</v>
      </c>
      <c r="F60" s="12">
        <v>0</v>
      </c>
      <c r="G60" s="65"/>
      <c r="H60" s="65"/>
      <c r="I60" s="89"/>
      <c r="J60" s="65"/>
      <c r="K60" s="37"/>
      <c r="L60" s="37"/>
      <c r="M60" s="37"/>
      <c r="N60" s="37"/>
      <c r="O60" s="37"/>
      <c r="P60" s="37"/>
      <c r="Q60" s="37"/>
      <c r="R60" s="37"/>
      <c r="S60" s="37"/>
      <c r="T60" s="37"/>
      <c r="U60" s="3"/>
      <c r="W60" s="3"/>
      <c r="X60" s="3"/>
      <c r="Y60" s="3"/>
      <c r="Z60" s="3"/>
    </row>
    <row r="61" spans="1:26" ht="15.75" hidden="1" customHeight="1" outlineLevel="1" x14ac:dyDescent="0.3">
      <c r="A61" s="3"/>
      <c r="B61" s="10" t="s">
        <v>359</v>
      </c>
      <c r="C61" s="62"/>
      <c r="D61" s="62"/>
      <c r="E61" s="12">
        <v>0</v>
      </c>
      <c r="F61" s="12">
        <v>0</v>
      </c>
      <c r="G61" s="65"/>
      <c r="H61" s="65"/>
      <c r="I61" s="89"/>
      <c r="J61" s="65"/>
      <c r="K61" s="37"/>
      <c r="L61" s="37"/>
      <c r="M61" s="37"/>
      <c r="N61" s="37"/>
      <c r="O61" s="37"/>
      <c r="P61" s="37"/>
      <c r="Q61" s="37"/>
      <c r="R61" s="37"/>
      <c r="S61" s="37"/>
      <c r="T61" s="37"/>
      <c r="U61" s="3"/>
      <c r="W61" s="3"/>
      <c r="X61" s="3"/>
      <c r="Y61" s="3"/>
      <c r="Z61" s="3"/>
    </row>
    <row r="62" spans="1:26" ht="15.75" hidden="1" customHeight="1" outlineLevel="1" x14ac:dyDescent="0.3">
      <c r="A62" s="3"/>
      <c r="B62" s="10" t="s">
        <v>360</v>
      </c>
      <c r="C62" s="62"/>
      <c r="D62" s="62"/>
      <c r="E62" s="12">
        <v>0</v>
      </c>
      <c r="F62" s="12">
        <v>0</v>
      </c>
      <c r="G62" s="65"/>
      <c r="H62" s="65"/>
      <c r="I62" s="89"/>
      <c r="J62" s="65"/>
      <c r="K62" s="37"/>
      <c r="L62" s="37"/>
      <c r="M62" s="37"/>
      <c r="N62" s="37"/>
      <c r="O62" s="37"/>
      <c r="P62" s="37"/>
      <c r="Q62" s="37"/>
      <c r="R62" s="37"/>
      <c r="S62" s="37"/>
      <c r="T62" s="37"/>
      <c r="U62" s="3"/>
      <c r="W62" s="3"/>
      <c r="X62" s="3"/>
      <c r="Y62" s="3"/>
      <c r="Z62" s="3"/>
    </row>
    <row r="63" spans="1:26" ht="15.75" hidden="1" customHeight="1" outlineLevel="1" x14ac:dyDescent="0.3">
      <c r="A63" s="3"/>
      <c r="B63" s="10" t="s">
        <v>354</v>
      </c>
      <c r="C63" s="62"/>
      <c r="D63" s="62"/>
      <c r="E63" s="12">
        <v>0</v>
      </c>
      <c r="F63" s="12">
        <v>0</v>
      </c>
      <c r="G63" s="65"/>
      <c r="H63" s="65"/>
      <c r="I63" s="89"/>
      <c r="J63" s="65"/>
      <c r="K63" s="37"/>
      <c r="L63" s="37"/>
      <c r="M63" s="37"/>
      <c r="N63" s="37"/>
      <c r="O63" s="37"/>
      <c r="P63" s="37"/>
      <c r="Q63" s="37"/>
      <c r="R63" s="37"/>
      <c r="S63" s="37"/>
      <c r="T63" s="37"/>
      <c r="U63" s="3"/>
      <c r="W63" s="3"/>
      <c r="X63" s="3"/>
      <c r="Y63" s="3"/>
      <c r="Z63" s="3"/>
    </row>
    <row r="64" spans="1:26" ht="15.75" hidden="1" customHeight="1" outlineLevel="1" x14ac:dyDescent="0.3">
      <c r="A64" s="3"/>
      <c r="B64" s="10" t="s">
        <v>355</v>
      </c>
      <c r="C64" s="62"/>
      <c r="D64" s="62"/>
      <c r="E64" s="12">
        <v>0</v>
      </c>
      <c r="F64" s="12">
        <v>0</v>
      </c>
      <c r="G64" s="65"/>
      <c r="H64" s="65"/>
      <c r="I64" s="89"/>
      <c r="J64" s="65"/>
      <c r="K64" s="37"/>
      <c r="L64" s="37"/>
      <c r="M64" s="37"/>
      <c r="N64" s="37"/>
      <c r="O64" s="37"/>
      <c r="P64" s="37"/>
      <c r="Q64" s="37"/>
      <c r="R64" s="37"/>
      <c r="S64" s="37"/>
      <c r="T64" s="37"/>
      <c r="U64" s="3"/>
      <c r="W64" s="3"/>
      <c r="X64" s="3"/>
      <c r="Y64" s="3"/>
      <c r="Z64" s="3"/>
    </row>
    <row r="65" spans="1:26" ht="15.75" hidden="1" customHeight="1" outlineLevel="1" x14ac:dyDescent="0.3">
      <c r="A65" s="3"/>
      <c r="B65" s="91" t="s">
        <v>361</v>
      </c>
      <c r="C65" s="92"/>
      <c r="D65" s="92"/>
      <c r="E65" s="93">
        <f t="shared" ref="E65:F65" si="11">SUM(E66:E74)</f>
        <v>0</v>
      </c>
      <c r="F65" s="93">
        <f t="shared" si="11"/>
        <v>1579.66</v>
      </c>
      <c r="G65" s="94"/>
      <c r="H65" s="94"/>
      <c r="I65" s="95"/>
      <c r="J65" s="94"/>
      <c r="K65" s="37"/>
      <c r="L65" s="37"/>
      <c r="M65" s="37"/>
      <c r="N65" s="37"/>
      <c r="O65" s="37"/>
      <c r="P65" s="37"/>
      <c r="Q65" s="37"/>
      <c r="R65" s="37"/>
      <c r="S65" s="37"/>
      <c r="T65" s="37"/>
      <c r="U65" s="3"/>
      <c r="W65" s="3"/>
      <c r="X65" s="3"/>
      <c r="Y65" s="3"/>
      <c r="Z65" s="3"/>
    </row>
    <row r="66" spans="1:26" ht="15.75" hidden="1" customHeight="1" outlineLevel="1" x14ac:dyDescent="0.3">
      <c r="A66" s="3"/>
      <c r="B66" s="10" t="s">
        <v>362</v>
      </c>
      <c r="C66" s="80" t="s">
        <v>363</v>
      </c>
      <c r="D66" s="62" t="s">
        <v>94</v>
      </c>
      <c r="E66" s="12">
        <v>0</v>
      </c>
      <c r="F66" s="12">
        <f>142.22+163.53+1053.91</f>
        <v>1359.66</v>
      </c>
      <c r="G66" s="96" t="s">
        <v>364</v>
      </c>
      <c r="H66" s="65" t="s">
        <v>37</v>
      </c>
      <c r="I66" s="96" t="s">
        <v>365</v>
      </c>
      <c r="J66" s="65"/>
      <c r="K66" s="37"/>
      <c r="L66" s="37"/>
      <c r="M66" s="37"/>
      <c r="N66" s="37"/>
      <c r="O66" s="37"/>
      <c r="P66" s="37"/>
      <c r="Q66" s="37"/>
      <c r="R66" s="37"/>
      <c r="S66" s="37"/>
      <c r="T66" s="37"/>
      <c r="U66" s="3"/>
      <c r="W66" s="3"/>
      <c r="X66" s="3"/>
      <c r="Y66" s="3"/>
      <c r="Z66" s="3"/>
    </row>
    <row r="67" spans="1:26" ht="15.75" hidden="1" customHeight="1" outlineLevel="1" x14ac:dyDescent="0.3">
      <c r="A67" s="3"/>
      <c r="B67" s="10" t="s">
        <v>366</v>
      </c>
      <c r="C67" s="62">
        <v>18</v>
      </c>
      <c r="D67" s="62" t="s">
        <v>94</v>
      </c>
      <c r="E67" s="12">
        <v>0</v>
      </c>
      <c r="F67" s="12">
        <v>220</v>
      </c>
      <c r="G67" s="89" t="s">
        <v>367</v>
      </c>
      <c r="H67" s="65" t="s">
        <v>37</v>
      </c>
      <c r="I67" s="90" t="s">
        <v>368</v>
      </c>
      <c r="J67" s="65"/>
      <c r="K67" s="37"/>
      <c r="L67" s="37"/>
      <c r="M67" s="37"/>
      <c r="N67" s="37"/>
      <c r="O67" s="37"/>
      <c r="P67" s="37"/>
      <c r="Q67" s="37"/>
      <c r="R67" s="37"/>
      <c r="S67" s="37"/>
      <c r="T67" s="37"/>
      <c r="U67" s="3"/>
      <c r="W67" s="3"/>
      <c r="X67" s="3"/>
      <c r="Y67" s="3"/>
      <c r="Z67" s="3"/>
    </row>
    <row r="68" spans="1:26" ht="15.75" hidden="1" customHeight="1" outlineLevel="1" x14ac:dyDescent="0.3">
      <c r="A68" s="3"/>
      <c r="B68" s="10" t="s">
        <v>355</v>
      </c>
      <c r="C68" s="62"/>
      <c r="D68" s="62"/>
      <c r="E68" s="12">
        <v>0</v>
      </c>
      <c r="F68" s="12">
        <v>0</v>
      </c>
      <c r="G68" s="65"/>
      <c r="H68" s="65"/>
      <c r="I68" s="89"/>
      <c r="J68" s="65"/>
      <c r="K68" s="37"/>
      <c r="L68" s="37"/>
      <c r="M68" s="37"/>
      <c r="N68" s="37"/>
      <c r="O68" s="37"/>
      <c r="P68" s="37"/>
      <c r="Q68" s="37"/>
      <c r="R68" s="37"/>
      <c r="S68" s="37"/>
      <c r="T68" s="37"/>
      <c r="U68" s="3"/>
      <c r="W68" s="3"/>
      <c r="X68" s="3"/>
      <c r="Y68" s="3"/>
      <c r="Z68" s="3"/>
    </row>
    <row r="69" spans="1:26" ht="15.75" hidden="1" customHeight="1" outlineLevel="1" x14ac:dyDescent="0.3">
      <c r="A69" s="3"/>
      <c r="B69" s="10" t="s">
        <v>369</v>
      </c>
      <c r="C69" s="62"/>
      <c r="D69" s="62"/>
      <c r="E69" s="12">
        <v>0</v>
      </c>
      <c r="F69" s="12">
        <v>0</v>
      </c>
      <c r="G69" s="65"/>
      <c r="H69" s="65"/>
      <c r="I69" s="89"/>
      <c r="J69" s="65"/>
      <c r="K69" s="37"/>
      <c r="L69" s="37"/>
      <c r="M69" s="37"/>
      <c r="N69" s="37"/>
      <c r="O69" s="37"/>
      <c r="P69" s="37"/>
      <c r="Q69" s="37"/>
      <c r="R69" s="37"/>
      <c r="S69" s="37"/>
      <c r="T69" s="37"/>
      <c r="U69" s="3"/>
      <c r="W69" s="3"/>
      <c r="X69" s="3"/>
      <c r="Y69" s="3"/>
      <c r="Z69" s="3"/>
    </row>
    <row r="70" spans="1:26" ht="15.75" hidden="1" customHeight="1" outlineLevel="1" x14ac:dyDescent="0.3">
      <c r="A70" s="3"/>
      <c r="B70" s="10" t="s">
        <v>327</v>
      </c>
      <c r="C70" s="62"/>
      <c r="D70" s="62"/>
      <c r="E70" s="12">
        <v>0</v>
      </c>
      <c r="F70" s="12">
        <v>0</v>
      </c>
      <c r="G70" s="65"/>
      <c r="H70" s="65"/>
      <c r="I70" s="89"/>
      <c r="J70" s="65"/>
      <c r="K70" s="37"/>
      <c r="L70" s="37"/>
      <c r="M70" s="37"/>
      <c r="N70" s="37"/>
      <c r="O70" s="37"/>
      <c r="P70" s="37"/>
      <c r="Q70" s="37"/>
      <c r="R70" s="37"/>
      <c r="S70" s="37"/>
      <c r="T70" s="37"/>
      <c r="U70" s="3"/>
      <c r="W70" s="3"/>
      <c r="X70" s="3"/>
      <c r="Y70" s="3"/>
      <c r="Z70" s="3"/>
    </row>
    <row r="71" spans="1:26" ht="15.75" hidden="1" customHeight="1" outlineLevel="1" x14ac:dyDescent="0.3">
      <c r="A71" s="3"/>
      <c r="B71" s="10" t="s">
        <v>328</v>
      </c>
      <c r="C71" s="62"/>
      <c r="D71" s="62"/>
      <c r="E71" s="12">
        <v>0</v>
      </c>
      <c r="F71" s="12">
        <v>0</v>
      </c>
      <c r="G71" s="65"/>
      <c r="H71" s="65"/>
      <c r="I71" s="89"/>
      <c r="J71" s="65"/>
      <c r="K71" s="37"/>
      <c r="L71" s="37"/>
      <c r="M71" s="37"/>
      <c r="N71" s="37"/>
      <c r="O71" s="37"/>
      <c r="P71" s="37"/>
      <c r="Q71" s="37"/>
      <c r="R71" s="37"/>
      <c r="S71" s="37"/>
      <c r="T71" s="37"/>
      <c r="U71" s="3"/>
      <c r="W71" s="3"/>
      <c r="X71" s="3"/>
      <c r="Y71" s="3"/>
      <c r="Z71" s="3"/>
    </row>
    <row r="72" spans="1:26" ht="15.75" hidden="1" customHeight="1" outlineLevel="1" x14ac:dyDescent="0.3">
      <c r="A72" s="3"/>
      <c r="B72" s="10" t="s">
        <v>370</v>
      </c>
      <c r="C72" s="62"/>
      <c r="D72" s="62"/>
      <c r="E72" s="12">
        <v>0</v>
      </c>
      <c r="F72" s="12">
        <v>0</v>
      </c>
      <c r="G72" s="65"/>
      <c r="H72" s="65"/>
      <c r="I72" s="89"/>
      <c r="J72" s="65"/>
      <c r="K72" s="37"/>
      <c r="L72" s="37"/>
      <c r="M72" s="37"/>
      <c r="N72" s="37"/>
      <c r="O72" s="37"/>
      <c r="P72" s="37"/>
      <c r="Q72" s="37"/>
      <c r="R72" s="37"/>
      <c r="S72" s="37"/>
      <c r="T72" s="37"/>
      <c r="U72" s="3"/>
      <c r="W72" s="3"/>
      <c r="X72" s="3"/>
      <c r="Y72" s="3"/>
      <c r="Z72" s="3"/>
    </row>
    <row r="73" spans="1:26" ht="15.75" hidden="1" customHeight="1" outlineLevel="1" x14ac:dyDescent="0.3">
      <c r="A73" s="3"/>
      <c r="B73" s="10" t="s">
        <v>371</v>
      </c>
      <c r="C73" s="62"/>
      <c r="D73" s="62"/>
      <c r="E73" s="12">
        <v>0</v>
      </c>
      <c r="F73" s="12">
        <v>0</v>
      </c>
      <c r="G73" s="65"/>
      <c r="H73" s="65"/>
      <c r="I73" s="89"/>
      <c r="J73" s="65"/>
      <c r="K73" s="37"/>
      <c r="L73" s="37"/>
      <c r="M73" s="37"/>
      <c r="N73" s="37"/>
      <c r="O73" s="37"/>
      <c r="P73" s="37"/>
      <c r="Q73" s="37"/>
      <c r="R73" s="37"/>
      <c r="S73" s="37"/>
      <c r="T73" s="37"/>
      <c r="U73" s="3"/>
      <c r="W73" s="3"/>
      <c r="X73" s="3"/>
      <c r="Y73" s="3"/>
      <c r="Z73" s="3"/>
    </row>
    <row r="74" spans="1:26" ht="15.75" hidden="1" customHeight="1" outlineLevel="1" x14ac:dyDescent="0.3">
      <c r="A74" s="3"/>
      <c r="B74" s="10" t="s">
        <v>372</v>
      </c>
      <c r="C74" s="62"/>
      <c r="D74" s="62"/>
      <c r="E74" s="12">
        <v>0</v>
      </c>
      <c r="F74" s="12">
        <v>0</v>
      </c>
      <c r="G74" s="65"/>
      <c r="H74" s="65"/>
      <c r="I74" s="89"/>
      <c r="J74" s="65"/>
      <c r="K74" s="37"/>
      <c r="L74" s="37"/>
      <c r="M74" s="37"/>
      <c r="N74" s="37"/>
      <c r="O74" s="37"/>
      <c r="P74" s="37"/>
      <c r="Q74" s="37"/>
      <c r="R74" s="37"/>
      <c r="S74" s="37"/>
      <c r="T74" s="37"/>
      <c r="U74" s="3"/>
      <c r="W74" s="3"/>
      <c r="X74" s="3"/>
      <c r="Y74" s="3"/>
      <c r="Z74" s="3"/>
    </row>
    <row r="75" spans="1:26" ht="15.75" hidden="1" customHeight="1" outlineLevel="1" x14ac:dyDescent="0.3">
      <c r="A75" s="3"/>
      <c r="B75" s="91" t="s">
        <v>373</v>
      </c>
      <c r="C75" s="92"/>
      <c r="D75" s="92"/>
      <c r="E75" s="93">
        <f t="shared" ref="E75:F75" si="12">SUM(E76:E84)</f>
        <v>0</v>
      </c>
      <c r="F75" s="93">
        <f t="shared" si="12"/>
        <v>445.56</v>
      </c>
      <c r="G75" s="94"/>
      <c r="H75" s="94"/>
      <c r="I75" s="95"/>
      <c r="J75" s="94"/>
      <c r="K75" s="37"/>
      <c r="L75" s="37"/>
      <c r="M75" s="37"/>
      <c r="N75" s="37"/>
      <c r="O75" s="37"/>
      <c r="P75" s="37"/>
      <c r="Q75" s="37"/>
      <c r="R75" s="37"/>
      <c r="S75" s="37"/>
      <c r="T75" s="37"/>
      <c r="U75" s="3"/>
      <c r="W75" s="3"/>
      <c r="X75" s="3"/>
      <c r="Y75" s="3"/>
      <c r="Z75" s="3"/>
    </row>
    <row r="76" spans="1:26" ht="15.75" hidden="1" customHeight="1" outlineLevel="1" x14ac:dyDescent="0.3">
      <c r="A76" s="3"/>
      <c r="B76" s="10" t="s">
        <v>374</v>
      </c>
      <c r="C76" s="62">
        <v>21</v>
      </c>
      <c r="D76" s="62" t="s">
        <v>94</v>
      </c>
      <c r="E76" s="12">
        <v>0</v>
      </c>
      <c r="F76" s="12">
        <v>445.56</v>
      </c>
      <c r="G76" s="89" t="s">
        <v>375</v>
      </c>
      <c r="H76" s="65" t="s">
        <v>37</v>
      </c>
      <c r="I76" s="90" t="s">
        <v>376</v>
      </c>
      <c r="J76" s="65"/>
      <c r="K76" s="37"/>
      <c r="L76" s="37"/>
      <c r="M76" s="37"/>
      <c r="N76" s="37"/>
      <c r="O76" s="37"/>
      <c r="P76" s="37"/>
      <c r="Q76" s="37"/>
      <c r="R76" s="37"/>
      <c r="S76" s="37"/>
      <c r="T76" s="37"/>
      <c r="U76" s="3"/>
      <c r="W76" s="3"/>
      <c r="X76" s="3"/>
      <c r="Y76" s="3"/>
      <c r="Z76" s="3"/>
    </row>
    <row r="77" spans="1:26" ht="15.75" hidden="1" customHeight="1" outlineLevel="1" x14ac:dyDescent="0.3">
      <c r="A77" s="3"/>
      <c r="B77" s="10" t="s">
        <v>354</v>
      </c>
      <c r="C77" s="62"/>
      <c r="D77" s="62"/>
      <c r="E77" s="12">
        <v>0</v>
      </c>
      <c r="F77" s="12">
        <v>0</v>
      </c>
      <c r="G77" s="65"/>
      <c r="H77" s="65"/>
      <c r="I77" s="89"/>
      <c r="J77" s="65"/>
      <c r="K77" s="37"/>
      <c r="L77" s="37"/>
      <c r="M77" s="37"/>
      <c r="N77" s="37"/>
      <c r="O77" s="37"/>
      <c r="P77" s="37"/>
      <c r="Q77" s="37"/>
      <c r="R77" s="37"/>
      <c r="S77" s="37"/>
      <c r="T77" s="37"/>
      <c r="U77" s="3"/>
      <c r="W77" s="3"/>
      <c r="X77" s="3"/>
      <c r="Y77" s="3"/>
      <c r="Z77" s="3"/>
    </row>
    <row r="78" spans="1:26" ht="15.75" hidden="1" customHeight="1" outlineLevel="1" x14ac:dyDescent="0.3">
      <c r="A78" s="3"/>
      <c r="B78" s="10" t="s">
        <v>355</v>
      </c>
      <c r="C78" s="62"/>
      <c r="D78" s="62"/>
      <c r="E78" s="12">
        <v>0</v>
      </c>
      <c r="F78" s="12">
        <v>0</v>
      </c>
      <c r="G78" s="65"/>
      <c r="H78" s="65"/>
      <c r="I78" s="89"/>
      <c r="J78" s="65"/>
      <c r="K78" s="37"/>
      <c r="L78" s="37"/>
      <c r="M78" s="37"/>
      <c r="N78" s="37"/>
      <c r="O78" s="37"/>
      <c r="P78" s="37"/>
      <c r="Q78" s="37"/>
      <c r="R78" s="37"/>
      <c r="S78" s="37"/>
      <c r="T78" s="37"/>
      <c r="U78" s="3"/>
      <c r="W78" s="3"/>
      <c r="X78" s="3"/>
      <c r="Y78" s="3"/>
      <c r="Z78" s="3"/>
    </row>
    <row r="79" spans="1:26" ht="15.75" hidden="1" customHeight="1" outlineLevel="1" x14ac:dyDescent="0.3">
      <c r="A79" s="3"/>
      <c r="B79" s="10" t="s">
        <v>369</v>
      </c>
      <c r="C79" s="62"/>
      <c r="D79" s="62"/>
      <c r="E79" s="12">
        <v>0</v>
      </c>
      <c r="F79" s="12">
        <v>0</v>
      </c>
      <c r="G79" s="65"/>
      <c r="H79" s="65"/>
      <c r="I79" s="89"/>
      <c r="J79" s="65"/>
      <c r="K79" s="37"/>
      <c r="L79" s="37"/>
      <c r="M79" s="37"/>
      <c r="N79" s="37"/>
      <c r="O79" s="37"/>
      <c r="P79" s="37"/>
      <c r="Q79" s="37"/>
      <c r="R79" s="37"/>
      <c r="S79" s="37"/>
      <c r="T79" s="37"/>
      <c r="U79" s="3"/>
      <c r="W79" s="3"/>
      <c r="X79" s="3"/>
      <c r="Y79" s="3"/>
      <c r="Z79" s="3"/>
    </row>
    <row r="80" spans="1:26" ht="15.75" hidden="1" customHeight="1" outlineLevel="1" x14ac:dyDescent="0.3">
      <c r="A80" s="3"/>
      <c r="B80" s="10" t="s">
        <v>327</v>
      </c>
      <c r="C80" s="62"/>
      <c r="D80" s="62"/>
      <c r="E80" s="12">
        <v>0</v>
      </c>
      <c r="F80" s="12">
        <v>0</v>
      </c>
      <c r="G80" s="65"/>
      <c r="H80" s="65"/>
      <c r="I80" s="89"/>
      <c r="J80" s="65"/>
      <c r="K80" s="37"/>
      <c r="L80" s="37"/>
      <c r="M80" s="37"/>
      <c r="N80" s="37"/>
      <c r="O80" s="37"/>
      <c r="P80" s="37"/>
      <c r="Q80" s="37"/>
      <c r="R80" s="37"/>
      <c r="S80" s="37"/>
      <c r="T80" s="37"/>
      <c r="U80" s="3"/>
      <c r="W80" s="3"/>
      <c r="X80" s="3"/>
      <c r="Y80" s="3"/>
      <c r="Z80" s="3"/>
    </row>
    <row r="81" spans="1:26" ht="15.75" hidden="1" customHeight="1" outlineLevel="1" x14ac:dyDescent="0.3">
      <c r="A81" s="3"/>
      <c r="B81" s="10" t="s">
        <v>328</v>
      </c>
      <c r="C81" s="62"/>
      <c r="D81" s="62"/>
      <c r="E81" s="12">
        <v>0</v>
      </c>
      <c r="F81" s="12">
        <v>0</v>
      </c>
      <c r="G81" s="65"/>
      <c r="H81" s="65"/>
      <c r="I81" s="89"/>
      <c r="J81" s="65"/>
      <c r="K81" s="37"/>
      <c r="L81" s="37"/>
      <c r="M81" s="37"/>
      <c r="N81" s="37"/>
      <c r="O81" s="37"/>
      <c r="P81" s="37"/>
      <c r="Q81" s="37"/>
      <c r="R81" s="37"/>
      <c r="S81" s="37"/>
      <c r="T81" s="37"/>
      <c r="U81" s="3"/>
      <c r="W81" s="3"/>
      <c r="X81" s="3"/>
      <c r="Y81" s="3"/>
      <c r="Z81" s="3"/>
    </row>
    <row r="82" spans="1:26" ht="15.75" hidden="1" customHeight="1" outlineLevel="1" x14ac:dyDescent="0.3">
      <c r="A82" s="3"/>
      <c r="B82" s="10" t="s">
        <v>370</v>
      </c>
      <c r="C82" s="62"/>
      <c r="D82" s="62"/>
      <c r="E82" s="12">
        <v>0</v>
      </c>
      <c r="F82" s="12">
        <v>0</v>
      </c>
      <c r="G82" s="65"/>
      <c r="H82" s="65"/>
      <c r="I82" s="89"/>
      <c r="J82" s="65"/>
      <c r="K82" s="37"/>
      <c r="L82" s="37"/>
      <c r="M82" s="37"/>
      <c r="N82" s="37"/>
      <c r="O82" s="37"/>
      <c r="P82" s="37"/>
      <c r="Q82" s="37"/>
      <c r="R82" s="37"/>
      <c r="S82" s="37"/>
      <c r="T82" s="37"/>
      <c r="U82" s="3"/>
      <c r="W82" s="3"/>
      <c r="X82" s="3"/>
      <c r="Y82" s="3"/>
      <c r="Z82" s="3"/>
    </row>
    <row r="83" spans="1:26" ht="15.75" hidden="1" customHeight="1" outlineLevel="1" x14ac:dyDescent="0.3">
      <c r="A83" s="3"/>
      <c r="B83" s="10" t="s">
        <v>371</v>
      </c>
      <c r="C83" s="62"/>
      <c r="D83" s="62"/>
      <c r="E83" s="12">
        <v>0</v>
      </c>
      <c r="F83" s="12">
        <v>0</v>
      </c>
      <c r="G83" s="65"/>
      <c r="H83" s="65"/>
      <c r="I83" s="89"/>
      <c r="J83" s="65"/>
      <c r="K83" s="37"/>
      <c r="L83" s="37"/>
      <c r="M83" s="37"/>
      <c r="N83" s="37"/>
      <c r="O83" s="37"/>
      <c r="P83" s="37"/>
      <c r="Q83" s="37"/>
      <c r="R83" s="37"/>
      <c r="S83" s="37"/>
      <c r="T83" s="37"/>
      <c r="U83" s="3"/>
      <c r="W83" s="3"/>
      <c r="X83" s="3"/>
      <c r="Y83" s="3"/>
      <c r="Z83" s="3"/>
    </row>
    <row r="84" spans="1:26" ht="15.75" hidden="1" customHeight="1" outlineLevel="1" x14ac:dyDescent="0.3">
      <c r="A84" s="3"/>
      <c r="B84" s="10" t="s">
        <v>372</v>
      </c>
      <c r="C84" s="62"/>
      <c r="D84" s="62"/>
      <c r="E84" s="12">
        <v>0</v>
      </c>
      <c r="F84" s="12">
        <v>0</v>
      </c>
      <c r="G84" s="65"/>
      <c r="H84" s="65"/>
      <c r="I84" s="89"/>
      <c r="J84" s="65"/>
      <c r="K84" s="37"/>
      <c r="L84" s="37"/>
      <c r="M84" s="37"/>
      <c r="N84" s="37"/>
      <c r="O84" s="37"/>
      <c r="P84" s="37"/>
      <c r="Q84" s="37"/>
      <c r="R84" s="37"/>
      <c r="S84" s="37"/>
      <c r="T84" s="37"/>
      <c r="U84" s="3"/>
      <c r="W84" s="3"/>
      <c r="X84" s="3"/>
      <c r="Y84" s="3"/>
      <c r="Z84" s="3"/>
    </row>
    <row r="85" spans="1:26" ht="15.75" hidden="1" customHeight="1" outlineLevel="1" x14ac:dyDescent="0.3">
      <c r="A85" s="3"/>
      <c r="B85" s="91" t="s">
        <v>377</v>
      </c>
      <c r="C85" s="92"/>
      <c r="D85" s="92"/>
      <c r="E85" s="93">
        <f t="shared" ref="E85:F85" si="13">SUM(E86:E94)</f>
        <v>0</v>
      </c>
      <c r="F85" s="93">
        <f t="shared" si="13"/>
        <v>0</v>
      </c>
      <c r="G85" s="94"/>
      <c r="H85" s="94"/>
      <c r="I85" s="95"/>
      <c r="J85" s="94"/>
      <c r="K85" s="37"/>
      <c r="L85" s="37"/>
      <c r="M85" s="37"/>
      <c r="N85" s="37"/>
      <c r="O85" s="37"/>
      <c r="P85" s="37"/>
      <c r="Q85" s="37"/>
      <c r="R85" s="37"/>
      <c r="S85" s="37"/>
      <c r="T85" s="37"/>
      <c r="U85" s="3"/>
      <c r="W85" s="3"/>
      <c r="X85" s="3"/>
      <c r="Y85" s="3"/>
      <c r="Z85" s="3"/>
    </row>
    <row r="86" spans="1:26" ht="15.75" hidden="1" customHeight="1" outlineLevel="1" x14ac:dyDescent="0.3">
      <c r="A86" s="3"/>
      <c r="B86" s="10" t="s">
        <v>353</v>
      </c>
      <c r="C86" s="62"/>
      <c r="D86" s="62"/>
      <c r="E86" s="12">
        <v>0</v>
      </c>
      <c r="F86" s="12">
        <v>0</v>
      </c>
      <c r="G86" s="65"/>
      <c r="H86" s="65"/>
      <c r="I86" s="89"/>
      <c r="J86" s="65"/>
      <c r="K86" s="37"/>
      <c r="L86" s="37"/>
      <c r="M86" s="37"/>
      <c r="N86" s="37"/>
      <c r="O86" s="37"/>
      <c r="P86" s="37"/>
      <c r="Q86" s="37"/>
      <c r="R86" s="37"/>
      <c r="S86" s="37"/>
      <c r="T86" s="37"/>
      <c r="U86" s="3"/>
      <c r="W86" s="3"/>
      <c r="X86" s="3"/>
      <c r="Y86" s="3"/>
      <c r="Z86" s="3"/>
    </row>
    <row r="87" spans="1:26" ht="15.75" hidden="1" customHeight="1" outlineLevel="1" x14ac:dyDescent="0.3">
      <c r="A87" s="3"/>
      <c r="B87" s="10" t="s">
        <v>354</v>
      </c>
      <c r="C87" s="62"/>
      <c r="D87" s="62"/>
      <c r="E87" s="12">
        <v>0</v>
      </c>
      <c r="F87" s="12">
        <v>0</v>
      </c>
      <c r="G87" s="65"/>
      <c r="H87" s="65"/>
      <c r="I87" s="89"/>
      <c r="J87" s="65"/>
      <c r="K87" s="37"/>
      <c r="L87" s="37"/>
      <c r="M87" s="37"/>
      <c r="N87" s="37"/>
      <c r="O87" s="37"/>
      <c r="P87" s="37"/>
      <c r="Q87" s="37"/>
      <c r="R87" s="37"/>
      <c r="S87" s="37"/>
      <c r="T87" s="37"/>
      <c r="U87" s="3"/>
      <c r="W87" s="3"/>
      <c r="X87" s="3"/>
      <c r="Y87" s="3"/>
      <c r="Z87" s="3"/>
    </row>
    <row r="88" spans="1:26" ht="15.75" hidden="1" customHeight="1" outlineLevel="1" x14ac:dyDescent="0.3">
      <c r="A88" s="3"/>
      <c r="B88" s="10" t="s">
        <v>355</v>
      </c>
      <c r="C88" s="62"/>
      <c r="D88" s="62"/>
      <c r="E88" s="12">
        <v>0</v>
      </c>
      <c r="F88" s="12">
        <v>0</v>
      </c>
      <c r="G88" s="65"/>
      <c r="H88" s="65"/>
      <c r="I88" s="89"/>
      <c r="J88" s="65"/>
      <c r="K88" s="37"/>
      <c r="L88" s="37"/>
      <c r="M88" s="37"/>
      <c r="N88" s="37"/>
      <c r="O88" s="37"/>
      <c r="P88" s="37"/>
      <c r="Q88" s="37"/>
      <c r="R88" s="37"/>
      <c r="S88" s="37"/>
      <c r="T88" s="37"/>
      <c r="U88" s="3"/>
      <c r="W88" s="3"/>
      <c r="X88" s="3"/>
      <c r="Y88" s="3"/>
      <c r="Z88" s="3"/>
    </row>
    <row r="89" spans="1:26" ht="15.75" hidden="1" customHeight="1" outlineLevel="1" x14ac:dyDescent="0.3">
      <c r="A89" s="3"/>
      <c r="B89" s="10" t="s">
        <v>369</v>
      </c>
      <c r="C89" s="62"/>
      <c r="D89" s="62"/>
      <c r="E89" s="12">
        <v>0</v>
      </c>
      <c r="F89" s="12">
        <v>0</v>
      </c>
      <c r="G89" s="65"/>
      <c r="H89" s="65"/>
      <c r="I89" s="89"/>
      <c r="J89" s="65"/>
      <c r="K89" s="37"/>
      <c r="L89" s="37"/>
      <c r="M89" s="37"/>
      <c r="N89" s="37"/>
      <c r="O89" s="37"/>
      <c r="P89" s="37"/>
      <c r="Q89" s="37"/>
      <c r="R89" s="37"/>
      <c r="S89" s="37"/>
      <c r="T89" s="37"/>
      <c r="U89" s="3"/>
      <c r="W89" s="3"/>
      <c r="X89" s="3"/>
      <c r="Y89" s="3"/>
      <c r="Z89" s="3"/>
    </row>
    <row r="90" spans="1:26" ht="15.75" hidden="1" customHeight="1" outlineLevel="1" x14ac:dyDescent="0.3">
      <c r="A90" s="3"/>
      <c r="B90" s="10" t="s">
        <v>327</v>
      </c>
      <c r="C90" s="62"/>
      <c r="D90" s="62"/>
      <c r="E90" s="12">
        <v>0</v>
      </c>
      <c r="F90" s="12">
        <v>0</v>
      </c>
      <c r="G90" s="65"/>
      <c r="H90" s="65"/>
      <c r="I90" s="89"/>
      <c r="J90" s="65"/>
      <c r="K90" s="37"/>
      <c r="L90" s="37"/>
      <c r="M90" s="37"/>
      <c r="N90" s="37"/>
      <c r="O90" s="37"/>
      <c r="P90" s="37"/>
      <c r="Q90" s="37"/>
      <c r="R90" s="37"/>
      <c r="S90" s="37"/>
      <c r="T90" s="37"/>
      <c r="U90" s="3"/>
      <c r="W90" s="3"/>
      <c r="X90" s="3"/>
      <c r="Y90" s="3"/>
      <c r="Z90" s="3"/>
    </row>
    <row r="91" spans="1:26" ht="15.75" hidden="1" customHeight="1" outlineLevel="1" x14ac:dyDescent="0.3">
      <c r="A91" s="3"/>
      <c r="B91" s="10" t="s">
        <v>328</v>
      </c>
      <c r="C91" s="62"/>
      <c r="D91" s="62"/>
      <c r="E91" s="12">
        <v>0</v>
      </c>
      <c r="F91" s="12">
        <v>0</v>
      </c>
      <c r="G91" s="65"/>
      <c r="H91" s="65"/>
      <c r="I91" s="89"/>
      <c r="J91" s="65"/>
      <c r="K91" s="37"/>
      <c r="L91" s="37"/>
      <c r="M91" s="37"/>
      <c r="N91" s="37"/>
      <c r="O91" s="37"/>
      <c r="P91" s="37"/>
      <c r="Q91" s="37"/>
      <c r="R91" s="37"/>
      <c r="S91" s="37"/>
      <c r="T91" s="37"/>
      <c r="U91" s="3"/>
      <c r="W91" s="3"/>
      <c r="X91" s="3"/>
      <c r="Y91" s="3"/>
      <c r="Z91" s="3"/>
    </row>
    <row r="92" spans="1:26" ht="15.75" hidden="1" customHeight="1" outlineLevel="1" x14ac:dyDescent="0.3">
      <c r="A92" s="3"/>
      <c r="B92" s="10" t="s">
        <v>370</v>
      </c>
      <c r="C92" s="62"/>
      <c r="D92" s="62"/>
      <c r="E92" s="12">
        <v>0</v>
      </c>
      <c r="F92" s="12">
        <v>0</v>
      </c>
      <c r="G92" s="65"/>
      <c r="H92" s="65"/>
      <c r="I92" s="89"/>
      <c r="J92" s="65"/>
      <c r="K92" s="37"/>
      <c r="L92" s="37"/>
      <c r="M92" s="37"/>
      <c r="N92" s="37"/>
      <c r="O92" s="37"/>
      <c r="P92" s="37"/>
      <c r="Q92" s="37"/>
      <c r="R92" s="37"/>
      <c r="S92" s="37"/>
      <c r="T92" s="37"/>
      <c r="U92" s="3"/>
      <c r="W92" s="3"/>
      <c r="X92" s="3"/>
      <c r="Y92" s="3"/>
      <c r="Z92" s="3"/>
    </row>
    <row r="93" spans="1:26" ht="15.75" hidden="1" customHeight="1" outlineLevel="1" x14ac:dyDescent="0.3">
      <c r="A93" s="3"/>
      <c r="B93" s="10" t="s">
        <v>371</v>
      </c>
      <c r="C93" s="62"/>
      <c r="D93" s="62"/>
      <c r="E93" s="12">
        <v>0</v>
      </c>
      <c r="F93" s="12">
        <v>0</v>
      </c>
      <c r="G93" s="65"/>
      <c r="H93" s="65"/>
      <c r="I93" s="89"/>
      <c r="J93" s="65"/>
      <c r="K93" s="37"/>
      <c r="L93" s="37"/>
      <c r="M93" s="37"/>
      <c r="N93" s="37"/>
      <c r="O93" s="37"/>
      <c r="P93" s="37"/>
      <c r="Q93" s="37"/>
      <c r="R93" s="37"/>
      <c r="S93" s="37"/>
      <c r="T93" s="37"/>
      <c r="U93" s="3"/>
      <c r="W93" s="3"/>
      <c r="X93" s="3"/>
      <c r="Y93" s="3"/>
      <c r="Z93" s="3"/>
    </row>
    <row r="94" spans="1:26" ht="15.75" hidden="1" customHeight="1" outlineLevel="1" x14ac:dyDescent="0.3">
      <c r="A94" s="3"/>
      <c r="B94" s="10" t="s">
        <v>372</v>
      </c>
      <c r="C94" s="62"/>
      <c r="D94" s="62"/>
      <c r="E94" s="12">
        <v>0</v>
      </c>
      <c r="F94" s="12">
        <v>0</v>
      </c>
      <c r="G94" s="65"/>
      <c r="H94" s="65"/>
      <c r="I94" s="89"/>
      <c r="J94" s="65"/>
      <c r="K94" s="37"/>
      <c r="L94" s="37"/>
      <c r="M94" s="37"/>
      <c r="N94" s="37"/>
      <c r="O94" s="37"/>
      <c r="P94" s="37"/>
      <c r="Q94" s="37"/>
      <c r="R94" s="37"/>
      <c r="S94" s="37"/>
      <c r="T94" s="37"/>
      <c r="U94" s="3"/>
      <c r="W94" s="3"/>
      <c r="X94" s="3"/>
      <c r="Y94" s="3"/>
      <c r="Z94" s="3"/>
    </row>
    <row r="95" spans="1:26" ht="15.75" customHeight="1" collapsed="1" x14ac:dyDescent="0.3">
      <c r="A95" s="3"/>
      <c r="B95" s="84" t="s">
        <v>87</v>
      </c>
      <c r="C95" s="85" t="s">
        <v>43</v>
      </c>
      <c r="D95" s="85" t="s">
        <v>43</v>
      </c>
      <c r="E95" s="86">
        <f t="shared" ref="E95:F95" si="14">SUM(E96:E104)</f>
        <v>0</v>
      </c>
      <c r="F95" s="86">
        <f t="shared" si="14"/>
        <v>0</v>
      </c>
      <c r="G95" s="87"/>
      <c r="H95" s="87"/>
      <c r="I95" s="88"/>
      <c r="J95" s="87"/>
      <c r="K95" s="37"/>
      <c r="L95" s="37"/>
      <c r="M95" s="37"/>
      <c r="N95" s="37"/>
      <c r="O95" s="37"/>
      <c r="P95" s="37"/>
      <c r="Q95" s="37"/>
      <c r="R95" s="37"/>
      <c r="S95" s="37"/>
      <c r="T95" s="37"/>
      <c r="U95" s="3"/>
      <c r="W95" s="3"/>
      <c r="X95" s="3"/>
      <c r="Y95" s="3"/>
      <c r="Z95" s="3"/>
    </row>
    <row r="96" spans="1:26" ht="15.75" hidden="1" customHeight="1" outlineLevel="1" x14ac:dyDescent="0.3">
      <c r="A96" s="3"/>
      <c r="B96" s="10" t="s">
        <v>378</v>
      </c>
      <c r="C96" s="62"/>
      <c r="D96" s="62"/>
      <c r="E96" s="12">
        <v>0</v>
      </c>
      <c r="F96" s="12">
        <v>0</v>
      </c>
      <c r="G96" s="89"/>
      <c r="H96" s="65"/>
      <c r="I96" s="89"/>
      <c r="J96" s="89"/>
      <c r="K96" s="37"/>
      <c r="L96" s="37"/>
      <c r="M96" s="37"/>
      <c r="N96" s="37"/>
      <c r="O96" s="37"/>
      <c r="P96" s="37"/>
      <c r="Q96" s="37"/>
      <c r="R96" s="37"/>
      <c r="S96" s="37"/>
      <c r="T96" s="37"/>
      <c r="U96" s="3"/>
      <c r="W96" s="3"/>
      <c r="X96" s="3"/>
      <c r="Y96" s="3"/>
      <c r="Z96" s="3"/>
    </row>
    <row r="97" spans="1:26" ht="15.75" hidden="1" customHeight="1" outlineLevel="1" x14ac:dyDescent="0.3">
      <c r="A97" s="3"/>
      <c r="B97" s="10" t="s">
        <v>378</v>
      </c>
      <c r="C97" s="62"/>
      <c r="D97" s="62"/>
      <c r="E97" s="12">
        <v>0</v>
      </c>
      <c r="F97" s="12">
        <v>0</v>
      </c>
      <c r="G97" s="65"/>
      <c r="H97" s="65"/>
      <c r="I97" s="89"/>
      <c r="J97" s="65"/>
      <c r="K97" s="37"/>
      <c r="L97" s="37"/>
      <c r="M97" s="37"/>
      <c r="N97" s="37"/>
      <c r="O97" s="37"/>
      <c r="P97" s="37"/>
      <c r="Q97" s="37"/>
      <c r="R97" s="37"/>
      <c r="S97" s="37"/>
      <c r="T97" s="37"/>
      <c r="U97" s="3"/>
      <c r="W97" s="3"/>
      <c r="X97" s="3"/>
      <c r="Y97" s="3"/>
      <c r="Z97" s="3"/>
    </row>
    <row r="98" spans="1:26" ht="15.75" hidden="1" customHeight="1" outlineLevel="1" x14ac:dyDescent="0.3">
      <c r="A98" s="3"/>
      <c r="B98" s="10" t="s">
        <v>355</v>
      </c>
      <c r="C98" s="62"/>
      <c r="D98" s="62"/>
      <c r="E98" s="12">
        <v>0</v>
      </c>
      <c r="F98" s="12">
        <v>0</v>
      </c>
      <c r="G98" s="65"/>
      <c r="H98" s="65"/>
      <c r="I98" s="89"/>
      <c r="J98" s="65"/>
      <c r="K98" s="37"/>
      <c r="L98" s="37"/>
      <c r="M98" s="37"/>
      <c r="N98" s="37"/>
      <c r="O98" s="37"/>
      <c r="P98" s="37"/>
      <c r="Q98" s="37"/>
      <c r="R98" s="37"/>
      <c r="S98" s="37"/>
      <c r="T98" s="37"/>
      <c r="U98" s="3"/>
      <c r="W98" s="3"/>
      <c r="X98" s="3"/>
      <c r="Y98" s="3"/>
      <c r="Z98" s="3"/>
    </row>
    <row r="99" spans="1:26" ht="15.75" hidden="1" customHeight="1" outlineLevel="1" x14ac:dyDescent="0.3">
      <c r="A99" s="3"/>
      <c r="B99" s="10" t="s">
        <v>369</v>
      </c>
      <c r="C99" s="62"/>
      <c r="D99" s="62"/>
      <c r="E99" s="12">
        <v>0</v>
      </c>
      <c r="F99" s="12">
        <v>0</v>
      </c>
      <c r="G99" s="65"/>
      <c r="H99" s="65"/>
      <c r="I99" s="89"/>
      <c r="J99" s="65"/>
      <c r="K99" s="37"/>
      <c r="L99" s="37"/>
      <c r="M99" s="37"/>
      <c r="N99" s="37"/>
      <c r="O99" s="37"/>
      <c r="P99" s="37"/>
      <c r="Q99" s="37"/>
      <c r="R99" s="37"/>
      <c r="S99" s="37"/>
      <c r="T99" s="37"/>
      <c r="U99" s="3"/>
      <c r="W99" s="3"/>
      <c r="X99" s="3"/>
      <c r="Y99" s="3"/>
      <c r="Z99" s="3"/>
    </row>
    <row r="100" spans="1:26" ht="15.75" hidden="1" customHeight="1" outlineLevel="1" x14ac:dyDescent="0.3">
      <c r="A100" s="3"/>
      <c r="B100" s="10" t="s">
        <v>327</v>
      </c>
      <c r="C100" s="62"/>
      <c r="D100" s="62"/>
      <c r="E100" s="12">
        <v>0</v>
      </c>
      <c r="F100" s="12">
        <v>0</v>
      </c>
      <c r="G100" s="65"/>
      <c r="H100" s="65"/>
      <c r="I100" s="89"/>
      <c r="J100" s="65"/>
      <c r="K100" s="37"/>
      <c r="L100" s="37"/>
      <c r="M100" s="37"/>
      <c r="N100" s="37"/>
      <c r="O100" s="37"/>
      <c r="P100" s="37"/>
      <c r="Q100" s="37"/>
      <c r="R100" s="37"/>
      <c r="S100" s="37"/>
      <c r="T100" s="37"/>
      <c r="U100" s="3"/>
      <c r="W100" s="3"/>
      <c r="X100" s="3"/>
      <c r="Y100" s="3"/>
      <c r="Z100" s="3"/>
    </row>
    <row r="101" spans="1:26" ht="15.75" hidden="1" customHeight="1" outlineLevel="1" x14ac:dyDescent="0.3">
      <c r="A101" s="3"/>
      <c r="B101" s="10" t="s">
        <v>328</v>
      </c>
      <c r="C101" s="62"/>
      <c r="D101" s="62"/>
      <c r="E101" s="12">
        <v>0</v>
      </c>
      <c r="F101" s="12">
        <v>0</v>
      </c>
      <c r="G101" s="65"/>
      <c r="H101" s="65"/>
      <c r="I101" s="89"/>
      <c r="J101" s="65"/>
      <c r="K101" s="37"/>
      <c r="L101" s="37"/>
      <c r="M101" s="37"/>
      <c r="N101" s="37"/>
      <c r="O101" s="37"/>
      <c r="P101" s="37"/>
      <c r="Q101" s="37"/>
      <c r="R101" s="37"/>
      <c r="S101" s="37"/>
      <c r="T101" s="37"/>
      <c r="U101" s="3"/>
      <c r="W101" s="3"/>
      <c r="X101" s="3"/>
      <c r="Y101" s="3"/>
      <c r="Z101" s="3"/>
    </row>
    <row r="102" spans="1:26" ht="15.75" hidden="1" customHeight="1" outlineLevel="1" x14ac:dyDescent="0.3">
      <c r="A102" s="3"/>
      <c r="B102" s="10" t="s">
        <v>370</v>
      </c>
      <c r="C102" s="62"/>
      <c r="D102" s="62"/>
      <c r="E102" s="12">
        <v>0</v>
      </c>
      <c r="F102" s="12">
        <v>0</v>
      </c>
      <c r="G102" s="65"/>
      <c r="H102" s="65"/>
      <c r="I102" s="89"/>
      <c r="J102" s="65"/>
      <c r="K102" s="37"/>
      <c r="L102" s="37"/>
      <c r="M102" s="37"/>
      <c r="N102" s="37"/>
      <c r="O102" s="37"/>
      <c r="P102" s="37"/>
      <c r="Q102" s="37"/>
      <c r="R102" s="37"/>
      <c r="S102" s="37"/>
      <c r="T102" s="37"/>
      <c r="U102" s="3"/>
      <c r="W102" s="3"/>
      <c r="X102" s="3"/>
      <c r="Y102" s="3"/>
      <c r="Z102" s="3"/>
    </row>
    <row r="103" spans="1:26" ht="15.75" hidden="1" customHeight="1" outlineLevel="1" x14ac:dyDescent="0.3">
      <c r="A103" s="3"/>
      <c r="B103" s="10" t="s">
        <v>371</v>
      </c>
      <c r="C103" s="62"/>
      <c r="D103" s="62"/>
      <c r="E103" s="12">
        <v>0</v>
      </c>
      <c r="F103" s="12">
        <v>0</v>
      </c>
      <c r="G103" s="65"/>
      <c r="H103" s="65"/>
      <c r="I103" s="89"/>
      <c r="J103" s="65"/>
      <c r="K103" s="37"/>
      <c r="L103" s="37"/>
      <c r="M103" s="37"/>
      <c r="N103" s="37"/>
      <c r="O103" s="37"/>
      <c r="P103" s="37"/>
      <c r="Q103" s="37"/>
      <c r="R103" s="37"/>
      <c r="S103" s="37"/>
      <c r="T103" s="37"/>
      <c r="U103" s="3"/>
      <c r="W103" s="3"/>
      <c r="X103" s="3"/>
      <c r="Y103" s="3"/>
      <c r="Z103" s="3"/>
    </row>
    <row r="104" spans="1:26" ht="15.75" hidden="1" customHeight="1" outlineLevel="1" x14ac:dyDescent="0.3">
      <c r="A104" s="3"/>
      <c r="B104" s="10" t="s">
        <v>372</v>
      </c>
      <c r="C104" s="62"/>
      <c r="D104" s="62"/>
      <c r="E104" s="12">
        <v>0</v>
      </c>
      <c r="F104" s="12">
        <v>0</v>
      </c>
      <c r="G104" s="65"/>
      <c r="H104" s="65"/>
      <c r="I104" s="89"/>
      <c r="J104" s="65"/>
      <c r="K104" s="37"/>
      <c r="L104" s="37"/>
      <c r="M104" s="37"/>
      <c r="N104" s="37"/>
      <c r="O104" s="37"/>
      <c r="P104" s="37"/>
      <c r="Q104" s="37"/>
      <c r="R104" s="37"/>
      <c r="S104" s="37"/>
      <c r="T104" s="37"/>
      <c r="U104" s="3"/>
      <c r="W104" s="3"/>
      <c r="X104" s="3"/>
      <c r="Y104" s="3"/>
      <c r="Z104" s="3"/>
    </row>
    <row r="105" spans="1:26" ht="15.75" customHeight="1" collapsed="1" x14ac:dyDescent="0.3">
      <c r="A105" s="3"/>
      <c r="B105" s="84" t="s">
        <v>88</v>
      </c>
      <c r="C105" s="85" t="s">
        <v>43</v>
      </c>
      <c r="D105" s="85" t="s">
        <v>43</v>
      </c>
      <c r="E105" s="86">
        <f t="shared" ref="E105:F105" si="15">SUM(E106,E112,E118,E124)</f>
        <v>0</v>
      </c>
      <c r="F105" s="86">
        <f t="shared" si="15"/>
        <v>0</v>
      </c>
      <c r="G105" s="87"/>
      <c r="H105" s="87"/>
      <c r="I105" s="88"/>
      <c r="J105" s="87"/>
      <c r="K105" s="37"/>
      <c r="L105" s="37"/>
      <c r="M105" s="37"/>
      <c r="N105" s="37"/>
      <c r="O105" s="37"/>
      <c r="P105" s="37"/>
      <c r="Q105" s="37"/>
      <c r="R105" s="37"/>
      <c r="S105" s="37"/>
      <c r="T105" s="37"/>
      <c r="U105" s="3"/>
      <c r="W105" s="3"/>
      <c r="X105" s="3"/>
      <c r="Y105" s="3"/>
      <c r="Z105" s="3"/>
    </row>
    <row r="106" spans="1:26" ht="15.75" hidden="1" customHeight="1" outlineLevel="1" x14ac:dyDescent="0.3">
      <c r="A106" s="3"/>
      <c r="B106" s="91" t="s">
        <v>379</v>
      </c>
      <c r="C106" s="92"/>
      <c r="D106" s="92"/>
      <c r="E106" s="93">
        <f t="shared" ref="E106:F106" si="16">SUM(E107:E111)</f>
        <v>0</v>
      </c>
      <c r="F106" s="93">
        <f t="shared" si="16"/>
        <v>0</v>
      </c>
      <c r="G106" s="94"/>
      <c r="H106" s="94"/>
      <c r="I106" s="95"/>
      <c r="J106" s="94"/>
      <c r="K106" s="37"/>
      <c r="L106" s="37"/>
      <c r="M106" s="37"/>
      <c r="N106" s="37"/>
      <c r="O106" s="37"/>
      <c r="P106" s="37"/>
      <c r="Q106" s="37"/>
      <c r="R106" s="37"/>
      <c r="S106" s="37"/>
      <c r="T106" s="37"/>
      <c r="U106" s="3"/>
      <c r="W106" s="3"/>
      <c r="X106" s="3"/>
      <c r="Y106" s="3"/>
      <c r="Z106" s="3"/>
    </row>
    <row r="107" spans="1:26" ht="15.75" hidden="1" customHeight="1" outlineLevel="1" x14ac:dyDescent="0.3">
      <c r="A107" s="3"/>
      <c r="B107" s="10" t="s">
        <v>353</v>
      </c>
      <c r="C107" s="62"/>
      <c r="D107" s="62"/>
      <c r="E107" s="12">
        <v>0</v>
      </c>
      <c r="F107" s="12">
        <v>0</v>
      </c>
      <c r="G107" s="65"/>
      <c r="H107" s="65"/>
      <c r="I107" s="89"/>
      <c r="J107" s="65"/>
      <c r="K107" s="37"/>
      <c r="L107" s="37"/>
      <c r="M107" s="37"/>
      <c r="N107" s="37"/>
      <c r="O107" s="37"/>
      <c r="P107" s="37"/>
      <c r="Q107" s="37"/>
      <c r="R107" s="37"/>
      <c r="S107" s="37"/>
      <c r="T107" s="37"/>
      <c r="U107" s="3"/>
      <c r="W107" s="3"/>
      <c r="X107" s="3"/>
      <c r="Y107" s="3"/>
      <c r="Z107" s="3"/>
    </row>
    <row r="108" spans="1:26" ht="15.75" hidden="1" customHeight="1" outlineLevel="1" x14ac:dyDescent="0.3">
      <c r="A108" s="3"/>
      <c r="B108" s="10" t="s">
        <v>354</v>
      </c>
      <c r="C108" s="62"/>
      <c r="D108" s="62"/>
      <c r="E108" s="12">
        <v>0</v>
      </c>
      <c r="F108" s="12">
        <v>0</v>
      </c>
      <c r="G108" s="65"/>
      <c r="H108" s="65"/>
      <c r="I108" s="89"/>
      <c r="J108" s="65"/>
      <c r="K108" s="37"/>
      <c r="L108" s="37"/>
      <c r="M108" s="37"/>
      <c r="N108" s="37"/>
      <c r="O108" s="37"/>
      <c r="P108" s="37"/>
      <c r="Q108" s="37"/>
      <c r="R108" s="37"/>
      <c r="S108" s="37"/>
      <c r="T108" s="37"/>
      <c r="U108" s="3"/>
      <c r="W108" s="3"/>
      <c r="X108" s="3"/>
      <c r="Y108" s="3"/>
      <c r="Z108" s="3"/>
    </row>
    <row r="109" spans="1:26" ht="15.75" hidden="1" customHeight="1" outlineLevel="1" x14ac:dyDescent="0.3">
      <c r="A109" s="3"/>
      <c r="B109" s="10" t="s">
        <v>355</v>
      </c>
      <c r="C109" s="62"/>
      <c r="D109" s="62"/>
      <c r="E109" s="12">
        <v>0</v>
      </c>
      <c r="F109" s="12">
        <v>0</v>
      </c>
      <c r="G109" s="65"/>
      <c r="H109" s="65"/>
      <c r="I109" s="89"/>
      <c r="J109" s="65"/>
      <c r="K109" s="37"/>
      <c r="L109" s="37"/>
      <c r="M109" s="37"/>
      <c r="N109" s="37"/>
      <c r="O109" s="37"/>
      <c r="P109" s="37"/>
      <c r="Q109" s="37"/>
      <c r="R109" s="37"/>
      <c r="S109" s="37"/>
      <c r="T109" s="37"/>
      <c r="U109" s="3"/>
      <c r="W109" s="3"/>
      <c r="X109" s="3"/>
      <c r="Y109" s="3"/>
      <c r="Z109" s="3"/>
    </row>
    <row r="110" spans="1:26" ht="15.75" hidden="1" customHeight="1" outlineLevel="1" x14ac:dyDescent="0.3">
      <c r="A110" s="3"/>
      <c r="B110" s="10" t="s">
        <v>369</v>
      </c>
      <c r="C110" s="62"/>
      <c r="D110" s="62"/>
      <c r="E110" s="12">
        <v>0</v>
      </c>
      <c r="F110" s="12">
        <v>0</v>
      </c>
      <c r="G110" s="65"/>
      <c r="H110" s="65"/>
      <c r="I110" s="89"/>
      <c r="J110" s="65"/>
      <c r="K110" s="37"/>
      <c r="L110" s="37"/>
      <c r="M110" s="37"/>
      <c r="N110" s="37"/>
      <c r="O110" s="37"/>
      <c r="P110" s="37"/>
      <c r="Q110" s="37"/>
      <c r="R110" s="37"/>
      <c r="S110" s="37"/>
      <c r="T110" s="37"/>
      <c r="U110" s="3"/>
      <c r="W110" s="3"/>
      <c r="X110" s="3"/>
      <c r="Y110" s="3"/>
      <c r="Z110" s="3"/>
    </row>
    <row r="111" spans="1:26" ht="15.75" hidden="1" customHeight="1" outlineLevel="1" x14ac:dyDescent="0.3">
      <c r="A111" s="3"/>
      <c r="B111" s="10" t="s">
        <v>327</v>
      </c>
      <c r="C111" s="62"/>
      <c r="D111" s="62"/>
      <c r="E111" s="12">
        <v>0</v>
      </c>
      <c r="F111" s="12">
        <v>0</v>
      </c>
      <c r="G111" s="65"/>
      <c r="H111" s="65"/>
      <c r="I111" s="89"/>
      <c r="J111" s="65"/>
      <c r="K111" s="37"/>
      <c r="L111" s="37"/>
      <c r="M111" s="37"/>
      <c r="N111" s="37"/>
      <c r="O111" s="37"/>
      <c r="P111" s="37"/>
      <c r="Q111" s="37"/>
      <c r="R111" s="37"/>
      <c r="S111" s="37"/>
      <c r="T111" s="37"/>
      <c r="U111" s="3"/>
      <c r="W111" s="3"/>
      <c r="X111" s="3"/>
      <c r="Y111" s="3"/>
      <c r="Z111" s="3"/>
    </row>
    <row r="112" spans="1:26" ht="15.75" hidden="1" customHeight="1" outlineLevel="1" x14ac:dyDescent="0.3">
      <c r="A112" s="3"/>
      <c r="B112" s="91" t="s">
        <v>380</v>
      </c>
      <c r="C112" s="92"/>
      <c r="D112" s="92"/>
      <c r="E112" s="93">
        <f t="shared" ref="E112:F112" si="17">SUM(E113:E117)</f>
        <v>0</v>
      </c>
      <c r="F112" s="93">
        <f t="shared" si="17"/>
        <v>0</v>
      </c>
      <c r="G112" s="94"/>
      <c r="H112" s="94"/>
      <c r="I112" s="95"/>
      <c r="J112" s="94"/>
      <c r="K112" s="37"/>
      <c r="L112" s="37"/>
      <c r="M112" s="37"/>
      <c r="N112" s="37"/>
      <c r="O112" s="37"/>
      <c r="P112" s="37"/>
      <c r="Q112" s="37"/>
      <c r="R112" s="37"/>
      <c r="S112" s="37"/>
      <c r="T112" s="37"/>
      <c r="U112" s="3"/>
      <c r="W112" s="3"/>
      <c r="X112" s="3"/>
      <c r="Y112" s="3"/>
      <c r="Z112" s="3"/>
    </row>
    <row r="113" spans="1:26" ht="15.75" hidden="1" customHeight="1" outlineLevel="1" x14ac:dyDescent="0.3">
      <c r="A113" s="3"/>
      <c r="B113" s="10" t="s">
        <v>353</v>
      </c>
      <c r="C113" s="62"/>
      <c r="D113" s="62"/>
      <c r="E113" s="12">
        <v>0</v>
      </c>
      <c r="F113" s="12">
        <v>0</v>
      </c>
      <c r="G113" s="65"/>
      <c r="H113" s="65"/>
      <c r="I113" s="89"/>
      <c r="J113" s="65"/>
      <c r="K113" s="37"/>
      <c r="L113" s="37"/>
      <c r="M113" s="37"/>
      <c r="N113" s="37"/>
      <c r="O113" s="37"/>
      <c r="P113" s="37"/>
      <c r="Q113" s="37"/>
      <c r="R113" s="37"/>
      <c r="S113" s="37"/>
      <c r="T113" s="37"/>
      <c r="U113" s="3"/>
      <c r="W113" s="3"/>
      <c r="X113" s="3"/>
      <c r="Y113" s="3"/>
      <c r="Z113" s="3"/>
    </row>
    <row r="114" spans="1:26" ht="15.75" hidden="1" customHeight="1" outlineLevel="1" x14ac:dyDescent="0.3">
      <c r="A114" s="3"/>
      <c r="B114" s="10" t="s">
        <v>354</v>
      </c>
      <c r="C114" s="62"/>
      <c r="D114" s="62"/>
      <c r="E114" s="12">
        <v>0</v>
      </c>
      <c r="F114" s="12">
        <v>0</v>
      </c>
      <c r="G114" s="65"/>
      <c r="H114" s="65"/>
      <c r="I114" s="89"/>
      <c r="J114" s="65"/>
      <c r="K114" s="37"/>
      <c r="L114" s="37"/>
      <c r="M114" s="37"/>
      <c r="N114" s="37"/>
      <c r="O114" s="37"/>
      <c r="P114" s="37"/>
      <c r="Q114" s="37"/>
      <c r="R114" s="37"/>
      <c r="S114" s="37"/>
      <c r="T114" s="37"/>
      <c r="U114" s="3"/>
      <c r="W114" s="3"/>
      <c r="X114" s="3"/>
      <c r="Y114" s="3"/>
      <c r="Z114" s="3"/>
    </row>
    <row r="115" spans="1:26" ht="15.75" hidden="1" customHeight="1" outlineLevel="1" x14ac:dyDescent="0.3">
      <c r="A115" s="3"/>
      <c r="B115" s="10" t="s">
        <v>355</v>
      </c>
      <c r="C115" s="62"/>
      <c r="D115" s="62"/>
      <c r="E115" s="12">
        <v>0</v>
      </c>
      <c r="F115" s="12">
        <v>0</v>
      </c>
      <c r="G115" s="65"/>
      <c r="H115" s="65"/>
      <c r="I115" s="89"/>
      <c r="J115" s="65"/>
      <c r="K115" s="37"/>
      <c r="L115" s="37"/>
      <c r="M115" s="37"/>
      <c r="N115" s="37"/>
      <c r="O115" s="37"/>
      <c r="P115" s="37"/>
      <c r="Q115" s="37"/>
      <c r="R115" s="37"/>
      <c r="S115" s="37"/>
      <c r="T115" s="37"/>
      <c r="U115" s="3"/>
      <c r="W115" s="3"/>
      <c r="X115" s="3"/>
      <c r="Y115" s="3"/>
      <c r="Z115" s="3"/>
    </row>
    <row r="116" spans="1:26" ht="15.75" hidden="1" customHeight="1" outlineLevel="1" x14ac:dyDescent="0.3">
      <c r="A116" s="3"/>
      <c r="B116" s="10" t="s">
        <v>369</v>
      </c>
      <c r="C116" s="62"/>
      <c r="D116" s="62"/>
      <c r="E116" s="12">
        <v>0</v>
      </c>
      <c r="F116" s="12">
        <v>0</v>
      </c>
      <c r="G116" s="65"/>
      <c r="H116" s="65"/>
      <c r="I116" s="89"/>
      <c r="J116" s="65"/>
      <c r="K116" s="37"/>
      <c r="L116" s="37"/>
      <c r="M116" s="37"/>
      <c r="N116" s="37"/>
      <c r="O116" s="37"/>
      <c r="P116" s="37"/>
      <c r="Q116" s="37"/>
      <c r="R116" s="37"/>
      <c r="S116" s="37"/>
      <c r="T116" s="37"/>
      <c r="U116" s="3"/>
      <c r="W116" s="3"/>
      <c r="X116" s="3"/>
      <c r="Y116" s="3"/>
      <c r="Z116" s="3"/>
    </row>
    <row r="117" spans="1:26" ht="15.75" hidden="1" customHeight="1" outlineLevel="1" x14ac:dyDescent="0.3">
      <c r="A117" s="3"/>
      <c r="B117" s="10" t="s">
        <v>327</v>
      </c>
      <c r="C117" s="62"/>
      <c r="D117" s="62"/>
      <c r="E117" s="12">
        <v>0</v>
      </c>
      <c r="F117" s="12">
        <v>0</v>
      </c>
      <c r="G117" s="65"/>
      <c r="H117" s="65"/>
      <c r="I117" s="89"/>
      <c r="J117" s="65"/>
      <c r="K117" s="37"/>
      <c r="L117" s="37"/>
      <c r="M117" s="37"/>
      <c r="N117" s="37"/>
      <c r="O117" s="37"/>
      <c r="P117" s="37"/>
      <c r="Q117" s="37"/>
      <c r="R117" s="37"/>
      <c r="S117" s="37"/>
      <c r="T117" s="37"/>
      <c r="U117" s="3"/>
      <c r="W117" s="3"/>
      <c r="X117" s="3"/>
      <c r="Y117" s="3"/>
      <c r="Z117" s="3"/>
    </row>
    <row r="118" spans="1:26" ht="15.75" hidden="1" customHeight="1" outlineLevel="1" x14ac:dyDescent="0.3">
      <c r="A118" s="3"/>
      <c r="B118" s="91" t="s">
        <v>381</v>
      </c>
      <c r="C118" s="92"/>
      <c r="D118" s="92"/>
      <c r="E118" s="93">
        <f t="shared" ref="E118:F118" si="18">SUM(E119:E123)</f>
        <v>0</v>
      </c>
      <c r="F118" s="93">
        <f t="shared" si="18"/>
        <v>0</v>
      </c>
      <c r="G118" s="94"/>
      <c r="H118" s="94"/>
      <c r="I118" s="95"/>
      <c r="J118" s="94"/>
      <c r="K118" s="37"/>
      <c r="L118" s="37"/>
      <c r="M118" s="37"/>
      <c r="N118" s="37"/>
      <c r="O118" s="37"/>
      <c r="P118" s="37"/>
      <c r="Q118" s="37"/>
      <c r="R118" s="37"/>
      <c r="S118" s="37"/>
      <c r="T118" s="37"/>
      <c r="U118" s="3"/>
      <c r="W118" s="3"/>
      <c r="X118" s="3"/>
      <c r="Y118" s="3"/>
      <c r="Z118" s="3"/>
    </row>
    <row r="119" spans="1:26" ht="15.75" hidden="1" customHeight="1" outlineLevel="1" x14ac:dyDescent="0.3">
      <c r="A119" s="3"/>
      <c r="B119" s="10" t="s">
        <v>353</v>
      </c>
      <c r="C119" s="62"/>
      <c r="D119" s="62"/>
      <c r="E119" s="12">
        <v>0</v>
      </c>
      <c r="F119" s="12">
        <v>0</v>
      </c>
      <c r="G119" s="65"/>
      <c r="H119" s="65"/>
      <c r="I119" s="89"/>
      <c r="J119" s="65"/>
      <c r="K119" s="37"/>
      <c r="L119" s="37"/>
      <c r="M119" s="37"/>
      <c r="N119" s="37"/>
      <c r="O119" s="37"/>
      <c r="P119" s="37"/>
      <c r="Q119" s="37"/>
      <c r="R119" s="37"/>
      <c r="S119" s="37"/>
      <c r="T119" s="37"/>
      <c r="U119" s="3"/>
      <c r="W119" s="3"/>
      <c r="X119" s="3"/>
      <c r="Y119" s="3"/>
      <c r="Z119" s="3"/>
    </row>
    <row r="120" spans="1:26" ht="15.75" hidden="1" customHeight="1" outlineLevel="1" x14ac:dyDescent="0.3">
      <c r="A120" s="3"/>
      <c r="B120" s="10" t="s">
        <v>354</v>
      </c>
      <c r="C120" s="62"/>
      <c r="D120" s="62"/>
      <c r="E120" s="12">
        <v>0</v>
      </c>
      <c r="F120" s="12">
        <v>0</v>
      </c>
      <c r="G120" s="65"/>
      <c r="H120" s="65"/>
      <c r="I120" s="89"/>
      <c r="J120" s="65"/>
      <c r="K120" s="37"/>
      <c r="L120" s="37"/>
      <c r="M120" s="37"/>
      <c r="N120" s="37"/>
      <c r="O120" s="37"/>
      <c r="P120" s="37"/>
      <c r="Q120" s="37"/>
      <c r="R120" s="37"/>
      <c r="S120" s="37"/>
      <c r="T120" s="37"/>
      <c r="U120" s="3"/>
      <c r="W120" s="3"/>
      <c r="X120" s="3"/>
      <c r="Y120" s="3"/>
      <c r="Z120" s="3"/>
    </row>
    <row r="121" spans="1:26" ht="15.75" hidden="1" customHeight="1" outlineLevel="1" x14ac:dyDescent="0.3">
      <c r="A121" s="3"/>
      <c r="B121" s="10" t="s">
        <v>355</v>
      </c>
      <c r="C121" s="62"/>
      <c r="D121" s="62"/>
      <c r="E121" s="12">
        <v>0</v>
      </c>
      <c r="F121" s="12">
        <v>0</v>
      </c>
      <c r="G121" s="65"/>
      <c r="H121" s="65"/>
      <c r="I121" s="89"/>
      <c r="J121" s="65"/>
      <c r="K121" s="37"/>
      <c r="L121" s="37"/>
      <c r="M121" s="37"/>
      <c r="N121" s="37"/>
      <c r="O121" s="37"/>
      <c r="P121" s="37"/>
      <c r="Q121" s="37"/>
      <c r="R121" s="37"/>
      <c r="S121" s="37"/>
      <c r="T121" s="37"/>
      <c r="U121" s="3"/>
      <c r="W121" s="3"/>
      <c r="X121" s="3"/>
      <c r="Y121" s="3"/>
      <c r="Z121" s="3"/>
    </row>
    <row r="122" spans="1:26" ht="15.75" hidden="1" customHeight="1" outlineLevel="1" x14ac:dyDescent="0.3">
      <c r="A122" s="3"/>
      <c r="B122" s="10" t="s">
        <v>369</v>
      </c>
      <c r="C122" s="62"/>
      <c r="D122" s="62"/>
      <c r="E122" s="12">
        <v>0</v>
      </c>
      <c r="F122" s="12">
        <v>0</v>
      </c>
      <c r="G122" s="65"/>
      <c r="H122" s="65"/>
      <c r="I122" s="89"/>
      <c r="J122" s="65"/>
      <c r="K122" s="37"/>
      <c r="L122" s="37"/>
      <c r="M122" s="37"/>
      <c r="N122" s="37"/>
      <c r="O122" s="37"/>
      <c r="P122" s="37"/>
      <c r="Q122" s="37"/>
      <c r="R122" s="37"/>
      <c r="S122" s="37"/>
      <c r="T122" s="37"/>
      <c r="U122" s="3"/>
      <c r="W122" s="3"/>
      <c r="X122" s="3"/>
      <c r="Y122" s="3"/>
      <c r="Z122" s="3"/>
    </row>
    <row r="123" spans="1:26" ht="15.75" hidden="1" customHeight="1" outlineLevel="1" x14ac:dyDescent="0.3">
      <c r="A123" s="3"/>
      <c r="B123" s="10" t="s">
        <v>327</v>
      </c>
      <c r="C123" s="62"/>
      <c r="D123" s="62"/>
      <c r="E123" s="12">
        <v>0</v>
      </c>
      <c r="F123" s="12">
        <v>0</v>
      </c>
      <c r="G123" s="65"/>
      <c r="H123" s="65"/>
      <c r="I123" s="89"/>
      <c r="J123" s="65"/>
      <c r="K123" s="37"/>
      <c r="L123" s="37"/>
      <c r="M123" s="37"/>
      <c r="N123" s="37"/>
      <c r="O123" s="37"/>
      <c r="P123" s="37"/>
      <c r="Q123" s="37"/>
      <c r="R123" s="37"/>
      <c r="S123" s="37"/>
      <c r="T123" s="37"/>
      <c r="U123" s="3"/>
      <c r="W123" s="3"/>
      <c r="X123" s="3"/>
      <c r="Y123" s="3"/>
      <c r="Z123" s="3"/>
    </row>
    <row r="124" spans="1:26" ht="15.75" hidden="1" customHeight="1" outlineLevel="1" x14ac:dyDescent="0.3">
      <c r="A124" s="3"/>
      <c r="B124" s="91" t="s">
        <v>382</v>
      </c>
      <c r="C124" s="92"/>
      <c r="D124" s="92"/>
      <c r="E124" s="93">
        <f t="shared" ref="E124:F124" si="19">SUM(E125:E129)</f>
        <v>0</v>
      </c>
      <c r="F124" s="93">
        <f t="shared" si="19"/>
        <v>0</v>
      </c>
      <c r="G124" s="94"/>
      <c r="H124" s="94"/>
      <c r="I124" s="95"/>
      <c r="J124" s="94"/>
      <c r="K124" s="37"/>
      <c r="L124" s="37"/>
      <c r="M124" s="37"/>
      <c r="N124" s="37"/>
      <c r="O124" s="37"/>
      <c r="P124" s="37"/>
      <c r="Q124" s="37"/>
      <c r="R124" s="37"/>
      <c r="S124" s="37"/>
      <c r="T124" s="37"/>
      <c r="U124" s="3"/>
      <c r="W124" s="3"/>
      <c r="X124" s="3"/>
      <c r="Y124" s="3"/>
      <c r="Z124" s="3"/>
    </row>
    <row r="125" spans="1:26" ht="15.75" hidden="1" customHeight="1" outlineLevel="1" x14ac:dyDescent="0.3">
      <c r="A125" s="3"/>
      <c r="B125" s="10" t="s">
        <v>353</v>
      </c>
      <c r="C125" s="62"/>
      <c r="D125" s="62"/>
      <c r="E125" s="12">
        <v>0</v>
      </c>
      <c r="F125" s="12">
        <v>0</v>
      </c>
      <c r="G125" s="65"/>
      <c r="H125" s="65"/>
      <c r="I125" s="89"/>
      <c r="J125" s="65"/>
      <c r="K125" s="37"/>
      <c r="L125" s="37"/>
      <c r="M125" s="37"/>
      <c r="N125" s="37"/>
      <c r="O125" s="37"/>
      <c r="P125" s="37"/>
      <c r="Q125" s="37"/>
      <c r="R125" s="37"/>
      <c r="S125" s="37"/>
      <c r="T125" s="37"/>
      <c r="U125" s="3"/>
      <c r="W125" s="3"/>
      <c r="X125" s="3"/>
      <c r="Y125" s="3"/>
      <c r="Z125" s="3"/>
    </row>
    <row r="126" spans="1:26" ht="15.75" hidden="1" customHeight="1" outlineLevel="1" x14ac:dyDescent="0.3">
      <c r="A126" s="3"/>
      <c r="B126" s="10" t="s">
        <v>354</v>
      </c>
      <c r="C126" s="62"/>
      <c r="D126" s="62"/>
      <c r="E126" s="12">
        <v>0</v>
      </c>
      <c r="F126" s="12">
        <v>0</v>
      </c>
      <c r="G126" s="65"/>
      <c r="H126" s="65"/>
      <c r="I126" s="89"/>
      <c r="J126" s="65"/>
      <c r="K126" s="37"/>
      <c r="L126" s="37"/>
      <c r="M126" s="37"/>
      <c r="N126" s="37"/>
      <c r="O126" s="37"/>
      <c r="P126" s="37"/>
      <c r="Q126" s="37"/>
      <c r="R126" s="37"/>
      <c r="S126" s="37"/>
      <c r="T126" s="37"/>
      <c r="U126" s="3"/>
      <c r="W126" s="3"/>
      <c r="X126" s="3"/>
      <c r="Y126" s="3"/>
      <c r="Z126" s="3"/>
    </row>
    <row r="127" spans="1:26" ht="15.75" hidden="1" customHeight="1" outlineLevel="1" x14ac:dyDescent="0.3">
      <c r="A127" s="3"/>
      <c r="B127" s="10" t="s">
        <v>355</v>
      </c>
      <c r="C127" s="62"/>
      <c r="D127" s="62"/>
      <c r="E127" s="12">
        <v>0</v>
      </c>
      <c r="F127" s="12">
        <v>0</v>
      </c>
      <c r="G127" s="65"/>
      <c r="H127" s="65"/>
      <c r="I127" s="89"/>
      <c r="J127" s="65"/>
      <c r="K127" s="37"/>
      <c r="L127" s="37"/>
      <c r="M127" s="37"/>
      <c r="N127" s="37"/>
      <c r="O127" s="37"/>
      <c r="P127" s="37"/>
      <c r="Q127" s="37"/>
      <c r="R127" s="37"/>
      <c r="S127" s="37"/>
      <c r="T127" s="37"/>
      <c r="U127" s="3"/>
      <c r="W127" s="3"/>
      <c r="X127" s="3"/>
      <c r="Y127" s="3"/>
      <c r="Z127" s="3"/>
    </row>
    <row r="128" spans="1:26" ht="15.75" hidden="1" customHeight="1" outlineLevel="1" x14ac:dyDescent="0.3">
      <c r="A128" s="3"/>
      <c r="B128" s="10" t="s">
        <v>369</v>
      </c>
      <c r="C128" s="62"/>
      <c r="D128" s="62"/>
      <c r="E128" s="12">
        <v>0</v>
      </c>
      <c r="F128" s="12">
        <v>0</v>
      </c>
      <c r="G128" s="65"/>
      <c r="H128" s="65"/>
      <c r="I128" s="89"/>
      <c r="J128" s="65"/>
      <c r="K128" s="37"/>
      <c r="L128" s="37"/>
      <c r="M128" s="37"/>
      <c r="N128" s="37"/>
      <c r="O128" s="37"/>
      <c r="P128" s="37"/>
      <c r="Q128" s="37"/>
      <c r="R128" s="37"/>
      <c r="S128" s="37"/>
      <c r="T128" s="37"/>
      <c r="U128" s="3"/>
      <c r="W128" s="3"/>
      <c r="X128" s="3"/>
      <c r="Y128" s="3"/>
      <c r="Z128" s="3"/>
    </row>
    <row r="129" spans="1:26" ht="15.75" hidden="1" customHeight="1" outlineLevel="1" x14ac:dyDescent="0.3">
      <c r="A129" s="3"/>
      <c r="B129" s="10" t="s">
        <v>327</v>
      </c>
      <c r="C129" s="62"/>
      <c r="D129" s="62"/>
      <c r="E129" s="12">
        <v>0</v>
      </c>
      <c r="F129" s="12">
        <v>0</v>
      </c>
      <c r="G129" s="65"/>
      <c r="H129" s="65"/>
      <c r="I129" s="89"/>
      <c r="J129" s="65"/>
      <c r="K129" s="37"/>
      <c r="L129" s="37"/>
      <c r="M129" s="37"/>
      <c r="N129" s="37"/>
      <c r="O129" s="37"/>
      <c r="P129" s="37"/>
      <c r="Q129" s="37"/>
      <c r="R129" s="37"/>
      <c r="S129" s="37"/>
      <c r="T129" s="37"/>
      <c r="U129" s="3"/>
      <c r="W129" s="3"/>
      <c r="X129" s="3"/>
      <c r="Y129" s="3"/>
      <c r="Z129" s="3"/>
    </row>
    <row r="130" spans="1:26" ht="15.75" customHeight="1" collapsed="1" x14ac:dyDescent="0.3">
      <c r="A130" s="3"/>
      <c r="B130" s="84" t="s">
        <v>383</v>
      </c>
      <c r="C130" s="85" t="s">
        <v>43</v>
      </c>
      <c r="D130" s="85" t="s">
        <v>43</v>
      </c>
      <c r="E130" s="86">
        <f t="shared" ref="E130:F130" si="20">SUM(E131:E135)</f>
        <v>0</v>
      </c>
      <c r="F130" s="86">
        <f t="shared" si="20"/>
        <v>0</v>
      </c>
      <c r="G130" s="87"/>
      <c r="H130" s="87"/>
      <c r="I130" s="88"/>
      <c r="J130" s="87"/>
      <c r="K130" s="37"/>
      <c r="L130" s="37"/>
      <c r="M130" s="37"/>
      <c r="N130" s="37"/>
      <c r="O130" s="37"/>
      <c r="P130" s="37"/>
      <c r="Q130" s="37"/>
      <c r="R130" s="37"/>
      <c r="S130" s="37"/>
      <c r="T130" s="37"/>
      <c r="U130" s="3"/>
      <c r="W130" s="3"/>
      <c r="X130" s="3"/>
      <c r="Y130" s="3"/>
      <c r="Z130" s="3"/>
    </row>
    <row r="131" spans="1:26" ht="15.75" hidden="1" customHeight="1" outlineLevel="1" x14ac:dyDescent="0.3">
      <c r="A131" s="3"/>
      <c r="B131" s="10" t="s">
        <v>353</v>
      </c>
      <c r="C131" s="62"/>
      <c r="D131" s="62"/>
      <c r="E131" s="12">
        <v>0</v>
      </c>
      <c r="F131" s="12">
        <v>0</v>
      </c>
      <c r="G131" s="65"/>
      <c r="H131" s="65"/>
      <c r="I131" s="89"/>
      <c r="J131" s="65"/>
      <c r="K131" s="37"/>
      <c r="L131" s="37"/>
      <c r="M131" s="37"/>
      <c r="N131" s="37"/>
      <c r="O131" s="37"/>
      <c r="P131" s="37"/>
      <c r="Q131" s="37"/>
      <c r="R131" s="37"/>
      <c r="S131" s="37"/>
      <c r="T131" s="37"/>
      <c r="U131" s="3"/>
      <c r="W131" s="3"/>
      <c r="X131" s="3"/>
      <c r="Y131" s="3"/>
      <c r="Z131" s="3"/>
    </row>
    <row r="132" spans="1:26" ht="15.75" hidden="1" customHeight="1" outlineLevel="1" x14ac:dyDescent="0.3">
      <c r="A132" s="3"/>
      <c r="B132" s="10" t="s">
        <v>354</v>
      </c>
      <c r="C132" s="62"/>
      <c r="D132" s="62"/>
      <c r="E132" s="12">
        <v>0</v>
      </c>
      <c r="F132" s="12">
        <v>0</v>
      </c>
      <c r="G132" s="65"/>
      <c r="H132" s="65"/>
      <c r="I132" s="89"/>
      <c r="J132" s="65"/>
      <c r="K132" s="37"/>
      <c r="L132" s="37"/>
      <c r="M132" s="37"/>
      <c r="N132" s="37"/>
      <c r="O132" s="37"/>
      <c r="P132" s="37"/>
      <c r="Q132" s="37"/>
      <c r="R132" s="37"/>
      <c r="S132" s="37"/>
      <c r="T132" s="37"/>
      <c r="U132" s="3"/>
      <c r="W132" s="3"/>
      <c r="X132" s="3"/>
      <c r="Y132" s="3"/>
      <c r="Z132" s="3"/>
    </row>
    <row r="133" spans="1:26" ht="15.75" hidden="1" customHeight="1" outlineLevel="1" x14ac:dyDescent="0.3">
      <c r="A133" s="3"/>
      <c r="B133" s="10" t="s">
        <v>355</v>
      </c>
      <c r="C133" s="62"/>
      <c r="D133" s="62"/>
      <c r="E133" s="12">
        <v>0</v>
      </c>
      <c r="F133" s="12">
        <v>0</v>
      </c>
      <c r="G133" s="65"/>
      <c r="H133" s="65"/>
      <c r="I133" s="89"/>
      <c r="J133" s="65"/>
      <c r="K133" s="37"/>
      <c r="L133" s="37"/>
      <c r="M133" s="37"/>
      <c r="N133" s="37"/>
      <c r="O133" s="37"/>
      <c r="P133" s="37"/>
      <c r="Q133" s="37"/>
      <c r="R133" s="37"/>
      <c r="S133" s="37"/>
      <c r="T133" s="37"/>
      <c r="U133" s="3"/>
      <c r="W133" s="3"/>
      <c r="X133" s="3"/>
      <c r="Y133" s="3"/>
      <c r="Z133" s="3"/>
    </row>
    <row r="134" spans="1:26" ht="15.75" hidden="1" customHeight="1" outlineLevel="1" x14ac:dyDescent="0.3">
      <c r="A134" s="3"/>
      <c r="B134" s="10" t="s">
        <v>369</v>
      </c>
      <c r="C134" s="62"/>
      <c r="D134" s="62"/>
      <c r="E134" s="12">
        <v>0</v>
      </c>
      <c r="F134" s="12">
        <v>0</v>
      </c>
      <c r="G134" s="65"/>
      <c r="H134" s="65"/>
      <c r="I134" s="89"/>
      <c r="J134" s="65"/>
      <c r="K134" s="37"/>
      <c r="L134" s="37"/>
      <c r="M134" s="37"/>
      <c r="N134" s="37"/>
      <c r="O134" s="37"/>
      <c r="P134" s="37"/>
      <c r="Q134" s="37"/>
      <c r="R134" s="37"/>
      <c r="S134" s="37"/>
      <c r="T134" s="37"/>
      <c r="U134" s="3"/>
      <c r="W134" s="3"/>
      <c r="X134" s="3"/>
      <c r="Y134" s="3"/>
      <c r="Z134" s="3"/>
    </row>
    <row r="135" spans="1:26" ht="15.75" hidden="1" customHeight="1" outlineLevel="1" x14ac:dyDescent="0.3">
      <c r="A135" s="3"/>
      <c r="B135" s="10" t="s">
        <v>327</v>
      </c>
      <c r="C135" s="62"/>
      <c r="D135" s="62"/>
      <c r="E135" s="12">
        <v>0</v>
      </c>
      <c r="F135" s="12">
        <v>0</v>
      </c>
      <c r="G135" s="65"/>
      <c r="H135" s="65"/>
      <c r="I135" s="89"/>
      <c r="J135" s="65"/>
      <c r="K135" s="37"/>
      <c r="L135" s="37"/>
      <c r="M135" s="37"/>
      <c r="N135" s="37"/>
      <c r="O135" s="37"/>
      <c r="P135" s="37"/>
      <c r="Q135" s="37"/>
      <c r="R135" s="37"/>
      <c r="S135" s="37"/>
      <c r="T135" s="37"/>
      <c r="U135" s="3"/>
      <c r="W135" s="3"/>
      <c r="X135" s="3"/>
      <c r="Y135" s="3"/>
      <c r="Z135" s="3"/>
    </row>
    <row r="136" spans="1:26" ht="15.75" customHeight="1" collapsed="1" x14ac:dyDescent="0.3">
      <c r="A136" s="3"/>
      <c r="B136" s="84" t="s">
        <v>384</v>
      </c>
      <c r="C136" s="85" t="s">
        <v>43</v>
      </c>
      <c r="D136" s="85" t="s">
        <v>43</v>
      </c>
      <c r="E136" s="86">
        <f t="shared" ref="E136:F136" si="21">SUM(E137:E141)</f>
        <v>0</v>
      </c>
      <c r="F136" s="86">
        <f t="shared" si="21"/>
        <v>2207.5</v>
      </c>
      <c r="G136" s="87"/>
      <c r="H136" s="87"/>
      <c r="I136" s="88"/>
      <c r="J136" s="87"/>
      <c r="K136" s="37"/>
      <c r="L136" s="37"/>
      <c r="M136" s="37"/>
      <c r="N136" s="37"/>
      <c r="O136" s="37"/>
      <c r="P136" s="37"/>
      <c r="Q136" s="37"/>
      <c r="R136" s="37"/>
      <c r="S136" s="37"/>
      <c r="T136" s="37"/>
      <c r="U136" s="3"/>
      <c r="W136" s="3"/>
      <c r="X136" s="3"/>
      <c r="Y136" s="3"/>
      <c r="Z136" s="3"/>
    </row>
    <row r="137" spans="1:26" ht="15.75" hidden="1" customHeight="1" outlineLevel="1" x14ac:dyDescent="0.3">
      <c r="A137" s="3"/>
      <c r="B137" s="10" t="s">
        <v>385</v>
      </c>
      <c r="C137" s="80" t="s">
        <v>386</v>
      </c>
      <c r="D137" s="62" t="s">
        <v>94</v>
      </c>
      <c r="E137" s="12">
        <v>0</v>
      </c>
      <c r="F137" s="12">
        <f>57.5+150</f>
        <v>207.5</v>
      </c>
      <c r="G137" s="89" t="s">
        <v>387</v>
      </c>
      <c r="H137" s="65" t="s">
        <v>37</v>
      </c>
      <c r="I137" s="89" t="s">
        <v>388</v>
      </c>
      <c r="J137" s="65"/>
      <c r="K137" s="37"/>
      <c r="L137" s="37"/>
      <c r="M137" s="37"/>
      <c r="N137" s="37"/>
      <c r="O137" s="37"/>
      <c r="P137" s="37"/>
      <c r="Q137" s="37"/>
      <c r="R137" s="37"/>
      <c r="S137" s="37"/>
      <c r="T137" s="37"/>
      <c r="U137" s="3"/>
      <c r="W137" s="3"/>
      <c r="X137" s="3"/>
      <c r="Y137" s="3"/>
      <c r="Z137" s="3"/>
    </row>
    <row r="138" spans="1:26" ht="15.75" hidden="1" customHeight="1" outlineLevel="1" x14ac:dyDescent="0.3">
      <c r="A138" s="3"/>
      <c r="B138" s="10" t="s">
        <v>389</v>
      </c>
      <c r="C138" s="62">
        <v>12</v>
      </c>
      <c r="D138" s="62" t="s">
        <v>94</v>
      </c>
      <c r="E138" s="12">
        <v>0</v>
      </c>
      <c r="F138" s="12">
        <f>200</f>
        <v>200</v>
      </c>
      <c r="G138" s="96" t="s">
        <v>390</v>
      </c>
      <c r="H138" s="65" t="s">
        <v>37</v>
      </c>
      <c r="I138" s="97" t="s">
        <v>391</v>
      </c>
      <c r="J138" s="89"/>
      <c r="K138" s="37"/>
      <c r="L138" s="37"/>
      <c r="M138" s="37"/>
      <c r="N138" s="37"/>
      <c r="O138" s="37"/>
      <c r="P138" s="37"/>
      <c r="Q138" s="37"/>
      <c r="R138" s="37"/>
      <c r="S138" s="37"/>
      <c r="T138" s="37"/>
      <c r="U138" s="3"/>
      <c r="W138" s="3"/>
      <c r="X138" s="3"/>
      <c r="Y138" s="3"/>
      <c r="Z138" s="3"/>
    </row>
    <row r="139" spans="1:26" ht="15.75" hidden="1" customHeight="1" outlineLevel="1" x14ac:dyDescent="0.3">
      <c r="A139" s="3"/>
      <c r="B139" s="10" t="s">
        <v>392</v>
      </c>
      <c r="C139" s="62">
        <v>15</v>
      </c>
      <c r="D139" s="62" t="s">
        <v>94</v>
      </c>
      <c r="E139" s="12">
        <v>0</v>
      </c>
      <c r="F139" s="12">
        <f>1800</f>
        <v>1800</v>
      </c>
      <c r="G139" s="65"/>
      <c r="H139" s="65" t="s">
        <v>37</v>
      </c>
      <c r="I139" s="90" t="s">
        <v>393</v>
      </c>
      <c r="J139" s="65"/>
      <c r="K139" s="37"/>
      <c r="L139" s="37"/>
      <c r="M139" s="37"/>
      <c r="N139" s="37"/>
      <c r="O139" s="37"/>
      <c r="P139" s="37"/>
      <c r="Q139" s="37"/>
      <c r="R139" s="37"/>
      <c r="S139" s="37"/>
      <c r="T139" s="37"/>
      <c r="U139" s="3"/>
      <c r="W139" s="3"/>
      <c r="X139" s="3"/>
      <c r="Y139" s="3"/>
      <c r="Z139" s="3"/>
    </row>
    <row r="140" spans="1:26" ht="15.75" hidden="1" customHeight="1" outlineLevel="1" x14ac:dyDescent="0.3">
      <c r="A140" s="3"/>
      <c r="B140" s="10" t="s">
        <v>369</v>
      </c>
      <c r="C140" s="62"/>
      <c r="D140" s="62"/>
      <c r="E140" s="12">
        <v>0</v>
      </c>
      <c r="F140" s="12">
        <v>0</v>
      </c>
      <c r="G140" s="65"/>
      <c r="H140" s="65"/>
      <c r="I140" s="89"/>
      <c r="J140" s="65"/>
      <c r="K140" s="37"/>
      <c r="L140" s="37"/>
      <c r="M140" s="37"/>
      <c r="N140" s="37"/>
      <c r="O140" s="37"/>
      <c r="P140" s="37"/>
      <c r="Q140" s="37"/>
      <c r="R140" s="37"/>
      <c r="S140" s="37"/>
      <c r="T140" s="37"/>
      <c r="U140" s="3"/>
      <c r="W140" s="3"/>
      <c r="X140" s="3"/>
      <c r="Y140" s="3"/>
      <c r="Z140" s="3"/>
    </row>
    <row r="141" spans="1:26" ht="15.75" hidden="1" customHeight="1" outlineLevel="1" x14ac:dyDescent="0.3">
      <c r="A141" s="3"/>
      <c r="B141" s="10" t="s">
        <v>327</v>
      </c>
      <c r="C141" s="62"/>
      <c r="D141" s="62"/>
      <c r="E141" s="12">
        <v>0</v>
      </c>
      <c r="F141" s="12">
        <v>0</v>
      </c>
      <c r="G141" s="65"/>
      <c r="H141" s="65"/>
      <c r="I141" s="89"/>
      <c r="J141" s="65"/>
      <c r="K141" s="37"/>
      <c r="L141" s="37"/>
      <c r="M141" s="37"/>
      <c r="N141" s="37"/>
      <c r="O141" s="37"/>
      <c r="P141" s="37"/>
      <c r="Q141" s="37"/>
      <c r="R141" s="37"/>
      <c r="S141" s="37"/>
      <c r="T141" s="37"/>
      <c r="U141" s="3"/>
      <c r="W141" s="3"/>
      <c r="X141" s="3"/>
      <c r="Y141" s="3"/>
      <c r="Z141" s="3"/>
    </row>
    <row r="142" spans="1:26" ht="15.75" customHeight="1" collapsed="1" x14ac:dyDescent="0.3">
      <c r="A142" s="3"/>
      <c r="B142" s="84" t="s">
        <v>394</v>
      </c>
      <c r="C142" s="85" t="s">
        <v>43</v>
      </c>
      <c r="D142" s="85" t="s">
        <v>43</v>
      </c>
      <c r="E142" s="86">
        <f t="shared" ref="E142:F142" si="22">SUM(E143:E151)</f>
        <v>0</v>
      </c>
      <c r="F142" s="86">
        <f t="shared" si="22"/>
        <v>1054.69</v>
      </c>
      <c r="G142" s="87"/>
      <c r="H142" s="87"/>
      <c r="I142" s="88"/>
      <c r="J142" s="87"/>
      <c r="K142" s="37"/>
      <c r="L142" s="37"/>
      <c r="M142" s="37"/>
      <c r="N142" s="37"/>
      <c r="O142" s="37"/>
      <c r="P142" s="37"/>
      <c r="Q142" s="37"/>
      <c r="R142" s="37"/>
      <c r="S142" s="37"/>
      <c r="T142" s="37"/>
      <c r="U142" s="3"/>
      <c r="W142" s="3"/>
      <c r="X142" s="3"/>
      <c r="Y142" s="3"/>
      <c r="Z142" s="3"/>
    </row>
    <row r="143" spans="1:26" ht="15.75" hidden="1" customHeight="1" outlineLevel="1" x14ac:dyDescent="0.3">
      <c r="A143" s="3"/>
      <c r="B143" s="10" t="s">
        <v>395</v>
      </c>
      <c r="C143" s="62">
        <v>11</v>
      </c>
      <c r="D143" s="62" t="s">
        <v>94</v>
      </c>
      <c r="E143" s="12">
        <v>0</v>
      </c>
      <c r="F143" s="12">
        <v>300</v>
      </c>
      <c r="G143" s="65"/>
      <c r="H143" s="65" t="s">
        <v>37</v>
      </c>
      <c r="I143" s="90" t="s">
        <v>396</v>
      </c>
      <c r="J143" s="65"/>
      <c r="K143" s="37"/>
      <c r="L143" s="37"/>
      <c r="M143" s="37"/>
      <c r="N143" s="37"/>
      <c r="O143" s="37"/>
      <c r="P143" s="37"/>
      <c r="Q143" s="37"/>
      <c r="R143" s="37"/>
      <c r="S143" s="37"/>
      <c r="T143" s="37"/>
      <c r="U143" s="3"/>
      <c r="W143" s="3"/>
      <c r="X143" s="3"/>
      <c r="Y143" s="3"/>
      <c r="Z143" s="3"/>
    </row>
    <row r="144" spans="1:26" ht="15.75" hidden="1" customHeight="1" outlineLevel="1" x14ac:dyDescent="0.3">
      <c r="A144" s="3"/>
      <c r="B144" s="10" t="s">
        <v>397</v>
      </c>
      <c r="C144" s="62">
        <v>15</v>
      </c>
      <c r="D144" s="62" t="s">
        <v>94</v>
      </c>
      <c r="E144" s="12">
        <v>0</v>
      </c>
      <c r="F144" s="12">
        <v>720</v>
      </c>
      <c r="G144" s="65"/>
      <c r="H144" s="65" t="s">
        <v>37</v>
      </c>
      <c r="I144" s="90" t="s">
        <v>398</v>
      </c>
      <c r="J144" s="65"/>
      <c r="K144" s="37"/>
      <c r="L144" s="37"/>
      <c r="M144" s="37"/>
      <c r="N144" s="37"/>
      <c r="O144" s="37"/>
      <c r="P144" s="37"/>
      <c r="Q144" s="37"/>
      <c r="R144" s="37"/>
      <c r="S144" s="37"/>
      <c r="T144" s="37"/>
      <c r="U144" s="3"/>
      <c r="W144" s="3"/>
      <c r="X144" s="3"/>
      <c r="Y144" s="3"/>
      <c r="Z144" s="3"/>
    </row>
    <row r="145" spans="1:26" ht="15.75" hidden="1" customHeight="1" outlineLevel="1" x14ac:dyDescent="0.3">
      <c r="A145" s="3"/>
      <c r="B145" s="10" t="s">
        <v>399</v>
      </c>
      <c r="C145" s="62">
        <v>16</v>
      </c>
      <c r="D145" s="62" t="s">
        <v>94</v>
      </c>
      <c r="E145" s="12">
        <v>0</v>
      </c>
      <c r="F145" s="12">
        <v>34.69</v>
      </c>
      <c r="G145" s="65"/>
      <c r="H145" s="65" t="s">
        <v>37</v>
      </c>
      <c r="I145" s="90" t="s">
        <v>400</v>
      </c>
      <c r="J145" s="65"/>
      <c r="K145" s="37"/>
      <c r="L145" s="37"/>
      <c r="M145" s="37"/>
      <c r="N145" s="37"/>
      <c r="O145" s="37"/>
      <c r="P145" s="37"/>
      <c r="Q145" s="37"/>
      <c r="R145" s="37"/>
      <c r="S145" s="37"/>
      <c r="T145" s="37"/>
      <c r="U145" s="3"/>
      <c r="W145" s="3"/>
      <c r="X145" s="3"/>
      <c r="Y145" s="3"/>
      <c r="Z145" s="3"/>
    </row>
    <row r="146" spans="1:26" ht="15.75" hidden="1" customHeight="1" outlineLevel="1" x14ac:dyDescent="0.3">
      <c r="A146" s="3"/>
      <c r="B146" s="10" t="s">
        <v>369</v>
      </c>
      <c r="C146" s="62"/>
      <c r="D146" s="62"/>
      <c r="E146" s="12">
        <v>0</v>
      </c>
      <c r="F146" s="12">
        <v>0</v>
      </c>
      <c r="G146" s="65"/>
      <c r="H146" s="65"/>
      <c r="I146" s="89"/>
      <c r="J146" s="65"/>
      <c r="K146" s="37"/>
      <c r="L146" s="37"/>
      <c r="M146" s="37"/>
      <c r="N146" s="37"/>
      <c r="O146" s="37"/>
      <c r="P146" s="37"/>
      <c r="Q146" s="37"/>
      <c r="R146" s="37"/>
      <c r="S146" s="37"/>
      <c r="T146" s="37"/>
      <c r="U146" s="3"/>
      <c r="W146" s="3"/>
      <c r="X146" s="3"/>
      <c r="Y146" s="3"/>
      <c r="Z146" s="3"/>
    </row>
    <row r="147" spans="1:26" ht="15.75" hidden="1" customHeight="1" outlineLevel="1" x14ac:dyDescent="0.3">
      <c r="A147" s="3"/>
      <c r="B147" s="10" t="s">
        <v>327</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5.75" hidden="1" customHeight="1" outlineLevel="1" x14ac:dyDescent="0.3">
      <c r="A148" s="3"/>
      <c r="B148" s="10" t="s">
        <v>328</v>
      </c>
      <c r="C148" s="62"/>
      <c r="D148" s="62"/>
      <c r="E148" s="12">
        <v>0</v>
      </c>
      <c r="F148" s="12">
        <v>0</v>
      </c>
      <c r="G148" s="65"/>
      <c r="H148" s="65"/>
      <c r="I148" s="89"/>
      <c r="J148" s="65"/>
      <c r="K148" s="37"/>
      <c r="L148" s="37"/>
      <c r="M148" s="37"/>
      <c r="N148" s="37"/>
      <c r="O148" s="37"/>
      <c r="P148" s="37"/>
      <c r="Q148" s="37"/>
      <c r="R148" s="37"/>
      <c r="S148" s="37"/>
      <c r="T148" s="37"/>
      <c r="U148" s="3"/>
      <c r="W148" s="3"/>
      <c r="X148" s="3"/>
      <c r="Y148" s="3"/>
      <c r="Z148" s="3"/>
    </row>
    <row r="149" spans="1:26" ht="15.75" hidden="1" customHeight="1" outlineLevel="1" x14ac:dyDescent="0.3">
      <c r="A149" s="3"/>
      <c r="B149" s="10" t="s">
        <v>370</v>
      </c>
      <c r="C149" s="62"/>
      <c r="D149" s="62"/>
      <c r="E149" s="12">
        <v>0</v>
      </c>
      <c r="F149" s="12">
        <v>0</v>
      </c>
      <c r="G149" s="65"/>
      <c r="H149" s="65"/>
      <c r="I149" s="89"/>
      <c r="J149" s="65"/>
      <c r="K149" s="37"/>
      <c r="L149" s="37"/>
      <c r="M149" s="37"/>
      <c r="N149" s="37"/>
      <c r="O149" s="37"/>
      <c r="P149" s="37"/>
      <c r="Q149" s="37"/>
      <c r="R149" s="37"/>
      <c r="S149" s="37"/>
      <c r="T149" s="37"/>
      <c r="U149" s="3"/>
      <c r="W149" s="3"/>
      <c r="X149" s="3"/>
      <c r="Y149" s="3"/>
      <c r="Z149" s="3"/>
    </row>
    <row r="150" spans="1:26" ht="15.75" hidden="1" customHeight="1" outlineLevel="1" x14ac:dyDescent="0.3">
      <c r="A150" s="3"/>
      <c r="B150" s="10" t="s">
        <v>371</v>
      </c>
      <c r="C150" s="62"/>
      <c r="D150" s="62"/>
      <c r="E150" s="12">
        <v>0</v>
      </c>
      <c r="F150" s="12">
        <v>0</v>
      </c>
      <c r="G150" s="65"/>
      <c r="H150" s="65"/>
      <c r="I150" s="89"/>
      <c r="J150" s="65"/>
      <c r="K150" s="37"/>
      <c r="L150" s="37"/>
      <c r="M150" s="37"/>
      <c r="N150" s="37"/>
      <c r="O150" s="37"/>
      <c r="P150" s="37"/>
      <c r="Q150" s="37"/>
      <c r="R150" s="37"/>
      <c r="S150" s="37"/>
      <c r="T150" s="37"/>
      <c r="U150" s="3"/>
      <c r="W150" s="3"/>
      <c r="X150" s="3"/>
      <c r="Y150" s="3"/>
      <c r="Z150" s="3"/>
    </row>
    <row r="151" spans="1:26" ht="15.75" hidden="1" customHeight="1" outlineLevel="1" x14ac:dyDescent="0.3">
      <c r="A151" s="3"/>
      <c r="B151" s="10" t="s">
        <v>372</v>
      </c>
      <c r="C151" s="62"/>
      <c r="D151" s="62"/>
      <c r="E151" s="12">
        <v>0</v>
      </c>
      <c r="F151" s="12">
        <v>0</v>
      </c>
      <c r="G151" s="65"/>
      <c r="H151" s="65"/>
      <c r="I151" s="89"/>
      <c r="J151" s="65"/>
      <c r="K151" s="37"/>
      <c r="L151" s="37"/>
      <c r="M151" s="37"/>
      <c r="N151" s="37"/>
      <c r="O151" s="37"/>
      <c r="P151" s="37"/>
      <c r="Q151" s="37"/>
      <c r="R151" s="37"/>
      <c r="S151" s="37"/>
      <c r="T151" s="37"/>
      <c r="U151" s="3"/>
      <c r="W151" s="3"/>
      <c r="X151" s="3"/>
      <c r="Y151" s="3"/>
      <c r="Z151" s="3"/>
    </row>
    <row r="152" spans="1:26" ht="15.75" customHeight="1" collapsed="1" x14ac:dyDescent="0.3">
      <c r="A152" s="3"/>
      <c r="B152" s="84" t="s">
        <v>401</v>
      </c>
      <c r="C152" s="85" t="s">
        <v>43</v>
      </c>
      <c r="D152" s="85" t="s">
        <v>43</v>
      </c>
      <c r="E152" s="86">
        <f t="shared" ref="E152:F152" si="23">SUM(E153:E161)</f>
        <v>0</v>
      </c>
      <c r="F152" s="86">
        <f t="shared" si="23"/>
        <v>0</v>
      </c>
      <c r="G152" s="87"/>
      <c r="H152" s="87"/>
      <c r="I152" s="88"/>
      <c r="J152" s="87"/>
      <c r="K152" s="37"/>
      <c r="L152" s="37"/>
      <c r="M152" s="37"/>
      <c r="N152" s="37"/>
      <c r="O152" s="37"/>
      <c r="P152" s="37"/>
      <c r="Q152" s="37"/>
      <c r="R152" s="37"/>
      <c r="S152" s="37"/>
      <c r="T152" s="37"/>
      <c r="U152" s="3"/>
      <c r="W152" s="3"/>
      <c r="X152" s="3"/>
      <c r="Y152" s="3"/>
      <c r="Z152" s="3"/>
    </row>
    <row r="153" spans="1:26" ht="15.75" hidden="1" customHeight="1" outlineLevel="1" x14ac:dyDescent="0.3">
      <c r="A153" s="3"/>
      <c r="B153" s="10" t="s">
        <v>353</v>
      </c>
      <c r="C153" s="62"/>
      <c r="D153" s="62"/>
      <c r="E153" s="12">
        <v>0</v>
      </c>
      <c r="F153" s="12">
        <v>0</v>
      </c>
      <c r="G153" s="65"/>
      <c r="H153" s="65"/>
      <c r="I153" s="89"/>
      <c r="J153" s="65"/>
      <c r="K153" s="37"/>
      <c r="L153" s="37"/>
      <c r="M153" s="37"/>
      <c r="N153" s="37"/>
      <c r="O153" s="37"/>
      <c r="P153" s="37"/>
      <c r="Q153" s="37"/>
      <c r="R153" s="37"/>
      <c r="S153" s="37"/>
      <c r="T153" s="37"/>
      <c r="U153" s="3"/>
      <c r="W153" s="3"/>
      <c r="X153" s="3"/>
      <c r="Y153" s="3"/>
      <c r="Z153" s="3"/>
    </row>
    <row r="154" spans="1:26" ht="15.75" hidden="1" customHeight="1" outlineLevel="1" x14ac:dyDescent="0.3">
      <c r="A154" s="3"/>
      <c r="B154" s="10" t="s">
        <v>354</v>
      </c>
      <c r="C154" s="62"/>
      <c r="D154" s="62"/>
      <c r="E154" s="12">
        <v>0</v>
      </c>
      <c r="F154" s="12">
        <v>0</v>
      </c>
      <c r="G154" s="65"/>
      <c r="H154" s="65"/>
      <c r="I154" s="89"/>
      <c r="J154" s="65"/>
      <c r="K154" s="37"/>
      <c r="L154" s="37"/>
      <c r="M154" s="37"/>
      <c r="N154" s="37"/>
      <c r="O154" s="37"/>
      <c r="P154" s="37"/>
      <c r="Q154" s="37"/>
      <c r="R154" s="37"/>
      <c r="S154" s="37"/>
      <c r="T154" s="37"/>
      <c r="U154" s="3"/>
      <c r="W154" s="3"/>
      <c r="X154" s="3"/>
      <c r="Y154" s="3"/>
      <c r="Z154" s="3"/>
    </row>
    <row r="155" spans="1:26" ht="15.75" hidden="1" customHeight="1" outlineLevel="1" x14ac:dyDescent="0.3">
      <c r="A155" s="3"/>
      <c r="B155" s="10" t="s">
        <v>355</v>
      </c>
      <c r="C155" s="62"/>
      <c r="D155" s="62"/>
      <c r="E155" s="12">
        <v>0</v>
      </c>
      <c r="F155" s="12">
        <v>0</v>
      </c>
      <c r="G155" s="65"/>
      <c r="H155" s="65"/>
      <c r="I155" s="89"/>
      <c r="J155" s="65"/>
      <c r="K155" s="37"/>
      <c r="L155" s="37"/>
      <c r="M155" s="37"/>
      <c r="N155" s="37"/>
      <c r="O155" s="37"/>
      <c r="P155" s="37"/>
      <c r="Q155" s="37"/>
      <c r="R155" s="37"/>
      <c r="S155" s="37"/>
      <c r="T155" s="37"/>
      <c r="U155" s="3"/>
      <c r="W155" s="3"/>
      <c r="X155" s="3"/>
      <c r="Y155" s="3"/>
      <c r="Z155" s="3"/>
    </row>
    <row r="156" spans="1:26" ht="15.75" hidden="1" customHeight="1" outlineLevel="1" x14ac:dyDescent="0.3">
      <c r="A156" s="3"/>
      <c r="B156" s="10" t="s">
        <v>369</v>
      </c>
      <c r="C156" s="62"/>
      <c r="D156" s="62"/>
      <c r="E156" s="12">
        <v>0</v>
      </c>
      <c r="F156" s="12">
        <v>0</v>
      </c>
      <c r="G156" s="65"/>
      <c r="H156" s="65"/>
      <c r="I156" s="89"/>
      <c r="J156" s="65"/>
      <c r="K156" s="37"/>
      <c r="L156" s="37"/>
      <c r="M156" s="37"/>
      <c r="N156" s="37"/>
      <c r="O156" s="37"/>
      <c r="P156" s="37"/>
      <c r="Q156" s="37"/>
      <c r="R156" s="37"/>
      <c r="S156" s="37"/>
      <c r="T156" s="37"/>
      <c r="U156" s="3"/>
      <c r="W156" s="3"/>
      <c r="X156" s="3"/>
      <c r="Y156" s="3"/>
      <c r="Z156" s="3"/>
    </row>
    <row r="157" spans="1:26" ht="15.75" hidden="1" customHeight="1" outlineLevel="1" x14ac:dyDescent="0.3">
      <c r="A157" s="3"/>
      <c r="B157" s="10" t="s">
        <v>327</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5.75" hidden="1" customHeight="1" outlineLevel="1" x14ac:dyDescent="0.3">
      <c r="A158" s="3"/>
      <c r="B158" s="10" t="s">
        <v>328</v>
      </c>
      <c r="C158" s="62"/>
      <c r="D158" s="62"/>
      <c r="E158" s="12">
        <v>0</v>
      </c>
      <c r="F158" s="12">
        <v>0</v>
      </c>
      <c r="G158" s="65"/>
      <c r="H158" s="65"/>
      <c r="I158" s="89"/>
      <c r="J158" s="65"/>
      <c r="K158" s="37"/>
      <c r="L158" s="37"/>
      <c r="M158" s="37"/>
      <c r="N158" s="37"/>
      <c r="O158" s="37"/>
      <c r="P158" s="37"/>
      <c r="Q158" s="37"/>
      <c r="R158" s="37"/>
      <c r="S158" s="37"/>
      <c r="T158" s="37"/>
      <c r="U158" s="3"/>
      <c r="W158" s="3"/>
      <c r="X158" s="3"/>
      <c r="Y158" s="3"/>
      <c r="Z158" s="3"/>
    </row>
    <row r="159" spans="1:26" ht="15.75" hidden="1" customHeight="1" outlineLevel="1" x14ac:dyDescent="0.3">
      <c r="A159" s="3"/>
      <c r="B159" s="10" t="s">
        <v>370</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5.75" hidden="1" customHeight="1" outlineLevel="1" x14ac:dyDescent="0.3">
      <c r="A160" s="3"/>
      <c r="B160" s="10" t="s">
        <v>371</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5.75" hidden="1" customHeight="1" outlineLevel="1" x14ac:dyDescent="0.3">
      <c r="A161" s="3"/>
      <c r="B161" s="10" t="s">
        <v>372</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t="15.75" customHeight="1" collapsed="1" x14ac:dyDescent="0.3">
      <c r="A162" s="3"/>
      <c r="B162" s="84" t="s">
        <v>402</v>
      </c>
      <c r="C162" s="85" t="s">
        <v>43</v>
      </c>
      <c r="D162" s="85" t="s">
        <v>43</v>
      </c>
      <c r="E162" s="86">
        <f t="shared" ref="E162:F162" si="24">SUM(E163:E171)</f>
        <v>0</v>
      </c>
      <c r="F162" s="86">
        <f t="shared" si="24"/>
        <v>0</v>
      </c>
      <c r="G162" s="87"/>
      <c r="H162" s="87"/>
      <c r="I162" s="88"/>
      <c r="J162" s="87"/>
      <c r="K162" s="37"/>
      <c r="L162" s="37"/>
      <c r="M162" s="37"/>
      <c r="N162" s="37"/>
      <c r="O162" s="37"/>
      <c r="P162" s="37"/>
      <c r="Q162" s="37"/>
      <c r="R162" s="37"/>
      <c r="S162" s="37"/>
      <c r="T162" s="37"/>
      <c r="U162" s="3"/>
      <c r="W162" s="3"/>
      <c r="X162" s="3"/>
      <c r="Y162" s="3"/>
      <c r="Z162" s="3"/>
    </row>
    <row r="163" spans="1:26" ht="15.75" hidden="1" customHeight="1" outlineLevel="1" x14ac:dyDescent="0.3">
      <c r="A163" s="3"/>
      <c r="B163" s="10" t="s">
        <v>353</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5.75" hidden="1" customHeight="1" outlineLevel="1" x14ac:dyDescent="0.3">
      <c r="A164" s="3"/>
      <c r="B164" s="10" t="s">
        <v>354</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5.75" hidden="1" customHeight="1" outlineLevel="1" x14ac:dyDescent="0.3">
      <c r="A165" s="3"/>
      <c r="B165" s="10" t="s">
        <v>355</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5.75" hidden="1" customHeight="1" outlineLevel="1" x14ac:dyDescent="0.3">
      <c r="A166" s="3"/>
      <c r="B166" s="10" t="s">
        <v>369</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5.75" hidden="1" customHeight="1" outlineLevel="1" x14ac:dyDescent="0.3">
      <c r="A167" s="3"/>
      <c r="B167" s="10" t="s">
        <v>327</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t="15.75" hidden="1" customHeight="1" outlineLevel="1" x14ac:dyDescent="0.3">
      <c r="A168" s="3"/>
      <c r="B168" s="10" t="s">
        <v>328</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5.75" hidden="1" customHeight="1" outlineLevel="1" x14ac:dyDescent="0.3">
      <c r="A169" s="3"/>
      <c r="B169" s="10" t="s">
        <v>370</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5.75" hidden="1" customHeight="1" outlineLevel="1" x14ac:dyDescent="0.3">
      <c r="A170" s="3"/>
      <c r="B170" s="10" t="s">
        <v>371</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5.75" hidden="1" customHeight="1" outlineLevel="1" x14ac:dyDescent="0.3">
      <c r="A171" s="3"/>
      <c r="B171" s="10" t="s">
        <v>372</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5.75" customHeight="1" collapsed="1" x14ac:dyDescent="0.3">
      <c r="A172" s="3"/>
      <c r="B172" s="84" t="s">
        <v>403</v>
      </c>
      <c r="C172" s="85" t="s">
        <v>43</v>
      </c>
      <c r="D172" s="85" t="s">
        <v>43</v>
      </c>
      <c r="E172" s="86">
        <f t="shared" ref="E172:F172" si="25">SUM(E173:E181)</f>
        <v>0</v>
      </c>
      <c r="F172" s="86">
        <f t="shared" si="25"/>
        <v>45.14</v>
      </c>
      <c r="G172" s="87"/>
      <c r="H172" s="87"/>
      <c r="I172" s="88"/>
      <c r="J172" s="87"/>
      <c r="K172" s="37"/>
      <c r="L172" s="37"/>
      <c r="M172" s="37"/>
      <c r="N172" s="37"/>
      <c r="O172" s="37"/>
      <c r="P172" s="37"/>
      <c r="Q172" s="37"/>
      <c r="R172" s="37"/>
      <c r="S172" s="37"/>
      <c r="T172" s="37"/>
      <c r="U172" s="3"/>
      <c r="W172" s="3"/>
      <c r="X172" s="3"/>
      <c r="Y172" s="3"/>
      <c r="Z172" s="3"/>
    </row>
    <row r="173" spans="1:26" ht="15.75" hidden="1" customHeight="1" outlineLevel="1" x14ac:dyDescent="0.3">
      <c r="A173" s="3"/>
      <c r="B173" s="10" t="s">
        <v>52</v>
      </c>
      <c r="C173" s="62"/>
      <c r="D173" s="62"/>
      <c r="E173" s="12">
        <v>0</v>
      </c>
      <c r="F173" s="12">
        <v>45.14</v>
      </c>
      <c r="G173" s="89" t="s">
        <v>295</v>
      </c>
      <c r="H173" s="65" t="s">
        <v>37</v>
      </c>
      <c r="I173" s="90" t="s">
        <v>404</v>
      </c>
      <c r="J173" s="65"/>
      <c r="K173" s="37"/>
      <c r="L173" s="37"/>
      <c r="M173" s="37"/>
      <c r="N173" s="37"/>
      <c r="O173" s="37"/>
      <c r="P173" s="37"/>
      <c r="Q173" s="37"/>
      <c r="R173" s="37"/>
      <c r="S173" s="37"/>
      <c r="T173" s="37"/>
      <c r="U173" s="3"/>
      <c r="W173" s="3"/>
      <c r="X173" s="3"/>
      <c r="Y173" s="3"/>
      <c r="Z173" s="3"/>
    </row>
    <row r="174" spans="1:26" ht="15.75" hidden="1" customHeight="1" outlineLevel="1" x14ac:dyDescent="0.3">
      <c r="A174" s="3"/>
      <c r="B174" s="10" t="s">
        <v>354</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15.75" hidden="1" customHeight="1" outlineLevel="1" x14ac:dyDescent="0.3">
      <c r="A175" s="3"/>
      <c r="B175" s="10" t="s">
        <v>355</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5.75" hidden="1" customHeight="1" outlineLevel="1" x14ac:dyDescent="0.3">
      <c r="A176" s="3"/>
      <c r="B176" s="10" t="s">
        <v>369</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t="15.75" hidden="1" customHeight="1" outlineLevel="1" x14ac:dyDescent="0.3">
      <c r="A177" s="3"/>
      <c r="B177" s="10" t="s">
        <v>327</v>
      </c>
      <c r="C177" s="62"/>
      <c r="D177" s="62"/>
      <c r="E177" s="12">
        <v>0</v>
      </c>
      <c r="F177" s="12">
        <v>0</v>
      </c>
      <c r="G177" s="65"/>
      <c r="H177" s="65"/>
      <c r="I177" s="89"/>
      <c r="J177" s="65"/>
      <c r="K177" s="37"/>
      <c r="L177" s="37"/>
      <c r="M177" s="37"/>
      <c r="N177" s="37"/>
      <c r="O177" s="37"/>
      <c r="P177" s="37"/>
      <c r="Q177" s="37"/>
      <c r="R177" s="37"/>
      <c r="S177" s="37"/>
      <c r="T177" s="37"/>
      <c r="U177" s="3"/>
      <c r="W177" s="3"/>
      <c r="X177" s="3"/>
      <c r="Y177" s="3"/>
      <c r="Z177" s="3"/>
    </row>
    <row r="178" spans="1:26" ht="15.75" hidden="1" customHeight="1" outlineLevel="1" x14ac:dyDescent="0.3">
      <c r="A178" s="3"/>
      <c r="B178" s="10" t="s">
        <v>328</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5.75" hidden="1" customHeight="1" outlineLevel="1" x14ac:dyDescent="0.3">
      <c r="A179" s="3"/>
      <c r="B179" s="10" t="s">
        <v>370</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15.75" hidden="1" customHeight="1" outlineLevel="1" x14ac:dyDescent="0.3">
      <c r="A180" s="3"/>
      <c r="B180" s="10" t="s">
        <v>371</v>
      </c>
      <c r="C180" s="62"/>
      <c r="D180" s="62"/>
      <c r="E180" s="12">
        <v>0</v>
      </c>
      <c r="F180" s="12">
        <v>0</v>
      </c>
      <c r="G180" s="65"/>
      <c r="H180" s="65"/>
      <c r="I180" s="89"/>
      <c r="J180" s="65"/>
      <c r="K180" s="37"/>
      <c r="L180" s="37"/>
      <c r="M180" s="37"/>
      <c r="N180" s="37"/>
      <c r="O180" s="37"/>
      <c r="P180" s="37"/>
      <c r="Q180" s="37"/>
      <c r="R180" s="37"/>
      <c r="S180" s="37"/>
      <c r="T180" s="37"/>
      <c r="U180" s="3"/>
      <c r="W180" s="3"/>
      <c r="X180" s="3"/>
      <c r="Y180" s="3"/>
      <c r="Z180" s="3"/>
    </row>
    <row r="181" spans="1:26" ht="15.75" hidden="1" customHeight="1" outlineLevel="1" x14ac:dyDescent="0.3">
      <c r="A181" s="3"/>
      <c r="B181" s="10" t="s">
        <v>372</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5.75" customHeight="1" collapsed="1" x14ac:dyDescent="0.3">
      <c r="A182" s="3"/>
      <c r="B182" s="84" t="s">
        <v>405</v>
      </c>
      <c r="C182" s="85" t="s">
        <v>43</v>
      </c>
      <c r="D182" s="85" t="s">
        <v>43</v>
      </c>
      <c r="E182" s="86">
        <f t="shared" ref="E182:F182" si="26">SUM(E183:E191)</f>
        <v>0</v>
      </c>
      <c r="F182" s="86">
        <f t="shared" si="26"/>
        <v>180</v>
      </c>
      <c r="G182" s="87"/>
      <c r="H182" s="87"/>
      <c r="I182" s="88"/>
      <c r="J182" s="87"/>
      <c r="K182" s="37"/>
      <c r="L182" s="37"/>
      <c r="M182" s="37"/>
      <c r="N182" s="37"/>
      <c r="O182" s="37"/>
      <c r="P182" s="37"/>
      <c r="Q182" s="37"/>
      <c r="R182" s="37"/>
      <c r="S182" s="37"/>
      <c r="T182" s="37"/>
      <c r="U182" s="3"/>
      <c r="W182" s="3"/>
      <c r="X182" s="3"/>
      <c r="Y182" s="3"/>
      <c r="Z182" s="3"/>
    </row>
    <row r="183" spans="1:26" ht="15.75" hidden="1" customHeight="1" outlineLevel="1" x14ac:dyDescent="0.3">
      <c r="A183" s="3"/>
      <c r="B183" s="10" t="s">
        <v>406</v>
      </c>
      <c r="C183" s="62">
        <v>7</v>
      </c>
      <c r="D183" s="62" t="s">
        <v>94</v>
      </c>
      <c r="E183" s="12">
        <v>0</v>
      </c>
      <c r="F183" s="12">
        <v>180</v>
      </c>
      <c r="G183" s="65"/>
      <c r="H183" s="65" t="s">
        <v>37</v>
      </c>
      <c r="I183" s="90" t="s">
        <v>407</v>
      </c>
      <c r="J183" s="65"/>
      <c r="K183" s="37"/>
      <c r="L183" s="37"/>
      <c r="M183" s="37"/>
      <c r="N183" s="37"/>
      <c r="O183" s="37"/>
      <c r="P183" s="37"/>
      <c r="Q183" s="37"/>
      <c r="R183" s="37"/>
      <c r="S183" s="37"/>
      <c r="T183" s="37"/>
      <c r="U183" s="3"/>
      <c r="W183" s="3"/>
      <c r="X183" s="3"/>
      <c r="Y183" s="3"/>
      <c r="Z183" s="3"/>
    </row>
    <row r="184" spans="1:26" ht="15.75" hidden="1" customHeight="1" outlineLevel="1" x14ac:dyDescent="0.3">
      <c r="A184" s="3"/>
      <c r="B184" s="10" t="s">
        <v>354</v>
      </c>
      <c r="C184" s="62"/>
      <c r="D184" s="62"/>
      <c r="E184" s="12">
        <v>0</v>
      </c>
      <c r="F184" s="12">
        <v>0</v>
      </c>
      <c r="G184" s="65"/>
      <c r="H184" s="65"/>
      <c r="I184" s="89"/>
      <c r="J184" s="65"/>
      <c r="K184" s="37"/>
      <c r="L184" s="37"/>
      <c r="M184" s="37"/>
      <c r="N184" s="37"/>
      <c r="O184" s="37"/>
      <c r="P184" s="37"/>
      <c r="Q184" s="37"/>
      <c r="R184" s="37"/>
      <c r="S184" s="37"/>
      <c r="T184" s="37"/>
      <c r="U184" s="3"/>
      <c r="W184" s="3"/>
      <c r="X184" s="3"/>
      <c r="Y184" s="3"/>
      <c r="Z184" s="3"/>
    </row>
    <row r="185" spans="1:26" ht="15.75" hidden="1" customHeight="1" outlineLevel="1" x14ac:dyDescent="0.3">
      <c r="A185" s="3"/>
      <c r="B185" s="10" t="s">
        <v>355</v>
      </c>
      <c r="C185" s="62"/>
      <c r="D185" s="62"/>
      <c r="E185" s="12">
        <v>0</v>
      </c>
      <c r="F185" s="12">
        <v>0</v>
      </c>
      <c r="G185" s="65"/>
      <c r="H185" s="65"/>
      <c r="I185" s="89"/>
      <c r="J185" s="65"/>
      <c r="K185" s="37"/>
      <c r="L185" s="37"/>
      <c r="M185" s="37"/>
      <c r="N185" s="37"/>
      <c r="O185" s="37"/>
      <c r="P185" s="37"/>
      <c r="Q185" s="37"/>
      <c r="R185" s="37"/>
      <c r="S185" s="37"/>
      <c r="T185" s="37"/>
      <c r="U185" s="3"/>
      <c r="W185" s="3"/>
      <c r="X185" s="3"/>
      <c r="Y185" s="3"/>
      <c r="Z185" s="3"/>
    </row>
    <row r="186" spans="1:26" ht="15.75" hidden="1" customHeight="1" outlineLevel="1" x14ac:dyDescent="0.3">
      <c r="A186" s="3"/>
      <c r="B186" s="10" t="s">
        <v>369</v>
      </c>
      <c r="C186" s="62"/>
      <c r="D186" s="62"/>
      <c r="E186" s="12">
        <v>0</v>
      </c>
      <c r="F186" s="12">
        <v>0</v>
      </c>
      <c r="G186" s="65"/>
      <c r="H186" s="65"/>
      <c r="I186" s="89"/>
      <c r="J186" s="65"/>
      <c r="K186" s="37"/>
      <c r="L186" s="37"/>
      <c r="M186" s="37"/>
      <c r="N186" s="37"/>
      <c r="O186" s="37"/>
      <c r="P186" s="37"/>
      <c r="Q186" s="37"/>
      <c r="R186" s="37"/>
      <c r="S186" s="37"/>
      <c r="T186" s="37"/>
      <c r="U186" s="3"/>
      <c r="W186" s="3"/>
      <c r="X186" s="3"/>
      <c r="Y186" s="3"/>
      <c r="Z186" s="3"/>
    </row>
    <row r="187" spans="1:26" ht="15.75" hidden="1" customHeight="1" outlineLevel="1" x14ac:dyDescent="0.3">
      <c r="A187" s="3"/>
      <c r="B187" s="10" t="s">
        <v>327</v>
      </c>
      <c r="C187" s="62"/>
      <c r="D187" s="62"/>
      <c r="E187" s="12">
        <v>0</v>
      </c>
      <c r="F187" s="12">
        <v>0</v>
      </c>
      <c r="G187" s="65"/>
      <c r="H187" s="65"/>
      <c r="I187" s="89"/>
      <c r="J187" s="65"/>
      <c r="K187" s="37"/>
      <c r="L187" s="37"/>
      <c r="M187" s="37"/>
      <c r="N187" s="37"/>
      <c r="O187" s="37"/>
      <c r="P187" s="37"/>
      <c r="Q187" s="37"/>
      <c r="R187" s="37"/>
      <c r="S187" s="37"/>
      <c r="T187" s="37"/>
      <c r="U187" s="3"/>
      <c r="W187" s="3"/>
      <c r="X187" s="3"/>
      <c r="Y187" s="3"/>
      <c r="Z187" s="3"/>
    </row>
    <row r="188" spans="1:26" ht="15.75" hidden="1" customHeight="1" outlineLevel="1" x14ac:dyDescent="0.3">
      <c r="A188" s="3"/>
      <c r="B188" s="10" t="s">
        <v>328</v>
      </c>
      <c r="C188" s="62"/>
      <c r="D188" s="62"/>
      <c r="E188" s="12">
        <v>0</v>
      </c>
      <c r="F188" s="12">
        <v>0</v>
      </c>
      <c r="G188" s="65"/>
      <c r="H188" s="65"/>
      <c r="I188" s="89"/>
      <c r="J188" s="65"/>
      <c r="K188" s="37"/>
      <c r="L188" s="37"/>
      <c r="M188" s="37"/>
      <c r="N188" s="37"/>
      <c r="O188" s="37"/>
      <c r="P188" s="37"/>
      <c r="Q188" s="37"/>
      <c r="R188" s="37"/>
      <c r="S188" s="37"/>
      <c r="T188" s="37"/>
      <c r="U188" s="3"/>
      <c r="W188" s="3"/>
      <c r="X188" s="3"/>
      <c r="Y188" s="3"/>
      <c r="Z188" s="3"/>
    </row>
    <row r="189" spans="1:26" ht="15.75" hidden="1" customHeight="1" outlineLevel="1" x14ac:dyDescent="0.3">
      <c r="A189" s="3"/>
      <c r="B189" s="10" t="s">
        <v>370</v>
      </c>
      <c r="C189" s="62"/>
      <c r="D189" s="62"/>
      <c r="E189" s="12">
        <v>0</v>
      </c>
      <c r="F189" s="12">
        <v>0</v>
      </c>
      <c r="G189" s="65"/>
      <c r="H189" s="65"/>
      <c r="I189" s="89"/>
      <c r="J189" s="65"/>
      <c r="K189" s="37"/>
      <c r="L189" s="37"/>
      <c r="M189" s="37"/>
      <c r="N189" s="37"/>
      <c r="O189" s="37"/>
      <c r="P189" s="37"/>
      <c r="Q189" s="37"/>
      <c r="R189" s="37"/>
      <c r="S189" s="37"/>
      <c r="T189" s="37"/>
      <c r="U189" s="3"/>
      <c r="W189" s="3"/>
      <c r="X189" s="3"/>
      <c r="Y189" s="3"/>
      <c r="Z189" s="3"/>
    </row>
    <row r="190" spans="1:26" ht="15.75" hidden="1" customHeight="1" outlineLevel="1" x14ac:dyDescent="0.3">
      <c r="A190" s="3"/>
      <c r="B190" s="10" t="s">
        <v>371</v>
      </c>
      <c r="C190" s="62"/>
      <c r="D190" s="62"/>
      <c r="E190" s="12">
        <v>0</v>
      </c>
      <c r="F190" s="12">
        <v>0</v>
      </c>
      <c r="G190" s="65"/>
      <c r="H190" s="65"/>
      <c r="I190" s="89"/>
      <c r="J190" s="65"/>
      <c r="K190" s="37"/>
      <c r="L190" s="37"/>
      <c r="M190" s="37"/>
      <c r="N190" s="37"/>
      <c r="O190" s="37"/>
      <c r="P190" s="37"/>
      <c r="Q190" s="37"/>
      <c r="R190" s="37"/>
      <c r="S190" s="37"/>
      <c r="T190" s="37"/>
      <c r="U190" s="3"/>
      <c r="W190" s="3"/>
      <c r="X190" s="3"/>
      <c r="Y190" s="3"/>
      <c r="Z190" s="3"/>
    </row>
    <row r="191" spans="1:26" ht="15.75" hidden="1" customHeight="1" outlineLevel="1" x14ac:dyDescent="0.3">
      <c r="A191" s="3"/>
      <c r="B191" s="10" t="s">
        <v>372</v>
      </c>
      <c r="C191" s="62"/>
      <c r="D191" s="62"/>
      <c r="E191" s="12">
        <v>0</v>
      </c>
      <c r="F191" s="12">
        <v>0</v>
      </c>
      <c r="G191" s="65"/>
      <c r="H191" s="65"/>
      <c r="I191" s="89"/>
      <c r="J191" s="65"/>
      <c r="K191" s="37"/>
      <c r="L191" s="37"/>
      <c r="M191" s="37"/>
      <c r="N191" s="37"/>
      <c r="O191" s="37"/>
      <c r="P191" s="37"/>
      <c r="Q191" s="37"/>
      <c r="R191" s="37"/>
      <c r="S191" s="37"/>
      <c r="T191" s="37"/>
      <c r="U191" s="3"/>
      <c r="W191" s="3"/>
      <c r="X191" s="3"/>
      <c r="Y191" s="3"/>
      <c r="Z191" s="3"/>
    </row>
    <row r="192" spans="1:26" ht="15.75" customHeight="1" collapsed="1" x14ac:dyDescent="0.3">
      <c r="A192" s="3"/>
      <c r="B192" s="84" t="s">
        <v>408</v>
      </c>
      <c r="C192" s="85" t="s">
        <v>43</v>
      </c>
      <c r="D192" s="85" t="s">
        <v>43</v>
      </c>
      <c r="E192" s="86">
        <f t="shared" ref="E192:F192" si="27">SUM(E193,E203,E213,E223)</f>
        <v>0</v>
      </c>
      <c r="F192" s="86">
        <f t="shared" si="27"/>
        <v>0</v>
      </c>
      <c r="G192" s="87"/>
      <c r="H192" s="87"/>
      <c r="I192" s="88"/>
      <c r="J192" s="87"/>
      <c r="K192" s="37"/>
      <c r="L192" s="37"/>
      <c r="M192" s="37"/>
      <c r="N192" s="37"/>
      <c r="O192" s="37"/>
      <c r="P192" s="37"/>
      <c r="Q192" s="37"/>
      <c r="R192" s="37"/>
      <c r="S192" s="37"/>
      <c r="T192" s="37"/>
      <c r="U192" s="3"/>
      <c r="W192" s="3"/>
      <c r="X192" s="3"/>
      <c r="Y192" s="3"/>
      <c r="Z192" s="3"/>
    </row>
    <row r="193" spans="1:26" ht="15.75" hidden="1" customHeight="1" outlineLevel="1" x14ac:dyDescent="0.3">
      <c r="A193" s="3"/>
      <c r="B193" s="91" t="s">
        <v>232</v>
      </c>
      <c r="C193" s="92"/>
      <c r="D193" s="92"/>
      <c r="E193" s="93">
        <f t="shared" ref="E193:F193" si="28">SUM(E194:E202)</f>
        <v>0</v>
      </c>
      <c r="F193" s="93">
        <f t="shared" si="28"/>
        <v>0</v>
      </c>
      <c r="G193" s="94"/>
      <c r="H193" s="94"/>
      <c r="I193" s="95"/>
      <c r="J193" s="94"/>
      <c r="K193" s="37"/>
      <c r="L193" s="37"/>
      <c r="M193" s="37"/>
      <c r="N193" s="37"/>
      <c r="O193" s="37"/>
      <c r="P193" s="37"/>
      <c r="Q193" s="37"/>
      <c r="R193" s="37"/>
      <c r="S193" s="37"/>
      <c r="T193" s="37"/>
      <c r="U193" s="3"/>
      <c r="W193" s="3"/>
      <c r="X193" s="3"/>
      <c r="Y193" s="3"/>
      <c r="Z193" s="3"/>
    </row>
    <row r="194" spans="1:26" ht="15.75" hidden="1" customHeight="1" outlineLevel="1" x14ac:dyDescent="0.3">
      <c r="A194" s="3"/>
      <c r="B194" s="10" t="s">
        <v>353</v>
      </c>
      <c r="C194" s="62"/>
      <c r="D194" s="62"/>
      <c r="E194" s="12">
        <v>0</v>
      </c>
      <c r="F194" s="12">
        <v>0</v>
      </c>
      <c r="G194" s="65"/>
      <c r="H194" s="65"/>
      <c r="I194" s="89"/>
      <c r="J194" s="65"/>
      <c r="K194" s="37"/>
      <c r="L194" s="37"/>
      <c r="M194" s="37"/>
      <c r="N194" s="37"/>
      <c r="O194" s="37"/>
      <c r="P194" s="37"/>
      <c r="Q194" s="37"/>
      <c r="R194" s="37"/>
      <c r="S194" s="37"/>
      <c r="T194" s="37"/>
      <c r="U194" s="3"/>
      <c r="W194" s="3"/>
      <c r="X194" s="3"/>
      <c r="Y194" s="3"/>
      <c r="Z194" s="3"/>
    </row>
    <row r="195" spans="1:26" ht="15.75" hidden="1" customHeight="1" outlineLevel="1" x14ac:dyDescent="0.3">
      <c r="A195" s="3"/>
      <c r="B195" s="10" t="s">
        <v>354</v>
      </c>
      <c r="C195" s="62"/>
      <c r="D195" s="62"/>
      <c r="E195" s="12">
        <v>0</v>
      </c>
      <c r="F195" s="12">
        <v>0</v>
      </c>
      <c r="G195" s="65"/>
      <c r="H195" s="65"/>
      <c r="I195" s="89"/>
      <c r="J195" s="65"/>
      <c r="K195" s="37"/>
      <c r="L195" s="37"/>
      <c r="M195" s="37"/>
      <c r="N195" s="37"/>
      <c r="O195" s="37"/>
      <c r="P195" s="37"/>
      <c r="Q195" s="37"/>
      <c r="R195" s="37"/>
      <c r="S195" s="37"/>
      <c r="T195" s="37"/>
      <c r="U195" s="3"/>
      <c r="W195" s="3"/>
      <c r="X195" s="3"/>
      <c r="Y195" s="3"/>
      <c r="Z195" s="3"/>
    </row>
    <row r="196" spans="1:26" ht="15.75" hidden="1" customHeight="1" outlineLevel="1" x14ac:dyDescent="0.3">
      <c r="A196" s="3"/>
      <c r="B196" s="10" t="s">
        <v>355</v>
      </c>
      <c r="C196" s="62"/>
      <c r="D196" s="62"/>
      <c r="E196" s="12">
        <v>0</v>
      </c>
      <c r="F196" s="12">
        <v>0</v>
      </c>
      <c r="G196" s="65"/>
      <c r="H196" s="65"/>
      <c r="I196" s="89"/>
      <c r="J196" s="65"/>
      <c r="K196" s="37"/>
      <c r="L196" s="37"/>
      <c r="M196" s="37"/>
      <c r="N196" s="37"/>
      <c r="O196" s="37"/>
      <c r="P196" s="37"/>
      <c r="Q196" s="37"/>
      <c r="R196" s="37"/>
      <c r="S196" s="37"/>
      <c r="T196" s="37"/>
      <c r="U196" s="3"/>
      <c r="W196" s="3"/>
      <c r="X196" s="3"/>
      <c r="Y196" s="3"/>
      <c r="Z196" s="3"/>
    </row>
    <row r="197" spans="1:26" ht="15.75" hidden="1" customHeight="1" outlineLevel="1" x14ac:dyDescent="0.3">
      <c r="A197" s="3"/>
      <c r="B197" s="10" t="s">
        <v>369</v>
      </c>
      <c r="C197" s="62"/>
      <c r="D197" s="62"/>
      <c r="E197" s="12">
        <v>0</v>
      </c>
      <c r="F197" s="12">
        <v>0</v>
      </c>
      <c r="G197" s="65"/>
      <c r="H197" s="65"/>
      <c r="I197" s="89"/>
      <c r="J197" s="65"/>
      <c r="K197" s="37"/>
      <c r="L197" s="37"/>
      <c r="M197" s="37"/>
      <c r="N197" s="37"/>
      <c r="O197" s="37"/>
      <c r="P197" s="37"/>
      <c r="Q197" s="37"/>
      <c r="R197" s="37"/>
      <c r="S197" s="37"/>
      <c r="T197" s="37"/>
      <c r="U197" s="3"/>
      <c r="W197" s="3"/>
      <c r="X197" s="3"/>
      <c r="Y197" s="3"/>
      <c r="Z197" s="3"/>
    </row>
    <row r="198" spans="1:26" ht="15.75" hidden="1" customHeight="1" outlineLevel="1" x14ac:dyDescent="0.3">
      <c r="A198" s="3"/>
      <c r="B198" s="10" t="s">
        <v>327</v>
      </c>
      <c r="C198" s="62"/>
      <c r="D198" s="62"/>
      <c r="E198" s="12">
        <v>0</v>
      </c>
      <c r="F198" s="12">
        <v>0</v>
      </c>
      <c r="G198" s="65"/>
      <c r="H198" s="65"/>
      <c r="I198" s="89"/>
      <c r="J198" s="65"/>
      <c r="K198" s="37"/>
      <c r="L198" s="37"/>
      <c r="M198" s="37"/>
      <c r="N198" s="37"/>
      <c r="O198" s="37"/>
      <c r="P198" s="37"/>
      <c r="Q198" s="37"/>
      <c r="R198" s="37"/>
      <c r="S198" s="37"/>
      <c r="T198" s="37"/>
      <c r="U198" s="3"/>
      <c r="W198" s="3"/>
      <c r="X198" s="3"/>
      <c r="Y198" s="3"/>
      <c r="Z198" s="3"/>
    </row>
    <row r="199" spans="1:26" ht="15.75" hidden="1" customHeight="1" outlineLevel="1" x14ac:dyDescent="0.3">
      <c r="A199" s="3"/>
      <c r="B199" s="10" t="s">
        <v>328</v>
      </c>
      <c r="C199" s="62"/>
      <c r="D199" s="62"/>
      <c r="E199" s="12">
        <v>0</v>
      </c>
      <c r="F199" s="12">
        <v>0</v>
      </c>
      <c r="G199" s="65"/>
      <c r="H199" s="65"/>
      <c r="I199" s="89"/>
      <c r="J199" s="65"/>
      <c r="K199" s="37"/>
      <c r="L199" s="37"/>
      <c r="M199" s="37"/>
      <c r="N199" s="37"/>
      <c r="O199" s="37"/>
      <c r="P199" s="37"/>
      <c r="Q199" s="37"/>
      <c r="R199" s="37"/>
      <c r="S199" s="37"/>
      <c r="T199" s="37"/>
      <c r="U199" s="3"/>
      <c r="W199" s="3"/>
      <c r="X199" s="3"/>
      <c r="Y199" s="3"/>
      <c r="Z199" s="3"/>
    </row>
    <row r="200" spans="1:26" ht="15.75" hidden="1" customHeight="1" outlineLevel="1" x14ac:dyDescent="0.3">
      <c r="A200" s="3"/>
      <c r="B200" s="10" t="s">
        <v>370</v>
      </c>
      <c r="C200" s="62"/>
      <c r="D200" s="62"/>
      <c r="E200" s="12">
        <v>0</v>
      </c>
      <c r="F200" s="12">
        <v>0</v>
      </c>
      <c r="G200" s="65"/>
      <c r="H200" s="65"/>
      <c r="I200" s="89"/>
      <c r="J200" s="65"/>
      <c r="K200" s="37"/>
      <c r="L200" s="37"/>
      <c r="M200" s="37"/>
      <c r="N200" s="37"/>
      <c r="O200" s="37"/>
      <c r="P200" s="37"/>
      <c r="Q200" s="37"/>
      <c r="R200" s="37"/>
      <c r="S200" s="37"/>
      <c r="T200" s="37"/>
      <c r="U200" s="3"/>
      <c r="W200" s="3"/>
      <c r="X200" s="3"/>
      <c r="Y200" s="3"/>
      <c r="Z200" s="3"/>
    </row>
    <row r="201" spans="1:26" ht="15.75" hidden="1" customHeight="1" outlineLevel="1" x14ac:dyDescent="0.3">
      <c r="A201" s="3"/>
      <c r="B201" s="10" t="s">
        <v>371</v>
      </c>
      <c r="C201" s="62"/>
      <c r="D201" s="62"/>
      <c r="E201" s="12">
        <v>0</v>
      </c>
      <c r="F201" s="12">
        <v>0</v>
      </c>
      <c r="G201" s="65"/>
      <c r="H201" s="65"/>
      <c r="I201" s="89"/>
      <c r="J201" s="65"/>
      <c r="K201" s="37"/>
      <c r="L201" s="37"/>
      <c r="M201" s="37"/>
      <c r="N201" s="37"/>
      <c r="O201" s="37"/>
      <c r="P201" s="37"/>
      <c r="Q201" s="37"/>
      <c r="R201" s="37"/>
      <c r="S201" s="37"/>
      <c r="T201" s="37"/>
      <c r="U201" s="3"/>
      <c r="W201" s="3"/>
      <c r="X201" s="3"/>
      <c r="Y201" s="3"/>
      <c r="Z201" s="3"/>
    </row>
    <row r="202" spans="1:26" ht="15.75" hidden="1" customHeight="1" outlineLevel="1" x14ac:dyDescent="0.3">
      <c r="A202" s="3"/>
      <c r="B202" s="10" t="s">
        <v>372</v>
      </c>
      <c r="C202" s="62"/>
      <c r="D202" s="62"/>
      <c r="E202" s="12">
        <v>0</v>
      </c>
      <c r="F202" s="12">
        <v>0</v>
      </c>
      <c r="G202" s="65"/>
      <c r="H202" s="65"/>
      <c r="I202" s="89"/>
      <c r="J202" s="65"/>
      <c r="K202" s="37"/>
      <c r="L202" s="37"/>
      <c r="M202" s="37"/>
      <c r="N202" s="37"/>
      <c r="O202" s="37"/>
      <c r="P202" s="37"/>
      <c r="Q202" s="37"/>
      <c r="R202" s="37"/>
      <c r="S202" s="37"/>
      <c r="T202" s="37"/>
      <c r="U202" s="3"/>
      <c r="W202" s="3"/>
      <c r="X202" s="3"/>
      <c r="Y202" s="3"/>
      <c r="Z202" s="3"/>
    </row>
    <row r="203" spans="1:26" ht="15.75" hidden="1" customHeight="1" outlineLevel="1" x14ac:dyDescent="0.3">
      <c r="A203" s="3"/>
      <c r="B203" s="91" t="s">
        <v>409</v>
      </c>
      <c r="C203" s="92"/>
      <c r="D203" s="92"/>
      <c r="E203" s="93">
        <f t="shared" ref="E203:F203" si="29">SUM(E204:E212)</f>
        <v>0</v>
      </c>
      <c r="F203" s="93">
        <f t="shared" si="29"/>
        <v>0</v>
      </c>
      <c r="G203" s="94"/>
      <c r="H203" s="94"/>
      <c r="I203" s="95"/>
      <c r="J203" s="94"/>
      <c r="K203" s="37"/>
      <c r="L203" s="37"/>
      <c r="M203" s="37"/>
      <c r="N203" s="37"/>
      <c r="O203" s="37"/>
      <c r="P203" s="37"/>
      <c r="Q203" s="37"/>
      <c r="R203" s="37"/>
      <c r="S203" s="37"/>
      <c r="T203" s="37"/>
      <c r="U203" s="3"/>
      <c r="W203" s="3"/>
      <c r="X203" s="3"/>
      <c r="Y203" s="3"/>
      <c r="Z203" s="3"/>
    </row>
    <row r="204" spans="1:26" ht="15.75" hidden="1" customHeight="1" outlineLevel="1" x14ac:dyDescent="0.3">
      <c r="A204" s="3"/>
      <c r="B204" s="10" t="s">
        <v>410</v>
      </c>
      <c r="C204" s="62"/>
      <c r="D204" s="62"/>
      <c r="E204" s="12">
        <v>0</v>
      </c>
      <c r="F204" s="12">
        <v>0</v>
      </c>
      <c r="G204" s="65"/>
      <c r="H204" s="65"/>
      <c r="I204" s="89"/>
      <c r="J204" s="65"/>
      <c r="K204" s="37"/>
      <c r="L204" s="37"/>
      <c r="M204" s="37"/>
      <c r="N204" s="37"/>
      <c r="O204" s="37"/>
      <c r="P204" s="37"/>
      <c r="Q204" s="37"/>
      <c r="R204" s="37"/>
      <c r="S204" s="37"/>
      <c r="T204" s="37"/>
      <c r="U204" s="3"/>
      <c r="W204" s="3"/>
      <c r="X204" s="3"/>
      <c r="Y204" s="3"/>
      <c r="Z204" s="3"/>
    </row>
    <row r="205" spans="1:26" ht="15.75" hidden="1" customHeight="1" outlineLevel="1" x14ac:dyDescent="0.3">
      <c r="A205" s="3"/>
      <c r="B205" s="10" t="s">
        <v>354</v>
      </c>
      <c r="C205" s="62"/>
      <c r="D205" s="62"/>
      <c r="E205" s="12">
        <v>0</v>
      </c>
      <c r="F205" s="12">
        <v>0</v>
      </c>
      <c r="G205" s="65"/>
      <c r="H205" s="65"/>
      <c r="I205" s="89"/>
      <c r="J205" s="65"/>
      <c r="K205" s="37"/>
      <c r="L205" s="37"/>
      <c r="M205" s="37"/>
      <c r="N205" s="37"/>
      <c r="O205" s="37"/>
      <c r="P205" s="37"/>
      <c r="Q205" s="37"/>
      <c r="R205" s="37"/>
      <c r="S205" s="37"/>
      <c r="T205" s="37"/>
      <c r="U205" s="3"/>
      <c r="W205" s="3"/>
      <c r="X205" s="3"/>
      <c r="Y205" s="3"/>
      <c r="Z205" s="3"/>
    </row>
    <row r="206" spans="1:26" ht="15.75" hidden="1" customHeight="1" outlineLevel="1" x14ac:dyDescent="0.3">
      <c r="A206" s="3"/>
      <c r="B206" s="10" t="s">
        <v>355</v>
      </c>
      <c r="C206" s="62"/>
      <c r="D206" s="62"/>
      <c r="E206" s="12">
        <v>0</v>
      </c>
      <c r="F206" s="12">
        <v>0</v>
      </c>
      <c r="G206" s="65"/>
      <c r="H206" s="65"/>
      <c r="I206" s="89"/>
      <c r="J206" s="65"/>
      <c r="K206" s="37"/>
      <c r="L206" s="37"/>
      <c r="M206" s="37"/>
      <c r="N206" s="37"/>
      <c r="O206" s="37"/>
      <c r="P206" s="37"/>
      <c r="Q206" s="37"/>
      <c r="R206" s="37"/>
      <c r="S206" s="37"/>
      <c r="T206" s="37"/>
      <c r="U206" s="3"/>
      <c r="W206" s="3"/>
      <c r="X206" s="3"/>
      <c r="Y206" s="3"/>
      <c r="Z206" s="3"/>
    </row>
    <row r="207" spans="1:26" ht="15.75" hidden="1" customHeight="1" outlineLevel="1" x14ac:dyDescent="0.3">
      <c r="A207" s="3"/>
      <c r="B207" s="10" t="s">
        <v>369</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5.75" hidden="1" customHeight="1" outlineLevel="1" x14ac:dyDescent="0.3">
      <c r="A208" s="3"/>
      <c r="B208" s="10" t="s">
        <v>327</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5.75" hidden="1" customHeight="1" outlineLevel="1" x14ac:dyDescent="0.3">
      <c r="A209" s="3"/>
      <c r="B209" s="10" t="s">
        <v>328</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5.75" hidden="1" customHeight="1" outlineLevel="1" x14ac:dyDescent="0.3">
      <c r="A210" s="3"/>
      <c r="B210" s="10" t="s">
        <v>370</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5.75" hidden="1" customHeight="1" outlineLevel="1" x14ac:dyDescent="0.3">
      <c r="A211" s="3"/>
      <c r="B211" s="10" t="s">
        <v>371</v>
      </c>
      <c r="C211" s="62"/>
      <c r="D211" s="62"/>
      <c r="E211" s="12">
        <v>0</v>
      </c>
      <c r="F211" s="12">
        <v>0</v>
      </c>
      <c r="G211" s="65"/>
      <c r="H211" s="65"/>
      <c r="I211" s="89"/>
      <c r="J211" s="65"/>
      <c r="K211" s="37"/>
      <c r="L211" s="37"/>
      <c r="M211" s="37"/>
      <c r="N211" s="37"/>
      <c r="O211" s="37"/>
      <c r="P211" s="37"/>
      <c r="Q211" s="37"/>
      <c r="R211" s="37"/>
      <c r="S211" s="37"/>
      <c r="T211" s="37"/>
      <c r="U211" s="3"/>
      <c r="W211" s="3"/>
      <c r="X211" s="3"/>
      <c r="Y211" s="3"/>
      <c r="Z211" s="3"/>
    </row>
    <row r="212" spans="1:26" ht="15.75" hidden="1" customHeight="1" outlineLevel="1" x14ac:dyDescent="0.3">
      <c r="A212" s="3"/>
      <c r="B212" s="10" t="s">
        <v>372</v>
      </c>
      <c r="C212" s="62"/>
      <c r="D212" s="62"/>
      <c r="E212" s="12">
        <v>0</v>
      </c>
      <c r="F212" s="12">
        <v>0</v>
      </c>
      <c r="G212" s="65"/>
      <c r="H212" s="65"/>
      <c r="I212" s="89"/>
      <c r="J212" s="65"/>
      <c r="K212" s="37"/>
      <c r="L212" s="37"/>
      <c r="M212" s="37"/>
      <c r="N212" s="37"/>
      <c r="O212" s="37"/>
      <c r="P212" s="37"/>
      <c r="Q212" s="37"/>
      <c r="R212" s="37"/>
      <c r="S212" s="37"/>
      <c r="T212" s="37"/>
      <c r="U212" s="3"/>
      <c r="W212" s="3"/>
      <c r="X212" s="3"/>
      <c r="Y212" s="3"/>
      <c r="Z212" s="3"/>
    </row>
    <row r="213" spans="1:26" ht="15.75" hidden="1" customHeight="1" outlineLevel="1" x14ac:dyDescent="0.3">
      <c r="A213" s="3"/>
      <c r="B213" s="91" t="s">
        <v>237</v>
      </c>
      <c r="C213" s="92"/>
      <c r="D213" s="92"/>
      <c r="E213" s="93">
        <f t="shared" ref="E213:F213" si="30">SUM(E214:E222)</f>
        <v>0</v>
      </c>
      <c r="F213" s="93">
        <f t="shared" si="30"/>
        <v>0</v>
      </c>
      <c r="G213" s="94"/>
      <c r="H213" s="94"/>
      <c r="I213" s="95"/>
      <c r="J213" s="94"/>
      <c r="K213" s="37"/>
      <c r="L213" s="37"/>
      <c r="M213" s="37"/>
      <c r="N213" s="37"/>
      <c r="O213" s="37"/>
      <c r="P213" s="37"/>
      <c r="Q213" s="37"/>
      <c r="R213" s="37"/>
      <c r="S213" s="37"/>
      <c r="T213" s="37"/>
      <c r="U213" s="3"/>
      <c r="W213" s="3"/>
      <c r="X213" s="3"/>
      <c r="Y213" s="3"/>
      <c r="Z213" s="3"/>
    </row>
    <row r="214" spans="1:26" ht="15.75" hidden="1" customHeight="1" outlineLevel="1" x14ac:dyDescent="0.3">
      <c r="A214" s="3"/>
      <c r="B214" s="10" t="s">
        <v>353</v>
      </c>
      <c r="C214" s="62"/>
      <c r="D214" s="62"/>
      <c r="E214" s="12">
        <v>0</v>
      </c>
      <c r="F214" s="12">
        <v>0</v>
      </c>
      <c r="G214" s="65"/>
      <c r="H214" s="65"/>
      <c r="I214" s="89"/>
      <c r="J214" s="65"/>
      <c r="K214" s="37"/>
      <c r="L214" s="37"/>
      <c r="M214" s="37"/>
      <c r="N214" s="37"/>
      <c r="O214" s="37"/>
      <c r="P214" s="37"/>
      <c r="Q214" s="37"/>
      <c r="R214" s="37"/>
      <c r="S214" s="37"/>
      <c r="T214" s="37"/>
      <c r="U214" s="3"/>
      <c r="W214" s="3"/>
      <c r="X214" s="3"/>
      <c r="Y214" s="3"/>
      <c r="Z214" s="3"/>
    </row>
    <row r="215" spans="1:26" ht="15.75" hidden="1" customHeight="1" outlineLevel="1" x14ac:dyDescent="0.3">
      <c r="A215" s="3"/>
      <c r="B215" s="10" t="s">
        <v>354</v>
      </c>
      <c r="C215" s="62"/>
      <c r="D215" s="62"/>
      <c r="E215" s="12">
        <v>0</v>
      </c>
      <c r="F215" s="12">
        <v>0</v>
      </c>
      <c r="G215" s="65"/>
      <c r="H215" s="65"/>
      <c r="I215" s="89"/>
      <c r="J215" s="65"/>
      <c r="K215" s="37"/>
      <c r="L215" s="37"/>
      <c r="M215" s="37"/>
      <c r="N215" s="37"/>
      <c r="O215" s="37"/>
      <c r="P215" s="37"/>
      <c r="Q215" s="37"/>
      <c r="R215" s="37"/>
      <c r="S215" s="37"/>
      <c r="T215" s="37"/>
      <c r="U215" s="3"/>
      <c r="W215" s="3"/>
      <c r="X215" s="3"/>
      <c r="Y215" s="3"/>
      <c r="Z215" s="3"/>
    </row>
    <row r="216" spans="1:26" ht="15.75" hidden="1" customHeight="1" outlineLevel="1" x14ac:dyDescent="0.3">
      <c r="A216" s="3"/>
      <c r="B216" s="10" t="s">
        <v>355</v>
      </c>
      <c r="C216" s="62"/>
      <c r="D216" s="62"/>
      <c r="E216" s="12">
        <v>0</v>
      </c>
      <c r="F216" s="12">
        <v>0</v>
      </c>
      <c r="G216" s="65"/>
      <c r="H216" s="65"/>
      <c r="I216" s="89"/>
      <c r="J216" s="65"/>
      <c r="K216" s="37"/>
      <c r="L216" s="37"/>
      <c r="M216" s="37"/>
      <c r="N216" s="37"/>
      <c r="O216" s="37"/>
      <c r="P216" s="37"/>
      <c r="Q216" s="37"/>
      <c r="R216" s="37"/>
      <c r="S216" s="37"/>
      <c r="T216" s="37"/>
      <c r="U216" s="3"/>
      <c r="W216" s="3"/>
      <c r="X216" s="3"/>
      <c r="Y216" s="3"/>
      <c r="Z216" s="3"/>
    </row>
    <row r="217" spans="1:26" ht="15.75" hidden="1" customHeight="1" outlineLevel="1" x14ac:dyDescent="0.3">
      <c r="A217" s="3"/>
      <c r="B217" s="10" t="s">
        <v>369</v>
      </c>
      <c r="C217" s="62"/>
      <c r="D217" s="62"/>
      <c r="E217" s="12">
        <v>0</v>
      </c>
      <c r="F217" s="12">
        <v>0</v>
      </c>
      <c r="G217" s="65"/>
      <c r="H217" s="65"/>
      <c r="I217" s="89"/>
      <c r="J217" s="65"/>
      <c r="K217" s="37"/>
      <c r="L217" s="37"/>
      <c r="M217" s="37"/>
      <c r="N217" s="37"/>
      <c r="O217" s="37"/>
      <c r="P217" s="37"/>
      <c r="Q217" s="37"/>
      <c r="R217" s="37"/>
      <c r="S217" s="37"/>
      <c r="T217" s="37"/>
      <c r="U217" s="3"/>
      <c r="W217" s="3"/>
      <c r="X217" s="3"/>
      <c r="Y217" s="3"/>
      <c r="Z217" s="3"/>
    </row>
    <row r="218" spans="1:26" ht="15.75" hidden="1" customHeight="1" outlineLevel="1" x14ac:dyDescent="0.3">
      <c r="A218" s="3"/>
      <c r="B218" s="10" t="s">
        <v>327</v>
      </c>
      <c r="C218" s="62"/>
      <c r="D218" s="62"/>
      <c r="E218" s="12">
        <v>0</v>
      </c>
      <c r="F218" s="12">
        <v>0</v>
      </c>
      <c r="G218" s="65"/>
      <c r="H218" s="65"/>
      <c r="I218" s="89"/>
      <c r="J218" s="65"/>
      <c r="K218" s="37"/>
      <c r="L218" s="37"/>
      <c r="M218" s="37"/>
      <c r="N218" s="37"/>
      <c r="O218" s="37"/>
      <c r="P218" s="37"/>
      <c r="Q218" s="37"/>
      <c r="R218" s="37"/>
      <c r="S218" s="37"/>
      <c r="T218" s="37"/>
      <c r="U218" s="3"/>
      <c r="W218" s="3"/>
      <c r="X218" s="3"/>
      <c r="Y218" s="3"/>
      <c r="Z218" s="3"/>
    </row>
    <row r="219" spans="1:26" ht="15.75" hidden="1" customHeight="1" outlineLevel="1" x14ac:dyDescent="0.3">
      <c r="A219" s="3"/>
      <c r="B219" s="10" t="s">
        <v>328</v>
      </c>
      <c r="C219" s="62"/>
      <c r="D219" s="62"/>
      <c r="E219" s="12">
        <v>0</v>
      </c>
      <c r="F219" s="12">
        <v>0</v>
      </c>
      <c r="G219" s="65"/>
      <c r="H219" s="65"/>
      <c r="I219" s="89"/>
      <c r="J219" s="65"/>
      <c r="K219" s="37"/>
      <c r="L219" s="37"/>
      <c r="M219" s="37"/>
      <c r="N219" s="37"/>
      <c r="O219" s="37"/>
      <c r="P219" s="37"/>
      <c r="Q219" s="37"/>
      <c r="R219" s="37"/>
      <c r="S219" s="37"/>
      <c r="T219" s="37"/>
      <c r="U219" s="3"/>
      <c r="W219" s="3"/>
      <c r="X219" s="3"/>
      <c r="Y219" s="3"/>
      <c r="Z219" s="3"/>
    </row>
    <row r="220" spans="1:26" ht="15.75" hidden="1" customHeight="1" outlineLevel="1" x14ac:dyDescent="0.3">
      <c r="A220" s="3"/>
      <c r="B220" s="10" t="s">
        <v>370</v>
      </c>
      <c r="C220" s="62"/>
      <c r="D220" s="62"/>
      <c r="E220" s="12">
        <v>0</v>
      </c>
      <c r="F220" s="12">
        <v>0</v>
      </c>
      <c r="G220" s="65"/>
      <c r="H220" s="65"/>
      <c r="I220" s="89"/>
      <c r="J220" s="65"/>
      <c r="K220" s="37"/>
      <c r="L220" s="37"/>
      <c r="M220" s="37"/>
      <c r="N220" s="37"/>
      <c r="O220" s="37"/>
      <c r="P220" s="37"/>
      <c r="Q220" s="37"/>
      <c r="R220" s="37"/>
      <c r="S220" s="37"/>
      <c r="T220" s="37"/>
      <c r="U220" s="3"/>
      <c r="W220" s="3"/>
      <c r="X220" s="3"/>
      <c r="Y220" s="3"/>
      <c r="Z220" s="3"/>
    </row>
    <row r="221" spans="1:26" ht="15.75" hidden="1" customHeight="1" outlineLevel="1" x14ac:dyDescent="0.3">
      <c r="A221" s="3"/>
      <c r="B221" s="10" t="s">
        <v>371</v>
      </c>
      <c r="C221" s="62"/>
      <c r="D221" s="62"/>
      <c r="E221" s="12">
        <v>0</v>
      </c>
      <c r="F221" s="12">
        <v>0</v>
      </c>
      <c r="G221" s="65"/>
      <c r="H221" s="65"/>
      <c r="I221" s="89"/>
      <c r="J221" s="65"/>
      <c r="K221" s="37"/>
      <c r="L221" s="37"/>
      <c r="M221" s="37"/>
      <c r="N221" s="37"/>
      <c r="O221" s="37"/>
      <c r="P221" s="37"/>
      <c r="Q221" s="37"/>
      <c r="R221" s="37"/>
      <c r="S221" s="37"/>
      <c r="T221" s="37"/>
      <c r="U221" s="3"/>
      <c r="W221" s="3"/>
      <c r="X221" s="3"/>
      <c r="Y221" s="3"/>
      <c r="Z221" s="3"/>
    </row>
    <row r="222" spans="1:26" ht="15.75" hidden="1" customHeight="1" outlineLevel="1" x14ac:dyDescent="0.3">
      <c r="A222" s="3"/>
      <c r="B222" s="10" t="s">
        <v>372</v>
      </c>
      <c r="C222" s="62"/>
      <c r="D222" s="62"/>
      <c r="E222" s="12">
        <v>0</v>
      </c>
      <c r="F222" s="12">
        <v>0</v>
      </c>
      <c r="G222" s="65"/>
      <c r="H222" s="65"/>
      <c r="I222" s="89"/>
      <c r="J222" s="65"/>
      <c r="K222" s="37"/>
      <c r="L222" s="37"/>
      <c r="M222" s="37"/>
      <c r="N222" s="37"/>
      <c r="O222" s="37"/>
      <c r="P222" s="37"/>
      <c r="Q222" s="37"/>
      <c r="R222" s="37"/>
      <c r="S222" s="37"/>
      <c r="T222" s="37"/>
      <c r="U222" s="3"/>
      <c r="W222" s="3"/>
      <c r="X222" s="3"/>
      <c r="Y222" s="3"/>
      <c r="Z222" s="3"/>
    </row>
    <row r="223" spans="1:26" ht="15.75" hidden="1" customHeight="1" outlineLevel="1" x14ac:dyDescent="0.3">
      <c r="A223" s="3"/>
      <c r="B223" s="91" t="s">
        <v>238</v>
      </c>
      <c r="C223" s="92"/>
      <c r="D223" s="92"/>
      <c r="E223" s="93">
        <f t="shared" ref="E223:F223" si="31">SUM(E224:E232)</f>
        <v>0</v>
      </c>
      <c r="F223" s="93">
        <f t="shared" si="31"/>
        <v>0</v>
      </c>
      <c r="G223" s="94"/>
      <c r="H223" s="94"/>
      <c r="I223" s="95"/>
      <c r="J223" s="94"/>
      <c r="K223" s="37"/>
      <c r="L223" s="37"/>
      <c r="M223" s="37"/>
      <c r="N223" s="37"/>
      <c r="O223" s="37"/>
      <c r="P223" s="37"/>
      <c r="Q223" s="37"/>
      <c r="R223" s="37"/>
      <c r="S223" s="37"/>
      <c r="T223" s="37"/>
      <c r="U223" s="3"/>
      <c r="W223" s="3"/>
      <c r="X223" s="3"/>
      <c r="Y223" s="3"/>
      <c r="Z223" s="3"/>
    </row>
    <row r="224" spans="1:26" ht="15.75" hidden="1" customHeight="1" outlineLevel="1" x14ac:dyDescent="0.3">
      <c r="A224" s="3"/>
      <c r="B224" s="10" t="s">
        <v>353</v>
      </c>
      <c r="C224" s="62"/>
      <c r="D224" s="62"/>
      <c r="E224" s="12">
        <v>0</v>
      </c>
      <c r="F224" s="12">
        <v>0</v>
      </c>
      <c r="G224" s="65"/>
      <c r="H224" s="65"/>
      <c r="I224" s="89"/>
      <c r="J224" s="65"/>
      <c r="K224" s="37"/>
      <c r="L224" s="37"/>
      <c r="M224" s="37"/>
      <c r="N224" s="37"/>
      <c r="O224" s="37"/>
      <c r="P224" s="37"/>
      <c r="Q224" s="37"/>
      <c r="R224" s="37"/>
      <c r="S224" s="37"/>
      <c r="T224" s="37"/>
      <c r="U224" s="3"/>
      <c r="W224" s="3"/>
      <c r="X224" s="3"/>
      <c r="Y224" s="3"/>
      <c r="Z224" s="3"/>
    </row>
    <row r="225" spans="1:26" ht="15.75" hidden="1" customHeight="1" outlineLevel="1" x14ac:dyDescent="0.3">
      <c r="A225" s="3"/>
      <c r="B225" s="10" t="s">
        <v>354</v>
      </c>
      <c r="C225" s="62"/>
      <c r="D225" s="62"/>
      <c r="E225" s="12">
        <v>0</v>
      </c>
      <c r="F225" s="12">
        <v>0</v>
      </c>
      <c r="G225" s="65"/>
      <c r="H225" s="65"/>
      <c r="I225" s="89"/>
      <c r="J225" s="65"/>
      <c r="K225" s="37"/>
      <c r="L225" s="37"/>
      <c r="M225" s="37"/>
      <c r="N225" s="37"/>
      <c r="O225" s="37"/>
      <c r="P225" s="37"/>
      <c r="Q225" s="37"/>
      <c r="R225" s="37"/>
      <c r="S225" s="37"/>
      <c r="T225" s="37"/>
      <c r="U225" s="3"/>
      <c r="W225" s="3"/>
      <c r="X225" s="3"/>
      <c r="Y225" s="3"/>
      <c r="Z225" s="3"/>
    </row>
    <row r="226" spans="1:26" ht="15.75" hidden="1" customHeight="1" outlineLevel="1" x14ac:dyDescent="0.3">
      <c r="A226" s="3"/>
      <c r="B226" s="10" t="s">
        <v>355</v>
      </c>
      <c r="C226" s="62"/>
      <c r="D226" s="62"/>
      <c r="E226" s="12">
        <v>0</v>
      </c>
      <c r="F226" s="12">
        <v>0</v>
      </c>
      <c r="G226" s="65"/>
      <c r="H226" s="65"/>
      <c r="I226" s="89"/>
      <c r="J226" s="65"/>
      <c r="K226" s="37"/>
      <c r="L226" s="37"/>
      <c r="M226" s="37"/>
      <c r="N226" s="37"/>
      <c r="O226" s="37"/>
      <c r="P226" s="37"/>
      <c r="Q226" s="37"/>
      <c r="R226" s="37"/>
      <c r="S226" s="37"/>
      <c r="T226" s="37"/>
      <c r="U226" s="3"/>
      <c r="W226" s="3"/>
      <c r="X226" s="3"/>
      <c r="Y226" s="3"/>
      <c r="Z226" s="3"/>
    </row>
    <row r="227" spans="1:26" ht="15.75" hidden="1" customHeight="1" outlineLevel="1" x14ac:dyDescent="0.3">
      <c r="A227" s="3"/>
      <c r="B227" s="10" t="s">
        <v>369</v>
      </c>
      <c r="C227" s="62"/>
      <c r="D227" s="62"/>
      <c r="E227" s="12">
        <v>0</v>
      </c>
      <c r="F227" s="12">
        <v>0</v>
      </c>
      <c r="G227" s="65"/>
      <c r="H227" s="65"/>
      <c r="I227" s="89"/>
      <c r="J227" s="65"/>
      <c r="K227" s="37"/>
      <c r="L227" s="37"/>
      <c r="M227" s="37"/>
      <c r="N227" s="37"/>
      <c r="O227" s="37"/>
      <c r="P227" s="37"/>
      <c r="Q227" s="37"/>
      <c r="R227" s="37"/>
      <c r="S227" s="37"/>
      <c r="T227" s="37"/>
      <c r="U227" s="3"/>
      <c r="W227" s="3"/>
      <c r="X227" s="3"/>
      <c r="Y227" s="3"/>
      <c r="Z227" s="3"/>
    </row>
    <row r="228" spans="1:26" ht="15.75" hidden="1" customHeight="1" outlineLevel="1" x14ac:dyDescent="0.3">
      <c r="A228" s="3"/>
      <c r="B228" s="10" t="s">
        <v>327</v>
      </c>
      <c r="C228" s="62"/>
      <c r="D228" s="62"/>
      <c r="E228" s="12">
        <v>0</v>
      </c>
      <c r="F228" s="12">
        <v>0</v>
      </c>
      <c r="G228" s="65"/>
      <c r="H228" s="65"/>
      <c r="I228" s="89"/>
      <c r="J228" s="65"/>
      <c r="K228" s="37"/>
      <c r="L228" s="37"/>
      <c r="M228" s="37"/>
      <c r="N228" s="37"/>
      <c r="O228" s="37"/>
      <c r="P228" s="37"/>
      <c r="Q228" s="37"/>
      <c r="R228" s="37"/>
      <c r="S228" s="37"/>
      <c r="T228" s="37"/>
      <c r="U228" s="3"/>
      <c r="W228" s="3"/>
      <c r="X228" s="3"/>
      <c r="Y228" s="3"/>
      <c r="Z228" s="3"/>
    </row>
    <row r="229" spans="1:26" ht="15.75" hidden="1" customHeight="1" outlineLevel="1" x14ac:dyDescent="0.3">
      <c r="A229" s="3"/>
      <c r="B229" s="10" t="s">
        <v>328</v>
      </c>
      <c r="C229" s="62"/>
      <c r="D229" s="62"/>
      <c r="E229" s="12">
        <v>0</v>
      </c>
      <c r="F229" s="12">
        <v>0</v>
      </c>
      <c r="G229" s="65"/>
      <c r="H229" s="65"/>
      <c r="I229" s="89"/>
      <c r="J229" s="65"/>
      <c r="K229" s="37"/>
      <c r="L229" s="37"/>
      <c r="M229" s="37"/>
      <c r="N229" s="37"/>
      <c r="O229" s="37"/>
      <c r="P229" s="37"/>
      <c r="Q229" s="37"/>
      <c r="R229" s="37"/>
      <c r="S229" s="37"/>
      <c r="T229" s="37"/>
      <c r="U229" s="3"/>
      <c r="W229" s="3"/>
      <c r="X229" s="3"/>
      <c r="Y229" s="3"/>
      <c r="Z229" s="3"/>
    </row>
    <row r="230" spans="1:26" ht="15.75" hidden="1" customHeight="1" outlineLevel="1" x14ac:dyDescent="0.3">
      <c r="A230" s="3"/>
      <c r="B230" s="10" t="s">
        <v>370</v>
      </c>
      <c r="C230" s="62"/>
      <c r="D230" s="62"/>
      <c r="E230" s="12">
        <v>0</v>
      </c>
      <c r="F230" s="12">
        <v>0</v>
      </c>
      <c r="G230" s="65"/>
      <c r="H230" s="65"/>
      <c r="I230" s="89"/>
      <c r="J230" s="65"/>
      <c r="K230" s="37"/>
      <c r="L230" s="37"/>
      <c r="M230" s="37"/>
      <c r="N230" s="37"/>
      <c r="O230" s="37"/>
      <c r="P230" s="37"/>
      <c r="Q230" s="37"/>
      <c r="R230" s="37"/>
      <c r="S230" s="37"/>
      <c r="T230" s="37"/>
      <c r="U230" s="3"/>
      <c r="W230" s="3"/>
      <c r="X230" s="3"/>
      <c r="Y230" s="3"/>
      <c r="Z230" s="3"/>
    </row>
    <row r="231" spans="1:26" ht="15.75" hidden="1" customHeight="1" outlineLevel="1" x14ac:dyDescent="0.3">
      <c r="A231" s="3"/>
      <c r="B231" s="10" t="s">
        <v>371</v>
      </c>
      <c r="C231" s="62"/>
      <c r="D231" s="62"/>
      <c r="E231" s="12">
        <v>0</v>
      </c>
      <c r="F231" s="12">
        <v>0</v>
      </c>
      <c r="G231" s="65"/>
      <c r="H231" s="65"/>
      <c r="I231" s="89"/>
      <c r="J231" s="65"/>
      <c r="K231" s="37"/>
      <c r="L231" s="37"/>
      <c r="M231" s="37"/>
      <c r="N231" s="37"/>
      <c r="O231" s="37"/>
      <c r="P231" s="37"/>
      <c r="Q231" s="37"/>
      <c r="R231" s="37"/>
      <c r="S231" s="37"/>
      <c r="T231" s="37"/>
      <c r="U231" s="3"/>
      <c r="W231" s="3"/>
      <c r="X231" s="3"/>
      <c r="Y231" s="3"/>
      <c r="Z231" s="3"/>
    </row>
    <row r="232" spans="1:26" ht="15.75" hidden="1" customHeight="1" outlineLevel="1" x14ac:dyDescent="0.3">
      <c r="A232" s="3"/>
      <c r="B232" s="10" t="s">
        <v>372</v>
      </c>
      <c r="C232" s="62"/>
      <c r="D232" s="62"/>
      <c r="E232" s="12">
        <v>0</v>
      </c>
      <c r="F232" s="12">
        <v>0</v>
      </c>
      <c r="G232" s="65"/>
      <c r="H232" s="65"/>
      <c r="I232" s="89"/>
      <c r="J232" s="65"/>
      <c r="K232" s="37"/>
      <c r="L232" s="37"/>
      <c r="M232" s="37"/>
      <c r="N232" s="37"/>
      <c r="O232" s="37"/>
      <c r="P232" s="37"/>
      <c r="Q232" s="37"/>
      <c r="R232" s="37"/>
      <c r="S232" s="37"/>
      <c r="T232" s="37"/>
      <c r="U232" s="3"/>
      <c r="W232" s="3"/>
      <c r="X232" s="3"/>
      <c r="Y232" s="3"/>
      <c r="Z232" s="3"/>
    </row>
    <row r="233" spans="1:26" ht="15.75" customHeight="1" collapsed="1" x14ac:dyDescent="0.3">
      <c r="A233" s="3"/>
      <c r="B233" s="84" t="s">
        <v>411</v>
      </c>
      <c r="C233" s="85" t="s">
        <v>43</v>
      </c>
      <c r="D233" s="85" t="s">
        <v>43</v>
      </c>
      <c r="E233" s="86">
        <f t="shared" ref="E233:F233" si="32">SUM(E234:E243)</f>
        <v>0</v>
      </c>
      <c r="F233" s="86">
        <f t="shared" si="32"/>
        <v>0</v>
      </c>
      <c r="G233" s="87"/>
      <c r="H233" s="87"/>
      <c r="I233" s="88"/>
      <c r="J233" s="87"/>
      <c r="K233" s="37"/>
      <c r="L233" s="37"/>
      <c r="M233" s="37"/>
      <c r="N233" s="37"/>
      <c r="O233" s="37"/>
      <c r="P233" s="37"/>
      <c r="Q233" s="37"/>
      <c r="R233" s="37"/>
      <c r="S233" s="37"/>
      <c r="T233" s="37"/>
      <c r="U233" s="3"/>
      <c r="W233" s="3"/>
      <c r="X233" s="3"/>
      <c r="Y233" s="3"/>
      <c r="Z233" s="3"/>
    </row>
    <row r="234" spans="1:26" ht="15.75" hidden="1" customHeight="1" outlineLevel="1" x14ac:dyDescent="0.3">
      <c r="A234" s="3"/>
      <c r="B234" s="10" t="s">
        <v>412</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15.75" hidden="1" customHeight="1" outlineLevel="1" x14ac:dyDescent="0.3">
      <c r="A235" s="3"/>
      <c r="B235" s="10" t="s">
        <v>413</v>
      </c>
      <c r="C235" s="62"/>
      <c r="D235" s="62"/>
      <c r="E235" s="12">
        <v>0</v>
      </c>
      <c r="F235" s="12">
        <v>0</v>
      </c>
      <c r="G235" s="65"/>
      <c r="H235" s="65"/>
      <c r="I235" s="89"/>
      <c r="J235" s="65"/>
      <c r="K235" s="37"/>
      <c r="L235" s="37"/>
      <c r="M235" s="37"/>
      <c r="N235" s="37"/>
      <c r="O235" s="37"/>
      <c r="P235" s="37"/>
      <c r="Q235" s="37"/>
      <c r="R235" s="37"/>
      <c r="S235" s="37"/>
      <c r="T235" s="37"/>
      <c r="U235" s="3"/>
      <c r="W235" s="3"/>
      <c r="X235" s="3"/>
      <c r="Y235" s="3"/>
      <c r="Z235" s="3"/>
    </row>
    <row r="236" spans="1:26" ht="15.75" hidden="1" customHeight="1" outlineLevel="1" x14ac:dyDescent="0.3">
      <c r="A236" s="3"/>
      <c r="B236" s="10" t="s">
        <v>414</v>
      </c>
      <c r="C236" s="62"/>
      <c r="D236" s="62"/>
      <c r="E236" s="12">
        <v>0</v>
      </c>
      <c r="F236" s="12">
        <v>0</v>
      </c>
      <c r="G236" s="65"/>
      <c r="H236" s="65"/>
      <c r="I236" s="89"/>
      <c r="J236" s="65"/>
      <c r="K236" s="37"/>
      <c r="L236" s="37"/>
      <c r="M236" s="37"/>
      <c r="N236" s="37"/>
      <c r="O236" s="37"/>
      <c r="P236" s="37"/>
      <c r="Q236" s="37"/>
      <c r="R236" s="37"/>
      <c r="S236" s="37"/>
      <c r="T236" s="37"/>
      <c r="U236" s="3"/>
      <c r="W236" s="3"/>
      <c r="X236" s="3"/>
      <c r="Y236" s="3"/>
      <c r="Z236" s="3"/>
    </row>
    <row r="237" spans="1:26" ht="15.75" hidden="1" customHeight="1" outlineLevel="1" x14ac:dyDescent="0.3">
      <c r="A237" s="3"/>
      <c r="B237" s="10" t="s">
        <v>415</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5.75" hidden="1" customHeight="1" outlineLevel="1" x14ac:dyDescent="0.3">
      <c r="A238" s="3"/>
      <c r="B238" s="10" t="s">
        <v>416</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5.75" hidden="1" customHeight="1" outlineLevel="1" x14ac:dyDescent="0.3">
      <c r="A239" s="3"/>
      <c r="B239" s="10" t="s">
        <v>417</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5.75" hidden="1" customHeight="1" outlineLevel="1" x14ac:dyDescent="0.3">
      <c r="A240" s="3"/>
      <c r="B240" s="10" t="s">
        <v>418</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5.75" hidden="1" customHeight="1" outlineLevel="1" x14ac:dyDescent="0.3">
      <c r="A241" s="3"/>
      <c r="B241" s="10" t="s">
        <v>419</v>
      </c>
      <c r="C241" s="62"/>
      <c r="D241" s="62"/>
      <c r="E241" s="12">
        <v>0</v>
      </c>
      <c r="F241" s="12">
        <v>0</v>
      </c>
      <c r="G241" s="65"/>
      <c r="H241" s="65"/>
      <c r="I241" s="89"/>
      <c r="J241" s="65"/>
      <c r="K241" s="37"/>
      <c r="L241" s="37"/>
      <c r="M241" s="37"/>
      <c r="N241" s="37"/>
      <c r="O241" s="37"/>
      <c r="P241" s="37"/>
      <c r="Q241" s="37"/>
      <c r="R241" s="37"/>
      <c r="S241" s="37"/>
      <c r="T241" s="37"/>
      <c r="U241" s="3"/>
      <c r="W241" s="3"/>
      <c r="X241" s="3"/>
      <c r="Y241" s="3"/>
      <c r="Z241" s="3"/>
    </row>
    <row r="242" spans="1:26" ht="15.75" hidden="1" customHeight="1" outlineLevel="1" x14ac:dyDescent="0.3">
      <c r="A242" s="3"/>
      <c r="B242" s="10" t="s">
        <v>420</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5.75" hidden="1" customHeight="1" outlineLevel="1" x14ac:dyDescent="0.3">
      <c r="A243" s="3"/>
      <c r="B243" s="10" t="s">
        <v>65</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15.75" customHeight="1" collapsed="1" x14ac:dyDescent="0.3">
      <c r="A244" s="3"/>
      <c r="B244" s="3"/>
      <c r="C244" s="37"/>
      <c r="D244" s="37"/>
      <c r="E244" s="37"/>
      <c r="F244" s="37"/>
      <c r="G244" s="98"/>
      <c r="H244" s="98"/>
      <c r="I244" s="99"/>
      <c r="J244" s="98"/>
      <c r="K244" s="37"/>
      <c r="L244" s="37"/>
      <c r="M244" s="37"/>
      <c r="N244" s="37"/>
      <c r="O244" s="37"/>
      <c r="P244" s="37"/>
      <c r="Q244" s="37"/>
      <c r="R244" s="37"/>
      <c r="S244" s="37"/>
      <c r="T244" s="37"/>
      <c r="U244" s="3"/>
    </row>
    <row r="245" spans="1:26" ht="15.75" customHeight="1" x14ac:dyDescent="0.3">
      <c r="A245" s="3"/>
      <c r="B245" s="3"/>
      <c r="C245" s="37"/>
      <c r="D245" s="37"/>
      <c r="E245" s="37"/>
      <c r="F245" s="37"/>
      <c r="G245" s="98"/>
      <c r="H245" s="98"/>
      <c r="I245" s="99"/>
      <c r="J245" s="98"/>
      <c r="K245" s="37"/>
      <c r="L245" s="37"/>
      <c r="M245" s="37"/>
      <c r="N245" s="37"/>
      <c r="O245" s="37"/>
      <c r="P245" s="37"/>
      <c r="Q245" s="37"/>
      <c r="R245" s="37"/>
      <c r="S245" s="37"/>
      <c r="T245" s="37"/>
      <c r="U245" s="3"/>
    </row>
    <row r="246" spans="1:26" ht="15.75" customHeight="1" x14ac:dyDescent="0.3">
      <c r="A246" s="3"/>
      <c r="B246" s="3"/>
      <c r="C246" s="37"/>
      <c r="D246" s="37"/>
      <c r="E246" s="37"/>
      <c r="F246" s="37"/>
      <c r="G246" s="98"/>
      <c r="H246" s="98"/>
      <c r="I246" s="99"/>
      <c r="J246" s="98"/>
      <c r="K246" s="37"/>
      <c r="L246" s="37"/>
      <c r="M246" s="37"/>
      <c r="N246" s="37"/>
      <c r="O246" s="37"/>
      <c r="P246" s="37"/>
      <c r="Q246" s="37"/>
      <c r="R246" s="37"/>
      <c r="S246" s="37"/>
      <c r="T246" s="37"/>
      <c r="U246" s="3"/>
    </row>
    <row r="247" spans="1:26" ht="15.75" customHeight="1" x14ac:dyDescent="0.3">
      <c r="A247" s="3"/>
      <c r="B247" s="3"/>
      <c r="C247" s="37"/>
      <c r="D247" s="37"/>
      <c r="E247" s="37"/>
      <c r="F247" s="37"/>
      <c r="G247" s="98"/>
      <c r="H247" s="98"/>
      <c r="I247" s="99"/>
      <c r="J247" s="98"/>
      <c r="K247" s="37"/>
      <c r="L247" s="37"/>
      <c r="M247" s="37"/>
      <c r="N247" s="37"/>
      <c r="O247" s="37"/>
      <c r="P247" s="37"/>
      <c r="Q247" s="37"/>
      <c r="R247" s="37"/>
      <c r="S247" s="37"/>
      <c r="T247" s="37"/>
      <c r="U247" s="3"/>
    </row>
    <row r="248" spans="1:26" ht="15.75" customHeight="1" x14ac:dyDescent="0.3">
      <c r="A248" s="3"/>
      <c r="B248" s="3"/>
      <c r="C248" s="37"/>
      <c r="D248" s="37"/>
      <c r="E248" s="37"/>
      <c r="F248" s="37"/>
      <c r="G248" s="98"/>
      <c r="H248" s="98"/>
      <c r="I248" s="99"/>
      <c r="J248" s="98"/>
      <c r="K248" s="37"/>
      <c r="L248" s="37"/>
      <c r="M248" s="37"/>
      <c r="N248" s="37"/>
      <c r="O248" s="37"/>
      <c r="P248" s="37"/>
      <c r="Q248" s="37"/>
      <c r="R248" s="37"/>
      <c r="S248" s="37"/>
      <c r="T248" s="37"/>
      <c r="U248" s="3"/>
    </row>
    <row r="249" spans="1:26" ht="15.75" customHeight="1" x14ac:dyDescent="0.3">
      <c r="A249" s="3"/>
      <c r="B249" s="3"/>
      <c r="C249" s="37"/>
      <c r="D249" s="37"/>
      <c r="E249" s="37"/>
      <c r="F249" s="37"/>
      <c r="G249" s="98"/>
      <c r="H249" s="98"/>
      <c r="I249" s="99"/>
      <c r="J249" s="98"/>
      <c r="K249" s="37"/>
      <c r="L249" s="37"/>
      <c r="M249" s="37"/>
      <c r="N249" s="37"/>
      <c r="O249" s="37"/>
      <c r="P249" s="37"/>
      <c r="Q249" s="37"/>
      <c r="R249" s="37"/>
      <c r="S249" s="37"/>
      <c r="T249" s="37"/>
      <c r="U249" s="3"/>
    </row>
    <row r="250" spans="1:26" ht="15.75" customHeight="1" x14ac:dyDescent="0.3">
      <c r="A250" s="3"/>
      <c r="B250" s="3"/>
      <c r="C250" s="37"/>
      <c r="D250" s="37"/>
      <c r="E250" s="37"/>
      <c r="F250" s="37"/>
      <c r="G250" s="98"/>
      <c r="H250" s="98"/>
      <c r="I250" s="99"/>
      <c r="J250" s="98"/>
      <c r="K250" s="37"/>
      <c r="L250" s="37"/>
      <c r="M250" s="37"/>
      <c r="N250" s="37"/>
      <c r="O250" s="37"/>
      <c r="P250" s="37"/>
      <c r="Q250" s="37"/>
      <c r="R250" s="37"/>
      <c r="S250" s="37"/>
      <c r="T250" s="37"/>
      <c r="U250" s="3"/>
    </row>
    <row r="251" spans="1:26" ht="15.75" customHeight="1" x14ac:dyDescent="0.3">
      <c r="A251" s="3"/>
      <c r="B251" s="3"/>
      <c r="C251" s="37"/>
      <c r="D251" s="37"/>
      <c r="E251" s="37"/>
      <c r="F251" s="37"/>
      <c r="G251" s="98"/>
      <c r="H251" s="98"/>
      <c r="I251" s="99"/>
      <c r="J251" s="98"/>
      <c r="K251" s="37"/>
      <c r="L251" s="37"/>
      <c r="M251" s="37"/>
      <c r="N251" s="37"/>
      <c r="O251" s="37"/>
      <c r="P251" s="37"/>
      <c r="Q251" s="37"/>
      <c r="R251" s="37"/>
      <c r="S251" s="37"/>
      <c r="T251" s="37"/>
      <c r="U251" s="3"/>
    </row>
    <row r="252" spans="1:26" ht="15.75" customHeight="1" x14ac:dyDescent="0.3">
      <c r="A252" s="3"/>
      <c r="B252" s="3"/>
      <c r="C252" s="37"/>
      <c r="D252" s="37"/>
      <c r="E252" s="37"/>
      <c r="F252" s="37"/>
      <c r="G252" s="98"/>
      <c r="H252" s="98"/>
      <c r="I252" s="99"/>
      <c r="J252" s="98"/>
      <c r="K252" s="37"/>
      <c r="L252" s="37"/>
      <c r="M252" s="37"/>
      <c r="N252" s="37"/>
      <c r="O252" s="37"/>
      <c r="P252" s="37"/>
      <c r="Q252" s="37"/>
      <c r="R252" s="37"/>
      <c r="S252" s="37"/>
      <c r="T252" s="37"/>
      <c r="U252" s="3"/>
    </row>
    <row r="253" spans="1:26" ht="15.75" customHeight="1" x14ac:dyDescent="0.3">
      <c r="A253" s="3"/>
      <c r="B253" s="3"/>
      <c r="C253" s="37"/>
      <c r="D253" s="37"/>
      <c r="E253" s="37"/>
      <c r="F253" s="37"/>
      <c r="G253" s="98"/>
      <c r="H253" s="98"/>
      <c r="I253" s="99"/>
      <c r="J253" s="98"/>
      <c r="K253" s="37"/>
      <c r="L253" s="37"/>
      <c r="M253" s="37"/>
      <c r="N253" s="37"/>
      <c r="O253" s="37"/>
      <c r="P253" s="37"/>
      <c r="Q253" s="37"/>
      <c r="R253" s="37"/>
      <c r="S253" s="37"/>
      <c r="T253" s="37"/>
      <c r="U253" s="3"/>
    </row>
    <row r="254" spans="1:26" ht="15.75" customHeight="1" x14ac:dyDescent="0.3">
      <c r="A254" s="3"/>
      <c r="B254" s="3"/>
      <c r="C254" s="37"/>
      <c r="D254" s="37"/>
      <c r="E254" s="37"/>
      <c r="F254" s="37"/>
      <c r="G254" s="98"/>
      <c r="H254" s="98"/>
      <c r="I254" s="99"/>
      <c r="J254" s="98"/>
      <c r="K254" s="37"/>
      <c r="L254" s="37"/>
      <c r="M254" s="37"/>
      <c r="N254" s="37"/>
      <c r="O254" s="37"/>
      <c r="P254" s="37"/>
      <c r="Q254" s="37"/>
      <c r="R254" s="37"/>
      <c r="S254" s="37"/>
      <c r="T254" s="37"/>
      <c r="U254" s="3"/>
    </row>
    <row r="255" spans="1:26" ht="15.75" customHeight="1" x14ac:dyDescent="0.3">
      <c r="A255" s="3"/>
      <c r="B255" s="3"/>
      <c r="C255" s="37"/>
      <c r="D255" s="37"/>
      <c r="E255" s="37"/>
      <c r="F255" s="37"/>
      <c r="G255" s="98"/>
      <c r="H255" s="98"/>
      <c r="I255" s="99"/>
      <c r="J255" s="98"/>
      <c r="K255" s="37"/>
      <c r="L255" s="37"/>
      <c r="M255" s="37"/>
      <c r="N255" s="37"/>
      <c r="O255" s="37"/>
      <c r="P255" s="37"/>
      <c r="Q255" s="37"/>
      <c r="R255" s="37"/>
      <c r="S255" s="37"/>
      <c r="T255" s="37"/>
      <c r="U255" s="3"/>
    </row>
    <row r="256" spans="1:26" ht="15.75" customHeight="1" x14ac:dyDescent="0.3">
      <c r="A256" s="3"/>
      <c r="B256" s="3"/>
      <c r="C256" s="37"/>
      <c r="D256" s="37"/>
      <c r="E256" s="37"/>
      <c r="F256" s="37"/>
      <c r="G256" s="98"/>
      <c r="H256" s="98"/>
      <c r="I256" s="99"/>
      <c r="J256" s="98"/>
      <c r="K256" s="37"/>
      <c r="L256" s="37"/>
      <c r="M256" s="37"/>
      <c r="N256" s="37"/>
      <c r="O256" s="37"/>
      <c r="P256" s="37"/>
      <c r="Q256" s="37"/>
      <c r="R256" s="37"/>
      <c r="S256" s="37"/>
      <c r="T256" s="37"/>
      <c r="U256" s="3"/>
    </row>
    <row r="257" spans="1:21" ht="15.75" customHeight="1" x14ac:dyDescent="0.3">
      <c r="A257" s="3"/>
      <c r="B257" s="3"/>
      <c r="C257" s="37"/>
      <c r="D257" s="37"/>
      <c r="E257" s="37"/>
      <c r="F257" s="37"/>
      <c r="G257" s="98"/>
      <c r="H257" s="98"/>
      <c r="I257" s="99"/>
      <c r="J257" s="98"/>
      <c r="K257" s="37"/>
      <c r="L257" s="37"/>
      <c r="M257" s="37"/>
      <c r="N257" s="37"/>
      <c r="O257" s="37"/>
      <c r="P257" s="37"/>
      <c r="Q257" s="37"/>
      <c r="R257" s="37"/>
      <c r="S257" s="37"/>
      <c r="T257" s="37"/>
      <c r="U257" s="3"/>
    </row>
    <row r="258" spans="1:21" ht="15.75" customHeight="1" x14ac:dyDescent="0.3">
      <c r="A258" s="3"/>
      <c r="B258" s="3"/>
      <c r="C258" s="37"/>
      <c r="D258" s="37"/>
      <c r="E258" s="37"/>
      <c r="F258" s="37"/>
      <c r="G258" s="98"/>
      <c r="H258" s="98"/>
      <c r="I258" s="99"/>
      <c r="J258" s="98"/>
      <c r="K258" s="37"/>
      <c r="L258" s="37"/>
      <c r="M258" s="37"/>
      <c r="N258" s="37"/>
      <c r="O258" s="37"/>
      <c r="P258" s="37"/>
      <c r="Q258" s="37"/>
      <c r="R258" s="37"/>
      <c r="S258" s="37"/>
      <c r="T258" s="37"/>
      <c r="U258" s="3"/>
    </row>
    <row r="259" spans="1:21" ht="15.75" customHeight="1" x14ac:dyDescent="0.3">
      <c r="A259" s="3"/>
      <c r="B259" s="3"/>
      <c r="C259" s="37"/>
      <c r="D259" s="37"/>
      <c r="E259" s="37"/>
      <c r="F259" s="37"/>
      <c r="G259" s="98"/>
      <c r="H259" s="98"/>
      <c r="I259" s="99"/>
      <c r="J259" s="98"/>
      <c r="K259" s="37"/>
      <c r="L259" s="37"/>
      <c r="M259" s="37"/>
      <c r="N259" s="37"/>
      <c r="O259" s="37"/>
      <c r="P259" s="37"/>
      <c r="Q259" s="37"/>
      <c r="R259" s="37"/>
      <c r="S259" s="37"/>
      <c r="T259" s="37"/>
      <c r="U259" s="3"/>
    </row>
    <row r="260" spans="1:21" ht="15.75" customHeight="1" x14ac:dyDescent="0.3">
      <c r="A260" s="3"/>
      <c r="B260" s="3"/>
      <c r="C260" s="37"/>
      <c r="D260" s="37"/>
      <c r="E260" s="37"/>
      <c r="F260" s="37"/>
      <c r="G260" s="98"/>
      <c r="H260" s="98"/>
      <c r="I260" s="99"/>
      <c r="J260" s="98"/>
      <c r="K260" s="37"/>
      <c r="L260" s="37"/>
      <c r="M260" s="37"/>
      <c r="N260" s="37"/>
      <c r="O260" s="37"/>
      <c r="P260" s="37"/>
      <c r="Q260" s="37"/>
      <c r="R260" s="37"/>
      <c r="S260" s="37"/>
      <c r="T260" s="37"/>
      <c r="U260" s="3"/>
    </row>
    <row r="261" spans="1:21" ht="15.75" customHeight="1" x14ac:dyDescent="0.3">
      <c r="A261" s="3"/>
      <c r="B261" s="3"/>
      <c r="C261" s="37"/>
      <c r="D261" s="37"/>
      <c r="E261" s="37"/>
      <c r="F261" s="37"/>
      <c r="G261" s="98"/>
      <c r="H261" s="98"/>
      <c r="I261" s="99"/>
      <c r="J261" s="98"/>
      <c r="K261" s="37"/>
      <c r="L261" s="37"/>
      <c r="M261" s="37"/>
      <c r="N261" s="37"/>
      <c r="O261" s="37"/>
      <c r="P261" s="37"/>
      <c r="Q261" s="37"/>
      <c r="R261" s="37"/>
      <c r="S261" s="37"/>
      <c r="T261" s="37"/>
      <c r="U261" s="3"/>
    </row>
    <row r="262" spans="1:21" ht="15.75" customHeight="1" x14ac:dyDescent="0.3">
      <c r="A262" s="3"/>
      <c r="B262" s="3"/>
      <c r="C262" s="37"/>
      <c r="D262" s="37"/>
      <c r="E262" s="37"/>
      <c r="F262" s="37"/>
      <c r="G262" s="98"/>
      <c r="H262" s="98"/>
      <c r="I262" s="99"/>
      <c r="J262" s="98"/>
      <c r="K262" s="37"/>
      <c r="L262" s="37"/>
      <c r="M262" s="37"/>
      <c r="N262" s="37"/>
      <c r="O262" s="37"/>
      <c r="P262" s="37"/>
      <c r="Q262" s="37"/>
      <c r="R262" s="37"/>
      <c r="S262" s="37"/>
      <c r="T262" s="37"/>
      <c r="U262" s="3"/>
    </row>
    <row r="263" spans="1:21" ht="15.75" customHeight="1" x14ac:dyDescent="0.3">
      <c r="A263" s="3"/>
      <c r="B263" s="3"/>
      <c r="C263" s="37"/>
      <c r="D263" s="37"/>
      <c r="E263" s="37"/>
      <c r="F263" s="37"/>
      <c r="G263" s="98"/>
      <c r="H263" s="98"/>
      <c r="I263" s="99"/>
      <c r="J263" s="98"/>
      <c r="K263" s="37"/>
      <c r="L263" s="37"/>
      <c r="M263" s="37"/>
      <c r="N263" s="37"/>
      <c r="O263" s="37"/>
      <c r="P263" s="37"/>
      <c r="Q263" s="37"/>
      <c r="R263" s="37"/>
      <c r="S263" s="37"/>
      <c r="T263" s="37"/>
      <c r="U263" s="3"/>
    </row>
    <row r="264" spans="1:21" ht="15.75" customHeight="1" x14ac:dyDescent="0.3">
      <c r="A264" s="3"/>
      <c r="B264" s="3"/>
      <c r="C264" s="37"/>
      <c r="D264" s="37"/>
      <c r="E264" s="37"/>
      <c r="F264" s="37"/>
      <c r="G264" s="98"/>
      <c r="H264" s="98"/>
      <c r="I264" s="99"/>
      <c r="J264" s="98"/>
      <c r="K264" s="37"/>
      <c r="L264" s="37"/>
      <c r="M264" s="37"/>
      <c r="N264" s="37"/>
      <c r="O264" s="37"/>
      <c r="P264" s="37"/>
      <c r="Q264" s="37"/>
      <c r="R264" s="37"/>
      <c r="S264" s="37"/>
      <c r="T264" s="37"/>
      <c r="U264" s="3"/>
    </row>
    <row r="265" spans="1:21" ht="15.75" customHeight="1" x14ac:dyDescent="0.3">
      <c r="A265" s="3"/>
      <c r="B265" s="3"/>
      <c r="C265" s="37"/>
      <c r="D265" s="37"/>
      <c r="E265" s="37"/>
      <c r="F265" s="37"/>
      <c r="G265" s="98"/>
      <c r="H265" s="98"/>
      <c r="I265" s="99"/>
      <c r="J265" s="98"/>
      <c r="K265" s="37"/>
      <c r="L265" s="37"/>
      <c r="M265" s="37"/>
      <c r="N265" s="37"/>
      <c r="O265" s="37"/>
      <c r="P265" s="37"/>
      <c r="Q265" s="37"/>
      <c r="R265" s="37"/>
      <c r="S265" s="37"/>
      <c r="T265" s="37"/>
      <c r="U265" s="3"/>
    </row>
    <row r="266" spans="1:21" ht="15.75" customHeight="1" x14ac:dyDescent="0.3">
      <c r="A266" s="3"/>
      <c r="B266" s="3"/>
      <c r="C266" s="37"/>
      <c r="D266" s="37"/>
      <c r="E266" s="37"/>
      <c r="F266" s="37"/>
      <c r="G266" s="98"/>
      <c r="H266" s="98"/>
      <c r="I266" s="99"/>
      <c r="J266" s="98"/>
      <c r="K266" s="37"/>
      <c r="L266" s="37"/>
      <c r="M266" s="37"/>
      <c r="N266" s="37"/>
      <c r="O266" s="37"/>
      <c r="P266" s="37"/>
      <c r="Q266" s="37"/>
      <c r="R266" s="37"/>
      <c r="S266" s="37"/>
      <c r="T266" s="37"/>
      <c r="U266" s="3"/>
    </row>
    <row r="267" spans="1:21" ht="15.75" customHeight="1" x14ac:dyDescent="0.3">
      <c r="A267" s="3"/>
      <c r="B267" s="3"/>
      <c r="C267" s="37"/>
      <c r="D267" s="37"/>
      <c r="E267" s="37"/>
      <c r="F267" s="37"/>
      <c r="G267" s="98"/>
      <c r="H267" s="98"/>
      <c r="I267" s="99"/>
      <c r="J267" s="98"/>
      <c r="K267" s="37"/>
      <c r="L267" s="37"/>
      <c r="M267" s="37"/>
      <c r="N267" s="37"/>
      <c r="O267" s="37"/>
      <c r="P267" s="37"/>
      <c r="Q267" s="37"/>
      <c r="R267" s="37"/>
      <c r="S267" s="37"/>
      <c r="T267" s="37"/>
      <c r="U267" s="3"/>
    </row>
    <row r="268" spans="1:21" ht="15.75" customHeight="1" x14ac:dyDescent="0.3">
      <c r="A268" s="3"/>
      <c r="B268" s="3"/>
      <c r="C268" s="37"/>
      <c r="D268" s="37"/>
      <c r="E268" s="37"/>
      <c r="F268" s="37"/>
      <c r="G268" s="98"/>
      <c r="H268" s="98"/>
      <c r="I268" s="99"/>
      <c r="J268" s="98"/>
      <c r="K268" s="37"/>
      <c r="L268" s="37"/>
      <c r="M268" s="37"/>
      <c r="N268" s="37"/>
      <c r="O268" s="37"/>
      <c r="P268" s="37"/>
      <c r="Q268" s="37"/>
      <c r="R268" s="37"/>
      <c r="S268" s="37"/>
      <c r="T268" s="37"/>
      <c r="U268" s="3"/>
    </row>
    <row r="269" spans="1:21" ht="15.75" customHeight="1" x14ac:dyDescent="0.3">
      <c r="A269" s="3"/>
      <c r="B269" s="3"/>
      <c r="C269" s="37"/>
      <c r="D269" s="37"/>
      <c r="E269" s="37"/>
      <c r="F269" s="37"/>
      <c r="G269" s="98"/>
      <c r="H269" s="98"/>
      <c r="I269" s="99"/>
      <c r="J269" s="98"/>
      <c r="K269" s="37"/>
      <c r="L269" s="37"/>
      <c r="M269" s="37"/>
      <c r="N269" s="37"/>
      <c r="O269" s="37"/>
      <c r="P269" s="37"/>
      <c r="Q269" s="37"/>
      <c r="R269" s="37"/>
      <c r="S269" s="37"/>
      <c r="T269" s="37"/>
      <c r="U269" s="3"/>
    </row>
    <row r="270" spans="1:21" ht="15.75" customHeight="1" x14ac:dyDescent="0.3">
      <c r="A270" s="3"/>
      <c r="B270" s="3"/>
      <c r="C270" s="37"/>
      <c r="D270" s="37"/>
      <c r="E270" s="37"/>
      <c r="F270" s="37"/>
      <c r="G270" s="98"/>
      <c r="H270" s="98"/>
      <c r="I270" s="99"/>
      <c r="J270" s="98"/>
      <c r="K270" s="37"/>
      <c r="L270" s="37"/>
      <c r="M270" s="37"/>
      <c r="N270" s="37"/>
      <c r="O270" s="37"/>
      <c r="P270" s="37"/>
      <c r="Q270" s="37"/>
      <c r="R270" s="37"/>
      <c r="S270" s="37"/>
      <c r="T270" s="37"/>
      <c r="U270" s="3"/>
    </row>
    <row r="271" spans="1:21" ht="15.75" customHeight="1" x14ac:dyDescent="0.3">
      <c r="A271" s="3"/>
      <c r="B271" s="3"/>
      <c r="C271" s="37"/>
      <c r="D271" s="37"/>
      <c r="E271" s="37"/>
      <c r="F271" s="37"/>
      <c r="G271" s="98"/>
      <c r="H271" s="98"/>
      <c r="I271" s="99"/>
      <c r="J271" s="98"/>
      <c r="K271" s="37"/>
      <c r="L271" s="37"/>
      <c r="M271" s="37"/>
      <c r="N271" s="37"/>
      <c r="O271" s="37"/>
      <c r="P271" s="37"/>
      <c r="Q271" s="37"/>
      <c r="R271" s="37"/>
      <c r="S271" s="37"/>
      <c r="T271" s="37"/>
      <c r="U271" s="3"/>
    </row>
    <row r="272" spans="1:21" ht="15.75" customHeight="1" x14ac:dyDescent="0.3">
      <c r="A272" s="3"/>
      <c r="B272" s="3"/>
      <c r="C272" s="37"/>
      <c r="D272" s="37"/>
      <c r="E272" s="37"/>
      <c r="F272" s="37"/>
      <c r="G272" s="98"/>
      <c r="H272" s="98"/>
      <c r="I272" s="99"/>
      <c r="J272" s="98"/>
      <c r="K272" s="37"/>
      <c r="L272" s="37"/>
      <c r="M272" s="37"/>
      <c r="N272" s="37"/>
      <c r="O272" s="37"/>
      <c r="P272" s="37"/>
      <c r="Q272" s="37"/>
      <c r="R272" s="37"/>
      <c r="S272" s="37"/>
      <c r="T272" s="37"/>
      <c r="U272" s="3"/>
    </row>
    <row r="273" spans="1:21" ht="15.75" customHeight="1" x14ac:dyDescent="0.3">
      <c r="A273" s="3"/>
      <c r="B273" s="3"/>
      <c r="C273" s="37"/>
      <c r="D273" s="37"/>
      <c r="E273" s="37"/>
      <c r="F273" s="37"/>
      <c r="G273" s="98"/>
      <c r="H273" s="98"/>
      <c r="I273" s="99"/>
      <c r="J273" s="98"/>
      <c r="K273" s="37"/>
      <c r="L273" s="37"/>
      <c r="M273" s="37"/>
      <c r="N273" s="37"/>
      <c r="O273" s="37"/>
      <c r="P273" s="37"/>
      <c r="Q273" s="37"/>
      <c r="R273" s="37"/>
      <c r="S273" s="37"/>
      <c r="T273" s="37"/>
      <c r="U273" s="3"/>
    </row>
    <row r="274" spans="1:21" ht="15.75" customHeight="1" x14ac:dyDescent="0.3">
      <c r="A274" s="3"/>
      <c r="B274" s="3"/>
      <c r="C274" s="37"/>
      <c r="D274" s="37"/>
      <c r="E274" s="37"/>
      <c r="F274" s="37"/>
      <c r="G274" s="98"/>
      <c r="H274" s="98"/>
      <c r="I274" s="99"/>
      <c r="J274" s="98"/>
      <c r="K274" s="37"/>
      <c r="L274" s="37"/>
      <c r="M274" s="37"/>
      <c r="N274" s="37"/>
      <c r="O274" s="37"/>
      <c r="P274" s="37"/>
      <c r="Q274" s="37"/>
      <c r="R274" s="37"/>
      <c r="S274" s="37"/>
      <c r="T274" s="37"/>
      <c r="U274" s="3"/>
    </row>
    <row r="275" spans="1:21" ht="15.75" customHeight="1" x14ac:dyDescent="0.3">
      <c r="A275" s="3"/>
      <c r="B275" s="3"/>
      <c r="C275" s="37"/>
      <c r="D275" s="37"/>
      <c r="E275" s="37"/>
      <c r="F275" s="37"/>
      <c r="G275" s="98"/>
      <c r="H275" s="98"/>
      <c r="I275" s="99"/>
      <c r="J275" s="98"/>
      <c r="K275" s="37"/>
      <c r="L275" s="37"/>
      <c r="M275" s="37"/>
      <c r="N275" s="37"/>
      <c r="O275" s="37"/>
      <c r="P275" s="37"/>
      <c r="Q275" s="37"/>
      <c r="R275" s="37"/>
      <c r="S275" s="37"/>
      <c r="T275" s="37"/>
      <c r="U275" s="3"/>
    </row>
    <row r="276" spans="1:21" ht="15.75" customHeight="1" x14ac:dyDescent="0.3">
      <c r="A276" s="3"/>
      <c r="B276" s="3"/>
      <c r="C276" s="37"/>
      <c r="D276" s="37"/>
      <c r="E276" s="37"/>
      <c r="F276" s="37"/>
      <c r="G276" s="98"/>
      <c r="H276" s="98"/>
      <c r="I276" s="99"/>
      <c r="J276" s="98"/>
      <c r="K276" s="37"/>
      <c r="L276" s="37"/>
      <c r="M276" s="37"/>
      <c r="N276" s="37"/>
      <c r="O276" s="37"/>
      <c r="P276" s="37"/>
      <c r="Q276" s="37"/>
      <c r="R276" s="37"/>
      <c r="S276" s="37"/>
      <c r="T276" s="37"/>
      <c r="U276" s="3"/>
    </row>
    <row r="277" spans="1:21" ht="15.75" customHeight="1" x14ac:dyDescent="0.3">
      <c r="A277" s="3"/>
      <c r="B277" s="3"/>
      <c r="C277" s="37"/>
      <c r="D277" s="37"/>
      <c r="E277" s="37"/>
      <c r="F277" s="37"/>
      <c r="G277" s="98"/>
      <c r="H277" s="98"/>
      <c r="I277" s="99"/>
      <c r="J277" s="98"/>
      <c r="K277" s="37"/>
      <c r="L277" s="37"/>
      <c r="M277" s="37"/>
      <c r="N277" s="37"/>
      <c r="O277" s="37"/>
      <c r="P277" s="37"/>
      <c r="Q277" s="37"/>
      <c r="R277" s="37"/>
      <c r="S277" s="37"/>
      <c r="T277" s="37"/>
      <c r="U277" s="3"/>
    </row>
    <row r="278" spans="1:21" ht="15.75" customHeight="1" x14ac:dyDescent="0.3">
      <c r="A278" s="3"/>
      <c r="B278" s="3"/>
      <c r="C278" s="37"/>
      <c r="D278" s="37"/>
      <c r="E278" s="37"/>
      <c r="F278" s="37"/>
      <c r="G278" s="98"/>
      <c r="H278" s="98"/>
      <c r="I278" s="99"/>
      <c r="J278" s="98"/>
      <c r="K278" s="37"/>
      <c r="L278" s="37"/>
      <c r="M278" s="37"/>
      <c r="N278" s="37"/>
      <c r="O278" s="37"/>
      <c r="P278" s="37"/>
      <c r="Q278" s="37"/>
      <c r="R278" s="37"/>
      <c r="S278" s="37"/>
      <c r="T278" s="37"/>
      <c r="U278" s="3"/>
    </row>
    <row r="279" spans="1:21" ht="15.75" customHeight="1" x14ac:dyDescent="0.3">
      <c r="A279" s="3"/>
      <c r="B279" s="3"/>
      <c r="C279" s="37"/>
      <c r="D279" s="37"/>
      <c r="E279" s="37"/>
      <c r="F279" s="37"/>
      <c r="G279" s="98"/>
      <c r="H279" s="98"/>
      <c r="I279" s="99"/>
      <c r="J279" s="98"/>
      <c r="K279" s="37"/>
      <c r="L279" s="37"/>
      <c r="M279" s="37"/>
      <c r="N279" s="37"/>
      <c r="O279" s="37"/>
      <c r="P279" s="37"/>
      <c r="Q279" s="37"/>
      <c r="R279" s="37"/>
      <c r="S279" s="37"/>
      <c r="T279" s="37"/>
      <c r="U279" s="3"/>
    </row>
    <row r="280" spans="1:21" ht="15.75" customHeight="1" x14ac:dyDescent="0.3">
      <c r="A280" s="3"/>
      <c r="B280" s="3"/>
      <c r="C280" s="37"/>
      <c r="D280" s="37"/>
      <c r="E280" s="37"/>
      <c r="F280" s="37"/>
      <c r="G280" s="98"/>
      <c r="H280" s="98"/>
      <c r="I280" s="99"/>
      <c r="J280" s="98"/>
      <c r="K280" s="37"/>
      <c r="L280" s="37"/>
      <c r="M280" s="37"/>
      <c r="N280" s="37"/>
      <c r="O280" s="37"/>
      <c r="P280" s="37"/>
      <c r="Q280" s="37"/>
      <c r="R280" s="37"/>
      <c r="S280" s="37"/>
      <c r="T280" s="37"/>
      <c r="U280" s="3"/>
    </row>
    <row r="281" spans="1:21" ht="15.75" customHeight="1" x14ac:dyDescent="0.3">
      <c r="A281" s="3"/>
      <c r="B281" s="3"/>
      <c r="C281" s="37"/>
      <c r="D281" s="37"/>
      <c r="E281" s="37"/>
      <c r="F281" s="37"/>
      <c r="G281" s="98"/>
      <c r="H281" s="98"/>
      <c r="I281" s="99"/>
      <c r="J281" s="98"/>
      <c r="K281" s="37"/>
      <c r="L281" s="37"/>
      <c r="M281" s="37"/>
      <c r="N281" s="37"/>
      <c r="O281" s="37"/>
      <c r="P281" s="37"/>
      <c r="Q281" s="37"/>
      <c r="R281" s="37"/>
      <c r="S281" s="37"/>
      <c r="T281" s="37"/>
      <c r="U281" s="3"/>
    </row>
    <row r="282" spans="1:21" ht="15.75" customHeight="1" x14ac:dyDescent="0.3">
      <c r="A282" s="3"/>
      <c r="B282" s="3"/>
      <c r="C282" s="37"/>
      <c r="D282" s="37"/>
      <c r="E282" s="37"/>
      <c r="F282" s="37"/>
      <c r="G282" s="98"/>
      <c r="H282" s="98"/>
      <c r="I282" s="99"/>
      <c r="J282" s="98"/>
      <c r="K282" s="37"/>
      <c r="L282" s="37"/>
      <c r="M282" s="37"/>
      <c r="N282" s="37"/>
      <c r="O282" s="37"/>
      <c r="P282" s="37"/>
      <c r="Q282" s="37"/>
      <c r="R282" s="37"/>
      <c r="S282" s="37"/>
      <c r="T282" s="37"/>
      <c r="U282" s="3"/>
    </row>
    <row r="283" spans="1:21" ht="15.75" customHeight="1" x14ac:dyDescent="0.3">
      <c r="A283" s="3"/>
      <c r="B283" s="3"/>
      <c r="C283" s="37"/>
      <c r="D283" s="37"/>
      <c r="E283" s="37"/>
      <c r="F283" s="37"/>
      <c r="G283" s="98"/>
      <c r="H283" s="98"/>
      <c r="I283" s="99"/>
      <c r="J283" s="98"/>
      <c r="K283" s="37"/>
      <c r="L283" s="37"/>
      <c r="M283" s="37"/>
      <c r="N283" s="37"/>
      <c r="O283" s="37"/>
      <c r="P283" s="37"/>
      <c r="Q283" s="37"/>
      <c r="R283" s="37"/>
      <c r="S283" s="37"/>
      <c r="T283" s="37"/>
      <c r="U283" s="3"/>
    </row>
    <row r="284" spans="1:21" ht="15.75" customHeight="1" x14ac:dyDescent="0.3">
      <c r="A284" s="3"/>
      <c r="B284" s="3"/>
      <c r="C284" s="37"/>
      <c r="D284" s="37"/>
      <c r="E284" s="37"/>
      <c r="F284" s="37"/>
      <c r="G284" s="98"/>
      <c r="H284" s="98"/>
      <c r="I284" s="99"/>
      <c r="J284" s="98"/>
      <c r="K284" s="37"/>
      <c r="L284" s="37"/>
      <c r="M284" s="37"/>
      <c r="N284" s="37"/>
      <c r="O284" s="37"/>
      <c r="P284" s="37"/>
      <c r="Q284" s="37"/>
      <c r="R284" s="37"/>
      <c r="S284" s="37"/>
      <c r="T284" s="37"/>
      <c r="U284" s="3"/>
    </row>
    <row r="285" spans="1:21" ht="15.75" customHeight="1" x14ac:dyDescent="0.3">
      <c r="A285" s="3"/>
      <c r="B285" s="3"/>
      <c r="C285" s="37"/>
      <c r="D285" s="37"/>
      <c r="E285" s="37"/>
      <c r="F285" s="37"/>
      <c r="G285" s="98"/>
      <c r="H285" s="98"/>
      <c r="I285" s="99"/>
      <c r="J285" s="98"/>
      <c r="K285" s="37"/>
      <c r="L285" s="37"/>
      <c r="M285" s="37"/>
      <c r="N285" s="37"/>
      <c r="O285" s="37"/>
      <c r="P285" s="37"/>
      <c r="Q285" s="37"/>
      <c r="R285" s="37"/>
      <c r="S285" s="37"/>
      <c r="T285" s="37"/>
      <c r="U285" s="3"/>
    </row>
    <row r="286" spans="1:21" ht="15.75" customHeight="1" x14ac:dyDescent="0.3">
      <c r="A286" s="3"/>
      <c r="B286" s="3"/>
      <c r="C286" s="37"/>
      <c r="D286" s="37"/>
      <c r="E286" s="37"/>
      <c r="F286" s="37"/>
      <c r="G286" s="98"/>
      <c r="H286" s="98"/>
      <c r="I286" s="99"/>
      <c r="J286" s="98"/>
      <c r="K286" s="37"/>
      <c r="L286" s="37"/>
      <c r="M286" s="37"/>
      <c r="N286" s="37"/>
      <c r="O286" s="37"/>
      <c r="P286" s="37"/>
      <c r="Q286" s="37"/>
      <c r="R286" s="37"/>
      <c r="S286" s="37"/>
      <c r="T286" s="37"/>
      <c r="U286" s="3"/>
    </row>
    <row r="287" spans="1:21" ht="15.75" customHeight="1" x14ac:dyDescent="0.3">
      <c r="A287" s="3"/>
      <c r="B287" s="3"/>
      <c r="C287" s="37"/>
      <c r="D287" s="37"/>
      <c r="E287" s="37"/>
      <c r="F287" s="37"/>
      <c r="G287" s="98"/>
      <c r="H287" s="98"/>
      <c r="I287" s="99"/>
      <c r="J287" s="98"/>
      <c r="K287" s="37"/>
      <c r="L287" s="37"/>
      <c r="M287" s="37"/>
      <c r="N287" s="37"/>
      <c r="O287" s="37"/>
      <c r="P287" s="37"/>
      <c r="Q287" s="37"/>
      <c r="R287" s="37"/>
      <c r="S287" s="37"/>
      <c r="T287" s="37"/>
      <c r="U287" s="3"/>
    </row>
    <row r="288" spans="1:21" ht="15.75" customHeight="1" x14ac:dyDescent="0.3">
      <c r="A288" s="3"/>
      <c r="B288" s="3"/>
      <c r="C288" s="37"/>
      <c r="D288" s="37"/>
      <c r="E288" s="37"/>
      <c r="F288" s="37"/>
      <c r="G288" s="98"/>
      <c r="H288" s="98"/>
      <c r="I288" s="99"/>
      <c r="J288" s="98"/>
      <c r="K288" s="37"/>
      <c r="L288" s="37"/>
      <c r="M288" s="37"/>
      <c r="N288" s="37"/>
      <c r="O288" s="37"/>
      <c r="P288" s="37"/>
      <c r="Q288" s="37"/>
      <c r="R288" s="37"/>
      <c r="S288" s="37"/>
      <c r="T288" s="37"/>
      <c r="U288" s="3"/>
    </row>
    <row r="289" spans="1:21" ht="15.75" customHeight="1" x14ac:dyDescent="0.3">
      <c r="A289" s="3"/>
      <c r="B289" s="3"/>
      <c r="C289" s="37"/>
      <c r="D289" s="37"/>
      <c r="E289" s="37"/>
      <c r="F289" s="37"/>
      <c r="G289" s="98"/>
      <c r="H289" s="98"/>
      <c r="I289" s="99"/>
      <c r="J289" s="98"/>
      <c r="K289" s="37"/>
      <c r="L289" s="37"/>
      <c r="M289" s="37"/>
      <c r="N289" s="37"/>
      <c r="O289" s="37"/>
      <c r="P289" s="37"/>
      <c r="Q289" s="37"/>
      <c r="R289" s="37"/>
      <c r="S289" s="37"/>
      <c r="T289" s="37"/>
      <c r="U289" s="3"/>
    </row>
    <row r="290" spans="1:21" ht="15.75" customHeight="1" x14ac:dyDescent="0.3">
      <c r="A290" s="3"/>
      <c r="B290" s="3"/>
      <c r="C290" s="37"/>
      <c r="D290" s="37"/>
      <c r="E290" s="37"/>
      <c r="F290" s="37"/>
      <c r="G290" s="98"/>
      <c r="H290" s="98"/>
      <c r="I290" s="99"/>
      <c r="J290" s="98"/>
      <c r="K290" s="37"/>
      <c r="L290" s="37"/>
      <c r="M290" s="37"/>
      <c r="N290" s="37"/>
      <c r="O290" s="37"/>
      <c r="P290" s="37"/>
      <c r="Q290" s="37"/>
      <c r="R290" s="37"/>
      <c r="S290" s="37"/>
      <c r="T290" s="37"/>
      <c r="U290" s="3"/>
    </row>
    <row r="291" spans="1:21" ht="15.75" customHeight="1" x14ac:dyDescent="0.3">
      <c r="A291" s="3"/>
      <c r="B291" s="3"/>
      <c r="C291" s="37"/>
      <c r="D291" s="37"/>
      <c r="E291" s="37"/>
      <c r="F291" s="37"/>
      <c r="G291" s="98"/>
      <c r="H291" s="98"/>
      <c r="I291" s="99"/>
      <c r="J291" s="98"/>
      <c r="K291" s="37"/>
      <c r="L291" s="37"/>
      <c r="M291" s="37"/>
      <c r="N291" s="37"/>
      <c r="O291" s="37"/>
      <c r="P291" s="37"/>
      <c r="Q291" s="37"/>
      <c r="R291" s="37"/>
      <c r="S291" s="37"/>
      <c r="T291" s="37"/>
      <c r="U291" s="3"/>
    </row>
    <row r="292" spans="1:21" ht="15.75" customHeight="1" x14ac:dyDescent="0.3">
      <c r="A292" s="3"/>
      <c r="B292" s="3"/>
      <c r="C292" s="37"/>
      <c r="D292" s="37"/>
      <c r="E292" s="37"/>
      <c r="F292" s="37"/>
      <c r="G292" s="98"/>
      <c r="H292" s="98"/>
      <c r="I292" s="99"/>
      <c r="J292" s="98"/>
      <c r="K292" s="37"/>
      <c r="L292" s="37"/>
      <c r="M292" s="37"/>
      <c r="N292" s="37"/>
      <c r="O292" s="37"/>
      <c r="P292" s="37"/>
      <c r="Q292" s="37"/>
      <c r="R292" s="37"/>
      <c r="S292" s="37"/>
      <c r="T292" s="37"/>
      <c r="U292" s="3"/>
    </row>
    <row r="293" spans="1:21" ht="15.75" customHeight="1" x14ac:dyDescent="0.3">
      <c r="A293" s="3"/>
      <c r="B293" s="3"/>
      <c r="C293" s="37"/>
      <c r="D293" s="37"/>
      <c r="E293" s="37"/>
      <c r="F293" s="37"/>
      <c r="G293" s="98"/>
      <c r="H293" s="98"/>
      <c r="I293" s="99"/>
      <c r="J293" s="98"/>
      <c r="K293" s="37"/>
      <c r="L293" s="37"/>
      <c r="M293" s="37"/>
      <c r="N293" s="37"/>
      <c r="O293" s="37"/>
      <c r="P293" s="37"/>
      <c r="Q293" s="37"/>
      <c r="R293" s="37"/>
      <c r="S293" s="37"/>
      <c r="T293" s="37"/>
      <c r="U293" s="3"/>
    </row>
    <row r="294" spans="1:21" ht="15.75" customHeight="1" x14ac:dyDescent="0.3">
      <c r="A294" s="3"/>
      <c r="B294" s="3"/>
      <c r="C294" s="37"/>
      <c r="D294" s="37"/>
      <c r="E294" s="37"/>
      <c r="F294" s="37"/>
      <c r="G294" s="98"/>
      <c r="H294" s="98"/>
      <c r="I294" s="99"/>
      <c r="J294" s="98"/>
      <c r="K294" s="37"/>
      <c r="L294" s="37"/>
      <c r="M294" s="37"/>
      <c r="N294" s="37"/>
      <c r="O294" s="37"/>
      <c r="P294" s="37"/>
      <c r="Q294" s="37"/>
      <c r="R294" s="37"/>
      <c r="S294" s="37"/>
      <c r="T294" s="37"/>
      <c r="U294" s="3"/>
    </row>
    <row r="295" spans="1:21" ht="15.75" customHeight="1" x14ac:dyDescent="0.3">
      <c r="A295" s="3"/>
      <c r="B295" s="3"/>
      <c r="C295" s="37"/>
      <c r="D295" s="37"/>
      <c r="E295" s="37"/>
      <c r="F295" s="37"/>
      <c r="G295" s="98"/>
      <c r="H295" s="98"/>
      <c r="I295" s="99"/>
      <c r="J295" s="98"/>
      <c r="K295" s="37"/>
      <c r="L295" s="37"/>
      <c r="M295" s="37"/>
      <c r="N295" s="37"/>
      <c r="O295" s="37"/>
      <c r="P295" s="37"/>
      <c r="Q295" s="37"/>
      <c r="R295" s="37"/>
      <c r="S295" s="37"/>
      <c r="T295" s="37"/>
      <c r="U295" s="3"/>
    </row>
    <row r="296" spans="1:21" ht="15.75" customHeight="1" x14ac:dyDescent="0.3">
      <c r="A296" s="3"/>
      <c r="B296" s="3"/>
      <c r="C296" s="37"/>
      <c r="D296" s="37"/>
      <c r="E296" s="37"/>
      <c r="F296" s="37"/>
      <c r="G296" s="98"/>
      <c r="H296" s="98"/>
      <c r="I296" s="99"/>
      <c r="J296" s="98"/>
      <c r="K296" s="37"/>
      <c r="L296" s="37"/>
      <c r="M296" s="37"/>
      <c r="N296" s="37"/>
      <c r="O296" s="37"/>
      <c r="P296" s="37"/>
      <c r="Q296" s="37"/>
      <c r="R296" s="37"/>
      <c r="S296" s="37"/>
      <c r="T296" s="37"/>
      <c r="U296" s="3"/>
    </row>
    <row r="297" spans="1:21" ht="15.75" customHeight="1" x14ac:dyDescent="0.3">
      <c r="A297" s="3"/>
      <c r="B297" s="3"/>
      <c r="C297" s="37"/>
      <c r="D297" s="37"/>
      <c r="E297" s="37"/>
      <c r="F297" s="37"/>
      <c r="G297" s="98"/>
      <c r="H297" s="98"/>
      <c r="I297" s="99"/>
      <c r="J297" s="98"/>
      <c r="K297" s="37"/>
      <c r="L297" s="37"/>
      <c r="M297" s="37"/>
      <c r="N297" s="37"/>
      <c r="O297" s="37"/>
      <c r="P297" s="37"/>
      <c r="Q297" s="37"/>
      <c r="R297" s="37"/>
      <c r="S297" s="37"/>
      <c r="T297" s="37"/>
      <c r="U297" s="3"/>
    </row>
    <row r="298" spans="1:21" ht="15.75" customHeight="1" x14ac:dyDescent="0.3">
      <c r="A298" s="3"/>
      <c r="B298" s="3"/>
      <c r="C298" s="37"/>
      <c r="D298" s="37"/>
      <c r="E298" s="37"/>
      <c r="F298" s="37"/>
      <c r="G298" s="98"/>
      <c r="H298" s="98"/>
      <c r="I298" s="99"/>
      <c r="J298" s="98"/>
      <c r="K298" s="37"/>
      <c r="L298" s="37"/>
      <c r="M298" s="37"/>
      <c r="N298" s="37"/>
      <c r="O298" s="37"/>
      <c r="P298" s="37"/>
      <c r="Q298" s="37"/>
      <c r="R298" s="37"/>
      <c r="S298" s="37"/>
      <c r="T298" s="37"/>
      <c r="U298" s="3"/>
    </row>
    <row r="299" spans="1:21" ht="15.75" customHeight="1" x14ac:dyDescent="0.3">
      <c r="A299" s="3"/>
      <c r="B299" s="3"/>
      <c r="C299" s="37"/>
      <c r="D299" s="37"/>
      <c r="E299" s="37"/>
      <c r="F299" s="37"/>
      <c r="G299" s="98"/>
      <c r="H299" s="98"/>
      <c r="I299" s="99"/>
      <c r="J299" s="98"/>
      <c r="K299" s="37"/>
      <c r="L299" s="37"/>
      <c r="M299" s="37"/>
      <c r="N299" s="37"/>
      <c r="O299" s="37"/>
      <c r="P299" s="37"/>
      <c r="Q299" s="37"/>
      <c r="R299" s="37"/>
      <c r="S299" s="37"/>
      <c r="T299" s="37"/>
      <c r="U299" s="3"/>
    </row>
    <row r="300" spans="1:21" ht="15.75" customHeight="1" x14ac:dyDescent="0.3">
      <c r="A300" s="3"/>
      <c r="B300" s="3"/>
      <c r="C300" s="37"/>
      <c r="D300" s="37"/>
      <c r="E300" s="37"/>
      <c r="F300" s="37"/>
      <c r="G300" s="98"/>
      <c r="H300" s="98"/>
      <c r="I300" s="99"/>
      <c r="J300" s="98"/>
      <c r="K300" s="37"/>
      <c r="L300" s="37"/>
      <c r="M300" s="37"/>
      <c r="N300" s="37"/>
      <c r="O300" s="37"/>
      <c r="P300" s="37"/>
      <c r="Q300" s="37"/>
      <c r="R300" s="37"/>
      <c r="S300" s="37"/>
      <c r="T300" s="37"/>
      <c r="U300" s="3"/>
    </row>
    <row r="301" spans="1:21" ht="15.75" customHeight="1" x14ac:dyDescent="0.3">
      <c r="A301" s="3"/>
      <c r="B301" s="3"/>
      <c r="C301" s="37"/>
      <c r="D301" s="37"/>
      <c r="E301" s="37"/>
      <c r="F301" s="37"/>
      <c r="G301" s="98"/>
      <c r="H301" s="98"/>
      <c r="I301" s="99"/>
      <c r="J301" s="98"/>
      <c r="K301" s="37"/>
      <c r="L301" s="37"/>
      <c r="M301" s="37"/>
      <c r="N301" s="37"/>
      <c r="O301" s="37"/>
      <c r="P301" s="37"/>
      <c r="Q301" s="37"/>
      <c r="R301" s="37"/>
      <c r="S301" s="37"/>
      <c r="T301" s="37"/>
      <c r="U301" s="3"/>
    </row>
    <row r="302" spans="1:21" ht="15.75" customHeight="1" x14ac:dyDescent="0.3">
      <c r="A302" s="3"/>
      <c r="B302" s="3"/>
      <c r="C302" s="37"/>
      <c r="D302" s="37"/>
      <c r="E302" s="37"/>
      <c r="F302" s="37"/>
      <c r="G302" s="98"/>
      <c r="H302" s="98"/>
      <c r="I302" s="99"/>
      <c r="J302" s="98"/>
      <c r="K302" s="37"/>
      <c r="L302" s="37"/>
      <c r="M302" s="37"/>
      <c r="N302" s="37"/>
      <c r="O302" s="37"/>
      <c r="P302" s="37"/>
      <c r="Q302" s="37"/>
      <c r="R302" s="37"/>
      <c r="S302" s="37"/>
      <c r="T302" s="37"/>
      <c r="U302" s="3"/>
    </row>
    <row r="303" spans="1:21" ht="15.75" customHeight="1" x14ac:dyDescent="0.3">
      <c r="A303" s="3"/>
      <c r="B303" s="3"/>
      <c r="C303" s="37"/>
      <c r="D303" s="37"/>
      <c r="E303" s="37"/>
      <c r="F303" s="37"/>
      <c r="G303" s="98"/>
      <c r="H303" s="98"/>
      <c r="I303" s="99"/>
      <c r="J303" s="98"/>
      <c r="K303" s="37"/>
      <c r="L303" s="37"/>
      <c r="M303" s="37"/>
      <c r="N303" s="37"/>
      <c r="O303" s="37"/>
      <c r="P303" s="37"/>
      <c r="Q303" s="37"/>
      <c r="R303" s="37"/>
      <c r="S303" s="37"/>
      <c r="T303" s="37"/>
      <c r="U303" s="3"/>
    </row>
    <row r="304" spans="1:21" ht="15.75" customHeight="1" x14ac:dyDescent="0.3">
      <c r="A304" s="3"/>
      <c r="B304" s="3"/>
      <c r="C304" s="37"/>
      <c r="D304" s="37"/>
      <c r="E304" s="37"/>
      <c r="F304" s="37"/>
      <c r="G304" s="98"/>
      <c r="H304" s="98"/>
      <c r="I304" s="99"/>
      <c r="J304" s="98"/>
      <c r="K304" s="37"/>
      <c r="L304" s="37"/>
      <c r="M304" s="37"/>
      <c r="N304" s="37"/>
      <c r="O304" s="37"/>
      <c r="P304" s="37"/>
      <c r="Q304" s="37"/>
      <c r="R304" s="37"/>
      <c r="S304" s="37"/>
      <c r="T304" s="37"/>
      <c r="U304" s="3"/>
    </row>
    <row r="305" spans="1:21" ht="15.75" customHeight="1" x14ac:dyDescent="0.3">
      <c r="A305" s="3"/>
      <c r="B305" s="3"/>
      <c r="C305" s="37"/>
      <c r="D305" s="37"/>
      <c r="E305" s="37"/>
      <c r="F305" s="37"/>
      <c r="G305" s="98"/>
      <c r="H305" s="98"/>
      <c r="I305" s="99"/>
      <c r="J305" s="98"/>
      <c r="K305" s="37"/>
      <c r="L305" s="37"/>
      <c r="M305" s="37"/>
      <c r="N305" s="37"/>
      <c r="O305" s="37"/>
      <c r="P305" s="37"/>
      <c r="Q305" s="37"/>
      <c r="R305" s="37"/>
      <c r="S305" s="37"/>
      <c r="T305" s="37"/>
      <c r="U305" s="3"/>
    </row>
    <row r="306" spans="1:21" ht="15.75" customHeight="1" x14ac:dyDescent="0.3">
      <c r="A306" s="3"/>
      <c r="B306" s="3"/>
      <c r="C306" s="37"/>
      <c r="D306" s="37"/>
      <c r="E306" s="37"/>
      <c r="F306" s="37"/>
      <c r="G306" s="98"/>
      <c r="H306" s="98"/>
      <c r="I306" s="99"/>
      <c r="J306" s="98"/>
      <c r="K306" s="37"/>
      <c r="L306" s="37"/>
      <c r="M306" s="37"/>
      <c r="N306" s="37"/>
      <c r="O306" s="37"/>
      <c r="P306" s="37"/>
      <c r="Q306" s="37"/>
      <c r="R306" s="37"/>
      <c r="S306" s="37"/>
      <c r="T306" s="37"/>
      <c r="U306" s="3"/>
    </row>
    <row r="307" spans="1:21" ht="15.75" customHeight="1" x14ac:dyDescent="0.3">
      <c r="A307" s="3"/>
      <c r="B307" s="3"/>
      <c r="C307" s="37"/>
      <c r="D307" s="37"/>
      <c r="E307" s="37"/>
      <c r="F307" s="37"/>
      <c r="G307" s="98"/>
      <c r="H307" s="98"/>
      <c r="I307" s="99"/>
      <c r="J307" s="98"/>
      <c r="K307" s="37"/>
      <c r="L307" s="37"/>
      <c r="M307" s="37"/>
      <c r="N307" s="37"/>
      <c r="O307" s="37"/>
      <c r="P307" s="37"/>
      <c r="Q307" s="37"/>
      <c r="R307" s="37"/>
      <c r="S307" s="37"/>
      <c r="T307" s="37"/>
      <c r="U307" s="3"/>
    </row>
    <row r="308" spans="1:21" ht="15.75" customHeight="1" x14ac:dyDescent="0.3">
      <c r="A308" s="3"/>
      <c r="B308" s="3"/>
      <c r="C308" s="37"/>
      <c r="D308" s="37"/>
      <c r="E308" s="37"/>
      <c r="F308" s="37"/>
      <c r="G308" s="98"/>
      <c r="H308" s="98"/>
      <c r="I308" s="99"/>
      <c r="J308" s="98"/>
      <c r="K308" s="37"/>
      <c r="L308" s="37"/>
      <c r="M308" s="37"/>
      <c r="N308" s="37"/>
      <c r="O308" s="37"/>
      <c r="P308" s="37"/>
      <c r="Q308" s="37"/>
      <c r="R308" s="37"/>
      <c r="S308" s="37"/>
      <c r="T308" s="37"/>
      <c r="U308" s="3"/>
    </row>
    <row r="309" spans="1:21" ht="15.75" customHeight="1" x14ac:dyDescent="0.3">
      <c r="A309" s="3"/>
      <c r="B309" s="3"/>
      <c r="C309" s="37"/>
      <c r="D309" s="37"/>
      <c r="E309" s="37"/>
      <c r="F309" s="37"/>
      <c r="G309" s="98"/>
      <c r="H309" s="98"/>
      <c r="I309" s="99"/>
      <c r="J309" s="98"/>
      <c r="K309" s="37"/>
      <c r="L309" s="37"/>
      <c r="M309" s="37"/>
      <c r="N309" s="37"/>
      <c r="O309" s="37"/>
      <c r="P309" s="37"/>
      <c r="Q309" s="37"/>
      <c r="R309" s="37"/>
      <c r="S309" s="37"/>
      <c r="T309" s="37"/>
      <c r="U309" s="3"/>
    </row>
    <row r="310" spans="1:21" ht="15.75" customHeight="1" x14ac:dyDescent="0.3">
      <c r="A310" s="3"/>
      <c r="B310" s="3"/>
      <c r="C310" s="37"/>
      <c r="D310" s="37"/>
      <c r="E310" s="37"/>
      <c r="F310" s="37"/>
      <c r="G310" s="98"/>
      <c r="H310" s="98"/>
      <c r="I310" s="99"/>
      <c r="J310" s="98"/>
      <c r="K310" s="37"/>
      <c r="L310" s="37"/>
      <c r="M310" s="37"/>
      <c r="N310" s="37"/>
      <c r="O310" s="37"/>
      <c r="P310" s="37"/>
      <c r="Q310" s="37"/>
      <c r="R310" s="37"/>
      <c r="S310" s="37"/>
      <c r="T310" s="37"/>
      <c r="U310" s="3"/>
    </row>
    <row r="311" spans="1:21" ht="15.75" customHeight="1" x14ac:dyDescent="0.3">
      <c r="A311" s="3"/>
      <c r="B311" s="3"/>
      <c r="C311" s="37"/>
      <c r="D311" s="37"/>
      <c r="E311" s="37"/>
      <c r="F311" s="37"/>
      <c r="G311" s="98"/>
      <c r="H311" s="98"/>
      <c r="I311" s="99"/>
      <c r="J311" s="98"/>
      <c r="K311" s="37"/>
      <c r="L311" s="37"/>
      <c r="M311" s="37"/>
      <c r="N311" s="37"/>
      <c r="O311" s="37"/>
      <c r="P311" s="37"/>
      <c r="Q311" s="37"/>
      <c r="R311" s="37"/>
      <c r="S311" s="37"/>
      <c r="T311" s="37"/>
      <c r="U311" s="3"/>
    </row>
    <row r="312" spans="1:21" ht="15.75" customHeight="1" x14ac:dyDescent="0.3">
      <c r="A312" s="3"/>
      <c r="B312" s="3"/>
      <c r="C312" s="37"/>
      <c r="D312" s="37"/>
      <c r="E312" s="37"/>
      <c r="F312" s="37"/>
      <c r="G312" s="98"/>
      <c r="H312" s="98"/>
      <c r="I312" s="99"/>
      <c r="J312" s="98"/>
      <c r="K312" s="37"/>
      <c r="L312" s="37"/>
      <c r="M312" s="37"/>
      <c r="N312" s="37"/>
      <c r="O312" s="37"/>
      <c r="P312" s="37"/>
      <c r="Q312" s="37"/>
      <c r="R312" s="37"/>
      <c r="S312" s="37"/>
      <c r="T312" s="37"/>
      <c r="U312" s="3"/>
    </row>
    <row r="313" spans="1:21" ht="15.75" customHeight="1" x14ac:dyDescent="0.3">
      <c r="A313" s="3"/>
      <c r="B313" s="3"/>
      <c r="C313" s="37"/>
      <c r="D313" s="37"/>
      <c r="E313" s="37"/>
      <c r="F313" s="37"/>
      <c r="G313" s="98"/>
      <c r="H313" s="98"/>
      <c r="I313" s="99"/>
      <c r="J313" s="98"/>
      <c r="K313" s="37"/>
      <c r="L313" s="37"/>
      <c r="M313" s="37"/>
      <c r="N313" s="37"/>
      <c r="O313" s="37"/>
      <c r="P313" s="37"/>
      <c r="Q313" s="37"/>
      <c r="R313" s="37"/>
      <c r="S313" s="37"/>
      <c r="T313" s="37"/>
      <c r="U313" s="3"/>
    </row>
    <row r="314" spans="1:21" ht="15.75" customHeight="1" x14ac:dyDescent="0.3">
      <c r="A314" s="3"/>
      <c r="B314" s="3"/>
      <c r="C314" s="37"/>
      <c r="D314" s="37"/>
      <c r="E314" s="37"/>
      <c r="F314" s="37"/>
      <c r="G314" s="98"/>
      <c r="H314" s="98"/>
      <c r="I314" s="99"/>
      <c r="J314" s="98"/>
      <c r="K314" s="37"/>
      <c r="L314" s="37"/>
      <c r="M314" s="37"/>
      <c r="N314" s="37"/>
      <c r="O314" s="37"/>
      <c r="P314" s="37"/>
      <c r="Q314" s="37"/>
      <c r="R314" s="37"/>
      <c r="S314" s="37"/>
      <c r="T314" s="37"/>
      <c r="U314" s="3"/>
    </row>
    <row r="315" spans="1:21" ht="15.75" customHeight="1" x14ac:dyDescent="0.3">
      <c r="A315" s="3"/>
      <c r="B315" s="3"/>
      <c r="C315" s="37"/>
      <c r="D315" s="37"/>
      <c r="E315" s="37"/>
      <c r="F315" s="37"/>
      <c r="G315" s="98"/>
      <c r="H315" s="98"/>
      <c r="I315" s="99"/>
      <c r="J315" s="98"/>
      <c r="K315" s="37"/>
      <c r="L315" s="37"/>
      <c r="M315" s="37"/>
      <c r="N315" s="37"/>
      <c r="O315" s="37"/>
      <c r="P315" s="37"/>
      <c r="Q315" s="37"/>
      <c r="R315" s="37"/>
      <c r="S315" s="37"/>
      <c r="T315" s="37"/>
      <c r="U315" s="3"/>
    </row>
    <row r="316" spans="1:21" ht="15.75" customHeight="1" x14ac:dyDescent="0.3">
      <c r="A316" s="3"/>
      <c r="B316" s="3"/>
      <c r="C316" s="37"/>
      <c r="D316" s="37"/>
      <c r="E316" s="37"/>
      <c r="F316" s="37"/>
      <c r="G316" s="98"/>
      <c r="H316" s="98"/>
      <c r="I316" s="99"/>
      <c r="J316" s="98"/>
      <c r="K316" s="37"/>
      <c r="L316" s="37"/>
      <c r="M316" s="37"/>
      <c r="N316" s="37"/>
      <c r="O316" s="37"/>
      <c r="P316" s="37"/>
      <c r="Q316" s="37"/>
      <c r="R316" s="37"/>
      <c r="S316" s="37"/>
      <c r="T316" s="37"/>
      <c r="U316" s="3"/>
    </row>
    <row r="317" spans="1:21" ht="15.75" customHeight="1" x14ac:dyDescent="0.3">
      <c r="A317" s="3"/>
      <c r="B317" s="3"/>
      <c r="C317" s="37"/>
      <c r="D317" s="37"/>
      <c r="E317" s="37"/>
      <c r="F317" s="37"/>
      <c r="G317" s="98"/>
      <c r="H317" s="98"/>
      <c r="I317" s="99"/>
      <c r="J317" s="98"/>
      <c r="K317" s="37"/>
      <c r="L317" s="37"/>
      <c r="M317" s="37"/>
      <c r="N317" s="37"/>
      <c r="O317" s="37"/>
      <c r="P317" s="37"/>
      <c r="Q317" s="37"/>
      <c r="R317" s="37"/>
      <c r="S317" s="37"/>
      <c r="T317" s="37"/>
      <c r="U317" s="3"/>
    </row>
    <row r="318" spans="1:21" ht="15.75" customHeight="1" x14ac:dyDescent="0.3">
      <c r="A318" s="3"/>
      <c r="B318" s="3"/>
      <c r="C318" s="37"/>
      <c r="D318" s="37"/>
      <c r="E318" s="37"/>
      <c r="F318" s="37"/>
      <c r="G318" s="98"/>
      <c r="H318" s="98"/>
      <c r="I318" s="99"/>
      <c r="J318" s="98"/>
      <c r="K318" s="37"/>
      <c r="L318" s="37"/>
      <c r="M318" s="37"/>
      <c r="N318" s="37"/>
      <c r="O318" s="37"/>
      <c r="P318" s="37"/>
      <c r="Q318" s="37"/>
      <c r="R318" s="37"/>
      <c r="S318" s="37"/>
      <c r="T318" s="37"/>
      <c r="U318" s="3"/>
    </row>
    <row r="319" spans="1:21" ht="15.75" customHeight="1" x14ac:dyDescent="0.3">
      <c r="A319" s="3"/>
      <c r="B319" s="3"/>
      <c r="C319" s="37"/>
      <c r="D319" s="37"/>
      <c r="E319" s="37"/>
      <c r="F319" s="37"/>
      <c r="G319" s="98"/>
      <c r="H319" s="98"/>
      <c r="I319" s="99"/>
      <c r="J319" s="98"/>
      <c r="K319" s="37"/>
      <c r="L319" s="37"/>
      <c r="M319" s="37"/>
      <c r="N319" s="37"/>
      <c r="O319" s="37"/>
      <c r="P319" s="37"/>
      <c r="Q319" s="37"/>
      <c r="R319" s="37"/>
      <c r="S319" s="37"/>
      <c r="T319" s="37"/>
      <c r="U319" s="3"/>
    </row>
    <row r="320" spans="1:21" ht="15.75" customHeight="1" x14ac:dyDescent="0.3">
      <c r="A320" s="3"/>
      <c r="B320" s="3"/>
      <c r="C320" s="37"/>
      <c r="D320" s="37"/>
      <c r="E320" s="37"/>
      <c r="F320" s="37"/>
      <c r="G320" s="98"/>
      <c r="H320" s="98"/>
      <c r="I320" s="99"/>
      <c r="J320" s="98"/>
      <c r="K320" s="37"/>
      <c r="L320" s="37"/>
      <c r="M320" s="37"/>
      <c r="N320" s="37"/>
      <c r="O320" s="37"/>
      <c r="P320" s="37"/>
      <c r="Q320" s="37"/>
      <c r="R320" s="37"/>
      <c r="S320" s="37"/>
      <c r="T320" s="37"/>
      <c r="U320" s="3"/>
    </row>
    <row r="321" spans="1:21" ht="15.75" customHeight="1" x14ac:dyDescent="0.3">
      <c r="A321" s="3"/>
      <c r="B321" s="3"/>
      <c r="C321" s="37"/>
      <c r="D321" s="37"/>
      <c r="E321" s="37"/>
      <c r="F321" s="37"/>
      <c r="G321" s="98"/>
      <c r="H321" s="98"/>
      <c r="I321" s="99"/>
      <c r="J321" s="98"/>
      <c r="K321" s="37"/>
      <c r="L321" s="37"/>
      <c r="M321" s="37"/>
      <c r="N321" s="37"/>
      <c r="O321" s="37"/>
      <c r="P321" s="37"/>
      <c r="Q321" s="37"/>
      <c r="R321" s="37"/>
      <c r="S321" s="37"/>
      <c r="T321" s="37"/>
      <c r="U321" s="3"/>
    </row>
    <row r="322" spans="1:21" ht="15.75" customHeight="1" x14ac:dyDescent="0.3">
      <c r="A322" s="3"/>
      <c r="B322" s="3"/>
      <c r="C322" s="37"/>
      <c r="D322" s="37"/>
      <c r="E322" s="37"/>
      <c r="F322" s="37"/>
      <c r="G322" s="98"/>
      <c r="H322" s="98"/>
      <c r="I322" s="99"/>
      <c r="J322" s="98"/>
      <c r="K322" s="37"/>
      <c r="L322" s="37"/>
      <c r="M322" s="37"/>
      <c r="N322" s="37"/>
      <c r="O322" s="37"/>
      <c r="P322" s="37"/>
      <c r="Q322" s="37"/>
      <c r="R322" s="37"/>
      <c r="S322" s="37"/>
      <c r="T322" s="37"/>
      <c r="U322" s="3"/>
    </row>
    <row r="323" spans="1:21" ht="15.75" customHeight="1" x14ac:dyDescent="0.3">
      <c r="A323" s="3"/>
      <c r="B323" s="3"/>
      <c r="C323" s="37"/>
      <c r="D323" s="37"/>
      <c r="E323" s="37"/>
      <c r="F323" s="37"/>
      <c r="G323" s="98"/>
      <c r="H323" s="98"/>
      <c r="I323" s="99"/>
      <c r="J323" s="98"/>
      <c r="K323" s="37"/>
      <c r="L323" s="37"/>
      <c r="M323" s="37"/>
      <c r="N323" s="37"/>
      <c r="O323" s="37"/>
      <c r="P323" s="37"/>
      <c r="Q323" s="37"/>
      <c r="R323" s="37"/>
      <c r="S323" s="37"/>
      <c r="T323" s="37"/>
      <c r="U323" s="3"/>
    </row>
    <row r="324" spans="1:21" ht="15.75" customHeight="1" x14ac:dyDescent="0.3">
      <c r="A324" s="3"/>
      <c r="B324" s="3"/>
      <c r="C324" s="37"/>
      <c r="D324" s="37"/>
      <c r="E324" s="37"/>
      <c r="F324" s="37"/>
      <c r="G324" s="98"/>
      <c r="H324" s="98"/>
      <c r="I324" s="99"/>
      <c r="J324" s="98"/>
      <c r="K324" s="37"/>
      <c r="L324" s="37"/>
      <c r="M324" s="37"/>
      <c r="N324" s="37"/>
      <c r="O324" s="37"/>
      <c r="P324" s="37"/>
      <c r="Q324" s="37"/>
      <c r="R324" s="37"/>
      <c r="S324" s="37"/>
      <c r="T324" s="37"/>
      <c r="U324" s="3"/>
    </row>
    <row r="325" spans="1:21" ht="15.75" customHeight="1" x14ac:dyDescent="0.3">
      <c r="A325" s="3"/>
      <c r="B325" s="3"/>
      <c r="C325" s="37"/>
      <c r="D325" s="37"/>
      <c r="E325" s="37"/>
      <c r="F325" s="37"/>
      <c r="G325" s="98"/>
      <c r="H325" s="98"/>
      <c r="I325" s="99"/>
      <c r="J325" s="98"/>
      <c r="K325" s="37"/>
      <c r="L325" s="37"/>
      <c r="M325" s="37"/>
      <c r="N325" s="37"/>
      <c r="O325" s="37"/>
      <c r="P325" s="37"/>
      <c r="Q325" s="37"/>
      <c r="R325" s="37"/>
      <c r="S325" s="37"/>
      <c r="T325" s="37"/>
      <c r="U325" s="3"/>
    </row>
    <row r="326" spans="1:21" ht="15.75" customHeight="1" x14ac:dyDescent="0.3">
      <c r="A326" s="3"/>
      <c r="B326" s="3"/>
      <c r="C326" s="37"/>
      <c r="D326" s="37"/>
      <c r="E326" s="37"/>
      <c r="F326" s="37"/>
      <c r="G326" s="98"/>
      <c r="H326" s="98"/>
      <c r="I326" s="99"/>
      <c r="J326" s="98"/>
      <c r="K326" s="37"/>
      <c r="L326" s="37"/>
      <c r="M326" s="37"/>
      <c r="N326" s="37"/>
      <c r="O326" s="37"/>
      <c r="P326" s="37"/>
      <c r="Q326" s="37"/>
      <c r="R326" s="37"/>
      <c r="S326" s="37"/>
      <c r="T326" s="37"/>
      <c r="U326" s="3"/>
    </row>
    <row r="327" spans="1:21" ht="15.75" customHeight="1" x14ac:dyDescent="0.3">
      <c r="A327" s="3"/>
      <c r="B327" s="3"/>
      <c r="C327" s="37"/>
      <c r="D327" s="37"/>
      <c r="E327" s="37"/>
      <c r="F327" s="37"/>
      <c r="G327" s="98"/>
      <c r="H327" s="98"/>
      <c r="I327" s="99"/>
      <c r="J327" s="98"/>
      <c r="K327" s="37"/>
      <c r="L327" s="37"/>
      <c r="M327" s="37"/>
      <c r="N327" s="37"/>
      <c r="O327" s="37"/>
      <c r="P327" s="37"/>
      <c r="Q327" s="37"/>
      <c r="R327" s="37"/>
      <c r="S327" s="37"/>
      <c r="T327" s="37"/>
      <c r="U327" s="3"/>
    </row>
    <row r="328" spans="1:21" ht="15.75" customHeight="1" x14ac:dyDescent="0.3">
      <c r="A328" s="3"/>
      <c r="B328" s="3"/>
      <c r="C328" s="37"/>
      <c r="D328" s="37"/>
      <c r="E328" s="37"/>
      <c r="F328" s="37"/>
      <c r="G328" s="98"/>
      <c r="H328" s="98"/>
      <c r="I328" s="99"/>
      <c r="J328" s="98"/>
      <c r="K328" s="37"/>
      <c r="L328" s="37"/>
      <c r="M328" s="37"/>
      <c r="N328" s="37"/>
      <c r="O328" s="37"/>
      <c r="P328" s="37"/>
      <c r="Q328" s="37"/>
      <c r="R328" s="37"/>
      <c r="S328" s="37"/>
      <c r="T328" s="37"/>
      <c r="U328" s="3"/>
    </row>
    <row r="329" spans="1:21" ht="15.75" customHeight="1" x14ac:dyDescent="0.3">
      <c r="A329" s="3"/>
      <c r="B329" s="3"/>
      <c r="C329" s="37"/>
      <c r="D329" s="37"/>
      <c r="E329" s="37"/>
      <c r="F329" s="37"/>
      <c r="G329" s="98"/>
      <c r="H329" s="98"/>
      <c r="I329" s="99"/>
      <c r="J329" s="98"/>
      <c r="K329" s="37"/>
      <c r="L329" s="37"/>
      <c r="M329" s="37"/>
      <c r="N329" s="37"/>
      <c r="O329" s="37"/>
      <c r="P329" s="37"/>
      <c r="Q329" s="37"/>
      <c r="R329" s="37"/>
      <c r="S329" s="37"/>
      <c r="T329" s="37"/>
      <c r="U329" s="3"/>
    </row>
    <row r="330" spans="1:21" ht="15.75" customHeight="1" x14ac:dyDescent="0.3">
      <c r="A330" s="3"/>
      <c r="B330" s="3"/>
      <c r="C330" s="37"/>
      <c r="D330" s="37"/>
      <c r="E330" s="37"/>
      <c r="F330" s="37"/>
      <c r="G330" s="98"/>
      <c r="H330" s="98"/>
      <c r="I330" s="99"/>
      <c r="J330" s="98"/>
      <c r="K330" s="37"/>
      <c r="L330" s="37"/>
      <c r="M330" s="37"/>
      <c r="N330" s="37"/>
      <c r="O330" s="37"/>
      <c r="P330" s="37"/>
      <c r="Q330" s="37"/>
      <c r="R330" s="37"/>
      <c r="S330" s="37"/>
      <c r="T330" s="37"/>
      <c r="U330" s="3"/>
    </row>
    <row r="331" spans="1:21" ht="15.75" customHeight="1" x14ac:dyDescent="0.3">
      <c r="A331" s="3"/>
      <c r="B331" s="3"/>
      <c r="C331" s="37"/>
      <c r="D331" s="37"/>
      <c r="E331" s="37"/>
      <c r="F331" s="37"/>
      <c r="G331" s="98"/>
      <c r="H331" s="98"/>
      <c r="I331" s="99"/>
      <c r="J331" s="98"/>
      <c r="K331" s="37"/>
      <c r="L331" s="37"/>
      <c r="M331" s="37"/>
      <c r="N331" s="37"/>
      <c r="O331" s="37"/>
      <c r="P331" s="37"/>
      <c r="Q331" s="37"/>
      <c r="R331" s="37"/>
      <c r="S331" s="37"/>
      <c r="T331" s="37"/>
      <c r="U331" s="3"/>
    </row>
    <row r="332" spans="1:21" ht="15.75" customHeight="1" x14ac:dyDescent="0.3">
      <c r="A332" s="3"/>
      <c r="B332" s="3"/>
      <c r="C332" s="37"/>
      <c r="D332" s="37"/>
      <c r="E332" s="37"/>
      <c r="F332" s="37"/>
      <c r="G332" s="98"/>
      <c r="H332" s="98"/>
      <c r="I332" s="99"/>
      <c r="J332" s="98"/>
      <c r="K332" s="37"/>
      <c r="L332" s="37"/>
      <c r="M332" s="37"/>
      <c r="N332" s="37"/>
      <c r="O332" s="37"/>
      <c r="P332" s="37"/>
      <c r="Q332" s="37"/>
      <c r="R332" s="37"/>
      <c r="S332" s="37"/>
      <c r="T332" s="37"/>
      <c r="U332" s="3"/>
    </row>
    <row r="333" spans="1:21" ht="15.75" customHeight="1" x14ac:dyDescent="0.3">
      <c r="A333" s="3"/>
      <c r="B333" s="3"/>
      <c r="C333" s="37"/>
      <c r="D333" s="37"/>
      <c r="E333" s="37"/>
      <c r="F333" s="37"/>
      <c r="G333" s="98"/>
      <c r="H333" s="98"/>
      <c r="I333" s="99"/>
      <c r="J333" s="98"/>
      <c r="K333" s="37"/>
      <c r="L333" s="37"/>
      <c r="M333" s="37"/>
      <c r="N333" s="37"/>
      <c r="O333" s="37"/>
      <c r="P333" s="37"/>
      <c r="Q333" s="37"/>
      <c r="R333" s="37"/>
      <c r="S333" s="37"/>
      <c r="T333" s="37"/>
      <c r="U333" s="3"/>
    </row>
    <row r="334" spans="1:21" ht="15.75" customHeight="1" x14ac:dyDescent="0.3">
      <c r="A334" s="3"/>
      <c r="B334" s="3"/>
      <c r="C334" s="37"/>
      <c r="D334" s="37"/>
      <c r="E334" s="37"/>
      <c r="F334" s="37"/>
      <c r="G334" s="98"/>
      <c r="H334" s="98"/>
      <c r="I334" s="99"/>
      <c r="J334" s="98"/>
      <c r="K334" s="37"/>
      <c r="L334" s="37"/>
      <c r="M334" s="37"/>
      <c r="N334" s="37"/>
      <c r="O334" s="37"/>
      <c r="P334" s="37"/>
      <c r="Q334" s="37"/>
      <c r="R334" s="37"/>
      <c r="S334" s="37"/>
      <c r="T334" s="37"/>
      <c r="U334" s="3"/>
    </row>
    <row r="335" spans="1:21" ht="15.75" customHeight="1" x14ac:dyDescent="0.3">
      <c r="A335" s="3"/>
      <c r="B335" s="3"/>
      <c r="C335" s="37"/>
      <c r="D335" s="37"/>
      <c r="E335" s="37"/>
      <c r="F335" s="37"/>
      <c r="G335" s="98"/>
      <c r="H335" s="98"/>
      <c r="I335" s="99"/>
      <c r="J335" s="98"/>
      <c r="K335" s="37"/>
      <c r="L335" s="37"/>
      <c r="M335" s="37"/>
      <c r="N335" s="37"/>
      <c r="O335" s="37"/>
      <c r="P335" s="37"/>
      <c r="Q335" s="37"/>
      <c r="R335" s="37"/>
      <c r="S335" s="37"/>
      <c r="T335" s="37"/>
      <c r="U335" s="3"/>
    </row>
    <row r="336" spans="1:21" ht="15.75" customHeight="1" x14ac:dyDescent="0.3">
      <c r="A336" s="3"/>
      <c r="B336" s="3"/>
      <c r="C336" s="37"/>
      <c r="D336" s="37"/>
      <c r="E336" s="37"/>
      <c r="F336" s="37"/>
      <c r="G336" s="98"/>
      <c r="H336" s="98"/>
      <c r="I336" s="99"/>
      <c r="J336" s="98"/>
      <c r="K336" s="37"/>
      <c r="L336" s="37"/>
      <c r="M336" s="37"/>
      <c r="N336" s="37"/>
      <c r="O336" s="37"/>
      <c r="P336" s="37"/>
      <c r="Q336" s="37"/>
      <c r="R336" s="37"/>
      <c r="S336" s="37"/>
      <c r="T336" s="37"/>
      <c r="U336" s="3"/>
    </row>
    <row r="337" spans="1:21" ht="15.75" customHeight="1" x14ac:dyDescent="0.3">
      <c r="A337" s="3"/>
      <c r="B337" s="3"/>
      <c r="C337" s="37"/>
      <c r="D337" s="37"/>
      <c r="E337" s="37"/>
      <c r="F337" s="37"/>
      <c r="G337" s="98"/>
      <c r="H337" s="98"/>
      <c r="I337" s="99"/>
      <c r="J337" s="98"/>
      <c r="K337" s="37"/>
      <c r="L337" s="37"/>
      <c r="M337" s="37"/>
      <c r="N337" s="37"/>
      <c r="O337" s="37"/>
      <c r="P337" s="37"/>
      <c r="Q337" s="37"/>
      <c r="R337" s="37"/>
      <c r="S337" s="37"/>
      <c r="T337" s="37"/>
      <c r="U337" s="3"/>
    </row>
    <row r="338" spans="1:21" ht="15.75" customHeight="1" x14ac:dyDescent="0.3">
      <c r="A338" s="3"/>
      <c r="B338" s="3"/>
      <c r="C338" s="37"/>
      <c r="D338" s="37"/>
      <c r="E338" s="37"/>
      <c r="F338" s="37"/>
      <c r="G338" s="98"/>
      <c r="H338" s="98"/>
      <c r="I338" s="99"/>
      <c r="J338" s="98"/>
      <c r="K338" s="37"/>
      <c r="L338" s="37"/>
      <c r="M338" s="37"/>
      <c r="N338" s="37"/>
      <c r="O338" s="37"/>
      <c r="P338" s="37"/>
      <c r="Q338" s="37"/>
      <c r="R338" s="37"/>
      <c r="S338" s="37"/>
      <c r="T338" s="37"/>
      <c r="U338" s="3"/>
    </row>
    <row r="339" spans="1:21" ht="15.75" customHeight="1" x14ac:dyDescent="0.3">
      <c r="A339" s="3"/>
      <c r="B339" s="3"/>
      <c r="C339" s="37"/>
      <c r="D339" s="37"/>
      <c r="E339" s="37"/>
      <c r="F339" s="37"/>
      <c r="G339" s="98"/>
      <c r="H339" s="98"/>
      <c r="I339" s="99"/>
      <c r="J339" s="98"/>
      <c r="K339" s="37"/>
      <c r="L339" s="37"/>
      <c r="M339" s="37"/>
      <c r="N339" s="37"/>
      <c r="O339" s="37"/>
      <c r="P339" s="37"/>
      <c r="Q339" s="37"/>
      <c r="R339" s="37"/>
      <c r="S339" s="37"/>
      <c r="T339" s="37"/>
      <c r="U339" s="3"/>
    </row>
    <row r="340" spans="1:21" ht="15.75" customHeight="1" x14ac:dyDescent="0.3">
      <c r="A340" s="3"/>
      <c r="B340" s="3"/>
      <c r="C340" s="37"/>
      <c r="D340" s="37"/>
      <c r="E340" s="37"/>
      <c r="F340" s="37"/>
      <c r="G340" s="98"/>
      <c r="H340" s="98"/>
      <c r="I340" s="99"/>
      <c r="J340" s="98"/>
      <c r="K340" s="37"/>
      <c r="L340" s="37"/>
      <c r="M340" s="37"/>
      <c r="N340" s="37"/>
      <c r="O340" s="37"/>
      <c r="P340" s="37"/>
      <c r="Q340" s="37"/>
      <c r="R340" s="37"/>
      <c r="S340" s="37"/>
      <c r="T340" s="37"/>
      <c r="U340" s="3"/>
    </row>
    <row r="341" spans="1:21" ht="15.75" customHeight="1" x14ac:dyDescent="0.3">
      <c r="A341" s="3"/>
      <c r="B341" s="3"/>
      <c r="C341" s="37"/>
      <c r="D341" s="37"/>
      <c r="E341" s="37"/>
      <c r="F341" s="37"/>
      <c r="G341" s="98"/>
      <c r="H341" s="98"/>
      <c r="I341" s="99"/>
      <c r="J341" s="98"/>
      <c r="K341" s="37"/>
      <c r="L341" s="37"/>
      <c r="M341" s="37"/>
      <c r="N341" s="37"/>
      <c r="O341" s="37"/>
      <c r="P341" s="37"/>
      <c r="Q341" s="37"/>
      <c r="R341" s="37"/>
      <c r="S341" s="37"/>
      <c r="T341" s="37"/>
      <c r="U341" s="3"/>
    </row>
    <row r="342" spans="1:21" ht="15.75" customHeight="1" x14ac:dyDescent="0.3">
      <c r="A342" s="3"/>
      <c r="B342" s="3"/>
      <c r="C342" s="37"/>
      <c r="D342" s="37"/>
      <c r="E342" s="37"/>
      <c r="F342" s="37"/>
      <c r="G342" s="98"/>
      <c r="H342" s="98"/>
      <c r="I342" s="99"/>
      <c r="J342" s="98"/>
      <c r="K342" s="37"/>
      <c r="L342" s="37"/>
      <c r="M342" s="37"/>
      <c r="N342" s="37"/>
      <c r="O342" s="37"/>
      <c r="P342" s="37"/>
      <c r="Q342" s="37"/>
      <c r="R342" s="37"/>
      <c r="S342" s="37"/>
      <c r="T342" s="37"/>
      <c r="U342" s="3"/>
    </row>
    <row r="343" spans="1:21" ht="15.75" customHeight="1" x14ac:dyDescent="0.3">
      <c r="A343" s="3"/>
      <c r="B343" s="3"/>
      <c r="C343" s="37"/>
      <c r="D343" s="37"/>
      <c r="E343" s="37"/>
      <c r="F343" s="37"/>
      <c r="G343" s="98"/>
      <c r="H343" s="98"/>
      <c r="I343" s="99"/>
      <c r="J343" s="98"/>
      <c r="K343" s="37"/>
      <c r="L343" s="37"/>
      <c r="M343" s="37"/>
      <c r="N343" s="37"/>
      <c r="O343" s="37"/>
      <c r="P343" s="37"/>
      <c r="Q343" s="37"/>
      <c r="R343" s="37"/>
      <c r="S343" s="37"/>
      <c r="T343" s="37"/>
      <c r="U343" s="3"/>
    </row>
    <row r="344" spans="1:21" ht="15.75" customHeight="1" x14ac:dyDescent="0.3">
      <c r="A344" s="3"/>
      <c r="B344" s="3"/>
      <c r="C344" s="37"/>
      <c r="D344" s="37"/>
      <c r="E344" s="37"/>
      <c r="F344" s="37"/>
      <c r="G344" s="98"/>
      <c r="H344" s="98"/>
      <c r="I344" s="99"/>
      <c r="J344" s="98"/>
      <c r="K344" s="37"/>
      <c r="L344" s="37"/>
      <c r="M344" s="37"/>
      <c r="N344" s="37"/>
      <c r="O344" s="37"/>
      <c r="P344" s="37"/>
      <c r="Q344" s="37"/>
      <c r="R344" s="37"/>
      <c r="S344" s="37"/>
      <c r="T344" s="37"/>
      <c r="U344" s="3"/>
    </row>
    <row r="345" spans="1:21" ht="15.75" customHeight="1" x14ac:dyDescent="0.3">
      <c r="A345" s="3"/>
      <c r="B345" s="3"/>
      <c r="C345" s="37"/>
      <c r="D345" s="37"/>
      <c r="E345" s="37"/>
      <c r="F345" s="37"/>
      <c r="G345" s="98"/>
      <c r="H345" s="98"/>
      <c r="I345" s="99"/>
      <c r="J345" s="98"/>
      <c r="K345" s="37"/>
      <c r="L345" s="37"/>
      <c r="M345" s="37"/>
      <c r="N345" s="37"/>
      <c r="O345" s="37"/>
      <c r="P345" s="37"/>
      <c r="Q345" s="37"/>
      <c r="R345" s="37"/>
      <c r="S345" s="37"/>
      <c r="T345" s="37"/>
      <c r="U345" s="3"/>
    </row>
    <row r="346" spans="1:21" ht="15.75" customHeight="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1" ht="15.7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1" ht="15.7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1" ht="15.7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1" ht="15.7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1" ht="15.7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1" ht="15.7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5.7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5.7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5.7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5.7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5.7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5.7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5.7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5.7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5.7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5.7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5.7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5.7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5.7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5.7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5.7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5.7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5.7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5.7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5.7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5.7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5.7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5.7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5.7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5.7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5.7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5.7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5.7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5.7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5.7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5.7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5.7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5.7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5.7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5.7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5.7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5.7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5.7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5.7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5.7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5.7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5.7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5.7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5.7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5.7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5.7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5.7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5.7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5.7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5.7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5.7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5.7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5.7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5.7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5.7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5.7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5.7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5.7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5.7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5.7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5.7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5.7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5.7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5.7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5.7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5.7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5.7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5.7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5.7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5.7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5.7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5.7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5.7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5.7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5.7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5.7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5.7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5.7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5.7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5.7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5.7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5.7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5.7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5.7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5.7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5.7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5.7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5.7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5.7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5.7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5.7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5.7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5.75" customHeight="1" x14ac:dyDescent="0.3"/>
    <row r="445" spans="1:21" ht="15.75" customHeight="1" x14ac:dyDescent="0.3"/>
    <row r="446" spans="1:21" ht="15.75" customHeight="1" x14ac:dyDescent="0.3"/>
    <row r="447" spans="1:21" ht="15.75" customHeight="1" x14ac:dyDescent="0.3"/>
    <row r="448" spans="1:21"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243" xr:uid="{00000000-0009-0000-0000-000006000000}"/>
  <mergeCells count="6">
    <mergeCell ref="J4:J5"/>
    <mergeCell ref="B2:B3"/>
    <mergeCell ref="C2:F3"/>
    <mergeCell ref="B4:B5"/>
    <mergeCell ref="H4:H5"/>
    <mergeCell ref="I4:I5"/>
  </mergeCells>
  <dataValidations count="1">
    <dataValidation type="list" allowBlank="1" showErrorMessage="1" sqref="D7:D23 D25:D36 D38:D94 D96:D104 D107:D111 D113:D117 D119:D123 D125:D129 D131:D135 D137:D191 D194:D202 D204:D212 D214:D222 D224:D232 D234:D243" xr:uid="{00000000-0002-0000-0600-000000000000}">
      <formula1>"OK,Parcial,Pendente"</formula1>
    </dataValidation>
  </dataValidations>
  <hyperlinks>
    <hyperlink ref="I8" r:id="rId1" xr:uid="{00000000-0004-0000-0600-000000000000}"/>
    <hyperlink ref="I10" r:id="rId2" xr:uid="{00000000-0004-0000-0600-000001000000}"/>
    <hyperlink ref="I11" r:id="rId3" xr:uid="{00000000-0004-0000-0600-000002000000}"/>
    <hyperlink ref="I13" r:id="rId4" xr:uid="{00000000-0004-0000-0600-000003000000}"/>
    <hyperlink ref="I14" r:id="rId5" xr:uid="{00000000-0004-0000-0600-000004000000}"/>
    <hyperlink ref="I15" r:id="rId6" xr:uid="{00000000-0004-0000-0600-000005000000}"/>
    <hyperlink ref="I16" r:id="rId7" xr:uid="{00000000-0004-0000-0600-000006000000}"/>
    <hyperlink ref="I21" r:id="rId8" xr:uid="{00000000-0004-0000-0600-000007000000}"/>
    <hyperlink ref="I22" r:id="rId9" xr:uid="{00000000-0004-0000-0600-000008000000}"/>
    <hyperlink ref="I25" r:id="rId10" xr:uid="{00000000-0004-0000-0600-000009000000}"/>
    <hyperlink ref="I26" r:id="rId11" xr:uid="{00000000-0004-0000-0600-00000A000000}"/>
    <hyperlink ref="I27" r:id="rId12" xr:uid="{00000000-0004-0000-0600-00000B000000}"/>
    <hyperlink ref="I28" r:id="rId13" xr:uid="{00000000-0004-0000-0600-00000C000000}"/>
    <hyperlink ref="I31" r:id="rId14" xr:uid="{00000000-0004-0000-0600-00000D000000}"/>
    <hyperlink ref="I32" r:id="rId15" xr:uid="{00000000-0004-0000-0600-00000E000000}"/>
    <hyperlink ref="I33" r:id="rId16" xr:uid="{00000000-0004-0000-0600-00000F000000}"/>
    <hyperlink ref="I34" r:id="rId17" xr:uid="{00000000-0004-0000-0600-000010000000}"/>
    <hyperlink ref="I39" r:id="rId18" xr:uid="{00000000-0004-0000-0600-000011000000}"/>
    <hyperlink ref="I42" r:id="rId19" xr:uid="{00000000-0004-0000-0600-000012000000}"/>
    <hyperlink ref="I67" r:id="rId20" xr:uid="{00000000-0004-0000-0600-000013000000}"/>
    <hyperlink ref="I76" r:id="rId21" xr:uid="{00000000-0004-0000-0600-000014000000}"/>
    <hyperlink ref="I138" r:id="rId22" xr:uid="{00000000-0004-0000-0600-000015000000}"/>
    <hyperlink ref="I139" r:id="rId23" xr:uid="{00000000-0004-0000-0600-000016000000}"/>
    <hyperlink ref="I143" r:id="rId24" xr:uid="{00000000-0004-0000-0600-000017000000}"/>
    <hyperlink ref="I144" r:id="rId25" xr:uid="{00000000-0004-0000-0600-000018000000}"/>
    <hyperlink ref="I145" r:id="rId26" xr:uid="{00000000-0004-0000-0600-000019000000}"/>
    <hyperlink ref="I173" r:id="rId27" xr:uid="{00000000-0004-0000-0600-00001A000000}"/>
    <hyperlink ref="I183" r:id="rId28" xr:uid="{00000000-0004-0000-0600-00001B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Caixa!$B$5:$B$7</xm:f>
          </x14:formula1>
          <xm:sqref>H7:H243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customWidth="1"/>
    <col min="10" max="21" width="14.109375" customWidth="1"/>
    <col min="22" max="22" width="34" customWidth="1"/>
    <col min="23" max="23" width="9" customWidth="1"/>
    <col min="24" max="24" width="12.6640625" customWidth="1"/>
    <col min="25" max="26" width="8.6640625" customWidth="1"/>
  </cols>
  <sheetData>
    <row r="1" spans="1:26" ht="14.4" x14ac:dyDescent="0.3">
      <c r="A1" s="38"/>
      <c r="B1" s="38"/>
      <c r="C1" s="39"/>
      <c r="D1" s="39"/>
      <c r="E1" s="39"/>
      <c r="F1" s="39"/>
      <c r="G1" s="39"/>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43"/>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4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SUM(E6,E127,E148,E168,E172)</f>
        <v>17447.43</v>
      </c>
      <c r="F4" s="26">
        <f t="shared" si="0"/>
        <v>49292.990000000005</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52"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SUM(E7:E126)</f>
        <v>17447.43</v>
      </c>
      <c r="F6" s="57">
        <f>SUMIF(D7:D126,"OK",F7:F126)+SUMIF(D7:D126,"Parcial",F7:F126)</f>
        <v>13383.979999999998</v>
      </c>
      <c r="G6" s="58" t="s">
        <v>43</v>
      </c>
      <c r="H6" s="59"/>
      <c r="I6" s="59"/>
      <c r="J6" s="60">
        <f>(COUNTIF(D7:D126,"Pendente")+COUNTIF(D7:D126,"Parcial"))/COUNTA(B7:B126)</f>
        <v>0.31632653061224492</v>
      </c>
      <c r="K6" s="60">
        <f>IFERROR(-(X6/E6),"Pendente info")</f>
        <v>0.25623028721135432</v>
      </c>
      <c r="L6" s="100">
        <f>SUM(L7:L105)/COUNTA(B7:B105)</f>
        <v>0.19387755102040816</v>
      </c>
      <c r="M6" s="57">
        <f t="shared" ref="M6:U6" si="1">SUMIF($D$7:$D$126,"OK",M7:M126)+SUMIF($D$7:$D$126,"Parcial",M7:M126)</f>
        <v>7065.0000000000036</v>
      </c>
      <c r="N6" s="57">
        <f t="shared" si="1"/>
        <v>1621.6199999999997</v>
      </c>
      <c r="O6" s="57">
        <f t="shared" si="1"/>
        <v>792</v>
      </c>
      <c r="P6" s="57">
        <f t="shared" si="1"/>
        <v>152.35999999999996</v>
      </c>
      <c r="Q6" s="57">
        <f t="shared" si="1"/>
        <v>155</v>
      </c>
      <c r="R6" s="57">
        <f t="shared" si="1"/>
        <v>185</v>
      </c>
      <c r="S6" s="57">
        <f t="shared" si="1"/>
        <v>217</v>
      </c>
      <c r="T6" s="57">
        <f t="shared" si="1"/>
        <v>580</v>
      </c>
      <c r="U6" s="57">
        <f t="shared" si="1"/>
        <v>2616</v>
      </c>
      <c r="V6" s="56" t="s">
        <v>43</v>
      </c>
      <c r="W6" s="44" t="str">
        <f t="shared" ref="W6:W126" si="2">IF(F6=SUM(M6:U6),"OK","Diferente")</f>
        <v>OK</v>
      </c>
      <c r="X6" s="47">
        <f>SUM(X7:X126)</f>
        <v>-4470.5599999999995</v>
      </c>
      <c r="Y6" s="3"/>
      <c r="Z6" s="3"/>
    </row>
    <row r="7" spans="1:26" ht="14.4" hidden="1" outlineLevel="1" x14ac:dyDescent="0.3">
      <c r="A7" s="3"/>
      <c r="B7" s="61" t="s">
        <v>422</v>
      </c>
      <c r="C7" s="62"/>
      <c r="D7" s="62" t="s">
        <v>94</v>
      </c>
      <c r="E7" s="12">
        <f t="shared" ref="E7:E56" si="3">SUM(M7:U7)</f>
        <v>0</v>
      </c>
      <c r="F7" s="12"/>
      <c r="G7" s="232"/>
      <c r="H7" s="63"/>
      <c r="I7" s="63"/>
      <c r="J7" s="64"/>
      <c r="K7" s="62"/>
      <c r="L7" s="62" t="str">
        <f t="shared" ref="L7:L125" si="4">IF(C7&gt;=13,1,"")</f>
        <v/>
      </c>
      <c r="M7" s="12"/>
      <c r="N7" s="12"/>
      <c r="O7" s="12"/>
      <c r="P7" s="12"/>
      <c r="Q7" s="12"/>
      <c r="R7" s="12"/>
      <c r="S7" s="12"/>
      <c r="T7" s="12"/>
      <c r="U7" s="12"/>
      <c r="V7" s="65" t="s">
        <v>423</v>
      </c>
      <c r="W7" s="44" t="str">
        <f t="shared" si="2"/>
        <v>OK</v>
      </c>
      <c r="X7" s="47" t="str">
        <f t="shared" ref="X7:X126" si="5">IF(W7="Diferente",F7-SUM(M7:U7),"")</f>
        <v/>
      </c>
      <c r="Y7" s="3"/>
      <c r="Z7" s="3"/>
    </row>
    <row r="8" spans="1:26" ht="14.4" hidden="1" outlineLevel="1" x14ac:dyDescent="0.3">
      <c r="A8" s="3"/>
      <c r="B8" s="61" t="s">
        <v>424</v>
      </c>
      <c r="C8" s="62"/>
      <c r="D8" s="62" t="s">
        <v>94</v>
      </c>
      <c r="E8" s="12">
        <f t="shared" si="3"/>
        <v>0</v>
      </c>
      <c r="F8" s="12"/>
      <c r="G8" s="233"/>
      <c r="H8" s="63"/>
      <c r="I8" s="63"/>
      <c r="J8" s="64"/>
      <c r="K8" s="62"/>
      <c r="L8" s="62" t="str">
        <f t="shared" si="4"/>
        <v/>
      </c>
      <c r="M8" s="12"/>
      <c r="N8" s="12"/>
      <c r="O8" s="12"/>
      <c r="P8" s="12"/>
      <c r="Q8" s="12"/>
      <c r="R8" s="12"/>
      <c r="S8" s="12"/>
      <c r="T8" s="12"/>
      <c r="U8" s="12"/>
      <c r="V8" s="65" t="s">
        <v>423</v>
      </c>
      <c r="W8" s="44" t="str">
        <f t="shared" si="2"/>
        <v>OK</v>
      </c>
      <c r="X8" s="47" t="str">
        <f t="shared" si="5"/>
        <v/>
      </c>
      <c r="Y8" s="3"/>
      <c r="Z8" s="3"/>
    </row>
    <row r="9" spans="1:26" ht="14.4" hidden="1" outlineLevel="1" x14ac:dyDescent="0.3">
      <c r="A9" s="3"/>
      <c r="B9" s="61" t="s">
        <v>425</v>
      </c>
      <c r="C9" s="62"/>
      <c r="D9" s="62" t="s">
        <v>94</v>
      </c>
      <c r="E9" s="12">
        <f t="shared" si="3"/>
        <v>0</v>
      </c>
      <c r="F9" s="12"/>
      <c r="G9" s="233"/>
      <c r="H9" s="63"/>
      <c r="I9" s="63"/>
      <c r="J9" s="64"/>
      <c r="K9" s="62"/>
      <c r="L9" s="62" t="str">
        <f t="shared" si="4"/>
        <v/>
      </c>
      <c r="M9" s="12"/>
      <c r="N9" s="12"/>
      <c r="O9" s="12"/>
      <c r="P9" s="12"/>
      <c r="Q9" s="12"/>
      <c r="R9" s="12"/>
      <c r="S9" s="12"/>
      <c r="T9" s="12"/>
      <c r="U9" s="12"/>
      <c r="V9" s="65" t="s">
        <v>423</v>
      </c>
      <c r="W9" s="44" t="str">
        <f t="shared" si="2"/>
        <v>OK</v>
      </c>
      <c r="X9" s="47" t="str">
        <f t="shared" si="5"/>
        <v/>
      </c>
      <c r="Y9" s="3"/>
      <c r="Z9" s="3"/>
    </row>
    <row r="10" spans="1:26" ht="14.4" hidden="1" outlineLevel="1" x14ac:dyDescent="0.3">
      <c r="A10" s="3"/>
      <c r="B10" s="61" t="s">
        <v>426</v>
      </c>
      <c r="C10" s="62"/>
      <c r="D10" s="62" t="s">
        <v>94</v>
      </c>
      <c r="E10" s="12">
        <f t="shared" si="3"/>
        <v>0</v>
      </c>
      <c r="F10" s="12"/>
      <c r="G10" s="234"/>
      <c r="H10" s="63"/>
      <c r="I10" s="63"/>
      <c r="J10" s="64"/>
      <c r="K10" s="62"/>
      <c r="L10" s="62" t="str">
        <f t="shared" si="4"/>
        <v/>
      </c>
      <c r="M10" s="12"/>
      <c r="N10" s="12"/>
      <c r="O10" s="12"/>
      <c r="P10" s="12"/>
      <c r="Q10" s="12"/>
      <c r="R10" s="12"/>
      <c r="S10" s="12"/>
      <c r="T10" s="12"/>
      <c r="U10" s="12"/>
      <c r="V10" s="65" t="s">
        <v>423</v>
      </c>
      <c r="W10" s="44" t="str">
        <f t="shared" si="2"/>
        <v>OK</v>
      </c>
      <c r="X10" s="47" t="str">
        <f t="shared" si="5"/>
        <v/>
      </c>
      <c r="Y10" s="3"/>
      <c r="Z10" s="3"/>
    </row>
    <row r="11" spans="1:26" ht="14.4" hidden="1" outlineLevel="1" x14ac:dyDescent="0.3">
      <c r="A11" s="3"/>
      <c r="B11" s="10" t="s">
        <v>427</v>
      </c>
      <c r="C11" s="62">
        <v>10</v>
      </c>
      <c r="D11" s="62" t="s">
        <v>94</v>
      </c>
      <c r="E11" s="12">
        <f t="shared" si="3"/>
        <v>193.43</v>
      </c>
      <c r="F11" s="12">
        <f t="shared" ref="F11:F12" si="6">E11</f>
        <v>193.43</v>
      </c>
      <c r="G11" s="232"/>
      <c r="H11" s="63" t="s">
        <v>37</v>
      </c>
      <c r="I11" s="63"/>
      <c r="J11" s="64"/>
      <c r="K11" s="62"/>
      <c r="L11" s="62" t="str">
        <f t="shared" si="4"/>
        <v/>
      </c>
      <c r="M11" s="12">
        <v>130</v>
      </c>
      <c r="N11" s="12">
        <v>24.57</v>
      </c>
      <c r="O11" s="12">
        <v>12</v>
      </c>
      <c r="P11" s="12">
        <v>3.86</v>
      </c>
      <c r="Q11" s="12">
        <v>5</v>
      </c>
      <c r="R11" s="12"/>
      <c r="S11" s="12"/>
      <c r="T11" s="12"/>
      <c r="U11" s="12">
        <v>18</v>
      </c>
      <c r="V11" s="65" t="s">
        <v>423</v>
      </c>
      <c r="W11" s="44" t="str">
        <f t="shared" si="2"/>
        <v>OK</v>
      </c>
      <c r="X11" s="47" t="str">
        <f t="shared" si="5"/>
        <v/>
      </c>
      <c r="Y11" s="3"/>
      <c r="Z11" s="3"/>
    </row>
    <row r="12" spans="1:26" ht="14.4" hidden="1" outlineLevel="1" x14ac:dyDescent="0.3">
      <c r="A12" s="3"/>
      <c r="B12" s="10" t="s">
        <v>428</v>
      </c>
      <c r="C12" s="62">
        <v>10</v>
      </c>
      <c r="D12" s="62" t="s">
        <v>94</v>
      </c>
      <c r="E12" s="12">
        <f t="shared" si="3"/>
        <v>186.57</v>
      </c>
      <c r="F12" s="12">
        <f t="shared" si="6"/>
        <v>186.57</v>
      </c>
      <c r="G12" s="234"/>
      <c r="H12" s="63" t="s">
        <v>37</v>
      </c>
      <c r="I12" s="63"/>
      <c r="J12" s="64"/>
      <c r="K12" s="62"/>
      <c r="L12" s="62" t="str">
        <f t="shared" si="4"/>
        <v/>
      </c>
      <c r="M12" s="12">
        <v>130</v>
      </c>
      <c r="N12" s="12">
        <v>24.57</v>
      </c>
      <c r="O12" s="12">
        <v>12</v>
      </c>
      <c r="P12" s="12">
        <v>2</v>
      </c>
      <c r="Q12" s="12"/>
      <c r="R12" s="12"/>
      <c r="S12" s="12"/>
      <c r="T12" s="12"/>
      <c r="U12" s="12">
        <v>18</v>
      </c>
      <c r="V12" s="65" t="s">
        <v>423</v>
      </c>
      <c r="W12" s="44" t="str">
        <f t="shared" si="2"/>
        <v>OK</v>
      </c>
      <c r="X12" s="47" t="str">
        <f t="shared" si="5"/>
        <v/>
      </c>
      <c r="Y12" s="3"/>
      <c r="Z12" s="3"/>
    </row>
    <row r="13" spans="1:26" ht="14.4" hidden="1" outlineLevel="1" x14ac:dyDescent="0.3">
      <c r="A13" s="3"/>
      <c r="B13" s="61" t="s">
        <v>429</v>
      </c>
      <c r="C13" s="62"/>
      <c r="D13" s="62" t="s">
        <v>104</v>
      </c>
      <c r="E13" s="12">
        <f t="shared" si="3"/>
        <v>366.49</v>
      </c>
      <c r="F13" s="12"/>
      <c r="G13" s="232"/>
      <c r="H13" s="63"/>
      <c r="I13" s="63"/>
      <c r="J13" s="64"/>
      <c r="K13" s="62"/>
      <c r="L13" s="62" t="str">
        <f t="shared" si="4"/>
        <v/>
      </c>
      <c r="M13" s="12">
        <v>130.47999999999999</v>
      </c>
      <c r="N13" s="12">
        <v>24.57</v>
      </c>
      <c r="O13" s="12">
        <v>12</v>
      </c>
      <c r="P13" s="12">
        <v>1.44</v>
      </c>
      <c r="Q13" s="12">
        <v>10</v>
      </c>
      <c r="R13" s="12">
        <v>20</v>
      </c>
      <c r="S13" s="12">
        <v>50</v>
      </c>
      <c r="T13" s="12">
        <v>50</v>
      </c>
      <c r="U13" s="12">
        <v>68</v>
      </c>
      <c r="V13" s="65" t="s">
        <v>430</v>
      </c>
      <c r="W13" s="44" t="str">
        <f t="shared" si="2"/>
        <v>Diferente</v>
      </c>
      <c r="X13" s="47">
        <f t="shared" si="5"/>
        <v>-366.49</v>
      </c>
      <c r="Y13" s="3"/>
      <c r="Z13" s="3"/>
    </row>
    <row r="14" spans="1:26" ht="14.4" hidden="1" outlineLevel="1" x14ac:dyDescent="0.3">
      <c r="A14" s="3"/>
      <c r="B14" s="61" t="s">
        <v>431</v>
      </c>
      <c r="C14" s="62"/>
      <c r="D14" s="62" t="s">
        <v>104</v>
      </c>
      <c r="E14" s="12">
        <f t="shared" si="3"/>
        <v>209.29</v>
      </c>
      <c r="F14" s="12"/>
      <c r="G14" s="234"/>
      <c r="H14" s="63"/>
      <c r="I14" s="63"/>
      <c r="J14" s="64"/>
      <c r="K14" s="62"/>
      <c r="L14" s="62" t="str">
        <f t="shared" si="4"/>
        <v/>
      </c>
      <c r="M14" s="12">
        <v>98.28</v>
      </c>
      <c r="N14" s="12">
        <v>24.57</v>
      </c>
      <c r="O14" s="12">
        <v>12</v>
      </c>
      <c r="P14" s="12">
        <v>1.44</v>
      </c>
      <c r="Q14" s="12">
        <v>5</v>
      </c>
      <c r="R14" s="12"/>
      <c r="S14" s="12"/>
      <c r="T14" s="12">
        <v>50</v>
      </c>
      <c r="U14" s="12">
        <v>18</v>
      </c>
      <c r="V14" s="65" t="s">
        <v>423</v>
      </c>
      <c r="W14" s="44" t="str">
        <f t="shared" si="2"/>
        <v>Diferente</v>
      </c>
      <c r="X14" s="47">
        <f t="shared" si="5"/>
        <v>-209.29</v>
      </c>
      <c r="Y14" s="3"/>
      <c r="Z14" s="3"/>
    </row>
    <row r="15" spans="1:26" ht="14.4" hidden="1" outlineLevel="1" x14ac:dyDescent="0.3">
      <c r="A15" s="3"/>
      <c r="B15" s="10" t="s">
        <v>432</v>
      </c>
      <c r="C15" s="62"/>
      <c r="D15" s="62" t="s">
        <v>104</v>
      </c>
      <c r="E15" s="12">
        <f t="shared" si="3"/>
        <v>316.14</v>
      </c>
      <c r="F15" s="12"/>
      <c r="G15" s="235"/>
      <c r="H15" s="63"/>
      <c r="I15" s="63"/>
      <c r="J15" s="64"/>
      <c r="K15" s="62"/>
      <c r="L15" s="62" t="str">
        <f t="shared" si="4"/>
        <v/>
      </c>
      <c r="M15" s="12">
        <v>180.13</v>
      </c>
      <c r="N15" s="12">
        <v>24.57</v>
      </c>
      <c r="O15" s="12">
        <v>12</v>
      </c>
      <c r="P15" s="12">
        <v>1.44</v>
      </c>
      <c r="Q15" s="12">
        <v>5</v>
      </c>
      <c r="R15" s="12">
        <v>5</v>
      </c>
      <c r="S15" s="12">
        <v>20</v>
      </c>
      <c r="T15" s="12"/>
      <c r="U15" s="12">
        <v>68</v>
      </c>
      <c r="V15" s="65" t="s">
        <v>430</v>
      </c>
      <c r="W15" s="44" t="str">
        <f t="shared" si="2"/>
        <v>Diferente</v>
      </c>
      <c r="X15" s="47">
        <f t="shared" si="5"/>
        <v>-316.14</v>
      </c>
      <c r="Y15" s="3"/>
      <c r="Z15" s="3"/>
    </row>
    <row r="16" spans="1:26" ht="14.4" hidden="1" outlineLevel="1" x14ac:dyDescent="0.3">
      <c r="A16" s="3"/>
      <c r="B16" s="10" t="s">
        <v>433</v>
      </c>
      <c r="C16" s="62"/>
      <c r="D16" s="62" t="s">
        <v>104</v>
      </c>
      <c r="E16" s="12">
        <f t="shared" si="3"/>
        <v>155.99</v>
      </c>
      <c r="F16" s="12"/>
      <c r="G16" s="234"/>
      <c r="H16" s="63"/>
      <c r="I16" s="63"/>
      <c r="J16" s="64"/>
      <c r="K16" s="62"/>
      <c r="L16" s="62" t="str">
        <f t="shared" si="4"/>
        <v/>
      </c>
      <c r="M16" s="12">
        <v>89.98</v>
      </c>
      <c r="N16" s="12">
        <v>24.57</v>
      </c>
      <c r="O16" s="12">
        <v>12</v>
      </c>
      <c r="P16" s="12">
        <v>1.44</v>
      </c>
      <c r="Q16" s="12">
        <v>5</v>
      </c>
      <c r="R16" s="12">
        <v>5</v>
      </c>
      <c r="S16" s="12"/>
      <c r="T16" s="12"/>
      <c r="U16" s="12">
        <v>18</v>
      </c>
      <c r="V16" s="65" t="s">
        <v>423</v>
      </c>
      <c r="W16" s="44" t="str">
        <f t="shared" si="2"/>
        <v>Diferente</v>
      </c>
      <c r="X16" s="47">
        <f t="shared" si="5"/>
        <v>-155.99</v>
      </c>
      <c r="Y16" s="3"/>
      <c r="Z16" s="3"/>
    </row>
    <row r="17" spans="1:26" ht="14.4" hidden="1" outlineLevel="1" x14ac:dyDescent="0.3">
      <c r="A17" s="3"/>
      <c r="B17" s="61" t="s">
        <v>434</v>
      </c>
      <c r="C17" s="62">
        <v>10</v>
      </c>
      <c r="D17" s="62" t="s">
        <v>94</v>
      </c>
      <c r="E17" s="12">
        <f t="shared" si="3"/>
        <v>252.19</v>
      </c>
      <c r="F17" s="12">
        <f t="shared" ref="F17:F22" si="7">E17</f>
        <v>252.19</v>
      </c>
      <c r="G17" s="232"/>
      <c r="H17" s="63" t="s">
        <v>37</v>
      </c>
      <c r="I17" s="63"/>
      <c r="J17" s="64"/>
      <c r="K17" s="62"/>
      <c r="L17" s="62" t="str">
        <f t="shared" si="4"/>
        <v/>
      </c>
      <c r="M17" s="12">
        <v>191.18</v>
      </c>
      <c r="N17" s="12">
        <v>24.57</v>
      </c>
      <c r="O17" s="12">
        <v>12</v>
      </c>
      <c r="P17" s="12">
        <v>1.44</v>
      </c>
      <c r="Q17" s="12">
        <v>5</v>
      </c>
      <c r="R17" s="12"/>
      <c r="S17" s="12"/>
      <c r="T17" s="12"/>
      <c r="U17" s="12">
        <v>18</v>
      </c>
      <c r="V17" s="65" t="s">
        <v>423</v>
      </c>
      <c r="W17" s="44" t="str">
        <f t="shared" si="2"/>
        <v>OK</v>
      </c>
      <c r="X17" s="47" t="str">
        <f t="shared" si="5"/>
        <v/>
      </c>
      <c r="Y17" s="3"/>
      <c r="Z17" s="3"/>
    </row>
    <row r="18" spans="1:26" ht="14.4" hidden="1" outlineLevel="1" x14ac:dyDescent="0.3">
      <c r="A18" s="3"/>
      <c r="B18" s="61" t="s">
        <v>435</v>
      </c>
      <c r="C18" s="62">
        <v>10</v>
      </c>
      <c r="D18" s="62" t="s">
        <v>94</v>
      </c>
      <c r="E18" s="12">
        <f t="shared" si="3"/>
        <v>191.98999999999998</v>
      </c>
      <c r="F18" s="12">
        <f t="shared" si="7"/>
        <v>191.98999999999998</v>
      </c>
      <c r="G18" s="234"/>
      <c r="H18" s="63" t="s">
        <v>37</v>
      </c>
      <c r="I18" s="63"/>
      <c r="J18" s="64"/>
      <c r="K18" s="62"/>
      <c r="L18" s="62" t="str">
        <f t="shared" si="4"/>
        <v/>
      </c>
      <c r="M18" s="12">
        <v>135.97999999999999</v>
      </c>
      <c r="N18" s="12">
        <v>24.57</v>
      </c>
      <c r="O18" s="12">
        <v>12</v>
      </c>
      <c r="P18" s="12">
        <v>1.44</v>
      </c>
      <c r="Q18" s="12"/>
      <c r="R18" s="12"/>
      <c r="S18" s="12"/>
      <c r="T18" s="12"/>
      <c r="U18" s="12">
        <v>18</v>
      </c>
      <c r="V18" s="65" t="s">
        <v>423</v>
      </c>
      <c r="W18" s="44" t="str">
        <f t="shared" si="2"/>
        <v>OK</v>
      </c>
      <c r="X18" s="47" t="str">
        <f t="shared" si="5"/>
        <v/>
      </c>
      <c r="Y18" s="3"/>
      <c r="Z18" s="3"/>
    </row>
    <row r="19" spans="1:26" ht="14.4" hidden="1" outlineLevel="1" x14ac:dyDescent="0.3">
      <c r="A19" s="3"/>
      <c r="B19" s="10" t="s">
        <v>436</v>
      </c>
      <c r="C19" s="62">
        <v>9</v>
      </c>
      <c r="D19" s="62" t="s">
        <v>94</v>
      </c>
      <c r="E19" s="12">
        <f t="shared" si="3"/>
        <v>459.28999999999996</v>
      </c>
      <c r="F19" s="12">
        <f t="shared" si="7"/>
        <v>459.28999999999996</v>
      </c>
      <c r="G19" s="232"/>
      <c r="H19" s="63" t="s">
        <v>37</v>
      </c>
      <c r="I19" s="63"/>
      <c r="J19" s="64"/>
      <c r="K19" s="62"/>
      <c r="L19" s="62" t="str">
        <f t="shared" si="4"/>
        <v/>
      </c>
      <c r="M19" s="12">
        <v>328.28</v>
      </c>
      <c r="N19" s="12">
        <v>24.57</v>
      </c>
      <c r="O19" s="12">
        <v>12</v>
      </c>
      <c r="P19" s="12">
        <v>11.44</v>
      </c>
      <c r="Q19" s="12">
        <v>5</v>
      </c>
      <c r="R19" s="12">
        <v>10</v>
      </c>
      <c r="S19" s="12"/>
      <c r="T19" s="12">
        <v>50</v>
      </c>
      <c r="U19" s="12">
        <v>18</v>
      </c>
      <c r="V19" s="65" t="s">
        <v>423</v>
      </c>
      <c r="W19" s="44" t="str">
        <f t="shared" si="2"/>
        <v>OK</v>
      </c>
      <c r="X19" s="47" t="str">
        <f t="shared" si="5"/>
        <v/>
      </c>
      <c r="Y19" s="3"/>
      <c r="Z19" s="3"/>
    </row>
    <row r="20" spans="1:26" ht="14.4" hidden="1" outlineLevel="1" x14ac:dyDescent="0.3">
      <c r="A20" s="3"/>
      <c r="B20" s="10" t="s">
        <v>437</v>
      </c>
      <c r="C20" s="62">
        <v>9</v>
      </c>
      <c r="D20" s="62" t="s">
        <v>94</v>
      </c>
      <c r="E20" s="12">
        <f t="shared" si="3"/>
        <v>449.28999999999996</v>
      </c>
      <c r="F20" s="12">
        <f t="shared" si="7"/>
        <v>449.28999999999996</v>
      </c>
      <c r="G20" s="234"/>
      <c r="H20" s="63" t="s">
        <v>37</v>
      </c>
      <c r="I20" s="63"/>
      <c r="J20" s="64"/>
      <c r="K20" s="62"/>
      <c r="L20" s="62" t="str">
        <f t="shared" si="4"/>
        <v/>
      </c>
      <c r="M20" s="12">
        <v>328.28</v>
      </c>
      <c r="N20" s="12">
        <v>24.57</v>
      </c>
      <c r="O20" s="12">
        <v>12</v>
      </c>
      <c r="P20" s="12">
        <v>1.44</v>
      </c>
      <c r="Q20" s="12">
        <v>5</v>
      </c>
      <c r="R20" s="12">
        <v>10</v>
      </c>
      <c r="S20" s="12"/>
      <c r="T20" s="12">
        <v>50</v>
      </c>
      <c r="U20" s="12">
        <v>18</v>
      </c>
      <c r="V20" s="65" t="s">
        <v>423</v>
      </c>
      <c r="W20" s="44" t="str">
        <f t="shared" si="2"/>
        <v>OK</v>
      </c>
      <c r="X20" s="47" t="str">
        <f t="shared" si="5"/>
        <v/>
      </c>
      <c r="Y20" s="3"/>
      <c r="Z20" s="3"/>
    </row>
    <row r="21" spans="1:26" ht="15.75" hidden="1" customHeight="1" outlineLevel="1" x14ac:dyDescent="0.3">
      <c r="A21" s="3"/>
      <c r="B21" s="61" t="s">
        <v>438</v>
      </c>
      <c r="C21" s="62">
        <v>11</v>
      </c>
      <c r="D21" s="62" t="s">
        <v>94</v>
      </c>
      <c r="E21" s="12">
        <f t="shared" si="3"/>
        <v>266.99</v>
      </c>
      <c r="F21" s="12">
        <f t="shared" si="7"/>
        <v>266.99</v>
      </c>
      <c r="G21" s="232"/>
      <c r="H21" s="63" t="s">
        <v>37</v>
      </c>
      <c r="I21" s="63"/>
      <c r="J21" s="64"/>
      <c r="K21" s="62"/>
      <c r="L21" s="62" t="str">
        <f t="shared" si="4"/>
        <v/>
      </c>
      <c r="M21" s="12">
        <v>120.98</v>
      </c>
      <c r="N21" s="12">
        <v>24.57</v>
      </c>
      <c r="O21" s="12">
        <v>12</v>
      </c>
      <c r="P21" s="12">
        <v>1.44</v>
      </c>
      <c r="Q21" s="12">
        <v>5</v>
      </c>
      <c r="R21" s="12">
        <v>5</v>
      </c>
      <c r="S21" s="12"/>
      <c r="T21" s="12">
        <v>30</v>
      </c>
      <c r="U21" s="12">
        <v>68</v>
      </c>
      <c r="V21" s="65" t="s">
        <v>430</v>
      </c>
      <c r="W21" s="44" t="str">
        <f t="shared" si="2"/>
        <v>OK</v>
      </c>
      <c r="X21" s="47" t="str">
        <f t="shared" si="5"/>
        <v/>
      </c>
      <c r="Y21" s="3"/>
      <c r="Z21" s="3"/>
    </row>
    <row r="22" spans="1:26" ht="15.75" hidden="1" customHeight="1" outlineLevel="1" x14ac:dyDescent="0.3">
      <c r="A22" s="3"/>
      <c r="B22" s="61" t="s">
        <v>439</v>
      </c>
      <c r="C22" s="62">
        <v>11</v>
      </c>
      <c r="D22" s="62" t="s">
        <v>94</v>
      </c>
      <c r="E22" s="12">
        <f t="shared" si="3"/>
        <v>193.59</v>
      </c>
      <c r="F22" s="12">
        <f t="shared" si="7"/>
        <v>193.59</v>
      </c>
      <c r="G22" s="233"/>
      <c r="H22" s="63" t="s">
        <v>37</v>
      </c>
      <c r="I22" s="63"/>
      <c r="J22" s="64"/>
      <c r="K22" s="62"/>
      <c r="L22" s="62" t="str">
        <f t="shared" si="4"/>
        <v/>
      </c>
      <c r="M22" s="12">
        <v>102.58</v>
      </c>
      <c r="N22" s="12">
        <v>24.57</v>
      </c>
      <c r="O22" s="12">
        <v>12</v>
      </c>
      <c r="P22" s="12">
        <v>1.44</v>
      </c>
      <c r="Q22" s="12">
        <v>5</v>
      </c>
      <c r="R22" s="12"/>
      <c r="S22" s="12"/>
      <c r="T22" s="12">
        <v>30</v>
      </c>
      <c r="U22" s="12">
        <v>18</v>
      </c>
      <c r="V22" s="65" t="s">
        <v>423</v>
      </c>
      <c r="W22" s="44" t="str">
        <f t="shared" si="2"/>
        <v>OK</v>
      </c>
      <c r="X22" s="47" t="str">
        <f t="shared" si="5"/>
        <v/>
      </c>
      <c r="Y22" s="3"/>
      <c r="Z22" s="3"/>
    </row>
    <row r="23" spans="1:26" ht="15.75" hidden="1" customHeight="1" outlineLevel="1" x14ac:dyDescent="0.3">
      <c r="A23" s="3"/>
      <c r="B23" s="10" t="s">
        <v>440</v>
      </c>
      <c r="C23" s="62"/>
      <c r="D23" s="62" t="s">
        <v>104</v>
      </c>
      <c r="E23" s="12">
        <f t="shared" si="3"/>
        <v>153.34</v>
      </c>
      <c r="F23" s="101"/>
      <c r="G23" s="244"/>
      <c r="H23" s="103"/>
      <c r="I23" s="63"/>
      <c r="J23" s="64"/>
      <c r="K23" s="12"/>
      <c r="L23" s="62" t="str">
        <f t="shared" si="4"/>
        <v/>
      </c>
      <c r="M23" s="12">
        <v>37.33</v>
      </c>
      <c r="N23" s="12">
        <v>24.57</v>
      </c>
      <c r="O23" s="12">
        <v>12</v>
      </c>
      <c r="P23" s="12">
        <v>1.44</v>
      </c>
      <c r="Q23" s="12">
        <v>5</v>
      </c>
      <c r="R23" s="12">
        <v>5</v>
      </c>
      <c r="S23" s="12"/>
      <c r="T23" s="12"/>
      <c r="U23" s="12">
        <v>68</v>
      </c>
      <c r="V23" s="65" t="s">
        <v>430</v>
      </c>
      <c r="W23" s="44" t="str">
        <f t="shared" si="2"/>
        <v>Diferente</v>
      </c>
      <c r="X23" s="47">
        <f t="shared" si="5"/>
        <v>-153.34</v>
      </c>
      <c r="Y23" s="3"/>
      <c r="Z23" s="3"/>
    </row>
    <row r="24" spans="1:26" ht="15.75" hidden="1" customHeight="1" outlineLevel="1" x14ac:dyDescent="0.3">
      <c r="A24" s="3"/>
      <c r="B24" s="10" t="s">
        <v>441</v>
      </c>
      <c r="C24" s="62"/>
      <c r="D24" s="62" t="s">
        <v>104</v>
      </c>
      <c r="E24" s="12">
        <f t="shared" si="3"/>
        <v>134.44</v>
      </c>
      <c r="F24" s="101"/>
      <c r="G24" s="216"/>
      <c r="H24" s="103"/>
      <c r="I24" s="63"/>
      <c r="J24" s="64"/>
      <c r="K24" s="12"/>
      <c r="L24" s="62" t="str">
        <f t="shared" si="4"/>
        <v/>
      </c>
      <c r="M24" s="12">
        <v>53.43</v>
      </c>
      <c r="N24" s="12">
        <v>24.57</v>
      </c>
      <c r="O24" s="12">
        <v>12</v>
      </c>
      <c r="P24" s="12">
        <v>1.44</v>
      </c>
      <c r="Q24" s="12">
        <v>5</v>
      </c>
      <c r="R24" s="12">
        <v>5</v>
      </c>
      <c r="S24" s="12"/>
      <c r="T24" s="12">
        <v>15</v>
      </c>
      <c r="U24" s="12">
        <v>18</v>
      </c>
      <c r="V24" s="65" t="s">
        <v>423</v>
      </c>
      <c r="W24" s="44" t="str">
        <f t="shared" si="2"/>
        <v>Diferente</v>
      </c>
      <c r="X24" s="47">
        <f t="shared" si="5"/>
        <v>-134.44</v>
      </c>
      <c r="Y24" s="3"/>
      <c r="Z24" s="3"/>
    </row>
    <row r="25" spans="1:26" ht="15.75" hidden="1" customHeight="1" outlineLevel="1" x14ac:dyDescent="0.3">
      <c r="A25" s="3"/>
      <c r="B25" s="61" t="s">
        <v>442</v>
      </c>
      <c r="C25" s="62"/>
      <c r="D25" s="62" t="s">
        <v>104</v>
      </c>
      <c r="E25" s="12">
        <f t="shared" si="3"/>
        <v>203</v>
      </c>
      <c r="F25" s="101"/>
      <c r="G25" s="104"/>
      <c r="H25" s="103"/>
      <c r="I25" s="63"/>
      <c r="J25" s="64"/>
      <c r="K25" s="12"/>
      <c r="L25" s="62" t="str">
        <f t="shared" si="4"/>
        <v/>
      </c>
      <c r="M25" s="12">
        <v>131.99</v>
      </c>
      <c r="N25" s="12">
        <v>24.57</v>
      </c>
      <c r="O25" s="12">
        <v>12</v>
      </c>
      <c r="P25" s="12">
        <v>6.44</v>
      </c>
      <c r="Q25" s="12"/>
      <c r="R25" s="12">
        <v>10</v>
      </c>
      <c r="S25" s="12"/>
      <c r="T25" s="12"/>
      <c r="U25" s="12">
        <v>18</v>
      </c>
      <c r="V25" s="65" t="s">
        <v>423</v>
      </c>
      <c r="W25" s="44" t="str">
        <f t="shared" si="2"/>
        <v>Diferente</v>
      </c>
      <c r="X25" s="47">
        <f t="shared" si="5"/>
        <v>-203</v>
      </c>
      <c r="Y25" s="3"/>
      <c r="Z25" s="3"/>
    </row>
    <row r="26" spans="1:26" ht="15.75" hidden="1" customHeight="1" outlineLevel="1" x14ac:dyDescent="0.3">
      <c r="A26" s="3"/>
      <c r="B26" s="10" t="s">
        <v>443</v>
      </c>
      <c r="C26" s="62"/>
      <c r="D26" s="62" t="s">
        <v>104</v>
      </c>
      <c r="E26" s="12">
        <f t="shared" si="3"/>
        <v>128</v>
      </c>
      <c r="F26" s="101"/>
      <c r="G26" s="105"/>
      <c r="H26" s="103"/>
      <c r="I26" s="63"/>
      <c r="J26" s="64"/>
      <c r="K26" s="12"/>
      <c r="L26" s="62" t="str">
        <f t="shared" si="4"/>
        <v/>
      </c>
      <c r="M26" s="12">
        <v>71.430000000000007</v>
      </c>
      <c r="N26" s="12">
        <v>24.57</v>
      </c>
      <c r="O26" s="12">
        <v>12</v>
      </c>
      <c r="P26" s="12">
        <v>2</v>
      </c>
      <c r="Q26" s="12"/>
      <c r="R26" s="12"/>
      <c r="S26" s="12"/>
      <c r="T26" s="12"/>
      <c r="U26" s="12">
        <v>18</v>
      </c>
      <c r="V26" s="65" t="s">
        <v>423</v>
      </c>
      <c r="W26" s="44" t="str">
        <f t="shared" si="2"/>
        <v>Diferente</v>
      </c>
      <c r="X26" s="47">
        <f t="shared" si="5"/>
        <v>-128</v>
      </c>
      <c r="Y26" s="3"/>
      <c r="Z26" s="3"/>
    </row>
    <row r="27" spans="1:26" ht="15.75" hidden="1" customHeight="1" outlineLevel="1" x14ac:dyDescent="0.3">
      <c r="A27" s="3"/>
      <c r="B27" s="61" t="s">
        <v>444</v>
      </c>
      <c r="C27" s="62">
        <v>8</v>
      </c>
      <c r="D27" s="62" t="s">
        <v>94</v>
      </c>
      <c r="E27" s="12">
        <f t="shared" si="3"/>
        <v>598</v>
      </c>
      <c r="F27" s="101">
        <f t="shared" ref="F27:F30" si="8">E27</f>
        <v>598</v>
      </c>
      <c r="G27" s="244"/>
      <c r="H27" s="103" t="s">
        <v>37</v>
      </c>
      <c r="I27" s="63"/>
      <c r="J27" s="64"/>
      <c r="K27" s="12"/>
      <c r="L27" s="62" t="str">
        <f t="shared" si="4"/>
        <v/>
      </c>
      <c r="M27" s="12">
        <v>131.99</v>
      </c>
      <c r="N27" s="12">
        <v>24.57</v>
      </c>
      <c r="O27" s="12">
        <v>12</v>
      </c>
      <c r="P27" s="12">
        <v>11.44</v>
      </c>
      <c r="Q27" s="12">
        <v>5</v>
      </c>
      <c r="R27" s="12">
        <v>5</v>
      </c>
      <c r="S27" s="12">
        <v>10</v>
      </c>
      <c r="T27" s="12">
        <v>30</v>
      </c>
      <c r="U27" s="12">
        <v>368</v>
      </c>
      <c r="V27" s="65" t="s">
        <v>445</v>
      </c>
      <c r="W27" s="44" t="str">
        <f t="shared" si="2"/>
        <v>OK</v>
      </c>
      <c r="X27" s="47" t="str">
        <f t="shared" si="5"/>
        <v/>
      </c>
      <c r="Y27" s="3"/>
      <c r="Z27" s="3"/>
    </row>
    <row r="28" spans="1:26" ht="15.75" hidden="1" customHeight="1" outlineLevel="1" x14ac:dyDescent="0.3">
      <c r="A28" s="3"/>
      <c r="B28" s="61" t="s">
        <v>446</v>
      </c>
      <c r="C28" s="62">
        <v>8</v>
      </c>
      <c r="D28" s="62" t="s">
        <v>94</v>
      </c>
      <c r="E28" s="12">
        <f t="shared" si="3"/>
        <v>238</v>
      </c>
      <c r="F28" s="101">
        <f t="shared" si="8"/>
        <v>238</v>
      </c>
      <c r="G28" s="216"/>
      <c r="H28" s="103" t="s">
        <v>37</v>
      </c>
      <c r="I28" s="63"/>
      <c r="J28" s="64"/>
      <c r="K28" s="12"/>
      <c r="L28" s="62" t="str">
        <f t="shared" si="4"/>
        <v/>
      </c>
      <c r="M28" s="12">
        <v>131.99</v>
      </c>
      <c r="N28" s="12">
        <v>24.57</v>
      </c>
      <c r="O28" s="12">
        <v>12</v>
      </c>
      <c r="P28" s="12">
        <v>1.44</v>
      </c>
      <c r="Q28" s="12">
        <v>5</v>
      </c>
      <c r="R28" s="12">
        <v>5</v>
      </c>
      <c r="S28" s="12">
        <v>10</v>
      </c>
      <c r="T28" s="12">
        <v>30</v>
      </c>
      <c r="U28" s="12">
        <v>18</v>
      </c>
      <c r="V28" s="65" t="s">
        <v>423</v>
      </c>
      <c r="W28" s="44" t="str">
        <f t="shared" si="2"/>
        <v>OK</v>
      </c>
      <c r="X28" s="47" t="str">
        <f t="shared" si="5"/>
        <v/>
      </c>
      <c r="Y28" s="3"/>
      <c r="Z28" s="3"/>
    </row>
    <row r="29" spans="1:26" ht="15.75" hidden="1" customHeight="1" outlineLevel="1" x14ac:dyDescent="0.3">
      <c r="A29" s="3"/>
      <c r="B29" s="10" t="s">
        <v>447</v>
      </c>
      <c r="C29" s="62">
        <v>13</v>
      </c>
      <c r="D29" s="62" t="s">
        <v>94</v>
      </c>
      <c r="E29" s="12">
        <f t="shared" si="3"/>
        <v>277.69</v>
      </c>
      <c r="F29" s="101">
        <f t="shared" si="8"/>
        <v>277.69</v>
      </c>
      <c r="G29" s="244"/>
      <c r="H29" s="103" t="s">
        <v>37</v>
      </c>
      <c r="I29" s="63"/>
      <c r="J29" s="64"/>
      <c r="K29" s="12"/>
      <c r="L29" s="62">
        <f t="shared" si="4"/>
        <v>1</v>
      </c>
      <c r="M29" s="12">
        <v>116.68</v>
      </c>
      <c r="N29" s="12">
        <v>24.57</v>
      </c>
      <c r="O29" s="12">
        <v>12</v>
      </c>
      <c r="P29" s="12">
        <v>1.44</v>
      </c>
      <c r="Q29" s="12">
        <v>5</v>
      </c>
      <c r="R29" s="12">
        <v>10</v>
      </c>
      <c r="S29" s="12">
        <v>10</v>
      </c>
      <c r="T29" s="12">
        <v>30</v>
      </c>
      <c r="U29" s="12">
        <v>68</v>
      </c>
      <c r="V29" s="65" t="s">
        <v>430</v>
      </c>
      <c r="W29" s="44" t="str">
        <f t="shared" si="2"/>
        <v>OK</v>
      </c>
      <c r="X29" s="47" t="str">
        <f t="shared" si="5"/>
        <v/>
      </c>
      <c r="Y29" s="3"/>
      <c r="Z29" s="3"/>
    </row>
    <row r="30" spans="1:26" ht="15.75" hidden="1" customHeight="1" outlineLevel="1" x14ac:dyDescent="0.3">
      <c r="A30" s="3"/>
      <c r="B30" s="10" t="s">
        <v>448</v>
      </c>
      <c r="C30" s="62">
        <v>13</v>
      </c>
      <c r="D30" s="62" t="s">
        <v>94</v>
      </c>
      <c r="E30" s="12">
        <f t="shared" si="3"/>
        <v>176.69</v>
      </c>
      <c r="F30" s="101">
        <f t="shared" si="8"/>
        <v>176.69</v>
      </c>
      <c r="G30" s="216"/>
      <c r="H30" s="103" t="s">
        <v>37</v>
      </c>
      <c r="I30" s="63"/>
      <c r="J30" s="64"/>
      <c r="K30" s="12"/>
      <c r="L30" s="62">
        <f t="shared" si="4"/>
        <v>1</v>
      </c>
      <c r="M30" s="12">
        <v>70.680000000000007</v>
      </c>
      <c r="N30" s="12">
        <v>24.57</v>
      </c>
      <c r="O30" s="12">
        <v>12</v>
      </c>
      <c r="P30" s="12">
        <v>1.44</v>
      </c>
      <c r="Q30" s="12"/>
      <c r="R30" s="12">
        <v>10</v>
      </c>
      <c r="S30" s="12">
        <v>10</v>
      </c>
      <c r="T30" s="12">
        <v>30</v>
      </c>
      <c r="U30" s="12">
        <v>18</v>
      </c>
      <c r="V30" s="65" t="s">
        <v>423</v>
      </c>
      <c r="W30" s="44" t="str">
        <f t="shared" si="2"/>
        <v>OK</v>
      </c>
      <c r="X30" s="47" t="str">
        <f t="shared" si="5"/>
        <v/>
      </c>
      <c r="Y30" s="3"/>
      <c r="Z30" s="3"/>
    </row>
    <row r="31" spans="1:26" ht="15.75" hidden="1" customHeight="1" outlineLevel="1" x14ac:dyDescent="0.3">
      <c r="A31" s="3"/>
      <c r="B31" s="61" t="s">
        <v>449</v>
      </c>
      <c r="C31" s="62"/>
      <c r="D31" s="62" t="s">
        <v>104</v>
      </c>
      <c r="E31" s="12">
        <f t="shared" si="3"/>
        <v>185.44</v>
      </c>
      <c r="F31" s="101"/>
      <c r="G31" s="244"/>
      <c r="H31" s="103"/>
      <c r="I31" s="63"/>
      <c r="J31" s="64"/>
      <c r="K31" s="12"/>
      <c r="L31" s="62" t="str">
        <f t="shared" si="4"/>
        <v/>
      </c>
      <c r="M31" s="12">
        <v>104.43</v>
      </c>
      <c r="N31" s="12">
        <v>24.57</v>
      </c>
      <c r="O31" s="12">
        <v>12</v>
      </c>
      <c r="P31" s="12">
        <v>1.44</v>
      </c>
      <c r="Q31" s="12">
        <v>5</v>
      </c>
      <c r="R31" s="12"/>
      <c r="S31" s="12">
        <v>10</v>
      </c>
      <c r="T31" s="12">
        <v>10</v>
      </c>
      <c r="U31" s="12">
        <v>18</v>
      </c>
      <c r="V31" s="65" t="s">
        <v>423</v>
      </c>
      <c r="W31" s="44" t="str">
        <f t="shared" si="2"/>
        <v>Diferente</v>
      </c>
      <c r="X31" s="47">
        <f t="shared" si="5"/>
        <v>-185.44</v>
      </c>
      <c r="Y31" s="3"/>
      <c r="Z31" s="3"/>
    </row>
    <row r="32" spans="1:26" ht="15.75" hidden="1" customHeight="1" outlineLevel="1" x14ac:dyDescent="0.3">
      <c r="A32" s="3"/>
      <c r="B32" s="61" t="s">
        <v>450</v>
      </c>
      <c r="C32" s="62"/>
      <c r="D32" s="62" t="s">
        <v>104</v>
      </c>
      <c r="E32" s="12">
        <f t="shared" si="3"/>
        <v>185.44</v>
      </c>
      <c r="F32" s="101"/>
      <c r="G32" s="216"/>
      <c r="H32" s="103"/>
      <c r="I32" s="63"/>
      <c r="J32" s="64"/>
      <c r="K32" s="12"/>
      <c r="L32" s="62" t="str">
        <f t="shared" si="4"/>
        <v/>
      </c>
      <c r="M32" s="12">
        <v>104.43</v>
      </c>
      <c r="N32" s="12">
        <v>24.57</v>
      </c>
      <c r="O32" s="12">
        <v>12</v>
      </c>
      <c r="P32" s="12">
        <v>1.44</v>
      </c>
      <c r="Q32" s="12">
        <v>5</v>
      </c>
      <c r="R32" s="12"/>
      <c r="S32" s="12">
        <v>10</v>
      </c>
      <c r="T32" s="12">
        <v>10</v>
      </c>
      <c r="U32" s="12">
        <v>18</v>
      </c>
      <c r="V32" s="65" t="s">
        <v>423</v>
      </c>
      <c r="W32" s="44" t="str">
        <f t="shared" si="2"/>
        <v>Diferente</v>
      </c>
      <c r="X32" s="47">
        <f t="shared" si="5"/>
        <v>-185.44</v>
      </c>
      <c r="Y32" s="3"/>
      <c r="Z32" s="3"/>
    </row>
    <row r="33" spans="1:26" ht="15.75" hidden="1" customHeight="1" outlineLevel="1" x14ac:dyDescent="0.3">
      <c r="A33" s="3"/>
      <c r="B33" s="10" t="s">
        <v>451</v>
      </c>
      <c r="C33" s="62">
        <v>10</v>
      </c>
      <c r="D33" s="62" t="s">
        <v>94</v>
      </c>
      <c r="E33" s="12">
        <f t="shared" si="3"/>
        <v>217.01</v>
      </c>
      <c r="F33" s="101">
        <f t="shared" ref="F33:F34" si="9">E33</f>
        <v>217.01</v>
      </c>
      <c r="G33" s="244"/>
      <c r="H33" s="103" t="s">
        <v>37</v>
      </c>
      <c r="I33" s="63"/>
      <c r="J33" s="64"/>
      <c r="K33" s="12"/>
      <c r="L33" s="62" t="str">
        <f t="shared" si="4"/>
        <v/>
      </c>
      <c r="M33" s="12">
        <v>156</v>
      </c>
      <c r="N33" s="12">
        <v>24.57</v>
      </c>
      <c r="O33" s="12">
        <v>12</v>
      </c>
      <c r="P33" s="12">
        <v>1.44</v>
      </c>
      <c r="Q33" s="12">
        <v>5</v>
      </c>
      <c r="R33" s="12"/>
      <c r="S33" s="12"/>
      <c r="T33" s="12"/>
      <c r="U33" s="12">
        <v>18</v>
      </c>
      <c r="V33" s="65" t="s">
        <v>423</v>
      </c>
      <c r="W33" s="44" t="str">
        <f t="shared" si="2"/>
        <v>OK</v>
      </c>
      <c r="X33" s="47" t="str">
        <f t="shared" si="5"/>
        <v/>
      </c>
      <c r="Y33" s="3"/>
      <c r="Z33" s="3"/>
    </row>
    <row r="34" spans="1:26" ht="15.75" hidden="1" customHeight="1" outlineLevel="1" x14ac:dyDescent="0.3">
      <c r="A34" s="3"/>
      <c r="B34" s="10" t="s">
        <v>452</v>
      </c>
      <c r="C34" s="62">
        <v>10</v>
      </c>
      <c r="D34" s="62" t="s">
        <v>94</v>
      </c>
      <c r="E34" s="12">
        <f t="shared" si="3"/>
        <v>287.01</v>
      </c>
      <c r="F34" s="101">
        <f t="shared" si="9"/>
        <v>287.01</v>
      </c>
      <c r="G34" s="216"/>
      <c r="H34" s="103" t="s">
        <v>37</v>
      </c>
      <c r="I34" s="63"/>
      <c r="J34" s="64"/>
      <c r="K34" s="12"/>
      <c r="L34" s="62" t="str">
        <f t="shared" si="4"/>
        <v/>
      </c>
      <c r="M34" s="12">
        <v>156</v>
      </c>
      <c r="N34" s="12">
        <v>24.57</v>
      </c>
      <c r="O34" s="12">
        <v>12</v>
      </c>
      <c r="P34" s="12">
        <v>11.44</v>
      </c>
      <c r="Q34" s="12">
        <v>5</v>
      </c>
      <c r="R34" s="12">
        <v>10</v>
      </c>
      <c r="S34" s="12"/>
      <c r="T34" s="12"/>
      <c r="U34" s="12">
        <v>68</v>
      </c>
      <c r="V34" s="65" t="s">
        <v>430</v>
      </c>
      <c r="W34" s="44" t="str">
        <f t="shared" si="2"/>
        <v>OK</v>
      </c>
      <c r="X34" s="47" t="str">
        <f t="shared" si="5"/>
        <v/>
      </c>
      <c r="Y34" s="3"/>
      <c r="Z34" s="3"/>
    </row>
    <row r="35" spans="1:26" ht="15.75" hidden="1" customHeight="1" outlineLevel="1" x14ac:dyDescent="0.3">
      <c r="A35" s="3"/>
      <c r="B35" s="61" t="s">
        <v>453</v>
      </c>
      <c r="C35" s="62"/>
      <c r="D35" s="62" t="s">
        <v>104</v>
      </c>
      <c r="E35" s="12">
        <f t="shared" si="3"/>
        <v>198.2</v>
      </c>
      <c r="F35" s="101"/>
      <c r="G35" s="105"/>
      <c r="H35" s="103"/>
      <c r="I35" s="63"/>
      <c r="J35" s="64"/>
      <c r="K35" s="12"/>
      <c r="L35" s="62" t="str">
        <f t="shared" si="4"/>
        <v/>
      </c>
      <c r="M35" s="12">
        <v>131.63</v>
      </c>
      <c r="N35" s="12">
        <v>24.57</v>
      </c>
      <c r="O35" s="12">
        <v>12</v>
      </c>
      <c r="P35" s="12">
        <v>10</v>
      </c>
      <c r="Q35" s="12">
        <v>5</v>
      </c>
      <c r="R35" s="12">
        <v>15</v>
      </c>
      <c r="S35" s="12"/>
      <c r="T35" s="12"/>
      <c r="U35" s="12"/>
      <c r="V35" s="65" t="s">
        <v>423</v>
      </c>
      <c r="W35" s="44" t="str">
        <f t="shared" si="2"/>
        <v>Diferente</v>
      </c>
      <c r="X35" s="47">
        <f t="shared" si="5"/>
        <v>-198.2</v>
      </c>
      <c r="Y35" s="3"/>
      <c r="Z35" s="3"/>
    </row>
    <row r="36" spans="1:26" ht="15.75" hidden="1" customHeight="1" outlineLevel="1" x14ac:dyDescent="0.3">
      <c r="A36" s="3"/>
      <c r="B36" s="10" t="s">
        <v>454</v>
      </c>
      <c r="C36" s="62">
        <v>9</v>
      </c>
      <c r="D36" s="62" t="s">
        <v>94</v>
      </c>
      <c r="E36" s="12">
        <f t="shared" si="3"/>
        <v>246.76</v>
      </c>
      <c r="F36" s="101">
        <f>E36</f>
        <v>246.76</v>
      </c>
      <c r="G36" s="62"/>
      <c r="H36" s="103" t="s">
        <v>37</v>
      </c>
      <c r="I36" s="63"/>
      <c r="J36" s="64"/>
      <c r="K36" s="12"/>
      <c r="L36" s="62" t="str">
        <f t="shared" si="4"/>
        <v/>
      </c>
      <c r="M36" s="12">
        <v>132.19</v>
      </c>
      <c r="N36" s="12">
        <v>24.57</v>
      </c>
      <c r="O36" s="12">
        <v>12</v>
      </c>
      <c r="P36" s="12">
        <v>5</v>
      </c>
      <c r="Q36" s="12">
        <v>5</v>
      </c>
      <c r="R36" s="12">
        <v>10</v>
      </c>
      <c r="S36" s="12">
        <v>10</v>
      </c>
      <c r="T36" s="12">
        <v>30</v>
      </c>
      <c r="U36" s="12">
        <v>18</v>
      </c>
      <c r="V36" s="65" t="s">
        <v>423</v>
      </c>
      <c r="W36" s="44" t="str">
        <f t="shared" si="2"/>
        <v>OK</v>
      </c>
      <c r="X36" s="47" t="str">
        <f t="shared" si="5"/>
        <v/>
      </c>
      <c r="Y36" s="3"/>
      <c r="Z36" s="3"/>
    </row>
    <row r="37" spans="1:26" ht="15.75" hidden="1" customHeight="1" outlineLevel="1" x14ac:dyDescent="0.3">
      <c r="A37" s="3"/>
      <c r="B37" s="61" t="s">
        <v>455</v>
      </c>
      <c r="C37" s="62"/>
      <c r="D37" s="62" t="s">
        <v>104</v>
      </c>
      <c r="E37" s="12">
        <f t="shared" si="3"/>
        <v>130.81</v>
      </c>
      <c r="F37" s="101"/>
      <c r="G37" s="244"/>
      <c r="H37" s="103"/>
      <c r="I37" s="63"/>
      <c r="J37" s="64"/>
      <c r="K37" s="12"/>
      <c r="L37" s="62" t="str">
        <f t="shared" si="4"/>
        <v/>
      </c>
      <c r="M37" s="12">
        <v>74.739999999999995</v>
      </c>
      <c r="N37" s="12">
        <v>24.57</v>
      </c>
      <c r="O37" s="12">
        <v>12</v>
      </c>
      <c r="P37" s="12">
        <v>1.5</v>
      </c>
      <c r="Q37" s="12"/>
      <c r="R37" s="12"/>
      <c r="S37" s="12"/>
      <c r="T37" s="12"/>
      <c r="U37" s="12">
        <v>18</v>
      </c>
      <c r="V37" s="65" t="s">
        <v>423</v>
      </c>
      <c r="W37" s="44" t="str">
        <f t="shared" si="2"/>
        <v>Diferente</v>
      </c>
      <c r="X37" s="47">
        <f t="shared" si="5"/>
        <v>-130.81</v>
      </c>
      <c r="Y37" s="3"/>
      <c r="Z37" s="3"/>
    </row>
    <row r="38" spans="1:26" ht="15.75" hidden="1" customHeight="1" outlineLevel="1" x14ac:dyDescent="0.3">
      <c r="A38" s="3"/>
      <c r="B38" s="61" t="s">
        <v>456</v>
      </c>
      <c r="C38" s="62"/>
      <c r="D38" s="62" t="s">
        <v>104</v>
      </c>
      <c r="E38" s="12">
        <f t="shared" si="3"/>
        <v>130.81</v>
      </c>
      <c r="F38" s="101"/>
      <c r="G38" s="216"/>
      <c r="H38" s="103"/>
      <c r="I38" s="63"/>
      <c r="J38" s="64"/>
      <c r="K38" s="12"/>
      <c r="L38" s="62" t="str">
        <f t="shared" si="4"/>
        <v/>
      </c>
      <c r="M38" s="12">
        <v>74.739999999999995</v>
      </c>
      <c r="N38" s="12">
        <v>24.57</v>
      </c>
      <c r="O38" s="12">
        <v>12</v>
      </c>
      <c r="P38" s="12">
        <v>1.5</v>
      </c>
      <c r="Q38" s="12"/>
      <c r="R38" s="12"/>
      <c r="S38" s="12"/>
      <c r="T38" s="12"/>
      <c r="U38" s="12">
        <v>18</v>
      </c>
      <c r="V38" s="65" t="s">
        <v>423</v>
      </c>
      <c r="W38" s="44" t="str">
        <f t="shared" si="2"/>
        <v>Diferente</v>
      </c>
      <c r="X38" s="47">
        <f t="shared" si="5"/>
        <v>-130.81</v>
      </c>
      <c r="Y38" s="3"/>
      <c r="Z38" s="3"/>
    </row>
    <row r="39" spans="1:26" ht="15.75" hidden="1" customHeight="1" outlineLevel="1" x14ac:dyDescent="0.3">
      <c r="A39" s="3"/>
      <c r="B39" s="10" t="s">
        <v>457</v>
      </c>
      <c r="C39" s="62">
        <v>9</v>
      </c>
      <c r="D39" s="62" t="s">
        <v>94</v>
      </c>
      <c r="E39" s="12">
        <f t="shared" si="3"/>
        <v>164.44</v>
      </c>
      <c r="F39" s="101">
        <f t="shared" ref="F39:F42" si="10">E39</f>
        <v>164.44</v>
      </c>
      <c r="G39" s="245"/>
      <c r="H39" s="103" t="s">
        <v>37</v>
      </c>
      <c r="I39" s="63"/>
      <c r="J39" s="64"/>
      <c r="K39" s="12"/>
      <c r="L39" s="62" t="str">
        <f t="shared" si="4"/>
        <v/>
      </c>
      <c r="M39" s="12">
        <v>103.43</v>
      </c>
      <c r="N39" s="12">
        <v>24.57</v>
      </c>
      <c r="O39" s="12">
        <v>12</v>
      </c>
      <c r="P39" s="12">
        <v>1.44</v>
      </c>
      <c r="Q39" s="12"/>
      <c r="R39" s="12">
        <v>5</v>
      </c>
      <c r="S39" s="12"/>
      <c r="T39" s="12"/>
      <c r="U39" s="12">
        <v>18</v>
      </c>
      <c r="V39" s="65" t="s">
        <v>423</v>
      </c>
      <c r="W39" s="44" t="str">
        <f t="shared" si="2"/>
        <v>OK</v>
      </c>
      <c r="X39" s="47" t="str">
        <f t="shared" si="5"/>
        <v/>
      </c>
      <c r="Y39" s="3"/>
      <c r="Z39" s="3"/>
    </row>
    <row r="40" spans="1:26" ht="15.75" hidden="1" customHeight="1" outlineLevel="1" x14ac:dyDescent="0.3">
      <c r="A40" s="3"/>
      <c r="B40" s="10" t="s">
        <v>458</v>
      </c>
      <c r="C40" s="62">
        <v>9</v>
      </c>
      <c r="D40" s="62" t="s">
        <v>94</v>
      </c>
      <c r="E40" s="12">
        <f t="shared" si="3"/>
        <v>169.44</v>
      </c>
      <c r="F40" s="101">
        <f t="shared" si="10"/>
        <v>169.44</v>
      </c>
      <c r="G40" s="215"/>
      <c r="H40" s="103" t="s">
        <v>37</v>
      </c>
      <c r="I40" s="63"/>
      <c r="J40" s="64"/>
      <c r="K40" s="12"/>
      <c r="L40" s="62" t="str">
        <f t="shared" si="4"/>
        <v/>
      </c>
      <c r="M40" s="12">
        <v>103.43</v>
      </c>
      <c r="N40" s="12">
        <v>24.57</v>
      </c>
      <c r="O40" s="12">
        <v>12</v>
      </c>
      <c r="P40" s="12">
        <v>1.44</v>
      </c>
      <c r="Q40" s="12">
        <v>5</v>
      </c>
      <c r="R40" s="12">
        <v>5</v>
      </c>
      <c r="S40" s="12"/>
      <c r="T40" s="12"/>
      <c r="U40" s="12">
        <v>18</v>
      </c>
      <c r="V40" s="65" t="s">
        <v>423</v>
      </c>
      <c r="W40" s="44" t="str">
        <f t="shared" si="2"/>
        <v>OK</v>
      </c>
      <c r="X40" s="47" t="str">
        <f t="shared" si="5"/>
        <v/>
      </c>
      <c r="Y40" s="3"/>
      <c r="Z40" s="3"/>
    </row>
    <row r="41" spans="1:26" ht="15.75" hidden="1" customHeight="1" outlineLevel="1" x14ac:dyDescent="0.3">
      <c r="A41" s="3"/>
      <c r="B41" s="10" t="s">
        <v>459</v>
      </c>
      <c r="C41" s="62">
        <v>9</v>
      </c>
      <c r="D41" s="62" t="s">
        <v>94</v>
      </c>
      <c r="E41" s="12">
        <f t="shared" si="3"/>
        <v>169.44</v>
      </c>
      <c r="F41" s="101">
        <f t="shared" si="10"/>
        <v>169.44</v>
      </c>
      <c r="G41" s="215"/>
      <c r="H41" s="103" t="s">
        <v>37</v>
      </c>
      <c r="I41" s="63"/>
      <c r="J41" s="64"/>
      <c r="K41" s="12"/>
      <c r="L41" s="62" t="str">
        <f t="shared" si="4"/>
        <v/>
      </c>
      <c r="M41" s="12">
        <v>103.43</v>
      </c>
      <c r="N41" s="12">
        <v>24.57</v>
      </c>
      <c r="O41" s="12">
        <v>12</v>
      </c>
      <c r="P41" s="12">
        <v>1.44</v>
      </c>
      <c r="Q41" s="12">
        <v>5</v>
      </c>
      <c r="R41" s="12">
        <v>5</v>
      </c>
      <c r="S41" s="12"/>
      <c r="T41" s="12"/>
      <c r="U41" s="12">
        <v>18</v>
      </c>
      <c r="V41" s="65" t="s">
        <v>423</v>
      </c>
      <c r="W41" s="44" t="str">
        <f t="shared" si="2"/>
        <v>OK</v>
      </c>
      <c r="X41" s="47" t="str">
        <f t="shared" si="5"/>
        <v/>
      </c>
      <c r="Y41" s="3"/>
      <c r="Z41" s="3"/>
    </row>
    <row r="42" spans="1:26" ht="15.75" hidden="1" customHeight="1" outlineLevel="1" x14ac:dyDescent="0.3">
      <c r="A42" s="3"/>
      <c r="B42" s="10" t="s">
        <v>460</v>
      </c>
      <c r="C42" s="62">
        <v>9</v>
      </c>
      <c r="D42" s="62" t="s">
        <v>94</v>
      </c>
      <c r="E42" s="12">
        <f t="shared" si="3"/>
        <v>87.59</v>
      </c>
      <c r="F42" s="101">
        <f t="shared" si="10"/>
        <v>87.59</v>
      </c>
      <c r="G42" s="216"/>
      <c r="H42" s="103" t="s">
        <v>37</v>
      </c>
      <c r="I42" s="63"/>
      <c r="J42" s="64"/>
      <c r="K42" s="12"/>
      <c r="L42" s="62" t="str">
        <f t="shared" si="4"/>
        <v/>
      </c>
      <c r="M42" s="12">
        <v>31.58</v>
      </c>
      <c r="N42" s="12">
        <v>24.57</v>
      </c>
      <c r="O42" s="12">
        <v>12</v>
      </c>
      <c r="P42" s="12">
        <v>1.44</v>
      </c>
      <c r="Q42" s="12"/>
      <c r="R42" s="12"/>
      <c r="S42" s="12"/>
      <c r="T42" s="12"/>
      <c r="U42" s="12">
        <v>18</v>
      </c>
      <c r="V42" s="65" t="s">
        <v>423</v>
      </c>
      <c r="W42" s="44" t="str">
        <f t="shared" si="2"/>
        <v>OK</v>
      </c>
      <c r="X42" s="47" t="str">
        <f t="shared" si="5"/>
        <v/>
      </c>
      <c r="Y42" s="3"/>
      <c r="Z42" s="3"/>
    </row>
    <row r="43" spans="1:26" ht="15.75" hidden="1" customHeight="1" outlineLevel="1" x14ac:dyDescent="0.3">
      <c r="A43" s="3"/>
      <c r="B43" s="61" t="s">
        <v>461</v>
      </c>
      <c r="C43" s="62"/>
      <c r="D43" s="62" t="s">
        <v>104</v>
      </c>
      <c r="E43" s="12">
        <f t="shared" si="3"/>
        <v>218</v>
      </c>
      <c r="F43" s="101"/>
      <c r="G43" s="105"/>
      <c r="H43" s="103"/>
      <c r="I43" s="63"/>
      <c r="J43" s="64"/>
      <c r="K43" s="12"/>
      <c r="L43" s="62" t="str">
        <f t="shared" si="4"/>
        <v/>
      </c>
      <c r="M43" s="12">
        <v>151.99</v>
      </c>
      <c r="N43" s="12">
        <v>24.57</v>
      </c>
      <c r="O43" s="12">
        <v>12</v>
      </c>
      <c r="P43" s="12">
        <v>1.44</v>
      </c>
      <c r="Q43" s="12"/>
      <c r="R43" s="12">
        <v>5</v>
      </c>
      <c r="S43" s="12">
        <v>5</v>
      </c>
      <c r="T43" s="12"/>
      <c r="U43" s="12">
        <v>18</v>
      </c>
      <c r="V43" s="65" t="s">
        <v>423</v>
      </c>
      <c r="W43" s="44" t="str">
        <f t="shared" si="2"/>
        <v>Diferente</v>
      </c>
      <c r="X43" s="47">
        <f t="shared" si="5"/>
        <v>-218</v>
      </c>
      <c r="Y43" s="3"/>
      <c r="Z43" s="3"/>
    </row>
    <row r="44" spans="1:26" ht="15.75" hidden="1" customHeight="1" outlineLevel="1" x14ac:dyDescent="0.3">
      <c r="A44" s="3"/>
      <c r="B44" s="10" t="s">
        <v>462</v>
      </c>
      <c r="C44" s="62">
        <v>13</v>
      </c>
      <c r="D44" s="62" t="s">
        <v>94</v>
      </c>
      <c r="E44" s="12">
        <f t="shared" si="3"/>
        <v>316.89</v>
      </c>
      <c r="F44" s="101">
        <f t="shared" ref="F44:F47" si="11">E44</f>
        <v>316.89</v>
      </c>
      <c r="G44" s="244"/>
      <c r="H44" s="103" t="s">
        <v>37</v>
      </c>
      <c r="I44" s="63"/>
      <c r="J44" s="64"/>
      <c r="K44" s="12"/>
      <c r="L44" s="62">
        <f t="shared" si="4"/>
        <v>1</v>
      </c>
      <c r="M44" s="12">
        <v>125.88</v>
      </c>
      <c r="N44" s="12">
        <v>24.57</v>
      </c>
      <c r="O44" s="12">
        <v>12</v>
      </c>
      <c r="P44" s="12">
        <v>1.44</v>
      </c>
      <c r="Q44" s="12">
        <v>5</v>
      </c>
      <c r="R44" s="12">
        <v>10</v>
      </c>
      <c r="S44" s="12">
        <v>20</v>
      </c>
      <c r="T44" s="12">
        <v>100</v>
      </c>
      <c r="U44" s="12">
        <v>18</v>
      </c>
      <c r="V44" s="65" t="s">
        <v>423</v>
      </c>
      <c r="W44" s="44" t="str">
        <f t="shared" si="2"/>
        <v>OK</v>
      </c>
      <c r="X44" s="47" t="str">
        <f t="shared" si="5"/>
        <v/>
      </c>
      <c r="Y44" s="3"/>
      <c r="Z44" s="3"/>
    </row>
    <row r="45" spans="1:26" ht="15.75" hidden="1" customHeight="1" outlineLevel="1" x14ac:dyDescent="0.3">
      <c r="A45" s="3"/>
      <c r="B45" s="10" t="s">
        <v>463</v>
      </c>
      <c r="C45" s="62">
        <v>13</v>
      </c>
      <c r="D45" s="62" t="s">
        <v>94</v>
      </c>
      <c r="E45" s="12">
        <f t="shared" si="3"/>
        <v>180.44</v>
      </c>
      <c r="F45" s="101">
        <f t="shared" si="11"/>
        <v>180.44</v>
      </c>
      <c r="G45" s="216"/>
      <c r="H45" s="103" t="s">
        <v>37</v>
      </c>
      <c r="I45" s="63"/>
      <c r="J45" s="64"/>
      <c r="K45" s="12"/>
      <c r="L45" s="62">
        <f t="shared" si="4"/>
        <v>1</v>
      </c>
      <c r="M45" s="12">
        <v>99.43</v>
      </c>
      <c r="N45" s="12">
        <v>24.57</v>
      </c>
      <c r="O45" s="12">
        <v>12</v>
      </c>
      <c r="P45" s="12">
        <v>1.44</v>
      </c>
      <c r="Q45" s="12">
        <v>5</v>
      </c>
      <c r="R45" s="12"/>
      <c r="S45" s="12">
        <v>20</v>
      </c>
      <c r="T45" s="12"/>
      <c r="U45" s="12">
        <v>18</v>
      </c>
      <c r="V45" s="65" t="s">
        <v>423</v>
      </c>
      <c r="W45" s="44" t="str">
        <f t="shared" si="2"/>
        <v>OK</v>
      </c>
      <c r="X45" s="47" t="str">
        <f t="shared" si="5"/>
        <v/>
      </c>
      <c r="Y45" s="3"/>
      <c r="Z45" s="3"/>
    </row>
    <row r="46" spans="1:26" ht="15.75" hidden="1" customHeight="1" outlineLevel="1" x14ac:dyDescent="0.3">
      <c r="A46" s="3"/>
      <c r="B46" s="61" t="s">
        <v>464</v>
      </c>
      <c r="C46" s="62">
        <v>8</v>
      </c>
      <c r="D46" s="62" t="s">
        <v>94</v>
      </c>
      <c r="E46" s="12">
        <f t="shared" si="3"/>
        <v>170</v>
      </c>
      <c r="F46" s="101">
        <f t="shared" si="11"/>
        <v>170</v>
      </c>
      <c r="G46" s="244"/>
      <c r="H46" s="103" t="s">
        <v>37</v>
      </c>
      <c r="I46" s="63"/>
      <c r="J46" s="64"/>
      <c r="K46" s="12"/>
      <c r="L46" s="62" t="str">
        <f t="shared" si="4"/>
        <v/>
      </c>
      <c r="M46" s="12">
        <v>93.43</v>
      </c>
      <c r="N46" s="12">
        <v>24.57</v>
      </c>
      <c r="O46" s="12">
        <v>12</v>
      </c>
      <c r="P46" s="12">
        <v>2</v>
      </c>
      <c r="Q46" s="12">
        <v>5</v>
      </c>
      <c r="R46" s="12">
        <v>5</v>
      </c>
      <c r="S46" s="12">
        <v>10</v>
      </c>
      <c r="T46" s="12"/>
      <c r="U46" s="12">
        <v>18</v>
      </c>
      <c r="V46" s="65" t="s">
        <v>423</v>
      </c>
      <c r="W46" s="44" t="str">
        <f t="shared" si="2"/>
        <v>OK</v>
      </c>
      <c r="X46" s="47" t="str">
        <f t="shared" si="5"/>
        <v/>
      </c>
      <c r="Y46" s="3"/>
      <c r="Z46" s="3"/>
    </row>
    <row r="47" spans="1:26" ht="15.75" hidden="1" customHeight="1" outlineLevel="1" x14ac:dyDescent="0.3">
      <c r="A47" s="3"/>
      <c r="B47" s="61" t="s">
        <v>465</v>
      </c>
      <c r="C47" s="62">
        <v>8</v>
      </c>
      <c r="D47" s="62" t="s">
        <v>94</v>
      </c>
      <c r="E47" s="12">
        <f t="shared" si="3"/>
        <v>105</v>
      </c>
      <c r="F47" s="101">
        <f t="shared" si="11"/>
        <v>105</v>
      </c>
      <c r="G47" s="216"/>
      <c r="H47" s="103" t="s">
        <v>37</v>
      </c>
      <c r="I47" s="63"/>
      <c r="J47" s="64"/>
      <c r="K47" s="12"/>
      <c r="L47" s="62" t="str">
        <f t="shared" si="4"/>
        <v/>
      </c>
      <c r="M47" s="12">
        <v>43.93</v>
      </c>
      <c r="N47" s="12">
        <v>24.57</v>
      </c>
      <c r="O47" s="12">
        <v>12</v>
      </c>
      <c r="P47" s="12">
        <v>1.5</v>
      </c>
      <c r="Q47" s="12"/>
      <c r="R47" s="12"/>
      <c r="S47" s="12">
        <v>5</v>
      </c>
      <c r="T47" s="12"/>
      <c r="U47" s="12">
        <v>18</v>
      </c>
      <c r="V47" s="65" t="s">
        <v>423</v>
      </c>
      <c r="W47" s="44" t="str">
        <f t="shared" si="2"/>
        <v>OK</v>
      </c>
      <c r="X47" s="47" t="str">
        <f t="shared" si="5"/>
        <v/>
      </c>
      <c r="Y47" s="3"/>
      <c r="Z47" s="3"/>
    </row>
    <row r="48" spans="1:26" ht="15.75" hidden="1" customHeight="1" outlineLevel="1" x14ac:dyDescent="0.3">
      <c r="A48" s="3"/>
      <c r="B48" s="10" t="s">
        <v>466</v>
      </c>
      <c r="C48" s="62"/>
      <c r="D48" s="62" t="s">
        <v>104</v>
      </c>
      <c r="E48" s="12">
        <f t="shared" si="3"/>
        <v>249.99</v>
      </c>
      <c r="F48" s="101"/>
      <c r="G48" s="244"/>
      <c r="H48" s="103"/>
      <c r="I48" s="63"/>
      <c r="J48" s="64"/>
      <c r="K48" s="12"/>
      <c r="L48" s="62" t="str">
        <f t="shared" si="4"/>
        <v/>
      </c>
      <c r="M48" s="12">
        <v>118.98</v>
      </c>
      <c r="N48" s="12">
        <v>24.57</v>
      </c>
      <c r="O48" s="12">
        <v>12</v>
      </c>
      <c r="P48" s="12">
        <v>11.44</v>
      </c>
      <c r="Q48" s="12">
        <v>5</v>
      </c>
      <c r="R48" s="12">
        <v>10</v>
      </c>
      <c r="S48" s="12"/>
      <c r="T48" s="12"/>
      <c r="U48" s="12">
        <v>68</v>
      </c>
      <c r="V48" s="65" t="s">
        <v>430</v>
      </c>
      <c r="W48" s="44" t="str">
        <f t="shared" si="2"/>
        <v>Diferente</v>
      </c>
      <c r="X48" s="47">
        <f t="shared" si="5"/>
        <v>-249.99</v>
      </c>
      <c r="Y48" s="3"/>
      <c r="Z48" s="3"/>
    </row>
    <row r="49" spans="1:26" ht="15.75" hidden="1" customHeight="1" outlineLevel="1" x14ac:dyDescent="0.3">
      <c r="A49" s="3"/>
      <c r="B49" s="10" t="s">
        <v>467</v>
      </c>
      <c r="C49" s="62"/>
      <c r="D49" s="62" t="s">
        <v>104</v>
      </c>
      <c r="E49" s="12">
        <f t="shared" si="3"/>
        <v>111.74</v>
      </c>
      <c r="F49" s="101"/>
      <c r="G49" s="216"/>
      <c r="H49" s="103"/>
      <c r="I49" s="63"/>
      <c r="J49" s="64"/>
      <c r="K49" s="12"/>
      <c r="L49" s="62" t="str">
        <f t="shared" si="4"/>
        <v/>
      </c>
      <c r="M49" s="12">
        <v>55.73</v>
      </c>
      <c r="N49" s="12">
        <v>24.57</v>
      </c>
      <c r="O49" s="12">
        <v>12</v>
      </c>
      <c r="P49" s="12">
        <v>1.44</v>
      </c>
      <c r="Q49" s="12"/>
      <c r="R49" s="12"/>
      <c r="S49" s="12"/>
      <c r="T49" s="12"/>
      <c r="U49" s="12">
        <v>18</v>
      </c>
      <c r="V49" s="65" t="s">
        <v>423</v>
      </c>
      <c r="W49" s="44" t="str">
        <f t="shared" si="2"/>
        <v>Diferente</v>
      </c>
      <c r="X49" s="47">
        <f t="shared" si="5"/>
        <v>-111.74</v>
      </c>
      <c r="Y49" s="3"/>
      <c r="Z49" s="3"/>
    </row>
    <row r="50" spans="1:26" ht="15.75" hidden="1" customHeight="1" outlineLevel="1" x14ac:dyDescent="0.3">
      <c r="A50" s="3"/>
      <c r="B50" s="61" t="s">
        <v>468</v>
      </c>
      <c r="C50" s="62">
        <v>8</v>
      </c>
      <c r="D50" s="62" t="s">
        <v>94</v>
      </c>
      <c r="E50" s="12">
        <f t="shared" si="3"/>
        <v>112.75999999999999</v>
      </c>
      <c r="F50" s="101">
        <f t="shared" ref="F50:F56" si="12">E50</f>
        <v>112.75999999999999</v>
      </c>
      <c r="G50" s="244"/>
      <c r="H50" s="103" t="s">
        <v>37</v>
      </c>
      <c r="I50" s="63"/>
      <c r="J50" s="64"/>
      <c r="K50" s="12"/>
      <c r="L50" s="62" t="str">
        <f t="shared" si="4"/>
        <v/>
      </c>
      <c r="M50" s="12">
        <v>58.19</v>
      </c>
      <c r="N50" s="12">
        <v>24.57</v>
      </c>
      <c r="O50" s="12">
        <v>12</v>
      </c>
      <c r="P50" s="12" t="s">
        <v>43</v>
      </c>
      <c r="Q50" s="12" t="s">
        <v>43</v>
      </c>
      <c r="R50" s="12" t="s">
        <v>43</v>
      </c>
      <c r="S50" s="12" t="s">
        <v>43</v>
      </c>
      <c r="T50" s="12"/>
      <c r="U50" s="12">
        <v>18</v>
      </c>
      <c r="V50" s="65" t="s">
        <v>423</v>
      </c>
      <c r="W50" s="44" t="str">
        <f t="shared" si="2"/>
        <v>OK</v>
      </c>
      <c r="X50" s="47" t="str">
        <f t="shared" si="5"/>
        <v/>
      </c>
      <c r="Y50" s="3"/>
      <c r="Z50" s="3"/>
    </row>
    <row r="51" spans="1:26" ht="15.75" hidden="1" customHeight="1" outlineLevel="1" x14ac:dyDescent="0.3">
      <c r="A51" s="3"/>
      <c r="B51" s="61" t="s">
        <v>469</v>
      </c>
      <c r="C51" s="62">
        <v>8</v>
      </c>
      <c r="D51" s="62" t="s">
        <v>94</v>
      </c>
      <c r="E51" s="12">
        <f t="shared" si="3"/>
        <v>88.45</v>
      </c>
      <c r="F51" s="101">
        <f t="shared" si="12"/>
        <v>88.45</v>
      </c>
      <c r="G51" s="216"/>
      <c r="H51" s="103" t="s">
        <v>37</v>
      </c>
      <c r="I51" s="63"/>
      <c r="J51" s="64"/>
      <c r="K51" s="12"/>
      <c r="L51" s="62" t="str">
        <f t="shared" si="4"/>
        <v/>
      </c>
      <c r="M51" s="12">
        <v>33.880000000000003</v>
      </c>
      <c r="N51" s="12">
        <v>24.57</v>
      </c>
      <c r="O51" s="12">
        <v>12</v>
      </c>
      <c r="P51" s="12" t="s">
        <v>43</v>
      </c>
      <c r="Q51" s="12"/>
      <c r="R51" s="12" t="s">
        <v>43</v>
      </c>
      <c r="S51" s="12"/>
      <c r="T51" s="12"/>
      <c r="U51" s="12">
        <v>18</v>
      </c>
      <c r="V51" s="65" t="s">
        <v>423</v>
      </c>
      <c r="W51" s="44" t="str">
        <f t="shared" si="2"/>
        <v>OK</v>
      </c>
      <c r="X51" s="47" t="str">
        <f t="shared" si="5"/>
        <v/>
      </c>
      <c r="Y51" s="3"/>
      <c r="Z51" s="3"/>
    </row>
    <row r="52" spans="1:26" ht="15.75" hidden="1" customHeight="1" outlineLevel="1" x14ac:dyDescent="0.3">
      <c r="A52" s="3"/>
      <c r="B52" s="10" t="s">
        <v>470</v>
      </c>
      <c r="C52" s="62">
        <v>22</v>
      </c>
      <c r="D52" s="62" t="s">
        <v>94</v>
      </c>
      <c r="E52" s="12">
        <f t="shared" si="3"/>
        <v>409.69</v>
      </c>
      <c r="F52" s="101">
        <f t="shared" si="12"/>
        <v>409.69</v>
      </c>
      <c r="G52" s="244"/>
      <c r="H52" s="103" t="s">
        <v>37</v>
      </c>
      <c r="I52" s="63"/>
      <c r="J52" s="64"/>
      <c r="K52" s="12"/>
      <c r="L52" s="62">
        <f t="shared" si="4"/>
        <v>1</v>
      </c>
      <c r="M52" s="12">
        <v>93.62</v>
      </c>
      <c r="N52" s="12">
        <v>24.57</v>
      </c>
      <c r="O52" s="12">
        <v>12</v>
      </c>
      <c r="P52" s="12">
        <v>1.5</v>
      </c>
      <c r="Q52" s="12"/>
      <c r="R52" s="12"/>
      <c r="S52" s="12">
        <v>10</v>
      </c>
      <c r="T52" s="12"/>
      <c r="U52" s="12">
        <v>268</v>
      </c>
      <c r="V52" s="65" t="s">
        <v>471</v>
      </c>
      <c r="W52" s="44" t="str">
        <f t="shared" si="2"/>
        <v>OK</v>
      </c>
      <c r="X52" s="47" t="str">
        <f t="shared" si="5"/>
        <v/>
      </c>
      <c r="Y52" s="3"/>
      <c r="Z52" s="3"/>
    </row>
    <row r="53" spans="1:26" ht="15.75" hidden="1" customHeight="1" outlineLevel="1" x14ac:dyDescent="0.3">
      <c r="A53" s="3"/>
      <c r="B53" s="10" t="s">
        <v>472</v>
      </c>
      <c r="C53" s="62">
        <v>22</v>
      </c>
      <c r="D53" s="62" t="s">
        <v>94</v>
      </c>
      <c r="E53" s="12">
        <f t="shared" si="3"/>
        <v>149.69</v>
      </c>
      <c r="F53" s="101">
        <f t="shared" si="12"/>
        <v>149.69</v>
      </c>
      <c r="G53" s="216"/>
      <c r="H53" s="103" t="s">
        <v>37</v>
      </c>
      <c r="I53" s="63"/>
      <c r="J53" s="64"/>
      <c r="K53" s="12"/>
      <c r="L53" s="62">
        <f t="shared" si="4"/>
        <v>1</v>
      </c>
      <c r="M53" s="12">
        <v>93.62</v>
      </c>
      <c r="N53" s="12">
        <v>24.57</v>
      </c>
      <c r="O53" s="12">
        <v>12</v>
      </c>
      <c r="P53" s="12">
        <v>1.5</v>
      </c>
      <c r="Q53" s="12"/>
      <c r="R53" s="12"/>
      <c r="S53" s="12"/>
      <c r="T53" s="12"/>
      <c r="U53" s="12">
        <v>18</v>
      </c>
      <c r="V53" s="65" t="s">
        <v>423</v>
      </c>
      <c r="W53" s="44" t="str">
        <f t="shared" si="2"/>
        <v>OK</v>
      </c>
      <c r="X53" s="47" t="str">
        <f t="shared" si="5"/>
        <v/>
      </c>
      <c r="Y53" s="3"/>
      <c r="Z53" s="3"/>
    </row>
    <row r="54" spans="1:26" ht="15.75" hidden="1" customHeight="1" outlineLevel="1" x14ac:dyDescent="0.3">
      <c r="A54" s="3"/>
      <c r="B54" s="61" t="s">
        <v>473</v>
      </c>
      <c r="C54" s="62">
        <v>9</v>
      </c>
      <c r="D54" s="62" t="s">
        <v>94</v>
      </c>
      <c r="E54" s="12">
        <f t="shared" si="3"/>
        <v>200.44</v>
      </c>
      <c r="F54" s="101">
        <f t="shared" si="12"/>
        <v>200.44</v>
      </c>
      <c r="G54" s="105"/>
      <c r="H54" s="103" t="s">
        <v>37</v>
      </c>
      <c r="I54" s="63"/>
      <c r="J54" s="64"/>
      <c r="K54" s="12"/>
      <c r="L54" s="62" t="str">
        <f t="shared" si="4"/>
        <v/>
      </c>
      <c r="M54" s="12">
        <v>139.43</v>
      </c>
      <c r="N54" s="12">
        <v>24.57</v>
      </c>
      <c r="O54" s="12">
        <v>12</v>
      </c>
      <c r="P54" s="12">
        <v>1.44</v>
      </c>
      <c r="Q54" s="12">
        <v>5</v>
      </c>
      <c r="R54" s="12"/>
      <c r="S54" s="12"/>
      <c r="T54" s="12"/>
      <c r="U54" s="12">
        <v>18</v>
      </c>
      <c r="V54" s="65" t="s">
        <v>423</v>
      </c>
      <c r="W54" s="44" t="str">
        <f t="shared" si="2"/>
        <v>OK</v>
      </c>
      <c r="X54" s="47" t="str">
        <f t="shared" si="5"/>
        <v/>
      </c>
      <c r="Y54" s="3"/>
      <c r="Z54" s="3"/>
    </row>
    <row r="55" spans="1:26" ht="15.75" hidden="1" customHeight="1" outlineLevel="1" x14ac:dyDescent="0.3">
      <c r="A55" s="3"/>
      <c r="B55" s="10" t="s">
        <v>474</v>
      </c>
      <c r="C55" s="62">
        <v>8</v>
      </c>
      <c r="D55" s="62" t="s">
        <v>94</v>
      </c>
      <c r="E55" s="12">
        <f t="shared" si="3"/>
        <v>664.29</v>
      </c>
      <c r="F55" s="101">
        <f t="shared" si="12"/>
        <v>664.29</v>
      </c>
      <c r="G55" s="244"/>
      <c r="H55" s="103" t="s">
        <v>37</v>
      </c>
      <c r="I55" s="63"/>
      <c r="J55" s="64"/>
      <c r="K55" s="12"/>
      <c r="L55" s="62" t="str">
        <f t="shared" si="4"/>
        <v/>
      </c>
      <c r="M55" s="12">
        <v>98.28</v>
      </c>
      <c r="N55" s="12">
        <v>24.57</v>
      </c>
      <c r="O55" s="12">
        <v>12</v>
      </c>
      <c r="P55" s="12">
        <v>1.44</v>
      </c>
      <c r="Q55" s="12"/>
      <c r="R55" s="12">
        <v>10</v>
      </c>
      <c r="S55" s="12"/>
      <c r="T55" s="12">
        <v>100</v>
      </c>
      <c r="U55" s="12">
        <v>418</v>
      </c>
      <c r="V55" s="65" t="s">
        <v>475</v>
      </c>
      <c r="W55" s="44" t="str">
        <f t="shared" si="2"/>
        <v>OK</v>
      </c>
      <c r="X55" s="47" t="str">
        <f t="shared" si="5"/>
        <v/>
      </c>
      <c r="Y55" s="3"/>
      <c r="Z55" s="3"/>
    </row>
    <row r="56" spans="1:26" ht="15.75" hidden="1" customHeight="1" outlineLevel="1" x14ac:dyDescent="0.3">
      <c r="A56" s="3"/>
      <c r="B56" s="10" t="s">
        <v>476</v>
      </c>
      <c r="C56" s="62">
        <v>8</v>
      </c>
      <c r="D56" s="62" t="s">
        <v>94</v>
      </c>
      <c r="E56" s="12">
        <f t="shared" si="3"/>
        <v>164.29</v>
      </c>
      <c r="F56" s="101">
        <f t="shared" si="12"/>
        <v>164.29</v>
      </c>
      <c r="G56" s="216"/>
      <c r="H56" s="103" t="s">
        <v>37</v>
      </c>
      <c r="I56" s="63"/>
      <c r="J56" s="64"/>
      <c r="K56" s="12"/>
      <c r="L56" s="62" t="str">
        <f t="shared" si="4"/>
        <v/>
      </c>
      <c r="M56" s="12">
        <v>98.28</v>
      </c>
      <c r="N56" s="12">
        <v>24.57</v>
      </c>
      <c r="O56" s="12">
        <v>12</v>
      </c>
      <c r="P56" s="12">
        <v>1.44</v>
      </c>
      <c r="Q56" s="12"/>
      <c r="R56" s="12">
        <v>10</v>
      </c>
      <c r="S56" s="12"/>
      <c r="T56" s="12"/>
      <c r="U56" s="12">
        <v>18</v>
      </c>
      <c r="V56" s="65" t="s">
        <v>423</v>
      </c>
      <c r="W56" s="44" t="str">
        <f t="shared" si="2"/>
        <v>OK</v>
      </c>
      <c r="X56" s="47" t="str">
        <f t="shared" si="5"/>
        <v/>
      </c>
      <c r="Y56" s="3"/>
      <c r="Z56" s="3"/>
    </row>
    <row r="57" spans="1:26" ht="15.75" hidden="1" customHeight="1" outlineLevel="1" x14ac:dyDescent="0.3">
      <c r="A57" s="3"/>
      <c r="B57" s="61" t="s">
        <v>477</v>
      </c>
      <c r="C57" s="62">
        <v>17</v>
      </c>
      <c r="D57" s="62" t="s">
        <v>94</v>
      </c>
      <c r="E57" s="12">
        <v>75</v>
      </c>
      <c r="F57" s="101">
        <f>SUM(M57:U57)</f>
        <v>175</v>
      </c>
      <c r="G57" s="106"/>
      <c r="H57" s="103" t="s">
        <v>37</v>
      </c>
      <c r="I57" s="63"/>
      <c r="J57" s="64"/>
      <c r="K57" s="12"/>
      <c r="L57" s="62">
        <f t="shared" si="4"/>
        <v>1</v>
      </c>
      <c r="M57" s="12">
        <f>13.93+100</f>
        <v>113.93</v>
      </c>
      <c r="N57" s="12">
        <v>24.57</v>
      </c>
      <c r="O57" s="12">
        <v>12</v>
      </c>
      <c r="P57" s="12">
        <v>1.5</v>
      </c>
      <c r="Q57" s="12">
        <v>5</v>
      </c>
      <c r="R57" s="12"/>
      <c r="S57" s="12"/>
      <c r="T57" s="12"/>
      <c r="U57" s="12">
        <v>18</v>
      </c>
      <c r="V57" s="65" t="s">
        <v>423</v>
      </c>
      <c r="W57" s="44" t="str">
        <f t="shared" si="2"/>
        <v>OK</v>
      </c>
      <c r="X57" s="47" t="str">
        <f t="shared" si="5"/>
        <v/>
      </c>
      <c r="Y57" s="3"/>
      <c r="Z57" s="3"/>
    </row>
    <row r="58" spans="1:26" ht="15.75" hidden="1" customHeight="1" outlineLevel="1" x14ac:dyDescent="0.3">
      <c r="A58" s="3"/>
      <c r="B58" s="10" t="s">
        <v>478</v>
      </c>
      <c r="C58" s="62">
        <v>9</v>
      </c>
      <c r="D58" s="62" t="s">
        <v>94</v>
      </c>
      <c r="E58" s="12">
        <f t="shared" ref="E58:E60" si="13">SUM(M58:U58)</f>
        <v>168.5</v>
      </c>
      <c r="F58" s="101">
        <f t="shared" ref="F58:F60" si="14">E58</f>
        <v>168.5</v>
      </c>
      <c r="G58" s="244"/>
      <c r="H58" s="103" t="s">
        <v>37</v>
      </c>
      <c r="I58" s="63"/>
      <c r="J58" s="64"/>
      <c r="K58" s="12"/>
      <c r="L58" s="62" t="str">
        <f t="shared" si="4"/>
        <v/>
      </c>
      <c r="M58" s="12">
        <v>93.43</v>
      </c>
      <c r="N58" s="12">
        <v>24.57</v>
      </c>
      <c r="O58" s="12">
        <v>12</v>
      </c>
      <c r="P58" s="12">
        <v>1.5</v>
      </c>
      <c r="Q58" s="12"/>
      <c r="R58" s="12">
        <v>10</v>
      </c>
      <c r="S58" s="12">
        <v>4</v>
      </c>
      <c r="T58" s="12">
        <v>5</v>
      </c>
      <c r="U58" s="12">
        <v>18</v>
      </c>
      <c r="V58" s="65" t="s">
        <v>423</v>
      </c>
      <c r="W58" s="44" t="str">
        <f t="shared" si="2"/>
        <v>OK</v>
      </c>
      <c r="X58" s="47" t="str">
        <f t="shared" si="5"/>
        <v/>
      </c>
      <c r="Y58" s="3"/>
      <c r="Z58" s="3"/>
    </row>
    <row r="59" spans="1:26" ht="15.75" hidden="1" customHeight="1" outlineLevel="1" x14ac:dyDescent="0.3">
      <c r="A59" s="3"/>
      <c r="B59" s="10" t="s">
        <v>479</v>
      </c>
      <c r="C59" s="62">
        <v>9</v>
      </c>
      <c r="D59" s="62" t="s">
        <v>94</v>
      </c>
      <c r="E59" s="12">
        <f t="shared" si="13"/>
        <v>167.5</v>
      </c>
      <c r="F59" s="101">
        <f t="shared" si="14"/>
        <v>167.5</v>
      </c>
      <c r="G59" s="216"/>
      <c r="H59" s="103" t="s">
        <v>37</v>
      </c>
      <c r="I59" s="63"/>
      <c r="J59" s="64"/>
      <c r="K59" s="12"/>
      <c r="L59" s="62" t="str">
        <f t="shared" si="4"/>
        <v/>
      </c>
      <c r="M59" s="12">
        <v>93.43</v>
      </c>
      <c r="N59" s="12">
        <v>24.57</v>
      </c>
      <c r="O59" s="12">
        <v>12</v>
      </c>
      <c r="P59" s="12">
        <v>1.5</v>
      </c>
      <c r="Q59" s="12"/>
      <c r="R59" s="12">
        <v>10</v>
      </c>
      <c r="S59" s="12">
        <v>3</v>
      </c>
      <c r="T59" s="12">
        <v>5</v>
      </c>
      <c r="U59" s="12">
        <v>18</v>
      </c>
      <c r="V59" s="65" t="s">
        <v>423</v>
      </c>
      <c r="W59" s="44" t="str">
        <f t="shared" si="2"/>
        <v>OK</v>
      </c>
      <c r="X59" s="47" t="str">
        <f t="shared" si="5"/>
        <v/>
      </c>
      <c r="Y59" s="3"/>
      <c r="Z59" s="3"/>
    </row>
    <row r="60" spans="1:26" ht="15.75" hidden="1" customHeight="1" outlineLevel="1" x14ac:dyDescent="0.3">
      <c r="A60" s="3"/>
      <c r="B60" s="61" t="s">
        <v>480</v>
      </c>
      <c r="C60" s="62">
        <v>8</v>
      </c>
      <c r="D60" s="62" t="s">
        <v>94</v>
      </c>
      <c r="E60" s="12">
        <f t="shared" si="13"/>
        <v>100</v>
      </c>
      <c r="F60" s="101">
        <f t="shared" si="14"/>
        <v>100</v>
      </c>
      <c r="G60" s="62"/>
      <c r="H60" s="103" t="s">
        <v>37</v>
      </c>
      <c r="I60" s="63"/>
      <c r="J60" s="64"/>
      <c r="K60" s="12"/>
      <c r="L60" s="62" t="str">
        <f t="shared" si="4"/>
        <v/>
      </c>
      <c r="M60" s="12">
        <v>61.93</v>
      </c>
      <c r="N60" s="12">
        <v>24.57</v>
      </c>
      <c r="O60" s="12">
        <v>12</v>
      </c>
      <c r="P60" s="12">
        <v>1.5</v>
      </c>
      <c r="Q60" s="12"/>
      <c r="R60" s="12"/>
      <c r="S60" s="12"/>
      <c r="T60" s="12"/>
      <c r="U60" s="12"/>
      <c r="V60" s="65"/>
      <c r="W60" s="44" t="str">
        <f t="shared" si="2"/>
        <v>OK</v>
      </c>
      <c r="X60" s="47" t="str">
        <f t="shared" si="5"/>
        <v/>
      </c>
      <c r="Y60" s="3"/>
      <c r="Z60" s="3"/>
    </row>
    <row r="61" spans="1:26" ht="15.75" hidden="1" customHeight="1" outlineLevel="1" x14ac:dyDescent="0.3">
      <c r="A61" s="3"/>
      <c r="B61" s="10" t="s">
        <v>481</v>
      </c>
      <c r="C61" s="62">
        <v>4</v>
      </c>
      <c r="D61" s="62" t="s">
        <v>129</v>
      </c>
      <c r="E61" s="12">
        <v>80.37</v>
      </c>
      <c r="F61" s="101">
        <f>SUM(M61:U61)</f>
        <v>363.48</v>
      </c>
      <c r="G61" s="104"/>
      <c r="H61" s="103" t="s">
        <v>38</v>
      </c>
      <c r="I61" s="63"/>
      <c r="J61" s="64"/>
      <c r="K61" s="12"/>
      <c r="L61" s="62" t="str">
        <f t="shared" si="4"/>
        <v/>
      </c>
      <c r="M61" s="12">
        <f>19.36+283.11</f>
        <v>302.47000000000003</v>
      </c>
      <c r="N61" s="12">
        <v>24.57</v>
      </c>
      <c r="O61" s="12">
        <v>12</v>
      </c>
      <c r="P61" s="12">
        <v>1.44</v>
      </c>
      <c r="Q61" s="12">
        <v>5</v>
      </c>
      <c r="R61" s="12"/>
      <c r="S61" s="12"/>
      <c r="T61" s="12"/>
      <c r="U61" s="12">
        <v>18</v>
      </c>
      <c r="V61" s="65" t="s">
        <v>423</v>
      </c>
      <c r="W61" s="44" t="str">
        <f t="shared" si="2"/>
        <v>OK</v>
      </c>
      <c r="X61" s="47" t="str">
        <f t="shared" si="5"/>
        <v/>
      </c>
      <c r="Y61" s="3"/>
      <c r="Z61" s="3"/>
    </row>
    <row r="62" spans="1:26" ht="15.75" hidden="1" customHeight="1" outlineLevel="1" x14ac:dyDescent="0.3">
      <c r="A62" s="3"/>
      <c r="B62" s="61" t="s">
        <v>482</v>
      </c>
      <c r="C62" s="62"/>
      <c r="D62" s="62" t="s">
        <v>104</v>
      </c>
      <c r="E62" s="12">
        <f t="shared" ref="E62:E96" si="15">SUM(M62:U62)</f>
        <v>90.75</v>
      </c>
      <c r="F62" s="101"/>
      <c r="G62" s="244"/>
      <c r="H62" s="103"/>
      <c r="I62" s="63"/>
      <c r="J62" s="64"/>
      <c r="K62" s="12"/>
      <c r="L62" s="62" t="str">
        <f t="shared" si="4"/>
        <v/>
      </c>
      <c r="M62" s="12">
        <v>29.74</v>
      </c>
      <c r="N62" s="12">
        <v>24.57</v>
      </c>
      <c r="O62" s="12">
        <v>12</v>
      </c>
      <c r="P62" s="12">
        <v>1.44</v>
      </c>
      <c r="Q62" s="12">
        <v>5</v>
      </c>
      <c r="R62" s="12"/>
      <c r="S62" s="12"/>
      <c r="T62" s="12"/>
      <c r="U62" s="12">
        <v>18</v>
      </c>
      <c r="V62" s="65" t="s">
        <v>423</v>
      </c>
      <c r="W62" s="44" t="str">
        <f t="shared" si="2"/>
        <v>Diferente</v>
      </c>
      <c r="X62" s="47">
        <f t="shared" si="5"/>
        <v>-90.75</v>
      </c>
      <c r="Y62" s="3"/>
      <c r="Z62" s="3"/>
    </row>
    <row r="63" spans="1:26" ht="15.75" hidden="1" customHeight="1" outlineLevel="1" x14ac:dyDescent="0.3">
      <c r="A63" s="3"/>
      <c r="B63" s="61" t="s">
        <v>483</v>
      </c>
      <c r="C63" s="62"/>
      <c r="D63" s="62" t="s">
        <v>104</v>
      </c>
      <c r="E63" s="12">
        <f t="shared" si="15"/>
        <v>91</v>
      </c>
      <c r="F63" s="101"/>
      <c r="G63" s="216"/>
      <c r="H63" s="103"/>
      <c r="I63" s="63"/>
      <c r="J63" s="64"/>
      <c r="K63" s="12"/>
      <c r="L63" s="62" t="str">
        <f t="shared" si="4"/>
        <v/>
      </c>
      <c r="M63" s="12">
        <v>29.93</v>
      </c>
      <c r="N63" s="12">
        <v>24.57</v>
      </c>
      <c r="O63" s="12">
        <v>12</v>
      </c>
      <c r="P63" s="12">
        <v>1.5</v>
      </c>
      <c r="Q63" s="12">
        <v>5</v>
      </c>
      <c r="R63" s="12"/>
      <c r="S63" s="12"/>
      <c r="T63" s="12"/>
      <c r="U63" s="12">
        <v>18</v>
      </c>
      <c r="V63" s="65" t="s">
        <v>423</v>
      </c>
      <c r="W63" s="44" t="str">
        <f t="shared" si="2"/>
        <v>Diferente</v>
      </c>
      <c r="X63" s="47">
        <f t="shared" si="5"/>
        <v>-91</v>
      </c>
      <c r="Y63" s="3"/>
      <c r="Z63" s="3"/>
    </row>
    <row r="64" spans="1:26" ht="15.75" hidden="1" customHeight="1" outlineLevel="1" x14ac:dyDescent="0.3">
      <c r="A64" s="3"/>
      <c r="B64" s="10" t="s">
        <v>484</v>
      </c>
      <c r="C64" s="62">
        <v>13</v>
      </c>
      <c r="D64" s="62" t="s">
        <v>94</v>
      </c>
      <c r="E64" s="12">
        <f t="shared" si="15"/>
        <v>168</v>
      </c>
      <c r="F64" s="101">
        <f t="shared" ref="F64:F66" si="16">E64</f>
        <v>168</v>
      </c>
      <c r="G64" s="89"/>
      <c r="H64" s="103" t="s">
        <v>37</v>
      </c>
      <c r="I64" s="63"/>
      <c r="J64" s="64"/>
      <c r="K64" s="12"/>
      <c r="L64" s="62">
        <f t="shared" si="4"/>
        <v>1</v>
      </c>
      <c r="M64" s="12">
        <v>61.99</v>
      </c>
      <c r="N64" s="12">
        <v>24.57</v>
      </c>
      <c r="O64" s="12">
        <v>12</v>
      </c>
      <c r="P64" s="12">
        <v>1.44</v>
      </c>
      <c r="Q64" s="12"/>
      <c r="R64" s="12"/>
      <c r="S64" s="12"/>
      <c r="T64" s="12"/>
      <c r="U64" s="12">
        <v>68</v>
      </c>
      <c r="V64" s="65" t="s">
        <v>485</v>
      </c>
      <c r="W64" s="44" t="str">
        <f t="shared" si="2"/>
        <v>OK</v>
      </c>
      <c r="X64" s="47" t="str">
        <f t="shared" si="5"/>
        <v/>
      </c>
      <c r="Y64" s="3"/>
      <c r="Z64" s="3"/>
    </row>
    <row r="65" spans="1:26" ht="15.75" hidden="1" customHeight="1" outlineLevel="1" x14ac:dyDescent="0.3">
      <c r="A65" s="3"/>
      <c r="B65" s="61" t="s">
        <v>486</v>
      </c>
      <c r="C65" s="62">
        <v>10</v>
      </c>
      <c r="D65" s="62" t="s">
        <v>94</v>
      </c>
      <c r="E65" s="12">
        <f t="shared" si="15"/>
        <v>78</v>
      </c>
      <c r="F65" s="101">
        <f t="shared" si="16"/>
        <v>78</v>
      </c>
      <c r="G65" s="104"/>
      <c r="H65" s="103" t="s">
        <v>37</v>
      </c>
      <c r="I65" s="63"/>
      <c r="J65" s="64"/>
      <c r="K65" s="12"/>
      <c r="L65" s="62" t="str">
        <f t="shared" si="4"/>
        <v/>
      </c>
      <c r="M65" s="12">
        <v>21.93</v>
      </c>
      <c r="N65" s="12">
        <v>24.57</v>
      </c>
      <c r="O65" s="12">
        <v>12</v>
      </c>
      <c r="P65" s="12">
        <v>1.5</v>
      </c>
      <c r="Q65" s="12"/>
      <c r="R65" s="12"/>
      <c r="S65" s="12"/>
      <c r="T65" s="12"/>
      <c r="U65" s="12">
        <v>18</v>
      </c>
      <c r="V65" s="65" t="s">
        <v>423</v>
      </c>
      <c r="W65" s="44" t="str">
        <f t="shared" si="2"/>
        <v>OK</v>
      </c>
      <c r="X65" s="47" t="str">
        <f t="shared" si="5"/>
        <v/>
      </c>
      <c r="Y65" s="3"/>
      <c r="Z65" s="3"/>
    </row>
    <row r="66" spans="1:26" ht="15.75" hidden="1" customHeight="1" outlineLevel="1" x14ac:dyDescent="0.3">
      <c r="A66" s="3"/>
      <c r="B66" s="10" t="s">
        <v>487</v>
      </c>
      <c r="C66" s="62">
        <v>13</v>
      </c>
      <c r="D66" s="62" t="s">
        <v>94</v>
      </c>
      <c r="E66" s="12">
        <f t="shared" si="15"/>
        <v>185</v>
      </c>
      <c r="F66" s="101">
        <f t="shared" si="16"/>
        <v>185</v>
      </c>
      <c r="G66" s="105"/>
      <c r="H66" s="103" t="s">
        <v>37</v>
      </c>
      <c r="I66" s="63"/>
      <c r="J66" s="64"/>
      <c r="K66" s="12"/>
      <c r="L66" s="62">
        <f t="shared" si="4"/>
        <v>1</v>
      </c>
      <c r="M66" s="12">
        <v>102.43</v>
      </c>
      <c r="N66" s="12">
        <v>24.57</v>
      </c>
      <c r="O66" s="12">
        <v>12</v>
      </c>
      <c r="P66" s="12">
        <v>3</v>
      </c>
      <c r="Q66" s="12">
        <v>15</v>
      </c>
      <c r="R66" s="12"/>
      <c r="S66" s="12">
        <v>10</v>
      </c>
      <c r="T66" s="12"/>
      <c r="U66" s="12">
        <v>18</v>
      </c>
      <c r="V66" s="65" t="s">
        <v>423</v>
      </c>
      <c r="W66" s="44" t="str">
        <f t="shared" si="2"/>
        <v>OK</v>
      </c>
      <c r="X66" s="47" t="str">
        <f t="shared" si="5"/>
        <v/>
      </c>
      <c r="Y66" s="3"/>
      <c r="Z66" s="3"/>
    </row>
    <row r="67" spans="1:26" ht="15.75" hidden="1" customHeight="1" outlineLevel="1" x14ac:dyDescent="0.3">
      <c r="A67" s="3"/>
      <c r="B67" s="61" t="s">
        <v>488</v>
      </c>
      <c r="C67" s="62"/>
      <c r="D67" s="62" t="s">
        <v>104</v>
      </c>
      <c r="E67" s="12">
        <f t="shared" si="15"/>
        <v>156.07</v>
      </c>
      <c r="F67" s="101"/>
      <c r="G67" s="62"/>
      <c r="H67" s="103"/>
      <c r="I67" s="63"/>
      <c r="J67" s="64"/>
      <c r="K67" s="12"/>
      <c r="L67" s="62" t="str">
        <f t="shared" si="4"/>
        <v/>
      </c>
      <c r="M67" s="12">
        <v>100</v>
      </c>
      <c r="N67" s="12">
        <v>24.57</v>
      </c>
      <c r="O67" s="12">
        <v>12</v>
      </c>
      <c r="P67" s="12">
        <v>1.5</v>
      </c>
      <c r="Q67" s="12"/>
      <c r="R67" s="12"/>
      <c r="S67" s="12"/>
      <c r="T67" s="12"/>
      <c r="U67" s="12">
        <v>18</v>
      </c>
      <c r="V67" s="65" t="s">
        <v>423</v>
      </c>
      <c r="W67" s="44" t="str">
        <f t="shared" si="2"/>
        <v>Diferente</v>
      </c>
      <c r="X67" s="47">
        <f t="shared" si="5"/>
        <v>-156.07</v>
      </c>
      <c r="Y67" s="3"/>
      <c r="Z67" s="3"/>
    </row>
    <row r="68" spans="1:26" ht="15.75" hidden="1" customHeight="1" outlineLevel="1" x14ac:dyDescent="0.3">
      <c r="A68" s="3"/>
      <c r="B68" s="10" t="s">
        <v>489</v>
      </c>
      <c r="C68" s="62">
        <v>8</v>
      </c>
      <c r="D68" s="62" t="s">
        <v>94</v>
      </c>
      <c r="E68" s="12">
        <f t="shared" si="15"/>
        <v>286.82</v>
      </c>
      <c r="F68" s="101">
        <f t="shared" ref="F68:F72" si="17">E68</f>
        <v>286.82</v>
      </c>
      <c r="G68" s="244"/>
      <c r="H68" s="103" t="s">
        <v>37</v>
      </c>
      <c r="I68" s="63"/>
      <c r="J68" s="64"/>
      <c r="K68" s="12"/>
      <c r="L68" s="62" t="str">
        <f t="shared" si="4"/>
        <v/>
      </c>
      <c r="M68" s="12">
        <v>122.25</v>
      </c>
      <c r="N68" s="12">
        <v>24.57</v>
      </c>
      <c r="O68" s="12">
        <v>12</v>
      </c>
      <c r="P68" s="12">
        <v>10</v>
      </c>
      <c r="Q68" s="12">
        <v>5</v>
      </c>
      <c r="R68" s="12">
        <v>5</v>
      </c>
      <c r="S68" s="12">
        <v>15</v>
      </c>
      <c r="T68" s="12">
        <v>25</v>
      </c>
      <c r="U68" s="12">
        <v>68</v>
      </c>
      <c r="V68" s="65" t="s">
        <v>430</v>
      </c>
      <c r="W68" s="44" t="str">
        <f t="shared" si="2"/>
        <v>OK</v>
      </c>
      <c r="X68" s="47" t="str">
        <f t="shared" si="5"/>
        <v/>
      </c>
      <c r="Y68" s="3"/>
      <c r="Z68" s="3"/>
    </row>
    <row r="69" spans="1:26" ht="15.75" hidden="1" customHeight="1" outlineLevel="1" x14ac:dyDescent="0.3">
      <c r="A69" s="3"/>
      <c r="B69" s="10" t="s">
        <v>490</v>
      </c>
      <c r="C69" s="62">
        <v>8</v>
      </c>
      <c r="D69" s="62" t="s">
        <v>94</v>
      </c>
      <c r="E69" s="12">
        <f t="shared" si="15"/>
        <v>236.82</v>
      </c>
      <c r="F69" s="101">
        <f t="shared" si="17"/>
        <v>236.82</v>
      </c>
      <c r="G69" s="216"/>
      <c r="H69" s="103" t="s">
        <v>37</v>
      </c>
      <c r="I69" s="63"/>
      <c r="J69" s="64"/>
      <c r="K69" s="12"/>
      <c r="L69" s="62" t="str">
        <f t="shared" si="4"/>
        <v/>
      </c>
      <c r="M69" s="12">
        <v>122.25</v>
      </c>
      <c r="N69" s="12">
        <v>24.57</v>
      </c>
      <c r="O69" s="12">
        <v>12</v>
      </c>
      <c r="P69" s="12">
        <v>10</v>
      </c>
      <c r="Q69" s="12">
        <v>5</v>
      </c>
      <c r="R69" s="12">
        <v>5</v>
      </c>
      <c r="S69" s="12">
        <v>15</v>
      </c>
      <c r="T69" s="12">
        <v>25</v>
      </c>
      <c r="U69" s="12">
        <v>18</v>
      </c>
      <c r="V69" s="65" t="s">
        <v>423</v>
      </c>
      <c r="W69" s="44" t="str">
        <f t="shared" si="2"/>
        <v>OK</v>
      </c>
      <c r="X69" s="47" t="str">
        <f t="shared" si="5"/>
        <v/>
      </c>
      <c r="Y69" s="3"/>
      <c r="Z69" s="3"/>
    </row>
    <row r="70" spans="1:26" ht="15.75" hidden="1" customHeight="1" outlineLevel="1" x14ac:dyDescent="0.3">
      <c r="A70" s="3"/>
      <c r="B70" s="61" t="s">
        <v>491</v>
      </c>
      <c r="C70" s="62">
        <v>27</v>
      </c>
      <c r="D70" s="62" t="s">
        <v>94</v>
      </c>
      <c r="E70" s="12">
        <f t="shared" si="15"/>
        <v>199.44</v>
      </c>
      <c r="F70" s="101">
        <f t="shared" si="17"/>
        <v>199.44</v>
      </c>
      <c r="G70" s="62"/>
      <c r="H70" s="103" t="s">
        <v>37</v>
      </c>
      <c r="I70" s="63"/>
      <c r="J70" s="64"/>
      <c r="K70" s="12"/>
      <c r="L70" s="62">
        <f t="shared" si="4"/>
        <v>1</v>
      </c>
      <c r="M70" s="12">
        <v>113.43</v>
      </c>
      <c r="N70" s="12">
        <v>24.57</v>
      </c>
      <c r="O70" s="12">
        <v>12</v>
      </c>
      <c r="P70" s="12">
        <v>1.44</v>
      </c>
      <c r="Q70" s="12">
        <v>5</v>
      </c>
      <c r="R70" s="12">
        <v>20</v>
      </c>
      <c r="S70" s="12">
        <v>5</v>
      </c>
      <c r="T70" s="12"/>
      <c r="U70" s="12">
        <v>18</v>
      </c>
      <c r="V70" s="65" t="s">
        <v>423</v>
      </c>
      <c r="W70" s="44" t="str">
        <f t="shared" si="2"/>
        <v>OK</v>
      </c>
      <c r="X70" s="47" t="str">
        <f t="shared" si="5"/>
        <v/>
      </c>
      <c r="Y70" s="3"/>
      <c r="Z70" s="3"/>
    </row>
    <row r="71" spans="1:26" ht="15.75" hidden="1" customHeight="1" outlineLevel="1" x14ac:dyDescent="0.3">
      <c r="A71" s="3"/>
      <c r="B71" s="10" t="s">
        <v>492</v>
      </c>
      <c r="C71" s="62">
        <v>13</v>
      </c>
      <c r="D71" s="62" t="s">
        <v>94</v>
      </c>
      <c r="E71" s="12">
        <f t="shared" si="15"/>
        <v>83.67</v>
      </c>
      <c r="F71" s="101">
        <f t="shared" si="17"/>
        <v>83.67</v>
      </c>
      <c r="G71" s="104"/>
      <c r="H71" s="103" t="s">
        <v>37</v>
      </c>
      <c r="I71" s="63"/>
      <c r="J71" s="64"/>
      <c r="K71" s="12"/>
      <c r="L71" s="62">
        <f t="shared" si="4"/>
        <v>1</v>
      </c>
      <c r="M71" s="12">
        <v>27.66</v>
      </c>
      <c r="N71" s="12">
        <v>24.57</v>
      </c>
      <c r="O71" s="12">
        <v>12</v>
      </c>
      <c r="P71" s="12">
        <v>1.44</v>
      </c>
      <c r="Q71" s="12"/>
      <c r="R71" s="12"/>
      <c r="S71" s="12"/>
      <c r="T71" s="12"/>
      <c r="U71" s="12">
        <v>18</v>
      </c>
      <c r="V71" s="65" t="s">
        <v>423</v>
      </c>
      <c r="W71" s="44" t="str">
        <f t="shared" si="2"/>
        <v>OK</v>
      </c>
      <c r="X71" s="47" t="str">
        <f t="shared" si="5"/>
        <v/>
      </c>
      <c r="Y71" s="3"/>
      <c r="Z71" s="3"/>
    </row>
    <row r="72" spans="1:26" ht="15.75" hidden="1" customHeight="1" outlineLevel="1" x14ac:dyDescent="0.3">
      <c r="A72" s="3"/>
      <c r="B72" s="61" t="s">
        <v>493</v>
      </c>
      <c r="C72" s="62">
        <v>13</v>
      </c>
      <c r="D72" s="62" t="s">
        <v>94</v>
      </c>
      <c r="E72" s="12">
        <f t="shared" si="15"/>
        <v>138</v>
      </c>
      <c r="F72" s="101">
        <f t="shared" si="17"/>
        <v>138</v>
      </c>
      <c r="G72" s="105"/>
      <c r="H72" s="103" t="s">
        <v>37</v>
      </c>
      <c r="I72" s="63"/>
      <c r="J72" s="64"/>
      <c r="K72" s="12"/>
      <c r="L72" s="62">
        <f t="shared" si="4"/>
        <v>1</v>
      </c>
      <c r="M72" s="12">
        <v>81.93</v>
      </c>
      <c r="N72" s="12">
        <v>24.57</v>
      </c>
      <c r="O72" s="12">
        <v>12</v>
      </c>
      <c r="P72" s="12">
        <v>1.5</v>
      </c>
      <c r="Q72" s="12"/>
      <c r="R72" s="12"/>
      <c r="S72" s="12"/>
      <c r="T72" s="12"/>
      <c r="U72" s="12">
        <v>18</v>
      </c>
      <c r="V72" s="65" t="s">
        <v>423</v>
      </c>
      <c r="W72" s="44" t="str">
        <f t="shared" si="2"/>
        <v>OK</v>
      </c>
      <c r="X72" s="47" t="str">
        <f t="shared" si="5"/>
        <v/>
      </c>
      <c r="Y72" s="3"/>
      <c r="Z72" s="3"/>
    </row>
    <row r="73" spans="1:26" ht="15.75" hidden="1" customHeight="1" outlineLevel="1" x14ac:dyDescent="0.3">
      <c r="A73" s="3"/>
      <c r="B73" s="10" t="s">
        <v>494</v>
      </c>
      <c r="C73" s="62"/>
      <c r="D73" s="62" t="s">
        <v>104</v>
      </c>
      <c r="E73" s="12">
        <f t="shared" si="15"/>
        <v>70</v>
      </c>
      <c r="F73" s="101"/>
      <c r="G73" s="244"/>
      <c r="H73" s="103"/>
      <c r="I73" s="63"/>
      <c r="J73" s="64"/>
      <c r="K73" s="12"/>
      <c r="L73" s="62" t="str">
        <f t="shared" si="4"/>
        <v/>
      </c>
      <c r="M73" s="12">
        <v>13.93</v>
      </c>
      <c r="N73" s="12">
        <v>24.57</v>
      </c>
      <c r="O73" s="12">
        <v>12</v>
      </c>
      <c r="P73" s="12">
        <v>1.5</v>
      </c>
      <c r="Q73" s="12"/>
      <c r="R73" s="12"/>
      <c r="S73" s="12"/>
      <c r="T73" s="12"/>
      <c r="U73" s="12">
        <v>18</v>
      </c>
      <c r="V73" s="65" t="s">
        <v>423</v>
      </c>
      <c r="W73" s="44" t="str">
        <f t="shared" si="2"/>
        <v>Diferente</v>
      </c>
      <c r="X73" s="47">
        <f t="shared" si="5"/>
        <v>-70</v>
      </c>
      <c r="Y73" s="3"/>
      <c r="Z73" s="3"/>
    </row>
    <row r="74" spans="1:26" ht="15.75" hidden="1" customHeight="1" outlineLevel="1" x14ac:dyDescent="0.3">
      <c r="A74" s="3"/>
      <c r="B74" s="10" t="s">
        <v>495</v>
      </c>
      <c r="C74" s="62"/>
      <c r="D74" s="62" t="s">
        <v>104</v>
      </c>
      <c r="E74" s="12">
        <f t="shared" si="15"/>
        <v>70</v>
      </c>
      <c r="F74" s="101"/>
      <c r="G74" s="216"/>
      <c r="H74" s="103"/>
      <c r="I74" s="63"/>
      <c r="J74" s="64"/>
      <c r="K74" s="12"/>
      <c r="L74" s="62" t="str">
        <f t="shared" si="4"/>
        <v/>
      </c>
      <c r="M74" s="12">
        <v>13.93</v>
      </c>
      <c r="N74" s="12">
        <v>24.57</v>
      </c>
      <c r="O74" s="12">
        <v>12</v>
      </c>
      <c r="P74" s="12">
        <v>1.5</v>
      </c>
      <c r="Q74" s="12"/>
      <c r="R74" s="12"/>
      <c r="S74" s="12"/>
      <c r="T74" s="12"/>
      <c r="U74" s="12">
        <v>18</v>
      </c>
      <c r="V74" s="65" t="s">
        <v>423</v>
      </c>
      <c r="W74" s="44" t="str">
        <f t="shared" si="2"/>
        <v>Diferente</v>
      </c>
      <c r="X74" s="47">
        <f t="shared" si="5"/>
        <v>-70</v>
      </c>
      <c r="Y74" s="3"/>
      <c r="Z74" s="3"/>
    </row>
    <row r="75" spans="1:26" ht="15.75" hidden="1" customHeight="1" outlineLevel="1" x14ac:dyDescent="0.3">
      <c r="A75" s="3"/>
      <c r="B75" s="61" t="s">
        <v>496</v>
      </c>
      <c r="C75" s="62">
        <v>10</v>
      </c>
      <c r="D75" s="62" t="s">
        <v>94</v>
      </c>
      <c r="E75" s="12">
        <f t="shared" si="15"/>
        <v>118</v>
      </c>
      <c r="F75" s="101">
        <f t="shared" ref="F75:F76" si="18">E75</f>
        <v>118</v>
      </c>
      <c r="G75" s="62"/>
      <c r="H75" s="103" t="s">
        <v>37</v>
      </c>
      <c r="I75" s="63"/>
      <c r="J75" s="64"/>
      <c r="K75" s="12"/>
      <c r="L75" s="62" t="str">
        <f t="shared" si="4"/>
        <v/>
      </c>
      <c r="M75" s="12">
        <v>56.93</v>
      </c>
      <c r="N75" s="12">
        <v>24.57</v>
      </c>
      <c r="O75" s="12">
        <v>12</v>
      </c>
      <c r="P75" s="12">
        <v>1.5</v>
      </c>
      <c r="Q75" s="12">
        <v>5</v>
      </c>
      <c r="R75" s="12"/>
      <c r="S75" s="12"/>
      <c r="T75" s="12"/>
      <c r="U75" s="12">
        <v>18</v>
      </c>
      <c r="V75" s="65" t="s">
        <v>423</v>
      </c>
      <c r="W75" s="44" t="str">
        <f t="shared" si="2"/>
        <v>OK</v>
      </c>
      <c r="X75" s="47" t="str">
        <f t="shared" si="5"/>
        <v/>
      </c>
      <c r="Y75" s="3"/>
      <c r="Z75" s="3"/>
    </row>
    <row r="76" spans="1:26" ht="15.75" hidden="1" customHeight="1" outlineLevel="1" x14ac:dyDescent="0.3">
      <c r="A76" s="3"/>
      <c r="B76" s="10" t="s">
        <v>497</v>
      </c>
      <c r="C76" s="62">
        <v>10</v>
      </c>
      <c r="D76" s="62" t="s">
        <v>94</v>
      </c>
      <c r="E76" s="12">
        <f t="shared" si="15"/>
        <v>218</v>
      </c>
      <c r="F76" s="101">
        <f t="shared" si="18"/>
        <v>218</v>
      </c>
      <c r="G76" s="104"/>
      <c r="H76" s="103" t="s">
        <v>37</v>
      </c>
      <c r="I76" s="63"/>
      <c r="J76" s="64"/>
      <c r="K76" s="12"/>
      <c r="L76" s="62" t="str">
        <f t="shared" si="4"/>
        <v/>
      </c>
      <c r="M76" s="12">
        <v>148.43</v>
      </c>
      <c r="N76" s="12">
        <v>24.57</v>
      </c>
      <c r="O76" s="12">
        <v>12</v>
      </c>
      <c r="P76" s="12">
        <v>5</v>
      </c>
      <c r="Q76" s="12">
        <v>10</v>
      </c>
      <c r="R76" s="12"/>
      <c r="S76" s="12"/>
      <c r="T76" s="12"/>
      <c r="U76" s="12">
        <v>18</v>
      </c>
      <c r="V76" s="65" t="s">
        <v>423</v>
      </c>
      <c r="W76" s="44" t="str">
        <f t="shared" si="2"/>
        <v>OK</v>
      </c>
      <c r="X76" s="47" t="str">
        <f t="shared" si="5"/>
        <v/>
      </c>
      <c r="Y76" s="3"/>
      <c r="Z76" s="3"/>
    </row>
    <row r="77" spans="1:26" ht="15.75" hidden="1" customHeight="1" outlineLevel="1" x14ac:dyDescent="0.3">
      <c r="A77" s="3"/>
      <c r="B77" s="61" t="s">
        <v>498</v>
      </c>
      <c r="C77" s="62"/>
      <c r="D77" s="62" t="s">
        <v>104</v>
      </c>
      <c r="E77" s="12">
        <f t="shared" si="15"/>
        <v>75.39</v>
      </c>
      <c r="F77" s="101"/>
      <c r="G77" s="105"/>
      <c r="H77" s="103"/>
      <c r="I77" s="63"/>
      <c r="J77" s="64"/>
      <c r="K77" s="12"/>
      <c r="L77" s="62" t="str">
        <f t="shared" si="4"/>
        <v/>
      </c>
      <c r="M77" s="12">
        <v>19.32</v>
      </c>
      <c r="N77" s="12">
        <v>24.57</v>
      </c>
      <c r="O77" s="12">
        <v>12</v>
      </c>
      <c r="P77" s="12">
        <v>1.5</v>
      </c>
      <c r="Q77" s="12"/>
      <c r="R77" s="12"/>
      <c r="S77" s="12"/>
      <c r="T77" s="12"/>
      <c r="U77" s="12">
        <v>18</v>
      </c>
      <c r="V77" s="65" t="s">
        <v>423</v>
      </c>
      <c r="W77" s="44" t="str">
        <f t="shared" si="2"/>
        <v>Diferente</v>
      </c>
      <c r="X77" s="47">
        <f t="shared" si="5"/>
        <v>-75.39</v>
      </c>
      <c r="Y77" s="3"/>
      <c r="Z77" s="3"/>
    </row>
    <row r="78" spans="1:26" ht="15.75" hidden="1" customHeight="1" outlineLevel="1" x14ac:dyDescent="0.3">
      <c r="A78" s="3"/>
      <c r="B78" s="10" t="s">
        <v>499</v>
      </c>
      <c r="C78" s="62">
        <v>13</v>
      </c>
      <c r="D78" s="62" t="s">
        <v>94</v>
      </c>
      <c r="E78" s="12">
        <f t="shared" si="15"/>
        <v>85.740000000000009</v>
      </c>
      <c r="F78" s="101">
        <f>E78</f>
        <v>85.740000000000009</v>
      </c>
      <c r="G78" s="62"/>
      <c r="H78" s="103" t="s">
        <v>37</v>
      </c>
      <c r="I78" s="63"/>
      <c r="J78" s="64"/>
      <c r="K78" s="12"/>
      <c r="L78" s="62">
        <f t="shared" si="4"/>
        <v>1</v>
      </c>
      <c r="M78" s="12">
        <v>29.67</v>
      </c>
      <c r="N78" s="12">
        <v>24.57</v>
      </c>
      <c r="O78" s="12">
        <v>12</v>
      </c>
      <c r="P78" s="12">
        <v>1.5</v>
      </c>
      <c r="Q78" s="12"/>
      <c r="R78" s="12"/>
      <c r="S78" s="12"/>
      <c r="T78" s="12"/>
      <c r="U78" s="12">
        <v>18</v>
      </c>
      <c r="V78" s="65" t="s">
        <v>423</v>
      </c>
      <c r="W78" s="44" t="str">
        <f t="shared" si="2"/>
        <v>OK</v>
      </c>
      <c r="X78" s="47" t="str">
        <f t="shared" si="5"/>
        <v/>
      </c>
      <c r="Y78" s="3"/>
      <c r="Z78" s="3"/>
    </row>
    <row r="79" spans="1:26" ht="15.75" hidden="1" customHeight="1" outlineLevel="1" x14ac:dyDescent="0.3">
      <c r="A79" s="3"/>
      <c r="B79" s="61" t="s">
        <v>500</v>
      </c>
      <c r="C79" s="62"/>
      <c r="D79" s="62" t="s">
        <v>104</v>
      </c>
      <c r="E79" s="12">
        <f t="shared" si="15"/>
        <v>112.43</v>
      </c>
      <c r="F79" s="101"/>
      <c r="G79" s="244"/>
      <c r="H79" s="103"/>
      <c r="I79" s="63"/>
      <c r="J79" s="64"/>
      <c r="K79" s="12"/>
      <c r="L79" s="62" t="str">
        <f t="shared" si="4"/>
        <v/>
      </c>
      <c r="M79" s="12">
        <v>50.86</v>
      </c>
      <c r="N79" s="12">
        <v>24.57</v>
      </c>
      <c r="O79" s="12">
        <v>12</v>
      </c>
      <c r="P79" s="12">
        <v>2</v>
      </c>
      <c r="Q79" s="12">
        <v>5</v>
      </c>
      <c r="R79" s="12"/>
      <c r="S79" s="12"/>
      <c r="T79" s="12"/>
      <c r="U79" s="12">
        <v>18</v>
      </c>
      <c r="V79" s="65" t="s">
        <v>423</v>
      </c>
      <c r="W79" s="44" t="str">
        <f t="shared" si="2"/>
        <v>Diferente</v>
      </c>
      <c r="X79" s="47">
        <f t="shared" si="5"/>
        <v>-112.43</v>
      </c>
      <c r="Y79" s="3"/>
      <c r="Z79" s="3"/>
    </row>
    <row r="80" spans="1:26" ht="15.75" hidden="1" customHeight="1" outlineLevel="1" x14ac:dyDescent="0.3">
      <c r="A80" s="3"/>
      <c r="B80" s="61" t="s">
        <v>501</v>
      </c>
      <c r="C80" s="62"/>
      <c r="D80" s="62" t="s">
        <v>104</v>
      </c>
      <c r="E80" s="12">
        <f t="shared" si="15"/>
        <v>111.57</v>
      </c>
      <c r="F80" s="101"/>
      <c r="G80" s="216"/>
      <c r="H80" s="103"/>
      <c r="I80" s="63"/>
      <c r="J80" s="64"/>
      <c r="K80" s="12"/>
      <c r="L80" s="62" t="str">
        <f t="shared" si="4"/>
        <v/>
      </c>
      <c r="M80" s="12">
        <v>50</v>
      </c>
      <c r="N80" s="12">
        <v>24.57</v>
      </c>
      <c r="O80" s="12">
        <v>12</v>
      </c>
      <c r="P80" s="12">
        <v>2</v>
      </c>
      <c r="Q80" s="12">
        <v>5</v>
      </c>
      <c r="R80" s="12"/>
      <c r="S80" s="12"/>
      <c r="T80" s="12"/>
      <c r="U80" s="12">
        <v>18</v>
      </c>
      <c r="V80" s="65" t="s">
        <v>423</v>
      </c>
      <c r="W80" s="44" t="str">
        <f t="shared" si="2"/>
        <v>Diferente</v>
      </c>
      <c r="X80" s="47">
        <f t="shared" si="5"/>
        <v>-111.57</v>
      </c>
      <c r="Y80" s="3"/>
      <c r="Z80" s="3"/>
    </row>
    <row r="81" spans="1:26" ht="15.75" hidden="1" customHeight="1" outlineLevel="1" x14ac:dyDescent="0.3">
      <c r="A81" s="3"/>
      <c r="B81" s="10" t="s">
        <v>502</v>
      </c>
      <c r="C81" s="62">
        <v>8</v>
      </c>
      <c r="D81" s="62" t="s">
        <v>94</v>
      </c>
      <c r="E81" s="12">
        <f t="shared" si="15"/>
        <v>149.69</v>
      </c>
      <c r="F81" s="101">
        <f t="shared" ref="F81:F87" si="19">E81</f>
        <v>149.69</v>
      </c>
      <c r="G81" s="244"/>
      <c r="H81" s="103" t="s">
        <v>37</v>
      </c>
      <c r="I81" s="63"/>
      <c r="J81" s="64"/>
      <c r="K81" s="12"/>
      <c r="L81" s="62" t="str">
        <f t="shared" si="4"/>
        <v/>
      </c>
      <c r="M81" s="12">
        <v>93.62</v>
      </c>
      <c r="N81" s="12">
        <v>24.57</v>
      </c>
      <c r="O81" s="12">
        <v>12</v>
      </c>
      <c r="P81" s="12">
        <v>1.5</v>
      </c>
      <c r="Q81" s="12"/>
      <c r="R81" s="12"/>
      <c r="S81" s="12"/>
      <c r="T81" s="12"/>
      <c r="U81" s="12">
        <v>18</v>
      </c>
      <c r="V81" s="65" t="s">
        <v>423</v>
      </c>
      <c r="W81" s="44" t="str">
        <f t="shared" si="2"/>
        <v>OK</v>
      </c>
      <c r="X81" s="47" t="str">
        <f t="shared" si="5"/>
        <v/>
      </c>
      <c r="Y81" s="3"/>
      <c r="Z81" s="3"/>
    </row>
    <row r="82" spans="1:26" ht="15.75" hidden="1" customHeight="1" outlineLevel="1" x14ac:dyDescent="0.3">
      <c r="A82" s="3"/>
      <c r="B82" s="10" t="s">
        <v>503</v>
      </c>
      <c r="C82" s="62">
        <v>8</v>
      </c>
      <c r="D82" s="62" t="s">
        <v>94</v>
      </c>
      <c r="E82" s="12">
        <f t="shared" si="15"/>
        <v>149.69</v>
      </c>
      <c r="F82" s="101">
        <f t="shared" si="19"/>
        <v>149.69</v>
      </c>
      <c r="G82" s="216"/>
      <c r="H82" s="103" t="s">
        <v>37</v>
      </c>
      <c r="I82" s="63"/>
      <c r="J82" s="64"/>
      <c r="K82" s="12"/>
      <c r="L82" s="62" t="str">
        <f t="shared" si="4"/>
        <v/>
      </c>
      <c r="M82" s="12">
        <v>93.62</v>
      </c>
      <c r="N82" s="12">
        <v>24.57</v>
      </c>
      <c r="O82" s="12">
        <v>12</v>
      </c>
      <c r="P82" s="12">
        <v>1.5</v>
      </c>
      <c r="Q82" s="12"/>
      <c r="R82" s="12"/>
      <c r="S82" s="12"/>
      <c r="T82" s="12"/>
      <c r="U82" s="12">
        <v>18</v>
      </c>
      <c r="V82" s="65" t="s">
        <v>423</v>
      </c>
      <c r="W82" s="44" t="str">
        <f t="shared" si="2"/>
        <v>OK</v>
      </c>
      <c r="X82" s="47" t="str">
        <f t="shared" si="5"/>
        <v/>
      </c>
      <c r="Y82" s="3"/>
      <c r="Z82" s="3"/>
    </row>
    <row r="83" spans="1:26" ht="15.75" hidden="1" customHeight="1" outlineLevel="1" x14ac:dyDescent="0.3">
      <c r="A83" s="3"/>
      <c r="B83" s="61" t="s">
        <v>504</v>
      </c>
      <c r="C83" s="62">
        <v>15</v>
      </c>
      <c r="D83" s="62" t="s">
        <v>94</v>
      </c>
      <c r="E83" s="12">
        <f t="shared" si="15"/>
        <v>311.57</v>
      </c>
      <c r="F83" s="101">
        <f t="shared" si="19"/>
        <v>311.57</v>
      </c>
      <c r="G83" s="244"/>
      <c r="H83" s="103" t="s">
        <v>37</v>
      </c>
      <c r="I83" s="63"/>
      <c r="J83" s="64"/>
      <c r="K83" s="12"/>
      <c r="L83" s="62">
        <f t="shared" si="4"/>
        <v>1</v>
      </c>
      <c r="M83" s="12">
        <v>100</v>
      </c>
      <c r="N83" s="12">
        <v>24.57</v>
      </c>
      <c r="O83" s="12">
        <v>12</v>
      </c>
      <c r="P83" s="12">
        <v>2</v>
      </c>
      <c r="Q83" s="12"/>
      <c r="R83" s="12"/>
      <c r="S83" s="12">
        <v>5</v>
      </c>
      <c r="T83" s="12"/>
      <c r="U83" s="12">
        <v>168</v>
      </c>
      <c r="V83" s="65" t="s">
        <v>505</v>
      </c>
      <c r="W83" s="44" t="str">
        <f t="shared" si="2"/>
        <v>OK</v>
      </c>
      <c r="X83" s="47" t="str">
        <f t="shared" si="5"/>
        <v/>
      </c>
      <c r="Y83" s="3"/>
      <c r="Z83" s="3"/>
    </row>
    <row r="84" spans="1:26" ht="15.75" hidden="1" customHeight="1" outlineLevel="1" x14ac:dyDescent="0.3">
      <c r="A84" s="3"/>
      <c r="B84" s="61" t="s">
        <v>506</v>
      </c>
      <c r="C84" s="62">
        <v>15</v>
      </c>
      <c r="D84" s="62" t="s">
        <v>94</v>
      </c>
      <c r="E84" s="12">
        <f t="shared" si="15"/>
        <v>161.57</v>
      </c>
      <c r="F84" s="101">
        <f t="shared" si="19"/>
        <v>161.57</v>
      </c>
      <c r="G84" s="216"/>
      <c r="H84" s="103" t="s">
        <v>37</v>
      </c>
      <c r="I84" s="63"/>
      <c r="J84" s="64"/>
      <c r="K84" s="12"/>
      <c r="L84" s="62">
        <f t="shared" si="4"/>
        <v>1</v>
      </c>
      <c r="M84" s="12">
        <v>100</v>
      </c>
      <c r="N84" s="12">
        <v>24.57</v>
      </c>
      <c r="O84" s="12">
        <v>12</v>
      </c>
      <c r="P84" s="12">
        <v>2</v>
      </c>
      <c r="Q84" s="12"/>
      <c r="R84" s="12"/>
      <c r="S84" s="12">
        <v>5</v>
      </c>
      <c r="T84" s="12"/>
      <c r="U84" s="12">
        <v>18</v>
      </c>
      <c r="V84" s="65" t="s">
        <v>423</v>
      </c>
      <c r="W84" s="44" t="str">
        <f t="shared" si="2"/>
        <v>OK</v>
      </c>
      <c r="X84" s="47" t="str">
        <f t="shared" si="5"/>
        <v/>
      </c>
      <c r="Y84" s="3"/>
      <c r="Z84" s="3"/>
    </row>
    <row r="85" spans="1:26" ht="15.75" hidden="1" customHeight="1" outlineLevel="1" x14ac:dyDescent="0.3">
      <c r="A85" s="3"/>
      <c r="B85" s="10" t="s">
        <v>507</v>
      </c>
      <c r="C85" s="62">
        <v>9</v>
      </c>
      <c r="D85" s="62" t="s">
        <v>94</v>
      </c>
      <c r="E85" s="12">
        <f t="shared" si="15"/>
        <v>268</v>
      </c>
      <c r="F85" s="101">
        <f t="shared" si="19"/>
        <v>268</v>
      </c>
      <c r="G85" s="105"/>
      <c r="H85" s="103" t="s">
        <v>37</v>
      </c>
      <c r="I85" s="63"/>
      <c r="J85" s="64"/>
      <c r="K85" s="12"/>
      <c r="L85" s="62" t="str">
        <f t="shared" si="4"/>
        <v/>
      </c>
      <c r="M85" s="12">
        <v>196.43</v>
      </c>
      <c r="N85" s="12">
        <v>24.57</v>
      </c>
      <c r="O85" s="12">
        <v>12</v>
      </c>
      <c r="P85" s="12">
        <v>2</v>
      </c>
      <c r="Q85" s="12"/>
      <c r="R85" s="12"/>
      <c r="S85" s="12">
        <v>5</v>
      </c>
      <c r="T85" s="12">
        <v>10</v>
      </c>
      <c r="U85" s="12">
        <v>18</v>
      </c>
      <c r="V85" s="65" t="s">
        <v>423</v>
      </c>
      <c r="W85" s="44" t="str">
        <f t="shared" si="2"/>
        <v>OK</v>
      </c>
      <c r="X85" s="47" t="str">
        <f t="shared" si="5"/>
        <v/>
      </c>
      <c r="Y85" s="3"/>
      <c r="Z85" s="3"/>
    </row>
    <row r="86" spans="1:26" ht="15.75" hidden="1" customHeight="1" outlineLevel="1" x14ac:dyDescent="0.3">
      <c r="A86" s="3"/>
      <c r="B86" s="61" t="s">
        <v>508</v>
      </c>
      <c r="C86" s="62">
        <v>20</v>
      </c>
      <c r="D86" s="62" t="s">
        <v>94</v>
      </c>
      <c r="E86" s="12">
        <f t="shared" si="15"/>
        <v>265</v>
      </c>
      <c r="F86" s="101">
        <f t="shared" si="19"/>
        <v>265</v>
      </c>
      <c r="G86" s="244"/>
      <c r="H86" s="103" t="s">
        <v>37</v>
      </c>
      <c r="I86" s="63"/>
      <c r="J86" s="64"/>
      <c r="K86" s="12"/>
      <c r="L86" s="62">
        <f t="shared" si="4"/>
        <v>1</v>
      </c>
      <c r="M86" s="12">
        <v>138.43</v>
      </c>
      <c r="N86" s="12">
        <v>24.57</v>
      </c>
      <c r="O86" s="12">
        <v>12</v>
      </c>
      <c r="P86" s="12">
        <v>2</v>
      </c>
      <c r="Q86" s="12">
        <v>5</v>
      </c>
      <c r="R86" s="12">
        <v>5</v>
      </c>
      <c r="S86" s="12">
        <v>10</v>
      </c>
      <c r="T86" s="12"/>
      <c r="U86" s="12">
        <v>68</v>
      </c>
      <c r="V86" s="65" t="s">
        <v>430</v>
      </c>
      <c r="W86" s="44" t="str">
        <f t="shared" si="2"/>
        <v>OK</v>
      </c>
      <c r="X86" s="47" t="str">
        <f t="shared" si="5"/>
        <v/>
      </c>
      <c r="Y86" s="3"/>
      <c r="Z86" s="3"/>
    </row>
    <row r="87" spans="1:26" ht="15.75" hidden="1" customHeight="1" outlineLevel="1" x14ac:dyDescent="0.3">
      <c r="A87" s="3"/>
      <c r="B87" s="61" t="s">
        <v>509</v>
      </c>
      <c r="C87" s="62">
        <v>20</v>
      </c>
      <c r="D87" s="62" t="s">
        <v>94</v>
      </c>
      <c r="E87" s="12">
        <f t="shared" si="15"/>
        <v>215</v>
      </c>
      <c r="F87" s="101">
        <f t="shared" si="19"/>
        <v>215</v>
      </c>
      <c r="G87" s="216"/>
      <c r="H87" s="103" t="s">
        <v>37</v>
      </c>
      <c r="I87" s="63"/>
      <c r="J87" s="64"/>
      <c r="K87" s="12"/>
      <c r="L87" s="62">
        <f t="shared" si="4"/>
        <v>1</v>
      </c>
      <c r="M87" s="12">
        <v>138.43</v>
      </c>
      <c r="N87" s="12">
        <v>24.57</v>
      </c>
      <c r="O87" s="12">
        <v>12</v>
      </c>
      <c r="P87" s="12">
        <v>2</v>
      </c>
      <c r="Q87" s="12">
        <v>5</v>
      </c>
      <c r="R87" s="12">
        <v>5</v>
      </c>
      <c r="S87" s="12">
        <v>10</v>
      </c>
      <c r="T87" s="12"/>
      <c r="U87" s="12">
        <v>18</v>
      </c>
      <c r="V87" s="65" t="s">
        <v>423</v>
      </c>
      <c r="W87" s="44" t="str">
        <f t="shared" si="2"/>
        <v>OK</v>
      </c>
      <c r="X87" s="47" t="str">
        <f t="shared" si="5"/>
        <v/>
      </c>
      <c r="Y87" s="3"/>
      <c r="Z87" s="3"/>
    </row>
    <row r="88" spans="1:26" ht="15.75" hidden="1" customHeight="1" outlineLevel="1" x14ac:dyDescent="0.3">
      <c r="A88" s="3"/>
      <c r="B88" s="10" t="s">
        <v>510</v>
      </c>
      <c r="C88" s="62"/>
      <c r="D88" s="62" t="s">
        <v>104</v>
      </c>
      <c r="E88" s="12">
        <f t="shared" si="15"/>
        <v>130.22999999999999</v>
      </c>
      <c r="F88" s="101"/>
      <c r="G88" s="105"/>
      <c r="H88" s="103"/>
      <c r="I88" s="63"/>
      <c r="J88" s="64"/>
      <c r="K88" s="12"/>
      <c r="L88" s="62" t="str">
        <f t="shared" si="4"/>
        <v/>
      </c>
      <c r="M88" s="12">
        <v>33.93</v>
      </c>
      <c r="N88" s="12">
        <v>24.57</v>
      </c>
      <c r="O88" s="12">
        <v>12</v>
      </c>
      <c r="P88" s="12">
        <v>1.5</v>
      </c>
      <c r="Q88" s="12"/>
      <c r="R88" s="12"/>
      <c r="S88" s="12"/>
      <c r="T88" s="12"/>
      <c r="U88" s="12">
        <v>58.23</v>
      </c>
      <c r="V88" s="65" t="s">
        <v>511</v>
      </c>
      <c r="W88" s="44" t="str">
        <f t="shared" si="2"/>
        <v>Diferente</v>
      </c>
      <c r="X88" s="47">
        <f t="shared" si="5"/>
        <v>-130.22999999999999</v>
      </c>
      <c r="Y88" s="3"/>
      <c r="Z88" s="3"/>
    </row>
    <row r="89" spans="1:26" ht="15.75" hidden="1" customHeight="1" outlineLevel="1" x14ac:dyDescent="0.3">
      <c r="A89" s="3"/>
      <c r="B89" s="61" t="s">
        <v>512</v>
      </c>
      <c r="C89" s="62">
        <v>8</v>
      </c>
      <c r="D89" s="62" t="s">
        <v>94</v>
      </c>
      <c r="E89" s="12">
        <f t="shared" si="15"/>
        <v>181.57</v>
      </c>
      <c r="F89" s="101">
        <f t="shared" ref="F89:F93" si="20">E89</f>
        <v>181.57</v>
      </c>
      <c r="G89" s="244"/>
      <c r="H89" s="103" t="s">
        <v>37</v>
      </c>
      <c r="I89" s="63"/>
      <c r="J89" s="64"/>
      <c r="K89" s="12"/>
      <c r="L89" s="62" t="str">
        <f t="shared" si="4"/>
        <v/>
      </c>
      <c r="M89" s="12">
        <v>120</v>
      </c>
      <c r="N89" s="12">
        <v>24.57</v>
      </c>
      <c r="O89" s="12">
        <v>12</v>
      </c>
      <c r="P89" s="12">
        <v>2</v>
      </c>
      <c r="Q89" s="12"/>
      <c r="R89" s="12"/>
      <c r="S89" s="12">
        <v>5</v>
      </c>
      <c r="T89" s="12"/>
      <c r="U89" s="12">
        <v>18</v>
      </c>
      <c r="V89" s="65" t="s">
        <v>423</v>
      </c>
      <c r="W89" s="44" t="str">
        <f t="shared" si="2"/>
        <v>OK</v>
      </c>
      <c r="X89" s="47" t="str">
        <f t="shared" si="5"/>
        <v/>
      </c>
      <c r="Y89" s="3"/>
      <c r="Z89" s="3"/>
    </row>
    <row r="90" spans="1:26" ht="15.75" hidden="1" customHeight="1" outlineLevel="1" x14ac:dyDescent="0.3">
      <c r="A90" s="3"/>
      <c r="B90" s="61" t="s">
        <v>513</v>
      </c>
      <c r="C90" s="62">
        <v>8</v>
      </c>
      <c r="D90" s="62" t="s">
        <v>94</v>
      </c>
      <c r="E90" s="12">
        <f t="shared" si="15"/>
        <v>181.57</v>
      </c>
      <c r="F90" s="101">
        <f t="shared" si="20"/>
        <v>181.57</v>
      </c>
      <c r="G90" s="216"/>
      <c r="H90" s="103" t="s">
        <v>37</v>
      </c>
      <c r="I90" s="63"/>
      <c r="J90" s="64"/>
      <c r="K90" s="12"/>
      <c r="L90" s="62" t="str">
        <f t="shared" si="4"/>
        <v/>
      </c>
      <c r="M90" s="12">
        <v>120</v>
      </c>
      <c r="N90" s="12">
        <v>24.57</v>
      </c>
      <c r="O90" s="12">
        <v>12</v>
      </c>
      <c r="P90" s="12">
        <v>2</v>
      </c>
      <c r="Q90" s="12"/>
      <c r="R90" s="12"/>
      <c r="S90" s="12">
        <v>5</v>
      </c>
      <c r="T90" s="12"/>
      <c r="U90" s="12">
        <v>18</v>
      </c>
      <c r="V90" s="65" t="s">
        <v>423</v>
      </c>
      <c r="W90" s="44" t="str">
        <f t="shared" si="2"/>
        <v>OK</v>
      </c>
      <c r="X90" s="47" t="str">
        <f t="shared" si="5"/>
        <v/>
      </c>
      <c r="Y90" s="3"/>
      <c r="Z90" s="3"/>
    </row>
    <row r="91" spans="1:26" ht="15.75" hidden="1" customHeight="1" outlineLevel="1" x14ac:dyDescent="0.3">
      <c r="A91" s="3"/>
      <c r="B91" s="10" t="s">
        <v>514</v>
      </c>
      <c r="C91" s="62">
        <v>10</v>
      </c>
      <c r="D91" s="62" t="s">
        <v>94</v>
      </c>
      <c r="E91" s="12">
        <f t="shared" si="15"/>
        <v>170</v>
      </c>
      <c r="F91" s="101">
        <f t="shared" si="20"/>
        <v>170</v>
      </c>
      <c r="G91" s="105"/>
      <c r="H91" s="103" t="s">
        <v>37</v>
      </c>
      <c r="I91" s="63"/>
      <c r="J91" s="64"/>
      <c r="K91" s="12"/>
      <c r="L91" s="62" t="str">
        <f t="shared" si="4"/>
        <v/>
      </c>
      <c r="M91" s="12">
        <v>108.43</v>
      </c>
      <c r="N91" s="12">
        <v>24.57</v>
      </c>
      <c r="O91" s="12">
        <v>12</v>
      </c>
      <c r="P91" s="12">
        <v>2</v>
      </c>
      <c r="Q91" s="12"/>
      <c r="R91" s="12"/>
      <c r="S91" s="12">
        <v>5</v>
      </c>
      <c r="T91" s="12"/>
      <c r="U91" s="12">
        <v>18</v>
      </c>
      <c r="V91" s="65" t="s">
        <v>423</v>
      </c>
      <c r="W91" s="44" t="str">
        <f t="shared" si="2"/>
        <v>OK</v>
      </c>
      <c r="X91" s="47" t="str">
        <f t="shared" si="5"/>
        <v/>
      </c>
      <c r="Y91" s="3"/>
      <c r="Z91" s="3"/>
    </row>
    <row r="92" spans="1:26" ht="15.75" hidden="1" customHeight="1" outlineLevel="1" x14ac:dyDescent="0.3">
      <c r="A92" s="3"/>
      <c r="B92" s="61" t="s">
        <v>515</v>
      </c>
      <c r="C92" s="62">
        <v>8</v>
      </c>
      <c r="D92" s="62" t="s">
        <v>94</v>
      </c>
      <c r="E92" s="12">
        <f t="shared" si="15"/>
        <v>119.5</v>
      </c>
      <c r="F92" s="101">
        <f t="shared" si="20"/>
        <v>119.5</v>
      </c>
      <c r="G92" s="244"/>
      <c r="H92" s="103" t="s">
        <v>37</v>
      </c>
      <c r="I92" s="63"/>
      <c r="J92" s="64"/>
      <c r="K92" s="12"/>
      <c r="L92" s="62" t="str">
        <f t="shared" si="4"/>
        <v/>
      </c>
      <c r="M92" s="12">
        <v>63.43</v>
      </c>
      <c r="N92" s="12">
        <v>24.57</v>
      </c>
      <c r="O92" s="12">
        <v>12</v>
      </c>
      <c r="P92" s="12">
        <v>1.5</v>
      </c>
      <c r="Q92" s="12"/>
      <c r="R92" s="12"/>
      <c r="S92" s="12"/>
      <c r="T92" s="12"/>
      <c r="U92" s="12">
        <v>18</v>
      </c>
      <c r="V92" s="65" t="s">
        <v>423</v>
      </c>
      <c r="W92" s="44" t="str">
        <f t="shared" si="2"/>
        <v>OK</v>
      </c>
      <c r="X92" s="47" t="str">
        <f t="shared" si="5"/>
        <v/>
      </c>
      <c r="Y92" s="3"/>
      <c r="Z92" s="3"/>
    </row>
    <row r="93" spans="1:26" ht="15.75" hidden="1" customHeight="1" outlineLevel="1" x14ac:dyDescent="0.3">
      <c r="A93" s="3"/>
      <c r="B93" s="61" t="s">
        <v>516</v>
      </c>
      <c r="C93" s="62">
        <v>8</v>
      </c>
      <c r="D93" s="62" t="s">
        <v>94</v>
      </c>
      <c r="E93" s="12">
        <f t="shared" si="15"/>
        <v>169.5</v>
      </c>
      <c r="F93" s="101">
        <f t="shared" si="20"/>
        <v>169.5</v>
      </c>
      <c r="G93" s="216"/>
      <c r="H93" s="103" t="s">
        <v>37</v>
      </c>
      <c r="I93" s="63"/>
      <c r="J93" s="64"/>
      <c r="K93" s="12"/>
      <c r="L93" s="62" t="str">
        <f t="shared" si="4"/>
        <v/>
      </c>
      <c r="M93" s="12">
        <v>63.43</v>
      </c>
      <c r="N93" s="12">
        <v>24.57</v>
      </c>
      <c r="O93" s="12">
        <v>12</v>
      </c>
      <c r="P93" s="12">
        <v>1.5</v>
      </c>
      <c r="Q93" s="12"/>
      <c r="R93" s="12"/>
      <c r="S93" s="12"/>
      <c r="T93" s="12"/>
      <c r="U93" s="12">
        <v>68</v>
      </c>
      <c r="V93" s="65" t="s">
        <v>430</v>
      </c>
      <c r="W93" s="44" t="str">
        <f t="shared" si="2"/>
        <v>OK</v>
      </c>
      <c r="X93" s="47" t="str">
        <f t="shared" si="5"/>
        <v/>
      </c>
      <c r="Y93" s="3"/>
      <c r="Z93" s="3"/>
    </row>
    <row r="94" spans="1:26" ht="15.75" hidden="1" customHeight="1" outlineLevel="1" x14ac:dyDescent="0.3">
      <c r="A94" s="3"/>
      <c r="B94" s="10" t="s">
        <v>517</v>
      </c>
      <c r="C94" s="62"/>
      <c r="D94" s="62" t="s">
        <v>104</v>
      </c>
      <c r="E94" s="12">
        <f t="shared" si="15"/>
        <v>165</v>
      </c>
      <c r="F94" s="101"/>
      <c r="G94" s="62"/>
      <c r="H94" s="103"/>
      <c r="I94" s="63"/>
      <c r="J94" s="64"/>
      <c r="K94" s="12"/>
      <c r="L94" s="62" t="str">
        <f t="shared" si="4"/>
        <v/>
      </c>
      <c r="M94" s="12">
        <v>93.93</v>
      </c>
      <c r="N94" s="12">
        <v>24.57</v>
      </c>
      <c r="O94" s="12">
        <v>12</v>
      </c>
      <c r="P94" s="12">
        <v>1.5</v>
      </c>
      <c r="Q94" s="12">
        <v>5</v>
      </c>
      <c r="R94" s="12"/>
      <c r="S94" s="12">
        <v>10</v>
      </c>
      <c r="T94" s="12"/>
      <c r="U94" s="12">
        <v>18</v>
      </c>
      <c r="V94" s="65" t="s">
        <v>423</v>
      </c>
      <c r="W94" s="44" t="str">
        <f t="shared" si="2"/>
        <v>Diferente</v>
      </c>
      <c r="X94" s="47">
        <f t="shared" si="5"/>
        <v>-165</v>
      </c>
      <c r="Y94" s="3"/>
      <c r="Z94" s="3"/>
    </row>
    <row r="95" spans="1:26" ht="15.75" hidden="1" customHeight="1" outlineLevel="1" x14ac:dyDescent="0.3">
      <c r="A95" s="3"/>
      <c r="B95" s="61" t="s">
        <v>518</v>
      </c>
      <c r="C95" s="62"/>
      <c r="D95" s="62" t="s">
        <v>104</v>
      </c>
      <c r="E95" s="12">
        <f t="shared" si="15"/>
        <v>170</v>
      </c>
      <c r="F95" s="101"/>
      <c r="G95" s="104"/>
      <c r="H95" s="103"/>
      <c r="I95" s="63"/>
      <c r="J95" s="64"/>
      <c r="K95" s="12"/>
      <c r="L95" s="62" t="str">
        <f t="shared" si="4"/>
        <v/>
      </c>
      <c r="M95" s="12">
        <v>108.43</v>
      </c>
      <c r="N95" s="12">
        <v>24.57</v>
      </c>
      <c r="O95" s="12">
        <v>12</v>
      </c>
      <c r="P95" s="12">
        <v>2</v>
      </c>
      <c r="Q95" s="12"/>
      <c r="R95" s="12"/>
      <c r="S95" s="12">
        <v>5</v>
      </c>
      <c r="T95" s="12"/>
      <c r="U95" s="12">
        <v>18</v>
      </c>
      <c r="V95" s="65" t="s">
        <v>423</v>
      </c>
      <c r="W95" s="44" t="str">
        <f t="shared" si="2"/>
        <v>Diferente</v>
      </c>
      <c r="X95" s="47">
        <f t="shared" si="5"/>
        <v>-170</v>
      </c>
      <c r="Y95" s="3"/>
      <c r="Z95" s="3"/>
    </row>
    <row r="96" spans="1:26" ht="15.75" hidden="1" customHeight="1" outlineLevel="1" x14ac:dyDescent="0.3">
      <c r="A96" s="3"/>
      <c r="B96" s="10" t="s">
        <v>519</v>
      </c>
      <c r="C96" s="62">
        <v>8</v>
      </c>
      <c r="D96" s="62" t="s">
        <v>94</v>
      </c>
      <c r="E96" s="12">
        <f t="shared" si="15"/>
        <v>168</v>
      </c>
      <c r="F96" s="101">
        <f>E96</f>
        <v>168</v>
      </c>
      <c r="G96" s="105"/>
      <c r="H96" s="103" t="s">
        <v>37</v>
      </c>
      <c r="I96" s="63"/>
      <c r="J96" s="64"/>
      <c r="K96" s="12"/>
      <c r="L96" s="62" t="str">
        <f t="shared" si="4"/>
        <v/>
      </c>
      <c r="M96" s="12">
        <v>113.43</v>
      </c>
      <c r="N96" s="12">
        <v>24.57</v>
      </c>
      <c r="O96" s="12">
        <v>12</v>
      </c>
      <c r="P96" s="12"/>
      <c r="Q96" s="12"/>
      <c r="R96" s="12"/>
      <c r="S96" s="12"/>
      <c r="T96" s="12"/>
      <c r="U96" s="12">
        <v>18</v>
      </c>
      <c r="V96" s="65" t="s">
        <v>423</v>
      </c>
      <c r="W96" s="44" t="str">
        <f t="shared" si="2"/>
        <v>OK</v>
      </c>
      <c r="X96" s="47" t="str">
        <f t="shared" si="5"/>
        <v/>
      </c>
      <c r="Y96" s="3"/>
      <c r="Z96" s="3"/>
    </row>
    <row r="97" spans="1:26" ht="15.75" hidden="1" customHeight="1" outlineLevel="1" x14ac:dyDescent="0.3">
      <c r="A97" s="3"/>
      <c r="B97" s="61" t="s">
        <v>520</v>
      </c>
      <c r="C97" s="62">
        <v>9</v>
      </c>
      <c r="D97" s="62" t="s">
        <v>129</v>
      </c>
      <c r="E97" s="12">
        <v>24</v>
      </c>
      <c r="F97" s="101">
        <f>SUM(M97:U97)</f>
        <v>48</v>
      </c>
      <c r="G97" s="89" t="s">
        <v>521</v>
      </c>
      <c r="H97" s="103" t="s">
        <v>37</v>
      </c>
      <c r="I97" s="63"/>
      <c r="J97" s="64"/>
      <c r="K97" s="12"/>
      <c r="L97" s="62" t="str">
        <f t="shared" si="4"/>
        <v/>
      </c>
      <c r="M97" s="12">
        <f>-12.57*2</f>
        <v>-25.14</v>
      </c>
      <c r="N97" s="12">
        <f>24.57*2</f>
        <v>49.14</v>
      </c>
      <c r="O97" s="12">
        <f>12*2</f>
        <v>24</v>
      </c>
      <c r="P97" s="12"/>
      <c r="Q97" s="12"/>
      <c r="R97" s="12"/>
      <c r="S97" s="12"/>
      <c r="T97" s="12"/>
      <c r="U97" s="12"/>
      <c r="V97" s="65"/>
      <c r="W97" s="44" t="str">
        <f t="shared" si="2"/>
        <v>OK</v>
      </c>
      <c r="X97" s="47" t="str">
        <f t="shared" si="5"/>
        <v/>
      </c>
      <c r="Y97" s="3"/>
      <c r="Z97" s="3"/>
    </row>
    <row r="98" spans="1:26" ht="15.75" hidden="1" customHeight="1" outlineLevel="1" x14ac:dyDescent="0.3">
      <c r="A98" s="3"/>
      <c r="B98" s="10" t="s">
        <v>522</v>
      </c>
      <c r="C98" s="62">
        <v>8</v>
      </c>
      <c r="D98" s="62" t="s">
        <v>94</v>
      </c>
      <c r="E98" s="12">
        <f t="shared" ref="E98:E103" si="21">SUM(M98:U98)</f>
        <v>143</v>
      </c>
      <c r="F98" s="101">
        <f>E98</f>
        <v>143</v>
      </c>
      <c r="G98" s="104"/>
      <c r="H98" s="103" t="s">
        <v>37</v>
      </c>
      <c r="I98" s="63"/>
      <c r="J98" s="64"/>
      <c r="K98" s="12"/>
      <c r="L98" s="62" t="str">
        <f t="shared" si="4"/>
        <v/>
      </c>
      <c r="M98" s="12">
        <v>88.43</v>
      </c>
      <c r="N98" s="12">
        <v>24.57</v>
      </c>
      <c r="O98" s="12">
        <v>12</v>
      </c>
      <c r="P98" s="12"/>
      <c r="Q98" s="12"/>
      <c r="R98" s="12"/>
      <c r="S98" s="12"/>
      <c r="T98" s="12"/>
      <c r="U98" s="12">
        <v>18</v>
      </c>
      <c r="V98" s="65" t="s">
        <v>423</v>
      </c>
      <c r="W98" s="44" t="str">
        <f t="shared" si="2"/>
        <v>OK</v>
      </c>
      <c r="X98" s="47" t="str">
        <f t="shared" si="5"/>
        <v/>
      </c>
      <c r="Y98" s="3"/>
      <c r="Z98" s="3"/>
    </row>
    <row r="99" spans="1:26" ht="15.75" hidden="1" customHeight="1" outlineLevel="1" x14ac:dyDescent="0.3">
      <c r="A99" s="3"/>
      <c r="B99" s="61" t="s">
        <v>523</v>
      </c>
      <c r="C99" s="62"/>
      <c r="D99" s="62" t="s">
        <v>104</v>
      </c>
      <c r="E99" s="12">
        <f t="shared" si="21"/>
        <v>68</v>
      </c>
      <c r="F99" s="101"/>
      <c r="G99" s="105"/>
      <c r="H99" s="103"/>
      <c r="I99" s="63"/>
      <c r="J99" s="64"/>
      <c r="K99" s="12"/>
      <c r="L99" s="62" t="str">
        <f t="shared" si="4"/>
        <v/>
      </c>
      <c r="M99" s="12">
        <v>13.43</v>
      </c>
      <c r="N99" s="12">
        <v>24.57</v>
      </c>
      <c r="O99" s="12">
        <v>12</v>
      </c>
      <c r="P99" s="12"/>
      <c r="Q99" s="12"/>
      <c r="R99" s="12"/>
      <c r="S99" s="12"/>
      <c r="T99" s="12"/>
      <c r="U99" s="12">
        <v>18</v>
      </c>
      <c r="V99" s="65" t="s">
        <v>423</v>
      </c>
      <c r="W99" s="44" t="str">
        <f t="shared" si="2"/>
        <v>Diferente</v>
      </c>
      <c r="X99" s="47">
        <f t="shared" si="5"/>
        <v>-68</v>
      </c>
      <c r="Y99" s="3"/>
      <c r="Z99" s="3"/>
    </row>
    <row r="100" spans="1:26" ht="15.75" hidden="1" customHeight="1" outlineLevel="1" x14ac:dyDescent="0.3">
      <c r="A100" s="3"/>
      <c r="B100" s="10" t="s">
        <v>524</v>
      </c>
      <c r="C100" s="62">
        <v>10</v>
      </c>
      <c r="D100" s="62" t="s">
        <v>94</v>
      </c>
      <c r="E100" s="12">
        <f t="shared" si="21"/>
        <v>148</v>
      </c>
      <c r="F100" s="101">
        <f t="shared" ref="F100:F101" si="22">E100</f>
        <v>148</v>
      </c>
      <c r="G100" s="244"/>
      <c r="H100" s="103" t="s">
        <v>37</v>
      </c>
      <c r="I100" s="63"/>
      <c r="J100" s="64"/>
      <c r="K100" s="12"/>
      <c r="L100" s="62" t="str">
        <f t="shared" si="4"/>
        <v/>
      </c>
      <c r="M100" s="12">
        <v>91.93</v>
      </c>
      <c r="N100" s="12">
        <v>24.57</v>
      </c>
      <c r="O100" s="12">
        <v>12</v>
      </c>
      <c r="P100" s="12">
        <v>1.5</v>
      </c>
      <c r="Q100" s="12"/>
      <c r="R100" s="12"/>
      <c r="S100" s="12"/>
      <c r="T100" s="12"/>
      <c r="U100" s="12">
        <v>18</v>
      </c>
      <c r="V100" s="65" t="s">
        <v>423</v>
      </c>
      <c r="W100" s="44" t="str">
        <f t="shared" si="2"/>
        <v>OK</v>
      </c>
      <c r="X100" s="47" t="str">
        <f t="shared" si="5"/>
        <v/>
      </c>
      <c r="Y100" s="3"/>
      <c r="Z100" s="3"/>
    </row>
    <row r="101" spans="1:26" ht="15.75" hidden="1" customHeight="1" outlineLevel="1" x14ac:dyDescent="0.3">
      <c r="A101" s="3"/>
      <c r="B101" s="10" t="s">
        <v>525</v>
      </c>
      <c r="C101" s="62">
        <v>10</v>
      </c>
      <c r="D101" s="62" t="s">
        <v>94</v>
      </c>
      <c r="E101" s="12">
        <f t="shared" si="21"/>
        <v>148</v>
      </c>
      <c r="F101" s="101">
        <f t="shared" si="22"/>
        <v>148</v>
      </c>
      <c r="G101" s="216"/>
      <c r="H101" s="103" t="s">
        <v>37</v>
      </c>
      <c r="I101" s="63"/>
      <c r="J101" s="64"/>
      <c r="K101" s="62"/>
      <c r="L101" s="62" t="str">
        <f t="shared" si="4"/>
        <v/>
      </c>
      <c r="M101" s="12">
        <v>91.93</v>
      </c>
      <c r="N101" s="12">
        <v>24.57</v>
      </c>
      <c r="O101" s="12">
        <v>12</v>
      </c>
      <c r="P101" s="12">
        <v>1.5</v>
      </c>
      <c r="Q101" s="12"/>
      <c r="R101" s="12"/>
      <c r="S101" s="12"/>
      <c r="T101" s="12"/>
      <c r="U101" s="12">
        <v>18</v>
      </c>
      <c r="V101" s="65" t="s">
        <v>423</v>
      </c>
      <c r="W101" s="44" t="str">
        <f t="shared" si="2"/>
        <v>OK</v>
      </c>
      <c r="X101" s="47" t="str">
        <f t="shared" si="5"/>
        <v/>
      </c>
      <c r="Y101" s="3"/>
      <c r="Z101" s="3"/>
    </row>
    <row r="102" spans="1:26" ht="15.75" hidden="1" customHeight="1" outlineLevel="1" x14ac:dyDescent="0.3">
      <c r="A102" s="3"/>
      <c r="B102" s="61" t="s">
        <v>526</v>
      </c>
      <c r="C102" s="62"/>
      <c r="D102" s="62" t="s">
        <v>104</v>
      </c>
      <c r="E102" s="12">
        <f t="shared" si="21"/>
        <v>83</v>
      </c>
      <c r="F102" s="101"/>
      <c r="G102" s="62"/>
      <c r="H102" s="103"/>
      <c r="I102" s="63"/>
      <c r="J102" s="64"/>
      <c r="K102" s="62"/>
      <c r="L102" s="62" t="str">
        <f t="shared" si="4"/>
        <v/>
      </c>
      <c r="M102" s="12">
        <v>26.43</v>
      </c>
      <c r="N102" s="12">
        <v>24.57</v>
      </c>
      <c r="O102" s="12">
        <v>12</v>
      </c>
      <c r="P102" s="12">
        <v>2</v>
      </c>
      <c r="Q102" s="12"/>
      <c r="R102" s="12"/>
      <c r="S102" s="12"/>
      <c r="T102" s="12"/>
      <c r="U102" s="12">
        <v>18</v>
      </c>
      <c r="V102" s="65" t="s">
        <v>423</v>
      </c>
      <c r="W102" s="44" t="str">
        <f t="shared" si="2"/>
        <v>Diferente</v>
      </c>
      <c r="X102" s="47">
        <f t="shared" si="5"/>
        <v>-83</v>
      </c>
      <c r="Y102" s="3"/>
      <c r="Z102" s="3"/>
    </row>
    <row r="103" spans="1:26" ht="15.75" hidden="1" customHeight="1" outlineLevel="1" x14ac:dyDescent="0.3">
      <c r="A103" s="3"/>
      <c r="B103" s="10" t="s">
        <v>527</v>
      </c>
      <c r="C103" s="62">
        <v>13</v>
      </c>
      <c r="D103" s="62" t="s">
        <v>94</v>
      </c>
      <c r="E103" s="12">
        <f t="shared" si="21"/>
        <v>157</v>
      </c>
      <c r="F103" s="101">
        <f>E103</f>
        <v>157</v>
      </c>
      <c r="G103" s="62"/>
      <c r="H103" s="103" t="s">
        <v>37</v>
      </c>
      <c r="I103" s="63"/>
      <c r="J103" s="64"/>
      <c r="K103" s="62"/>
      <c r="L103" s="62">
        <f t="shared" si="4"/>
        <v>1</v>
      </c>
      <c r="M103" s="12">
        <v>100.43</v>
      </c>
      <c r="N103" s="12">
        <v>24.57</v>
      </c>
      <c r="O103" s="12">
        <v>12</v>
      </c>
      <c r="P103" s="12">
        <v>2</v>
      </c>
      <c r="Q103" s="12"/>
      <c r="R103" s="12"/>
      <c r="S103" s="12"/>
      <c r="T103" s="12"/>
      <c r="U103" s="12">
        <v>18</v>
      </c>
      <c r="V103" s="65" t="s">
        <v>423</v>
      </c>
      <c r="W103" s="44" t="str">
        <f t="shared" si="2"/>
        <v>OK</v>
      </c>
      <c r="X103" s="47" t="str">
        <f t="shared" si="5"/>
        <v/>
      </c>
      <c r="Y103" s="3"/>
      <c r="Z103" s="3"/>
    </row>
    <row r="104" spans="1:26" ht="15.75" hidden="1" customHeight="1" outlineLevel="1" x14ac:dyDescent="0.3">
      <c r="A104" s="3"/>
      <c r="B104" s="61" t="s">
        <v>528</v>
      </c>
      <c r="C104" s="62">
        <v>24</v>
      </c>
      <c r="D104" s="62" t="s">
        <v>94</v>
      </c>
      <c r="E104" s="12">
        <v>70</v>
      </c>
      <c r="F104" s="101">
        <v>70</v>
      </c>
      <c r="G104" s="62"/>
      <c r="H104" s="103" t="s">
        <v>37</v>
      </c>
      <c r="I104" s="63"/>
      <c r="J104" s="64"/>
      <c r="K104" s="62"/>
      <c r="L104" s="62">
        <f t="shared" si="4"/>
        <v>1</v>
      </c>
      <c r="M104" s="12">
        <f>70-N104-O104-P104</f>
        <v>31.43</v>
      </c>
      <c r="N104" s="12">
        <v>24.57</v>
      </c>
      <c r="O104" s="12">
        <v>12</v>
      </c>
      <c r="P104" s="12">
        <v>2</v>
      </c>
      <c r="Q104" s="12"/>
      <c r="R104" s="12"/>
      <c r="S104" s="12"/>
      <c r="T104" s="12"/>
      <c r="U104" s="12"/>
      <c r="V104" s="65"/>
      <c r="W104" s="44" t="str">
        <f t="shared" si="2"/>
        <v>OK</v>
      </c>
      <c r="X104" s="47" t="str">
        <f t="shared" si="5"/>
        <v/>
      </c>
      <c r="Y104" s="3"/>
      <c r="Z104" s="3"/>
    </row>
    <row r="105" spans="1:26" ht="15.75" hidden="1" customHeight="1" outlineLevel="1" x14ac:dyDescent="0.3">
      <c r="A105" s="3"/>
      <c r="B105" s="10"/>
      <c r="C105" s="62"/>
      <c r="D105" s="62"/>
      <c r="E105" s="12"/>
      <c r="F105" s="101"/>
      <c r="G105" s="107"/>
      <c r="H105" s="103"/>
      <c r="I105" s="63"/>
      <c r="J105" s="64" t="s">
        <v>96</v>
      </c>
      <c r="K105" s="62"/>
      <c r="L105" s="62" t="str">
        <f t="shared" si="4"/>
        <v/>
      </c>
      <c r="M105" s="12"/>
      <c r="N105" s="12"/>
      <c r="O105" s="12"/>
      <c r="P105" s="12"/>
      <c r="Q105" s="12"/>
      <c r="R105" s="12"/>
      <c r="S105" s="12"/>
      <c r="T105" s="12"/>
      <c r="U105" s="12"/>
      <c r="V105" s="62"/>
      <c r="W105" s="44" t="str">
        <f t="shared" si="2"/>
        <v>OK</v>
      </c>
      <c r="X105" s="47" t="str">
        <f t="shared" si="5"/>
        <v/>
      </c>
      <c r="Y105" s="3"/>
      <c r="Z105" s="3"/>
    </row>
    <row r="106" spans="1:26" ht="15.75" hidden="1" customHeight="1" outlineLevel="1" x14ac:dyDescent="0.3">
      <c r="A106" s="3"/>
      <c r="B106" s="10"/>
      <c r="C106" s="62"/>
      <c r="D106" s="62"/>
      <c r="E106" s="12"/>
      <c r="F106" s="101"/>
      <c r="G106" s="108"/>
      <c r="H106" s="103"/>
      <c r="I106" s="63"/>
      <c r="J106" s="64" t="s">
        <v>96</v>
      </c>
      <c r="K106" s="62"/>
      <c r="L106" s="62" t="str">
        <f t="shared" si="4"/>
        <v/>
      </c>
      <c r="M106" s="12"/>
      <c r="N106" s="12"/>
      <c r="O106" s="12"/>
      <c r="P106" s="12"/>
      <c r="Q106" s="12"/>
      <c r="R106" s="12"/>
      <c r="S106" s="12"/>
      <c r="T106" s="12"/>
      <c r="U106" s="12"/>
      <c r="V106" s="62"/>
      <c r="W106" s="44" t="str">
        <f t="shared" si="2"/>
        <v>OK</v>
      </c>
      <c r="X106" s="47" t="str">
        <f t="shared" si="5"/>
        <v/>
      </c>
      <c r="Y106" s="3"/>
      <c r="Z106" s="3"/>
    </row>
    <row r="107" spans="1:26" ht="15.75" hidden="1" customHeight="1" outlineLevel="1" x14ac:dyDescent="0.3">
      <c r="A107" s="3"/>
      <c r="B107" s="10"/>
      <c r="C107" s="62"/>
      <c r="D107" s="62"/>
      <c r="E107" s="12"/>
      <c r="F107" s="101"/>
      <c r="G107" s="108"/>
      <c r="H107" s="103"/>
      <c r="I107" s="63"/>
      <c r="J107" s="64" t="s">
        <v>96</v>
      </c>
      <c r="K107" s="62"/>
      <c r="L107" s="62" t="str">
        <f t="shared" si="4"/>
        <v/>
      </c>
      <c r="M107" s="12"/>
      <c r="N107" s="12"/>
      <c r="O107" s="12"/>
      <c r="P107" s="12"/>
      <c r="Q107" s="12"/>
      <c r="R107" s="12"/>
      <c r="S107" s="12"/>
      <c r="T107" s="12"/>
      <c r="U107" s="12"/>
      <c r="V107" s="62"/>
      <c r="W107" s="44" t="str">
        <f t="shared" si="2"/>
        <v>OK</v>
      </c>
      <c r="X107" s="47" t="str">
        <f t="shared" si="5"/>
        <v/>
      </c>
      <c r="Y107" s="3"/>
      <c r="Z107" s="3"/>
    </row>
    <row r="108" spans="1:26" ht="15.75" hidden="1" customHeight="1" outlineLevel="1" x14ac:dyDescent="0.3">
      <c r="A108" s="3"/>
      <c r="B108" s="10"/>
      <c r="C108" s="62"/>
      <c r="D108" s="62"/>
      <c r="E108" s="12"/>
      <c r="F108" s="101"/>
      <c r="G108" s="108"/>
      <c r="H108" s="103"/>
      <c r="I108" s="63"/>
      <c r="J108" s="64" t="s">
        <v>96</v>
      </c>
      <c r="K108" s="62"/>
      <c r="L108" s="62" t="str">
        <f t="shared" si="4"/>
        <v/>
      </c>
      <c r="M108" s="12"/>
      <c r="N108" s="12"/>
      <c r="O108" s="12"/>
      <c r="P108" s="12"/>
      <c r="Q108" s="12"/>
      <c r="R108" s="12"/>
      <c r="S108" s="12"/>
      <c r="T108" s="12"/>
      <c r="U108" s="12"/>
      <c r="V108" s="62"/>
      <c r="W108" s="44" t="str">
        <f t="shared" si="2"/>
        <v>OK</v>
      </c>
      <c r="X108" s="47" t="str">
        <f t="shared" si="5"/>
        <v/>
      </c>
      <c r="Y108" s="3"/>
      <c r="Z108" s="3"/>
    </row>
    <row r="109" spans="1:26" ht="15.75" hidden="1" customHeight="1" outlineLevel="1" x14ac:dyDescent="0.3">
      <c r="A109" s="3"/>
      <c r="B109" s="10"/>
      <c r="C109" s="62"/>
      <c r="D109" s="62"/>
      <c r="E109" s="12"/>
      <c r="F109" s="101"/>
      <c r="G109" s="108"/>
      <c r="H109" s="103"/>
      <c r="I109" s="63"/>
      <c r="J109" s="64" t="s">
        <v>96</v>
      </c>
      <c r="K109" s="62"/>
      <c r="L109" s="62" t="str">
        <f t="shared" si="4"/>
        <v/>
      </c>
      <c r="M109" s="12"/>
      <c r="N109" s="12"/>
      <c r="O109" s="12"/>
      <c r="P109" s="12"/>
      <c r="Q109" s="12"/>
      <c r="R109" s="12"/>
      <c r="S109" s="12"/>
      <c r="T109" s="12"/>
      <c r="U109" s="12"/>
      <c r="V109" s="62"/>
      <c r="W109" s="44" t="str">
        <f t="shared" si="2"/>
        <v>OK</v>
      </c>
      <c r="X109" s="47" t="str">
        <f t="shared" si="5"/>
        <v/>
      </c>
      <c r="Y109" s="3"/>
      <c r="Z109" s="3"/>
    </row>
    <row r="110" spans="1:26" ht="15.75" hidden="1" customHeight="1" outlineLevel="1" x14ac:dyDescent="0.3">
      <c r="A110" s="3"/>
      <c r="B110" s="10"/>
      <c r="C110" s="62"/>
      <c r="D110" s="62"/>
      <c r="E110" s="12"/>
      <c r="F110" s="101"/>
      <c r="G110" s="108"/>
      <c r="H110" s="103"/>
      <c r="I110" s="63"/>
      <c r="J110" s="64" t="s">
        <v>96</v>
      </c>
      <c r="K110" s="62"/>
      <c r="L110" s="62" t="str">
        <f t="shared" si="4"/>
        <v/>
      </c>
      <c r="M110" s="12"/>
      <c r="N110" s="12"/>
      <c r="O110" s="12"/>
      <c r="P110" s="12"/>
      <c r="Q110" s="12"/>
      <c r="R110" s="12"/>
      <c r="S110" s="12"/>
      <c r="T110" s="12"/>
      <c r="U110" s="12"/>
      <c r="V110" s="62"/>
      <c r="W110" s="44" t="str">
        <f t="shared" si="2"/>
        <v>OK</v>
      </c>
      <c r="X110" s="47" t="str">
        <f t="shared" si="5"/>
        <v/>
      </c>
      <c r="Y110" s="3"/>
      <c r="Z110" s="3"/>
    </row>
    <row r="111" spans="1:26" ht="15.75" hidden="1" customHeight="1" outlineLevel="1" x14ac:dyDescent="0.3">
      <c r="A111" s="3"/>
      <c r="B111" s="109"/>
      <c r="C111" s="62"/>
      <c r="D111" s="62"/>
      <c r="E111" s="12"/>
      <c r="F111" s="101"/>
      <c r="G111" s="108"/>
      <c r="H111" s="103"/>
      <c r="I111" s="63"/>
      <c r="J111" s="64" t="s">
        <v>96</v>
      </c>
      <c r="K111" s="62"/>
      <c r="L111" s="62" t="str">
        <f t="shared" si="4"/>
        <v/>
      </c>
      <c r="M111" s="12"/>
      <c r="N111" s="12"/>
      <c r="O111" s="12"/>
      <c r="P111" s="12"/>
      <c r="Q111" s="12"/>
      <c r="R111" s="12"/>
      <c r="S111" s="12"/>
      <c r="T111" s="12"/>
      <c r="U111" s="12"/>
      <c r="V111" s="62"/>
      <c r="W111" s="44" t="str">
        <f t="shared" si="2"/>
        <v>OK</v>
      </c>
      <c r="X111" s="47" t="str">
        <f t="shared" si="5"/>
        <v/>
      </c>
      <c r="Y111" s="3"/>
      <c r="Z111" s="3"/>
    </row>
    <row r="112" spans="1:26" ht="15.75" hidden="1" customHeight="1" outlineLevel="1" x14ac:dyDescent="0.3">
      <c r="A112" s="3"/>
      <c r="B112" s="10"/>
      <c r="C112" s="62"/>
      <c r="D112" s="62"/>
      <c r="E112" s="12"/>
      <c r="F112" s="12"/>
      <c r="G112" s="110"/>
      <c r="H112" s="63"/>
      <c r="I112" s="63"/>
      <c r="J112" s="64" t="s">
        <v>96</v>
      </c>
      <c r="K112" s="62"/>
      <c r="L112" s="62" t="str">
        <f t="shared" si="4"/>
        <v/>
      </c>
      <c r="M112" s="12"/>
      <c r="N112" s="12"/>
      <c r="O112" s="12"/>
      <c r="P112" s="12"/>
      <c r="Q112" s="12"/>
      <c r="R112" s="12"/>
      <c r="S112" s="12"/>
      <c r="T112" s="12"/>
      <c r="U112" s="12"/>
      <c r="V112" s="62"/>
      <c r="W112" s="44" t="str">
        <f t="shared" si="2"/>
        <v>OK</v>
      </c>
      <c r="X112" s="47" t="str">
        <f t="shared" si="5"/>
        <v/>
      </c>
      <c r="Y112" s="3"/>
      <c r="Z112" s="3"/>
    </row>
    <row r="113" spans="1:26" ht="15.75" hidden="1" customHeight="1" outlineLevel="1" x14ac:dyDescent="0.3">
      <c r="A113" s="3"/>
      <c r="B113" s="10"/>
      <c r="C113" s="62"/>
      <c r="D113" s="62"/>
      <c r="E113" s="12"/>
      <c r="F113" s="12"/>
      <c r="G113" s="67"/>
      <c r="H113" s="63"/>
      <c r="I113" s="63"/>
      <c r="J113" s="64" t="s">
        <v>96</v>
      </c>
      <c r="K113" s="62"/>
      <c r="L113" s="62" t="str">
        <f t="shared" si="4"/>
        <v/>
      </c>
      <c r="M113" s="12"/>
      <c r="N113" s="12"/>
      <c r="O113" s="12"/>
      <c r="P113" s="12"/>
      <c r="Q113" s="12"/>
      <c r="R113" s="12"/>
      <c r="S113" s="12"/>
      <c r="T113" s="12"/>
      <c r="U113" s="12"/>
      <c r="V113" s="62"/>
      <c r="W113" s="44" t="str">
        <f t="shared" si="2"/>
        <v>OK</v>
      </c>
      <c r="X113" s="47" t="str">
        <f t="shared" si="5"/>
        <v/>
      </c>
      <c r="Y113" s="3"/>
      <c r="Z113" s="3"/>
    </row>
    <row r="114" spans="1:26" ht="15.75" hidden="1" customHeight="1" outlineLevel="1" x14ac:dyDescent="0.3">
      <c r="A114" s="3"/>
      <c r="B114" s="10"/>
      <c r="C114" s="62"/>
      <c r="D114" s="62"/>
      <c r="E114" s="12"/>
      <c r="F114" s="12"/>
      <c r="G114" s="67"/>
      <c r="H114" s="63"/>
      <c r="I114" s="63"/>
      <c r="J114" s="64" t="s">
        <v>96</v>
      </c>
      <c r="K114" s="62"/>
      <c r="L114" s="62" t="str">
        <f t="shared" si="4"/>
        <v/>
      </c>
      <c r="M114" s="12"/>
      <c r="N114" s="12"/>
      <c r="O114" s="12"/>
      <c r="P114" s="12"/>
      <c r="Q114" s="12"/>
      <c r="R114" s="12"/>
      <c r="S114" s="12"/>
      <c r="T114" s="12"/>
      <c r="U114" s="12"/>
      <c r="V114" s="62"/>
      <c r="W114" s="44" t="str">
        <f t="shared" si="2"/>
        <v>OK</v>
      </c>
      <c r="X114" s="47" t="str">
        <f t="shared" si="5"/>
        <v/>
      </c>
      <c r="Y114" s="3"/>
      <c r="Z114" s="3"/>
    </row>
    <row r="115" spans="1:26" ht="15.75" hidden="1" customHeight="1" outlineLevel="1" x14ac:dyDescent="0.3">
      <c r="A115" s="3"/>
      <c r="B115" s="10"/>
      <c r="C115" s="62"/>
      <c r="D115" s="62"/>
      <c r="E115" s="12"/>
      <c r="F115" s="12"/>
      <c r="G115" s="67"/>
      <c r="H115" s="63"/>
      <c r="I115" s="63"/>
      <c r="J115" s="64" t="s">
        <v>96</v>
      </c>
      <c r="K115" s="62"/>
      <c r="L115" s="62" t="str">
        <f t="shared" si="4"/>
        <v/>
      </c>
      <c r="M115" s="12"/>
      <c r="N115" s="12"/>
      <c r="O115" s="12"/>
      <c r="P115" s="12"/>
      <c r="Q115" s="12"/>
      <c r="R115" s="12"/>
      <c r="S115" s="12"/>
      <c r="T115" s="12"/>
      <c r="U115" s="12"/>
      <c r="V115" s="62"/>
      <c r="W115" s="44" t="str">
        <f t="shared" si="2"/>
        <v>OK</v>
      </c>
      <c r="X115" s="47" t="str">
        <f t="shared" si="5"/>
        <v/>
      </c>
      <c r="Y115" s="3"/>
      <c r="Z115" s="3"/>
    </row>
    <row r="116" spans="1:26" ht="15.75" hidden="1" customHeight="1" outlineLevel="1" x14ac:dyDescent="0.3">
      <c r="A116" s="3"/>
      <c r="B116" s="10"/>
      <c r="C116" s="62"/>
      <c r="D116" s="62"/>
      <c r="E116" s="12"/>
      <c r="F116" s="12"/>
      <c r="G116" s="67"/>
      <c r="H116" s="63"/>
      <c r="I116" s="63"/>
      <c r="J116" s="64" t="s">
        <v>96</v>
      </c>
      <c r="K116" s="62"/>
      <c r="L116" s="62" t="str">
        <f t="shared" si="4"/>
        <v/>
      </c>
      <c r="M116" s="12"/>
      <c r="N116" s="12"/>
      <c r="O116" s="12"/>
      <c r="P116" s="12"/>
      <c r="Q116" s="12"/>
      <c r="R116" s="12"/>
      <c r="S116" s="12"/>
      <c r="T116" s="12"/>
      <c r="U116" s="12"/>
      <c r="V116" s="62"/>
      <c r="W116" s="44" t="str">
        <f t="shared" si="2"/>
        <v>OK</v>
      </c>
      <c r="X116" s="47" t="str">
        <f t="shared" si="5"/>
        <v/>
      </c>
      <c r="Y116" s="3"/>
      <c r="Z116" s="3"/>
    </row>
    <row r="117" spans="1:26" ht="15.75" hidden="1" customHeight="1" outlineLevel="1" x14ac:dyDescent="0.3">
      <c r="A117" s="3"/>
      <c r="B117" s="10"/>
      <c r="C117" s="62"/>
      <c r="D117" s="62"/>
      <c r="E117" s="12"/>
      <c r="F117" s="12"/>
      <c r="G117" s="67"/>
      <c r="H117" s="63"/>
      <c r="I117" s="63"/>
      <c r="J117" s="64" t="s">
        <v>96</v>
      </c>
      <c r="K117" s="62"/>
      <c r="L117" s="62" t="str">
        <f t="shared" si="4"/>
        <v/>
      </c>
      <c r="M117" s="12"/>
      <c r="N117" s="12"/>
      <c r="O117" s="12"/>
      <c r="P117" s="12"/>
      <c r="Q117" s="12"/>
      <c r="R117" s="12"/>
      <c r="S117" s="12"/>
      <c r="T117" s="12"/>
      <c r="U117" s="12"/>
      <c r="V117" s="62"/>
      <c r="W117" s="44" t="str">
        <f t="shared" si="2"/>
        <v>OK</v>
      </c>
      <c r="X117" s="47" t="str">
        <f t="shared" si="5"/>
        <v/>
      </c>
      <c r="Y117" s="3"/>
      <c r="Z117" s="3"/>
    </row>
    <row r="118" spans="1:26" ht="15.75" hidden="1" customHeight="1" outlineLevel="1" x14ac:dyDescent="0.3">
      <c r="A118" s="3"/>
      <c r="B118" s="10"/>
      <c r="C118" s="62"/>
      <c r="D118" s="62"/>
      <c r="E118" s="12"/>
      <c r="F118" s="12"/>
      <c r="G118" s="67"/>
      <c r="H118" s="63"/>
      <c r="I118" s="63"/>
      <c r="J118" s="64" t="s">
        <v>96</v>
      </c>
      <c r="K118" s="62"/>
      <c r="L118" s="62" t="str">
        <f t="shared" si="4"/>
        <v/>
      </c>
      <c r="M118" s="12"/>
      <c r="N118" s="12"/>
      <c r="O118" s="12"/>
      <c r="P118" s="12"/>
      <c r="Q118" s="12"/>
      <c r="R118" s="12"/>
      <c r="S118" s="12"/>
      <c r="T118" s="12"/>
      <c r="U118" s="12"/>
      <c r="V118" s="62"/>
      <c r="W118" s="44" t="str">
        <f t="shared" si="2"/>
        <v>OK</v>
      </c>
      <c r="X118" s="47" t="str">
        <f t="shared" si="5"/>
        <v/>
      </c>
      <c r="Y118" s="3"/>
      <c r="Z118" s="3"/>
    </row>
    <row r="119" spans="1:26" ht="15.75" hidden="1" customHeight="1" outlineLevel="1" x14ac:dyDescent="0.3">
      <c r="A119" s="3"/>
      <c r="B119" s="10"/>
      <c r="C119" s="62"/>
      <c r="D119" s="62"/>
      <c r="E119" s="12"/>
      <c r="F119" s="12"/>
      <c r="G119" s="67"/>
      <c r="H119" s="63"/>
      <c r="I119" s="63"/>
      <c r="J119" s="64" t="s">
        <v>96</v>
      </c>
      <c r="K119" s="62"/>
      <c r="L119" s="62" t="str">
        <f t="shared" si="4"/>
        <v/>
      </c>
      <c r="M119" s="12"/>
      <c r="N119" s="12"/>
      <c r="O119" s="12"/>
      <c r="P119" s="12"/>
      <c r="Q119" s="12"/>
      <c r="R119" s="12"/>
      <c r="S119" s="12"/>
      <c r="T119" s="12"/>
      <c r="U119" s="12"/>
      <c r="V119" s="62"/>
      <c r="W119" s="44" t="str">
        <f t="shared" si="2"/>
        <v>OK</v>
      </c>
      <c r="X119" s="47" t="str">
        <f t="shared" si="5"/>
        <v/>
      </c>
      <c r="Y119" s="3"/>
      <c r="Z119" s="3"/>
    </row>
    <row r="120" spans="1:26" ht="15.75" hidden="1" customHeight="1" outlineLevel="1" x14ac:dyDescent="0.3">
      <c r="A120" s="3"/>
      <c r="B120" s="10"/>
      <c r="C120" s="62"/>
      <c r="D120" s="62"/>
      <c r="E120" s="12"/>
      <c r="F120" s="12"/>
      <c r="G120" s="67"/>
      <c r="H120" s="63"/>
      <c r="I120" s="63"/>
      <c r="J120" s="64"/>
      <c r="K120" s="62"/>
      <c r="L120" s="62" t="str">
        <f t="shared" si="4"/>
        <v/>
      </c>
      <c r="M120" s="12"/>
      <c r="N120" s="12"/>
      <c r="O120" s="12"/>
      <c r="P120" s="12"/>
      <c r="Q120" s="12"/>
      <c r="R120" s="12"/>
      <c r="S120" s="12"/>
      <c r="T120" s="12"/>
      <c r="U120" s="12"/>
      <c r="V120" s="62"/>
      <c r="W120" s="44" t="str">
        <f t="shared" si="2"/>
        <v>OK</v>
      </c>
      <c r="X120" s="47" t="str">
        <f t="shared" si="5"/>
        <v/>
      </c>
      <c r="Y120" s="3"/>
      <c r="Z120" s="3"/>
    </row>
    <row r="121" spans="1:26" ht="15.75" hidden="1" customHeight="1" outlineLevel="1" x14ac:dyDescent="0.3">
      <c r="A121" s="3"/>
      <c r="B121" s="10"/>
      <c r="C121" s="62"/>
      <c r="D121" s="62"/>
      <c r="E121" s="12"/>
      <c r="F121" s="12"/>
      <c r="G121" s="67"/>
      <c r="H121" s="63"/>
      <c r="I121" s="63"/>
      <c r="J121" s="64"/>
      <c r="K121" s="62"/>
      <c r="L121" s="62" t="str">
        <f t="shared" si="4"/>
        <v/>
      </c>
      <c r="M121" s="12"/>
      <c r="N121" s="12"/>
      <c r="O121" s="12"/>
      <c r="P121" s="12"/>
      <c r="Q121" s="12"/>
      <c r="R121" s="12"/>
      <c r="S121" s="12"/>
      <c r="T121" s="12"/>
      <c r="U121" s="12"/>
      <c r="V121" s="62"/>
      <c r="W121" s="44" t="str">
        <f t="shared" si="2"/>
        <v>OK</v>
      </c>
      <c r="X121" s="47" t="str">
        <f t="shared" si="5"/>
        <v/>
      </c>
      <c r="Y121" s="3"/>
      <c r="Z121" s="3"/>
    </row>
    <row r="122" spans="1:26" ht="15.75" hidden="1" customHeight="1" outlineLevel="1" x14ac:dyDescent="0.3">
      <c r="A122" s="3"/>
      <c r="B122" s="10"/>
      <c r="C122" s="62"/>
      <c r="D122" s="62"/>
      <c r="E122" s="12"/>
      <c r="F122" s="12"/>
      <c r="G122" s="67"/>
      <c r="H122" s="63"/>
      <c r="I122" s="63"/>
      <c r="J122" s="64"/>
      <c r="K122" s="62"/>
      <c r="L122" s="62" t="str">
        <f t="shared" si="4"/>
        <v/>
      </c>
      <c r="M122" s="12"/>
      <c r="N122" s="12"/>
      <c r="O122" s="12"/>
      <c r="P122" s="12"/>
      <c r="Q122" s="12"/>
      <c r="R122" s="12"/>
      <c r="S122" s="12"/>
      <c r="T122" s="12"/>
      <c r="U122" s="12"/>
      <c r="V122" s="62"/>
      <c r="W122" s="44" t="str">
        <f t="shared" si="2"/>
        <v>OK</v>
      </c>
      <c r="X122" s="47" t="str">
        <f t="shared" si="5"/>
        <v/>
      </c>
      <c r="Y122" s="3"/>
      <c r="Z122" s="3"/>
    </row>
    <row r="123" spans="1:26" ht="15.75" hidden="1" customHeight="1" outlineLevel="1" x14ac:dyDescent="0.3">
      <c r="A123" s="3"/>
      <c r="B123" s="10"/>
      <c r="C123" s="62"/>
      <c r="D123" s="62"/>
      <c r="E123" s="12"/>
      <c r="F123" s="12"/>
      <c r="G123" s="67"/>
      <c r="H123" s="63"/>
      <c r="I123" s="63"/>
      <c r="J123" s="64"/>
      <c r="K123" s="62"/>
      <c r="L123" s="62" t="str">
        <f t="shared" si="4"/>
        <v/>
      </c>
      <c r="M123" s="12"/>
      <c r="N123" s="12"/>
      <c r="O123" s="12"/>
      <c r="P123" s="12"/>
      <c r="Q123" s="12"/>
      <c r="R123" s="12"/>
      <c r="S123" s="12"/>
      <c r="T123" s="12"/>
      <c r="U123" s="12"/>
      <c r="V123" s="62"/>
      <c r="W123" s="44" t="str">
        <f t="shared" si="2"/>
        <v>OK</v>
      </c>
      <c r="X123" s="47" t="str">
        <f t="shared" si="5"/>
        <v/>
      </c>
      <c r="Y123" s="3"/>
      <c r="Z123" s="3"/>
    </row>
    <row r="124" spans="1:26" ht="15.75" hidden="1" customHeight="1" outlineLevel="1" x14ac:dyDescent="0.3">
      <c r="A124" s="3"/>
      <c r="B124" s="10"/>
      <c r="C124" s="62"/>
      <c r="D124" s="62"/>
      <c r="E124" s="12"/>
      <c r="F124" s="12"/>
      <c r="G124" s="67"/>
      <c r="H124" s="63"/>
      <c r="I124" s="63"/>
      <c r="J124" s="64"/>
      <c r="K124" s="62"/>
      <c r="L124" s="62" t="str">
        <f t="shared" si="4"/>
        <v/>
      </c>
      <c r="M124" s="12"/>
      <c r="N124" s="12"/>
      <c r="O124" s="12"/>
      <c r="P124" s="12"/>
      <c r="Q124" s="12"/>
      <c r="R124" s="12"/>
      <c r="S124" s="12"/>
      <c r="T124" s="12"/>
      <c r="U124" s="12"/>
      <c r="V124" s="62"/>
      <c r="W124" s="44" t="str">
        <f t="shared" si="2"/>
        <v>OK</v>
      </c>
      <c r="X124" s="47" t="str">
        <f t="shared" si="5"/>
        <v/>
      </c>
      <c r="Y124" s="3"/>
      <c r="Z124" s="3"/>
    </row>
    <row r="125" spans="1:26" ht="15.75" hidden="1" customHeight="1" outlineLevel="1" x14ac:dyDescent="0.3">
      <c r="A125" s="3"/>
      <c r="B125" s="10"/>
      <c r="C125" s="62"/>
      <c r="D125" s="62"/>
      <c r="E125" s="12"/>
      <c r="F125" s="12"/>
      <c r="G125" s="67"/>
      <c r="H125" s="63"/>
      <c r="I125" s="63"/>
      <c r="J125" s="64"/>
      <c r="K125" s="62"/>
      <c r="L125" s="62" t="str">
        <f t="shared" si="4"/>
        <v/>
      </c>
      <c r="M125" s="12"/>
      <c r="N125" s="12"/>
      <c r="O125" s="12"/>
      <c r="P125" s="12"/>
      <c r="Q125" s="12"/>
      <c r="R125" s="12"/>
      <c r="S125" s="12"/>
      <c r="T125" s="12"/>
      <c r="U125" s="12"/>
      <c r="V125" s="62"/>
      <c r="W125" s="44" t="str">
        <f t="shared" si="2"/>
        <v>OK</v>
      </c>
      <c r="X125" s="47" t="str">
        <f t="shared" si="5"/>
        <v/>
      </c>
      <c r="Y125" s="3"/>
      <c r="Z125" s="3"/>
    </row>
    <row r="126" spans="1:26" ht="15.75" hidden="1" customHeight="1" outlineLevel="1" x14ac:dyDescent="0.3">
      <c r="A126" s="3"/>
      <c r="B126" s="10"/>
      <c r="C126" s="62"/>
      <c r="D126" s="62"/>
      <c r="E126" s="12"/>
      <c r="F126" s="12"/>
      <c r="G126" s="67"/>
      <c r="H126" s="63"/>
      <c r="I126" s="63"/>
      <c r="J126" s="64"/>
      <c r="K126" s="62"/>
      <c r="L126" s="62" t="str">
        <f>IF(D126="Parcial","",IF(C126&gt;12,1,""))</f>
        <v/>
      </c>
      <c r="M126" s="12"/>
      <c r="N126" s="12"/>
      <c r="O126" s="12"/>
      <c r="P126" s="12"/>
      <c r="Q126" s="12"/>
      <c r="R126" s="12"/>
      <c r="S126" s="12"/>
      <c r="T126" s="12"/>
      <c r="U126" s="12"/>
      <c r="V126" s="62"/>
      <c r="W126" s="44" t="str">
        <f t="shared" si="2"/>
        <v>OK</v>
      </c>
      <c r="X126" s="47" t="str">
        <f t="shared" si="5"/>
        <v/>
      </c>
      <c r="Y126" s="3"/>
      <c r="Z126" s="3"/>
    </row>
    <row r="127" spans="1:26" ht="15.75" customHeight="1" collapsed="1" x14ac:dyDescent="0.3">
      <c r="A127" s="3"/>
      <c r="B127" s="73" t="s">
        <v>62</v>
      </c>
      <c r="C127" s="56" t="s">
        <v>43</v>
      </c>
      <c r="D127" s="56" t="s">
        <v>43</v>
      </c>
      <c r="E127" s="57">
        <f t="shared" ref="E127:F127" si="23">SUM(E128,E131,,E135,E140,E144)</f>
        <v>0</v>
      </c>
      <c r="F127" s="57">
        <f t="shared" si="23"/>
        <v>25606.37</v>
      </c>
      <c r="G127" s="58" t="s">
        <v>43</v>
      </c>
      <c r="H127" s="74"/>
      <c r="I127" s="74"/>
      <c r="J127" s="3"/>
      <c r="K127" s="3"/>
      <c r="L127" s="3"/>
      <c r="M127" s="3"/>
      <c r="N127" s="3"/>
      <c r="O127" s="3"/>
      <c r="P127" s="3"/>
      <c r="Q127" s="3"/>
      <c r="R127" s="3"/>
      <c r="S127" s="3"/>
      <c r="T127" s="3"/>
      <c r="U127" s="3"/>
      <c r="V127" s="3"/>
      <c r="W127" s="44"/>
      <c r="X127" s="41"/>
      <c r="Y127" s="3"/>
      <c r="Z127" s="3"/>
    </row>
    <row r="128" spans="1:26" ht="15.75" hidden="1" customHeight="1" outlineLevel="1" x14ac:dyDescent="0.3">
      <c r="A128" s="3"/>
      <c r="B128" s="75" t="s">
        <v>230</v>
      </c>
      <c r="C128" s="76" t="s">
        <v>43</v>
      </c>
      <c r="D128" s="76" t="s">
        <v>43</v>
      </c>
      <c r="E128" s="77">
        <f>SUM(E129:E130)</f>
        <v>0</v>
      </c>
      <c r="F128" s="77">
        <f>SUMIF(D129:D130,"OK",F129:F130)</f>
        <v>381.51</v>
      </c>
      <c r="G128" s="78" t="s">
        <v>43</v>
      </c>
      <c r="H128" s="79"/>
      <c r="I128" s="79"/>
      <c r="J128" s="3"/>
      <c r="K128" s="3"/>
      <c r="L128" s="3"/>
      <c r="M128" s="3"/>
      <c r="N128" s="3"/>
      <c r="O128" s="3"/>
      <c r="P128" s="3"/>
      <c r="Q128" s="3"/>
      <c r="R128" s="3"/>
      <c r="S128" s="3"/>
      <c r="T128" s="3"/>
      <c r="U128" s="3"/>
      <c r="V128" s="3"/>
      <c r="W128" s="44"/>
      <c r="X128" s="41"/>
      <c r="Y128" s="3"/>
      <c r="Z128" s="3"/>
    </row>
    <row r="129" spans="1:26" ht="15.75" hidden="1" customHeight="1" outlineLevel="1" x14ac:dyDescent="0.3">
      <c r="A129" s="3"/>
      <c r="B129" s="10" t="s">
        <v>231</v>
      </c>
      <c r="C129" s="62">
        <v>29</v>
      </c>
      <c r="D129" s="62" t="s">
        <v>94</v>
      </c>
      <c r="E129" s="12">
        <v>0</v>
      </c>
      <c r="F129" s="12">
        <v>381.51</v>
      </c>
      <c r="G129" s="67"/>
      <c r="H129" s="63" t="s">
        <v>37</v>
      </c>
      <c r="I129" s="63"/>
      <c r="J129" s="3"/>
      <c r="K129" s="3"/>
      <c r="L129" s="3"/>
      <c r="M129" s="3"/>
      <c r="N129" s="3"/>
      <c r="O129" s="3"/>
      <c r="P129" s="3"/>
      <c r="Q129" s="3"/>
      <c r="R129" s="3"/>
      <c r="S129" s="3"/>
      <c r="T129" s="3"/>
      <c r="U129" s="3"/>
      <c r="V129" s="3"/>
      <c r="W129" s="44"/>
      <c r="X129" s="41"/>
      <c r="Y129" s="3"/>
      <c r="Z129" s="3"/>
    </row>
    <row r="130" spans="1:26" ht="15.75" hidden="1" customHeight="1" outlineLevel="1" x14ac:dyDescent="0.3">
      <c r="A130" s="3"/>
      <c r="B130" s="10" t="s">
        <v>61</v>
      </c>
      <c r="C130" s="62"/>
      <c r="D130" s="62"/>
      <c r="E130" s="12">
        <v>0</v>
      </c>
      <c r="F130" s="12">
        <v>0</v>
      </c>
      <c r="G130" s="67"/>
      <c r="H130" s="63"/>
      <c r="I130" s="63"/>
      <c r="J130" s="3"/>
      <c r="K130" s="3"/>
      <c r="L130" s="3"/>
      <c r="M130" s="3"/>
      <c r="N130" s="3"/>
      <c r="O130" s="3"/>
      <c r="P130" s="3"/>
      <c r="Q130" s="3"/>
      <c r="R130" s="3"/>
      <c r="S130" s="3"/>
      <c r="T130" s="3"/>
      <c r="U130" s="3"/>
      <c r="V130" s="3"/>
      <c r="W130" s="44"/>
      <c r="X130" s="41"/>
      <c r="Y130" s="3"/>
      <c r="Z130" s="3"/>
    </row>
    <row r="131" spans="1:26" ht="15.75" hidden="1" customHeight="1" outlineLevel="1" x14ac:dyDescent="0.3">
      <c r="A131" s="3"/>
      <c r="B131" s="75" t="s">
        <v>232</v>
      </c>
      <c r="C131" s="76" t="s">
        <v>43</v>
      </c>
      <c r="D131" s="76" t="s">
        <v>43</v>
      </c>
      <c r="E131" s="77">
        <f>SUM(E132:E134)</f>
        <v>0</v>
      </c>
      <c r="F131" s="77">
        <f>SUMIF(D132:D134,"OK",F132:F134)</f>
        <v>143</v>
      </c>
      <c r="G131" s="78" t="s">
        <v>43</v>
      </c>
      <c r="H131" s="79"/>
      <c r="I131" s="79"/>
      <c r="J131" s="3"/>
      <c r="K131" s="3"/>
      <c r="L131" s="3"/>
      <c r="M131" s="3"/>
      <c r="N131" s="3"/>
      <c r="O131" s="3"/>
      <c r="P131" s="3"/>
      <c r="Q131" s="3"/>
      <c r="R131" s="3"/>
      <c r="S131" s="3"/>
      <c r="T131" s="3"/>
      <c r="U131" s="3"/>
      <c r="V131" s="3"/>
      <c r="W131" s="44"/>
      <c r="X131" s="41"/>
      <c r="Y131" s="3"/>
      <c r="Z131" s="3"/>
    </row>
    <row r="132" spans="1:26" ht="15.75" hidden="1" customHeight="1" outlineLevel="1" x14ac:dyDescent="0.3">
      <c r="A132" s="3"/>
      <c r="B132" s="10" t="s">
        <v>529</v>
      </c>
      <c r="C132" s="62" t="s">
        <v>530</v>
      </c>
      <c r="D132" s="62" t="s">
        <v>94</v>
      </c>
      <c r="E132" s="12">
        <v>0</v>
      </c>
      <c r="F132" s="12">
        <f>12+30+20+16+15</f>
        <v>93</v>
      </c>
      <c r="G132" s="67"/>
      <c r="H132" s="63" t="s">
        <v>39</v>
      </c>
      <c r="I132" s="63"/>
      <c r="J132" s="3"/>
      <c r="K132" s="3"/>
      <c r="L132" s="3"/>
      <c r="M132" s="3"/>
      <c r="N132" s="3"/>
      <c r="O132" s="3"/>
      <c r="P132" s="3"/>
      <c r="Q132" s="3"/>
      <c r="R132" s="3"/>
      <c r="S132" s="3"/>
      <c r="T132" s="3"/>
      <c r="U132" s="3"/>
      <c r="V132" s="3"/>
      <c r="W132" s="44"/>
      <c r="X132" s="41"/>
      <c r="Y132" s="3"/>
      <c r="Z132" s="3"/>
    </row>
    <row r="133" spans="1:26" ht="15.75" hidden="1" customHeight="1" outlineLevel="1" x14ac:dyDescent="0.3">
      <c r="A133" s="3"/>
      <c r="B133" s="10" t="s">
        <v>531</v>
      </c>
      <c r="C133" s="62"/>
      <c r="D133" s="62"/>
      <c r="E133" s="12">
        <v>0</v>
      </c>
      <c r="F133" s="12">
        <v>0</v>
      </c>
      <c r="G133" s="70"/>
      <c r="H133" s="63"/>
      <c r="I133" s="63"/>
      <c r="J133" s="3"/>
      <c r="K133" s="3"/>
      <c r="L133" s="3"/>
      <c r="M133" s="3"/>
      <c r="N133" s="3"/>
      <c r="O133" s="3"/>
      <c r="P133" s="3"/>
      <c r="Q133" s="3"/>
      <c r="R133" s="3"/>
      <c r="S133" s="3"/>
      <c r="T133" s="3"/>
      <c r="U133" s="3"/>
      <c r="V133" s="3"/>
      <c r="W133" s="44"/>
      <c r="X133" s="41"/>
      <c r="Y133" s="3"/>
      <c r="Z133" s="3"/>
    </row>
    <row r="134" spans="1:26" ht="15.75" hidden="1" customHeight="1" outlineLevel="1" x14ac:dyDescent="0.3">
      <c r="A134" s="3"/>
      <c r="B134" s="10" t="s">
        <v>532</v>
      </c>
      <c r="C134" s="80">
        <v>28</v>
      </c>
      <c r="D134" s="62" t="s">
        <v>94</v>
      </c>
      <c r="E134" s="12">
        <v>0</v>
      </c>
      <c r="F134" s="12">
        <f>10+5+5+5+5+5+5+5+5</f>
        <v>50</v>
      </c>
      <c r="G134" s="67"/>
      <c r="H134" s="63" t="s">
        <v>38</v>
      </c>
      <c r="I134" s="63"/>
      <c r="J134" s="3"/>
      <c r="K134" s="3"/>
      <c r="L134" s="3"/>
      <c r="M134" s="3"/>
      <c r="N134" s="3"/>
      <c r="O134" s="3"/>
      <c r="P134" s="3"/>
      <c r="Q134" s="3"/>
      <c r="R134" s="3"/>
      <c r="S134" s="3"/>
      <c r="T134" s="3"/>
      <c r="U134" s="3"/>
      <c r="V134" s="3"/>
      <c r="W134" s="44"/>
      <c r="X134" s="41"/>
      <c r="Y134" s="3"/>
      <c r="Z134" s="3"/>
    </row>
    <row r="135" spans="1:26" ht="15.75" hidden="1" customHeight="1" outlineLevel="1" x14ac:dyDescent="0.3">
      <c r="A135" s="3"/>
      <c r="B135" s="75" t="s">
        <v>64</v>
      </c>
      <c r="C135" s="76" t="s">
        <v>43</v>
      </c>
      <c r="D135" s="76" t="s">
        <v>43</v>
      </c>
      <c r="E135" s="77">
        <f>SUM(E136:E139)</f>
        <v>0</v>
      </c>
      <c r="F135" s="77">
        <f>SUMIF(D136:D139,"OK",F136:F139)</f>
        <v>24756.86</v>
      </c>
      <c r="G135" s="78" t="s">
        <v>43</v>
      </c>
      <c r="H135" s="79"/>
      <c r="I135" s="79"/>
      <c r="J135" s="3"/>
      <c r="K135" s="3"/>
      <c r="L135" s="3"/>
      <c r="M135" s="3"/>
      <c r="N135" s="3"/>
      <c r="O135" s="3"/>
      <c r="P135" s="3"/>
      <c r="Q135" s="3"/>
      <c r="R135" s="3"/>
      <c r="S135" s="3"/>
      <c r="T135" s="3"/>
      <c r="U135" s="3"/>
      <c r="V135" s="3"/>
      <c r="W135" s="44"/>
      <c r="X135" s="41"/>
      <c r="Y135" s="3"/>
      <c r="Z135" s="3"/>
    </row>
    <row r="136" spans="1:26" ht="15.75" hidden="1" customHeight="1" outlineLevel="1" x14ac:dyDescent="0.3">
      <c r="A136" s="3"/>
      <c r="B136" s="10" t="s">
        <v>533</v>
      </c>
      <c r="C136" s="62" t="s">
        <v>534</v>
      </c>
      <c r="D136" s="62" t="s">
        <v>94</v>
      </c>
      <c r="E136" s="12">
        <v>0</v>
      </c>
      <c r="F136" s="12">
        <f>17611.72</f>
        <v>17611.72</v>
      </c>
      <c r="G136" s="70"/>
      <c r="H136" s="63" t="s">
        <v>38</v>
      </c>
      <c r="I136" s="63"/>
      <c r="J136" s="3"/>
      <c r="K136" s="3"/>
      <c r="L136" s="3"/>
      <c r="M136" s="3"/>
      <c r="N136" s="3"/>
      <c r="O136" s="3"/>
      <c r="P136" s="3"/>
      <c r="Q136" s="3"/>
      <c r="R136" s="3"/>
      <c r="S136" s="3"/>
      <c r="T136" s="3"/>
      <c r="U136" s="3"/>
      <c r="V136" s="3"/>
      <c r="W136" s="44"/>
      <c r="X136" s="41"/>
      <c r="Y136" s="3"/>
      <c r="Z136" s="3"/>
    </row>
    <row r="137" spans="1:26" ht="15.75" hidden="1" customHeight="1" outlineLevel="1" x14ac:dyDescent="0.3">
      <c r="A137" s="3"/>
      <c r="B137" s="10" t="s">
        <v>533</v>
      </c>
      <c r="C137" s="62">
        <v>25</v>
      </c>
      <c r="D137" s="62" t="s">
        <v>94</v>
      </c>
      <c r="E137" s="12">
        <v>0</v>
      </c>
      <c r="F137" s="12">
        <v>88</v>
      </c>
      <c r="G137" s="70"/>
      <c r="H137" s="63" t="s">
        <v>39</v>
      </c>
      <c r="I137" s="63"/>
      <c r="J137" s="3"/>
      <c r="K137" s="3"/>
      <c r="L137" s="3"/>
      <c r="M137" s="3"/>
      <c r="N137" s="3"/>
      <c r="O137" s="3"/>
      <c r="P137" s="3"/>
      <c r="Q137" s="3"/>
      <c r="R137" s="3"/>
      <c r="S137" s="3"/>
      <c r="T137" s="3"/>
      <c r="U137" s="3"/>
      <c r="V137" s="3"/>
      <c r="W137" s="44"/>
      <c r="X137" s="41"/>
      <c r="Y137" s="3"/>
      <c r="Z137" s="3"/>
    </row>
    <row r="138" spans="1:26" ht="15.75" hidden="1" customHeight="1" outlineLevel="1" x14ac:dyDescent="0.3">
      <c r="A138" s="3"/>
      <c r="B138" s="10" t="s">
        <v>535</v>
      </c>
      <c r="C138" s="62" t="s">
        <v>534</v>
      </c>
      <c r="D138" s="62" t="s">
        <v>94</v>
      </c>
      <c r="E138" s="12">
        <v>0</v>
      </c>
      <c r="F138" s="12">
        <f>24756.86-F136-F139-F137</f>
        <v>5423.1399999999994</v>
      </c>
      <c r="G138" s="69"/>
      <c r="H138" s="63" t="s">
        <v>36</v>
      </c>
      <c r="I138" s="63"/>
      <c r="J138" s="3"/>
      <c r="K138" s="3"/>
      <c r="L138" s="3"/>
      <c r="M138" s="3"/>
      <c r="N138" s="3"/>
      <c r="O138" s="3"/>
      <c r="P138" s="3"/>
      <c r="Q138" s="3"/>
      <c r="R138" s="3"/>
      <c r="S138" s="3"/>
      <c r="T138" s="3"/>
      <c r="U138" s="3"/>
      <c r="V138" s="3"/>
      <c r="W138" s="44"/>
      <c r="X138" s="41"/>
      <c r="Y138" s="3"/>
      <c r="Z138" s="3"/>
    </row>
    <row r="139" spans="1:26" ht="15.75" hidden="1" customHeight="1" outlineLevel="1" x14ac:dyDescent="0.3">
      <c r="A139" s="3"/>
      <c r="B139" s="10" t="s">
        <v>63</v>
      </c>
      <c r="C139" s="62" t="s">
        <v>536</v>
      </c>
      <c r="D139" s="62" t="s">
        <v>94</v>
      </c>
      <c r="E139" s="12">
        <v>0</v>
      </c>
      <c r="F139" s="12">
        <f>1670-30-20-16+30</f>
        <v>1634</v>
      </c>
      <c r="G139" s="69"/>
      <c r="H139" s="63" t="s">
        <v>39</v>
      </c>
      <c r="I139" s="63"/>
      <c r="J139" s="3"/>
      <c r="K139" s="3"/>
      <c r="L139" s="3"/>
      <c r="M139" s="3"/>
      <c r="N139" s="3"/>
      <c r="O139" s="3"/>
      <c r="P139" s="3"/>
      <c r="Q139" s="3"/>
      <c r="R139" s="3"/>
      <c r="S139" s="3"/>
      <c r="T139" s="3"/>
      <c r="U139" s="3"/>
      <c r="V139" s="3"/>
      <c r="W139" s="44"/>
      <c r="X139" s="41"/>
      <c r="Y139" s="3"/>
      <c r="Z139" s="3"/>
    </row>
    <row r="140" spans="1:26" ht="15.75" hidden="1" customHeight="1" outlineLevel="1" x14ac:dyDescent="0.3">
      <c r="A140" s="3"/>
      <c r="B140" s="75" t="s">
        <v>537</v>
      </c>
      <c r="C140" s="76" t="s">
        <v>43</v>
      </c>
      <c r="D140" s="76" t="s">
        <v>43</v>
      </c>
      <c r="E140" s="77">
        <f>SUM(E141:E143)</f>
        <v>0</v>
      </c>
      <c r="F140" s="77">
        <f>SUMIF(D141:D143,"OK",F141:F143)</f>
        <v>325</v>
      </c>
      <c r="G140" s="78" t="s">
        <v>43</v>
      </c>
      <c r="H140" s="79"/>
      <c r="I140" s="79"/>
      <c r="J140" s="3"/>
      <c r="K140" s="3"/>
      <c r="L140" s="3"/>
      <c r="M140" s="3"/>
      <c r="N140" s="3"/>
      <c r="O140" s="3"/>
      <c r="P140" s="3"/>
      <c r="Q140" s="3"/>
      <c r="R140" s="3"/>
      <c r="S140" s="3"/>
      <c r="T140" s="3"/>
      <c r="U140" s="3"/>
      <c r="V140" s="3"/>
      <c r="W140" s="44"/>
      <c r="X140" s="41"/>
      <c r="Y140" s="3"/>
      <c r="Z140" s="3"/>
    </row>
    <row r="141" spans="1:26" ht="15.75" hidden="1" customHeight="1" outlineLevel="1" x14ac:dyDescent="0.3">
      <c r="A141" s="3"/>
      <c r="B141" s="10" t="s">
        <v>231</v>
      </c>
      <c r="C141" s="62" t="s">
        <v>538</v>
      </c>
      <c r="D141" s="62" t="s">
        <v>94</v>
      </c>
      <c r="E141" s="12">
        <v>0</v>
      </c>
      <c r="F141" s="12">
        <f>65+130+65+65</f>
        <v>325</v>
      </c>
      <c r="G141" s="70" t="s">
        <v>539</v>
      </c>
      <c r="H141" s="63" t="s">
        <v>38</v>
      </c>
      <c r="I141" s="63"/>
      <c r="J141" s="3"/>
      <c r="K141" s="3"/>
      <c r="L141" s="3"/>
      <c r="M141" s="3"/>
      <c r="N141" s="3"/>
      <c r="O141" s="3"/>
      <c r="P141" s="3"/>
      <c r="Q141" s="3"/>
      <c r="R141" s="3"/>
      <c r="S141" s="3"/>
      <c r="T141" s="3"/>
      <c r="U141" s="3"/>
      <c r="V141" s="3"/>
      <c r="W141" s="44"/>
      <c r="X141" s="41"/>
      <c r="Y141" s="3"/>
      <c r="Z141" s="3"/>
    </row>
    <row r="142" spans="1:26" ht="15.75" hidden="1" customHeight="1" outlineLevel="1" x14ac:dyDescent="0.3">
      <c r="A142" s="3"/>
      <c r="B142" s="10" t="s">
        <v>63</v>
      </c>
      <c r="C142" s="62"/>
      <c r="D142" s="62"/>
      <c r="E142" s="12">
        <v>0</v>
      </c>
      <c r="F142" s="12">
        <v>0</v>
      </c>
      <c r="G142" s="70"/>
      <c r="H142" s="63"/>
      <c r="I142" s="63"/>
      <c r="J142" s="3"/>
      <c r="K142" s="3"/>
      <c r="L142" s="3"/>
      <c r="M142" s="3"/>
      <c r="N142" s="3"/>
      <c r="O142" s="3"/>
      <c r="P142" s="3"/>
      <c r="Q142" s="3"/>
      <c r="R142" s="3"/>
      <c r="S142" s="3"/>
      <c r="T142" s="3"/>
      <c r="U142" s="3"/>
      <c r="V142" s="3"/>
      <c r="W142" s="44"/>
      <c r="X142" s="41"/>
      <c r="Y142" s="3"/>
      <c r="Z142" s="3"/>
    </row>
    <row r="143" spans="1:26" ht="15.75" hidden="1" customHeight="1" outlineLevel="1" x14ac:dyDescent="0.3">
      <c r="A143" s="3"/>
      <c r="B143" s="10" t="s">
        <v>61</v>
      </c>
      <c r="C143" s="62"/>
      <c r="D143" s="62"/>
      <c r="E143" s="12">
        <v>0</v>
      </c>
      <c r="F143" s="12">
        <v>0</v>
      </c>
      <c r="G143" s="70"/>
      <c r="H143" s="63"/>
      <c r="I143" s="63"/>
      <c r="J143" s="3"/>
      <c r="K143" s="3"/>
      <c r="L143" s="3"/>
      <c r="M143" s="3"/>
      <c r="N143" s="3"/>
      <c r="O143" s="3"/>
      <c r="P143" s="3"/>
      <c r="Q143" s="3"/>
      <c r="R143" s="3"/>
      <c r="S143" s="3"/>
      <c r="T143" s="3"/>
      <c r="U143" s="3"/>
      <c r="V143" s="3"/>
      <c r="W143" s="44"/>
      <c r="X143" s="41"/>
      <c r="Y143" s="3"/>
      <c r="Z143" s="3"/>
    </row>
    <row r="144" spans="1:26" ht="15.75" hidden="1" customHeight="1" outlineLevel="1" x14ac:dyDescent="0.3">
      <c r="A144" s="3"/>
      <c r="B144" s="75" t="s">
        <v>238</v>
      </c>
      <c r="C144" s="76" t="s">
        <v>43</v>
      </c>
      <c r="D144" s="76" t="s">
        <v>43</v>
      </c>
      <c r="E144" s="77">
        <f>SUM(E145:E147)</f>
        <v>0</v>
      </c>
      <c r="F144" s="77">
        <f>SUMIF(D145:D147,"OK",F145:F147)</f>
        <v>0</v>
      </c>
      <c r="G144" s="78" t="s">
        <v>43</v>
      </c>
      <c r="H144" s="79"/>
      <c r="I144" s="79"/>
      <c r="J144" s="3"/>
      <c r="K144" s="3"/>
      <c r="L144" s="3"/>
      <c r="M144" s="3"/>
      <c r="N144" s="3"/>
      <c r="O144" s="3"/>
      <c r="P144" s="3"/>
      <c r="Q144" s="3"/>
      <c r="R144" s="3"/>
      <c r="S144" s="3"/>
      <c r="T144" s="3"/>
      <c r="U144" s="3"/>
      <c r="V144" s="3"/>
      <c r="W144" s="44"/>
      <c r="X144" s="41"/>
      <c r="Y144" s="3"/>
      <c r="Z144" s="3"/>
    </row>
    <row r="145" spans="1:26" ht="15.75" hidden="1" customHeight="1" outlineLevel="1" x14ac:dyDescent="0.3">
      <c r="A145" s="3"/>
      <c r="B145" s="10" t="s">
        <v>231</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row>
    <row r="146" spans="1:26" ht="15.75" hidden="1" customHeight="1" outlineLevel="1" x14ac:dyDescent="0.3">
      <c r="A146" s="3"/>
      <c r="B146" s="10" t="s">
        <v>63</v>
      </c>
      <c r="C146" s="62"/>
      <c r="D146" s="62"/>
      <c r="E146" s="12">
        <v>0</v>
      </c>
      <c r="F146" s="12">
        <v>0</v>
      </c>
      <c r="G146" s="67"/>
      <c r="H146" s="63"/>
      <c r="I146" s="63"/>
      <c r="J146" s="3"/>
      <c r="K146" s="3"/>
      <c r="L146" s="3"/>
      <c r="M146" s="3"/>
      <c r="N146" s="3"/>
      <c r="O146" s="3"/>
      <c r="P146" s="3"/>
      <c r="Q146" s="3"/>
      <c r="R146" s="3"/>
      <c r="S146" s="3"/>
      <c r="T146" s="3"/>
      <c r="U146" s="3"/>
      <c r="V146" s="3"/>
      <c r="W146" s="44"/>
      <c r="X146" s="41"/>
      <c r="Y146" s="3"/>
      <c r="Z146" s="3"/>
    </row>
    <row r="147" spans="1:26" ht="15.75" hidden="1" customHeight="1" outlineLevel="1" x14ac:dyDescent="0.3">
      <c r="A147" s="3"/>
      <c r="B147" s="10" t="s">
        <v>61</v>
      </c>
      <c r="C147" s="62"/>
      <c r="D147" s="62"/>
      <c r="E147" s="12">
        <v>0</v>
      </c>
      <c r="F147" s="12">
        <v>0</v>
      </c>
      <c r="G147" s="67"/>
      <c r="H147" s="63"/>
      <c r="I147" s="63"/>
      <c r="J147" s="3"/>
      <c r="K147" s="3"/>
      <c r="L147" s="3"/>
      <c r="M147" s="3"/>
      <c r="N147" s="3"/>
      <c r="O147" s="3"/>
      <c r="P147" s="3"/>
      <c r="Q147" s="3"/>
      <c r="R147" s="3"/>
      <c r="S147" s="3"/>
      <c r="T147" s="3"/>
      <c r="U147" s="3"/>
      <c r="V147" s="3"/>
      <c r="W147" s="44"/>
      <c r="X147" s="41"/>
      <c r="Y147" s="3"/>
      <c r="Z147" s="3"/>
    </row>
    <row r="148" spans="1:26" ht="15.75" customHeight="1" collapsed="1" x14ac:dyDescent="0.3">
      <c r="A148" s="3"/>
      <c r="B148" s="73" t="s">
        <v>239</v>
      </c>
      <c r="C148" s="56" t="s">
        <v>43</v>
      </c>
      <c r="D148" s="56" t="s">
        <v>43</v>
      </c>
      <c r="E148" s="57">
        <f t="shared" ref="E148:F148" si="24">SUM(E149,E154,E159,E163)</f>
        <v>0</v>
      </c>
      <c r="F148" s="57">
        <f t="shared" si="24"/>
        <v>3429.29</v>
      </c>
      <c r="G148" s="58" t="s">
        <v>43</v>
      </c>
      <c r="H148" s="74"/>
      <c r="I148" s="74"/>
      <c r="J148" s="3"/>
      <c r="K148" s="3"/>
      <c r="L148" s="3"/>
      <c r="M148" s="3"/>
      <c r="N148" s="3"/>
      <c r="O148" s="3"/>
      <c r="P148" s="3"/>
      <c r="Q148" s="3"/>
      <c r="R148" s="3"/>
      <c r="S148" s="3"/>
      <c r="T148" s="3"/>
      <c r="U148" s="3"/>
      <c r="V148" s="3"/>
      <c r="W148" s="44"/>
      <c r="X148" s="41"/>
      <c r="Y148" s="3"/>
      <c r="Z148" s="3"/>
    </row>
    <row r="149" spans="1:26" ht="15.75" hidden="1" customHeight="1" outlineLevel="1" x14ac:dyDescent="0.3">
      <c r="A149" s="3"/>
      <c r="B149" s="75" t="s">
        <v>240</v>
      </c>
      <c r="C149" s="76" t="s">
        <v>43</v>
      </c>
      <c r="D149" s="76" t="s">
        <v>43</v>
      </c>
      <c r="E149" s="77">
        <f>SUM(E150:E153)</f>
        <v>0</v>
      </c>
      <c r="F149" s="77">
        <f>SUMIF(D150:D153,"OK",F150:F153)</f>
        <v>1132.29</v>
      </c>
      <c r="G149" s="78" t="s">
        <v>43</v>
      </c>
      <c r="H149" s="79"/>
      <c r="I149" s="79"/>
      <c r="J149" s="3"/>
      <c r="K149" s="3"/>
      <c r="L149" s="3"/>
      <c r="M149" s="3"/>
      <c r="N149" s="3"/>
      <c r="O149" s="3"/>
      <c r="P149" s="3"/>
      <c r="Q149" s="3"/>
      <c r="R149" s="3"/>
      <c r="S149" s="3"/>
      <c r="T149" s="3"/>
      <c r="U149" s="3"/>
      <c r="V149" s="3"/>
      <c r="W149" s="44"/>
      <c r="X149" s="41"/>
      <c r="Y149" s="3"/>
      <c r="Z149" s="3"/>
    </row>
    <row r="150" spans="1:26" ht="15.75" hidden="1" customHeight="1" outlineLevel="1" x14ac:dyDescent="0.3">
      <c r="A150" s="3"/>
      <c r="B150" s="10" t="s">
        <v>241</v>
      </c>
      <c r="C150" s="62">
        <v>4</v>
      </c>
      <c r="D150" s="62" t="s">
        <v>94</v>
      </c>
      <c r="E150" s="12">
        <v>0</v>
      </c>
      <c r="F150" s="12">
        <f>30+10+3+10+50+2.91+15+10+50+10+30+50+20+15+20+50+20+60+10+20+30+10+20+40+60</f>
        <v>645.91</v>
      </c>
      <c r="G150" s="67"/>
      <c r="H150" s="63" t="s">
        <v>37</v>
      </c>
      <c r="I150" s="63"/>
      <c r="J150" s="3"/>
      <c r="K150" s="3"/>
      <c r="L150" s="3"/>
      <c r="M150" s="3"/>
      <c r="N150" s="3"/>
      <c r="O150" s="3"/>
      <c r="P150" s="3"/>
      <c r="Q150" s="3"/>
      <c r="R150" s="3"/>
      <c r="S150" s="3"/>
      <c r="T150" s="3"/>
      <c r="U150" s="3"/>
      <c r="V150" s="3"/>
      <c r="W150" s="44"/>
      <c r="X150" s="41"/>
      <c r="Y150" s="3"/>
      <c r="Z150" s="3"/>
    </row>
    <row r="151" spans="1:26" ht="15.75" hidden="1" customHeight="1" outlineLevel="1" x14ac:dyDescent="0.3">
      <c r="A151" s="3"/>
      <c r="B151" s="10" t="s">
        <v>242</v>
      </c>
      <c r="C151" s="62">
        <v>4</v>
      </c>
      <c r="D151" s="62" t="s">
        <v>94</v>
      </c>
      <c r="E151" s="12">
        <v>0</v>
      </c>
      <c r="F151" s="12">
        <v>114</v>
      </c>
      <c r="G151" s="67"/>
      <c r="H151" s="63" t="s">
        <v>36</v>
      </c>
      <c r="I151" s="63"/>
      <c r="J151" s="3"/>
      <c r="K151" s="3"/>
      <c r="L151" s="3"/>
      <c r="M151" s="3"/>
      <c r="N151" s="3"/>
      <c r="O151" s="3"/>
      <c r="P151" s="3"/>
      <c r="Q151" s="3"/>
      <c r="R151" s="3"/>
      <c r="S151" s="3"/>
      <c r="T151" s="3"/>
      <c r="U151" s="3"/>
      <c r="V151" s="3"/>
      <c r="W151" s="44"/>
      <c r="X151" s="41"/>
      <c r="Y151" s="3"/>
      <c r="Z151" s="3"/>
    </row>
    <row r="152" spans="1:26" ht="15.75" hidden="1" customHeight="1" outlineLevel="1" x14ac:dyDescent="0.3">
      <c r="A152" s="3"/>
      <c r="B152" s="10" t="s">
        <v>243</v>
      </c>
      <c r="C152" s="62">
        <v>18</v>
      </c>
      <c r="D152" s="62" t="s">
        <v>94</v>
      </c>
      <c r="E152" s="12">
        <v>0</v>
      </c>
      <c r="F152" s="12">
        <f>24.38+10+10+3+10+30+20+20+30+10+15+50+5+100</f>
        <v>337.38</v>
      </c>
      <c r="G152" s="67"/>
      <c r="H152" s="63" t="s">
        <v>37</v>
      </c>
      <c r="I152" s="63"/>
      <c r="J152" s="3"/>
      <c r="K152" s="3"/>
      <c r="L152" s="3"/>
      <c r="M152" s="3"/>
      <c r="N152" s="3"/>
      <c r="O152" s="3"/>
      <c r="P152" s="3"/>
      <c r="Q152" s="3"/>
      <c r="R152" s="3"/>
      <c r="S152" s="3"/>
      <c r="T152" s="3"/>
      <c r="U152" s="3"/>
      <c r="V152" s="3"/>
      <c r="W152" s="44"/>
      <c r="X152" s="41"/>
      <c r="Y152" s="3"/>
      <c r="Z152" s="3"/>
    </row>
    <row r="153" spans="1:26" ht="15.75" hidden="1" customHeight="1" outlineLevel="1" x14ac:dyDescent="0.3">
      <c r="A153" s="3"/>
      <c r="B153" s="10" t="s">
        <v>244</v>
      </c>
      <c r="C153" s="62">
        <v>18</v>
      </c>
      <c r="D153" s="62" t="s">
        <v>94</v>
      </c>
      <c r="E153" s="12">
        <v>0</v>
      </c>
      <c r="F153" s="12">
        <v>35</v>
      </c>
      <c r="G153" s="67"/>
      <c r="H153" s="63" t="s">
        <v>36</v>
      </c>
      <c r="I153" s="63"/>
      <c r="J153" s="3"/>
      <c r="K153" s="3"/>
      <c r="L153" s="3"/>
      <c r="M153" s="3"/>
      <c r="N153" s="3"/>
      <c r="O153" s="3"/>
      <c r="P153" s="3"/>
      <c r="Q153" s="3"/>
      <c r="R153" s="3"/>
      <c r="S153" s="3"/>
      <c r="T153" s="3"/>
      <c r="U153" s="3"/>
      <c r="V153" s="3"/>
      <c r="W153" s="44"/>
      <c r="X153" s="41"/>
      <c r="Y153" s="3"/>
      <c r="Z153" s="3"/>
    </row>
    <row r="154" spans="1:26" ht="15.75" hidden="1" customHeight="1" outlineLevel="1" x14ac:dyDescent="0.3">
      <c r="A154" s="3"/>
      <c r="B154" s="75" t="s">
        <v>245</v>
      </c>
      <c r="C154" s="76" t="s">
        <v>43</v>
      </c>
      <c r="D154" s="76" t="s">
        <v>43</v>
      </c>
      <c r="E154" s="77">
        <f>SUM(E155:E158)</f>
        <v>0</v>
      </c>
      <c r="F154" s="77">
        <f>SUMIF(D155:D158,"OK",F155:F158)</f>
        <v>828</v>
      </c>
      <c r="G154" s="78" t="s">
        <v>43</v>
      </c>
      <c r="H154" s="79"/>
      <c r="I154" s="79"/>
      <c r="J154" s="3"/>
      <c r="K154" s="3"/>
      <c r="L154" s="3"/>
      <c r="M154" s="3"/>
      <c r="N154" s="3"/>
      <c r="O154" s="3"/>
      <c r="P154" s="3"/>
      <c r="Q154" s="3"/>
      <c r="R154" s="3"/>
      <c r="S154" s="3"/>
      <c r="T154" s="3"/>
      <c r="U154" s="3"/>
      <c r="V154" s="3"/>
      <c r="W154" s="44"/>
      <c r="X154" s="41"/>
      <c r="Y154" s="3"/>
      <c r="Z154" s="3"/>
    </row>
    <row r="155" spans="1:26" ht="15.75" hidden="1" customHeight="1" outlineLevel="1" x14ac:dyDescent="0.3">
      <c r="A155" s="3"/>
      <c r="B155" s="10" t="s">
        <v>241</v>
      </c>
      <c r="C155" s="62">
        <v>4</v>
      </c>
      <c r="D155" s="62" t="s">
        <v>94</v>
      </c>
      <c r="E155" s="12">
        <v>0</v>
      </c>
      <c r="F155" s="12">
        <f>30+10+20+30+10+10+20+20+10+30+10+10+30+10+20+20+10+10+30+20+10+10</f>
        <v>380</v>
      </c>
      <c r="G155" s="69"/>
      <c r="H155" s="63" t="s">
        <v>37</v>
      </c>
      <c r="I155" s="63"/>
      <c r="J155" s="3"/>
      <c r="K155" s="3"/>
      <c r="L155" s="3"/>
      <c r="M155" s="3"/>
      <c r="N155" s="3"/>
      <c r="O155" s="3"/>
      <c r="P155" s="3"/>
      <c r="Q155" s="3"/>
      <c r="R155" s="3"/>
      <c r="S155" s="3"/>
      <c r="T155" s="3"/>
      <c r="U155" s="3"/>
      <c r="V155" s="3"/>
      <c r="W155" s="44"/>
      <c r="X155" s="41"/>
      <c r="Y155" s="3"/>
      <c r="Z155" s="3"/>
    </row>
    <row r="156" spans="1:26" ht="15.75" hidden="1" customHeight="1" outlineLevel="1" x14ac:dyDescent="0.3">
      <c r="A156" s="3"/>
      <c r="B156" s="10" t="s">
        <v>242</v>
      </c>
      <c r="C156" s="62">
        <v>4</v>
      </c>
      <c r="D156" s="62" t="s">
        <v>94</v>
      </c>
      <c r="E156" s="12">
        <v>0</v>
      </c>
      <c r="F156" s="12">
        <v>20</v>
      </c>
      <c r="G156" s="67"/>
      <c r="H156" s="63" t="s">
        <v>36</v>
      </c>
      <c r="I156" s="63"/>
      <c r="J156" s="3"/>
      <c r="K156" s="3"/>
      <c r="L156" s="3"/>
      <c r="M156" s="3"/>
      <c r="N156" s="3"/>
      <c r="O156" s="3"/>
      <c r="P156" s="3"/>
      <c r="Q156" s="3"/>
      <c r="R156" s="3"/>
      <c r="S156" s="3"/>
      <c r="T156" s="3"/>
      <c r="U156" s="3"/>
      <c r="V156" s="3"/>
      <c r="W156" s="44"/>
      <c r="X156" s="41"/>
      <c r="Y156" s="3"/>
      <c r="Z156" s="3"/>
    </row>
    <row r="157" spans="1:26" ht="15.75" hidden="1" customHeight="1" outlineLevel="1" x14ac:dyDescent="0.3">
      <c r="A157" s="3"/>
      <c r="B157" s="10" t="s">
        <v>243</v>
      </c>
      <c r="C157" s="62">
        <v>18</v>
      </c>
      <c r="D157" s="62" t="s">
        <v>94</v>
      </c>
      <c r="E157" s="12">
        <v>0</v>
      </c>
      <c r="F157" s="12">
        <f>40+10+30+10+40+10+30+20+10+20+18+20+40+10+20+20+20+40</f>
        <v>408</v>
      </c>
      <c r="G157" s="67"/>
      <c r="H157" s="63" t="s">
        <v>37</v>
      </c>
      <c r="I157" s="63"/>
      <c r="J157" s="3"/>
      <c r="K157" s="3"/>
      <c r="L157" s="3"/>
      <c r="M157" s="3"/>
      <c r="N157" s="3"/>
      <c r="O157" s="3"/>
      <c r="P157" s="3"/>
      <c r="Q157" s="3"/>
      <c r="R157" s="3"/>
      <c r="S157" s="3"/>
      <c r="T157" s="3"/>
      <c r="U157" s="3"/>
      <c r="V157" s="3"/>
      <c r="W157" s="44"/>
      <c r="X157" s="41"/>
      <c r="Y157" s="3"/>
      <c r="Z157" s="3"/>
    </row>
    <row r="158" spans="1:26" ht="15.75" hidden="1" customHeight="1" outlineLevel="1" x14ac:dyDescent="0.3">
      <c r="A158" s="3"/>
      <c r="B158" s="10" t="s">
        <v>244</v>
      </c>
      <c r="C158" s="62">
        <v>18</v>
      </c>
      <c r="D158" s="62" t="s">
        <v>94</v>
      </c>
      <c r="E158" s="12">
        <v>0</v>
      </c>
      <c r="F158" s="12">
        <v>20</v>
      </c>
      <c r="G158" s="67"/>
      <c r="H158" s="63" t="s">
        <v>36</v>
      </c>
      <c r="I158" s="63"/>
      <c r="J158" s="3"/>
      <c r="K158" s="3"/>
      <c r="L158" s="3"/>
      <c r="M158" s="3"/>
      <c r="N158" s="3"/>
      <c r="O158" s="3"/>
      <c r="P158" s="3"/>
      <c r="Q158" s="3"/>
      <c r="R158" s="3"/>
      <c r="S158" s="3"/>
      <c r="T158" s="3"/>
      <c r="U158" s="3"/>
      <c r="V158" s="3"/>
      <c r="W158" s="44"/>
      <c r="X158" s="41"/>
      <c r="Y158" s="3"/>
      <c r="Z158" s="3"/>
    </row>
    <row r="159" spans="1:26" ht="15.75" hidden="1" customHeight="1" outlineLevel="1" x14ac:dyDescent="0.3">
      <c r="A159" s="3"/>
      <c r="B159" s="75" t="s">
        <v>246</v>
      </c>
      <c r="C159" s="76" t="s">
        <v>43</v>
      </c>
      <c r="D159" s="76" t="s">
        <v>43</v>
      </c>
      <c r="E159" s="77">
        <f>SUM(E160:E162)</f>
        <v>0</v>
      </c>
      <c r="F159" s="77">
        <f>SUMIF(D160:D162,"OK",F160:F162)</f>
        <v>0</v>
      </c>
      <c r="G159" s="78" t="s">
        <v>43</v>
      </c>
      <c r="H159" s="79"/>
      <c r="I159" s="79"/>
      <c r="J159" s="3"/>
      <c r="K159" s="3"/>
      <c r="L159" s="3"/>
      <c r="M159" s="3"/>
      <c r="N159" s="3"/>
      <c r="O159" s="3"/>
      <c r="P159" s="3"/>
      <c r="Q159" s="3"/>
      <c r="R159" s="3"/>
      <c r="S159" s="3"/>
      <c r="T159" s="3"/>
      <c r="U159" s="3"/>
      <c r="V159" s="3"/>
      <c r="W159" s="44"/>
      <c r="X159" s="41"/>
      <c r="Y159" s="3"/>
      <c r="Z159" s="3"/>
    </row>
    <row r="160" spans="1:26" ht="15.75" hidden="1" customHeight="1" outlineLevel="1" x14ac:dyDescent="0.3">
      <c r="A160" s="3"/>
      <c r="B160" s="10" t="s">
        <v>42</v>
      </c>
      <c r="C160" s="80"/>
      <c r="D160" s="62"/>
      <c r="E160" s="12">
        <v>0</v>
      </c>
      <c r="F160" s="12">
        <v>0</v>
      </c>
      <c r="G160" s="69"/>
      <c r="H160" s="63"/>
      <c r="I160" s="63"/>
      <c r="J160" s="3"/>
      <c r="K160" s="3"/>
      <c r="L160" s="3"/>
      <c r="M160" s="3"/>
      <c r="N160" s="3"/>
      <c r="O160" s="3"/>
      <c r="P160" s="3"/>
      <c r="Q160" s="3"/>
      <c r="R160" s="3"/>
      <c r="S160" s="3"/>
      <c r="T160" s="3"/>
      <c r="U160" s="3"/>
      <c r="V160" s="3"/>
      <c r="W160" s="44"/>
      <c r="X160" s="41"/>
      <c r="Y160" s="3"/>
      <c r="Z160" s="3"/>
    </row>
    <row r="161" spans="1:26" ht="15.75" hidden="1" customHeight="1" outlineLevel="1" x14ac:dyDescent="0.3">
      <c r="A161" s="3"/>
      <c r="B161" s="10" t="s">
        <v>42</v>
      </c>
      <c r="C161" s="80"/>
      <c r="D161" s="62"/>
      <c r="E161" s="12">
        <v>0</v>
      </c>
      <c r="F161" s="12">
        <v>0</v>
      </c>
      <c r="G161" s="70"/>
      <c r="H161" s="63"/>
      <c r="I161" s="63"/>
      <c r="J161" s="3"/>
      <c r="K161" s="3"/>
      <c r="L161" s="3"/>
      <c r="M161" s="3"/>
      <c r="N161" s="3"/>
      <c r="O161" s="3"/>
      <c r="P161" s="3"/>
      <c r="Q161" s="3"/>
      <c r="R161" s="3"/>
      <c r="S161" s="3"/>
      <c r="T161" s="3"/>
      <c r="U161" s="3"/>
      <c r="V161" s="3"/>
      <c r="W161" s="44"/>
      <c r="X161" s="41"/>
      <c r="Y161" s="3"/>
      <c r="Z161" s="3"/>
    </row>
    <row r="162" spans="1:26" ht="15.75" hidden="1" customHeight="1" outlineLevel="1" x14ac:dyDescent="0.3">
      <c r="A162" s="3"/>
      <c r="B162" s="10" t="s">
        <v>42</v>
      </c>
      <c r="C162" s="62"/>
      <c r="D162" s="62"/>
      <c r="E162" s="12">
        <v>0</v>
      </c>
      <c r="F162" s="12">
        <v>0</v>
      </c>
      <c r="G162" s="67"/>
      <c r="H162" s="63"/>
      <c r="I162" s="63"/>
      <c r="J162" s="3"/>
      <c r="K162" s="3"/>
      <c r="L162" s="3"/>
      <c r="M162" s="3"/>
      <c r="N162" s="3"/>
      <c r="O162" s="3"/>
      <c r="P162" s="3"/>
      <c r="Q162" s="3"/>
      <c r="R162" s="3"/>
      <c r="S162" s="3"/>
      <c r="T162" s="3"/>
      <c r="U162" s="3"/>
      <c r="V162" s="3"/>
      <c r="W162" s="44"/>
      <c r="X162" s="41"/>
      <c r="Y162" s="3"/>
      <c r="Z162" s="3"/>
    </row>
    <row r="163" spans="1:26" ht="15.75" hidden="1" customHeight="1" outlineLevel="1" x14ac:dyDescent="0.3">
      <c r="A163" s="3"/>
      <c r="B163" s="75" t="s">
        <v>61</v>
      </c>
      <c r="C163" s="76" t="s">
        <v>43</v>
      </c>
      <c r="D163" s="76" t="s">
        <v>43</v>
      </c>
      <c r="E163" s="77">
        <f>SUM(E164:E166)</f>
        <v>0</v>
      </c>
      <c r="F163" s="77">
        <f>SUMIF(D164:D167,"OK",F164:F167)</f>
        <v>1469</v>
      </c>
      <c r="G163" s="78" t="s">
        <v>43</v>
      </c>
      <c r="H163" s="79"/>
      <c r="I163" s="79"/>
      <c r="J163" s="3"/>
      <c r="K163" s="3"/>
      <c r="L163" s="3"/>
      <c r="M163" s="3"/>
      <c r="N163" s="3"/>
      <c r="O163" s="3"/>
      <c r="P163" s="3"/>
      <c r="Q163" s="3"/>
      <c r="R163" s="3"/>
      <c r="S163" s="3"/>
      <c r="T163" s="3"/>
      <c r="U163" s="3"/>
      <c r="V163" s="3"/>
      <c r="W163" s="44"/>
      <c r="X163" s="41"/>
      <c r="Y163" s="3"/>
      <c r="Z163" s="3"/>
    </row>
    <row r="164" spans="1:26" ht="15.75" hidden="1" customHeight="1" outlineLevel="1" x14ac:dyDescent="0.3">
      <c r="A164" s="3"/>
      <c r="B164" s="10" t="s">
        <v>540</v>
      </c>
      <c r="C164" s="80" t="s">
        <v>541</v>
      </c>
      <c r="D164" s="62" t="s">
        <v>94</v>
      </c>
      <c r="E164" s="12">
        <v>0</v>
      </c>
      <c r="F164" s="12">
        <f>650+650</f>
        <v>1300</v>
      </c>
      <c r="G164" s="70" t="s">
        <v>542</v>
      </c>
      <c r="H164" s="63" t="s">
        <v>37</v>
      </c>
      <c r="I164" s="63"/>
      <c r="J164" s="3"/>
      <c r="K164" s="3"/>
      <c r="L164" s="3"/>
      <c r="M164" s="3"/>
      <c r="N164" s="3"/>
      <c r="O164" s="3"/>
      <c r="P164" s="3"/>
      <c r="Q164" s="3"/>
      <c r="R164" s="3"/>
      <c r="S164" s="3"/>
      <c r="T164" s="3"/>
      <c r="U164" s="3"/>
      <c r="V164" s="3"/>
      <c r="W164" s="44"/>
      <c r="X164" s="41"/>
      <c r="Y164" s="3"/>
      <c r="Z164" s="3"/>
    </row>
    <row r="165" spans="1:26" ht="15.75" hidden="1" customHeight="1" outlineLevel="1" x14ac:dyDescent="0.3">
      <c r="A165" s="3"/>
      <c r="B165" s="10" t="s">
        <v>543</v>
      </c>
      <c r="C165" s="62">
        <v>3</v>
      </c>
      <c r="D165" s="62" t="s">
        <v>94</v>
      </c>
      <c r="E165" s="12">
        <v>0</v>
      </c>
      <c r="F165" s="12">
        <v>95</v>
      </c>
      <c r="G165" s="69" t="s">
        <v>544</v>
      </c>
      <c r="H165" s="63" t="s">
        <v>37</v>
      </c>
      <c r="I165" s="63"/>
      <c r="J165" s="3"/>
      <c r="K165" s="3"/>
      <c r="L165" s="3"/>
      <c r="M165" s="3"/>
      <c r="N165" s="3"/>
      <c r="O165" s="3"/>
      <c r="P165" s="3"/>
      <c r="Q165" s="3"/>
      <c r="R165" s="3"/>
      <c r="S165" s="3"/>
      <c r="T165" s="3"/>
      <c r="U165" s="3"/>
      <c r="V165" s="3"/>
      <c r="W165" s="44"/>
      <c r="X165" s="41"/>
      <c r="Y165" s="3"/>
      <c r="Z165" s="3"/>
    </row>
    <row r="166" spans="1:26" ht="15.75" hidden="1" customHeight="1" outlineLevel="1" x14ac:dyDescent="0.3">
      <c r="A166" s="3"/>
      <c r="B166" s="10" t="s">
        <v>545</v>
      </c>
      <c r="C166" s="62">
        <v>4</v>
      </c>
      <c r="D166" s="62" t="s">
        <v>94</v>
      </c>
      <c r="E166" s="12">
        <v>0</v>
      </c>
      <c r="F166" s="12">
        <f>12+20+12</f>
        <v>44</v>
      </c>
      <c r="G166" s="67"/>
      <c r="H166" s="63" t="s">
        <v>37</v>
      </c>
      <c r="I166" s="63"/>
      <c r="J166" s="3"/>
      <c r="K166" s="3"/>
      <c r="L166" s="3"/>
      <c r="M166" s="3"/>
      <c r="N166" s="3"/>
      <c r="O166" s="3"/>
      <c r="P166" s="3"/>
      <c r="Q166" s="3"/>
      <c r="R166" s="3"/>
      <c r="S166" s="3"/>
      <c r="T166" s="3"/>
      <c r="U166" s="3"/>
      <c r="V166" s="3"/>
      <c r="W166" s="44"/>
      <c r="X166" s="41"/>
      <c r="Y166" s="3"/>
      <c r="Z166" s="3"/>
    </row>
    <row r="167" spans="1:26" ht="15.75" hidden="1" customHeight="1" outlineLevel="1" x14ac:dyDescent="0.3">
      <c r="A167" s="3"/>
      <c r="B167" s="10" t="s">
        <v>545</v>
      </c>
      <c r="C167" s="62" t="s">
        <v>546</v>
      </c>
      <c r="D167" s="62" t="s">
        <v>94</v>
      </c>
      <c r="E167" s="12">
        <v>0</v>
      </c>
      <c r="F167" s="12">
        <f>10+20</f>
        <v>30</v>
      </c>
      <c r="G167" s="67"/>
      <c r="H167" s="63" t="s">
        <v>38</v>
      </c>
      <c r="I167" s="63"/>
      <c r="J167" s="3"/>
      <c r="K167" s="3"/>
      <c r="L167" s="3"/>
      <c r="M167" s="3"/>
      <c r="N167" s="3"/>
      <c r="O167" s="3"/>
      <c r="P167" s="3"/>
      <c r="Q167" s="3"/>
      <c r="R167" s="3"/>
      <c r="S167" s="3"/>
      <c r="T167" s="3"/>
      <c r="U167" s="3"/>
      <c r="V167" s="3"/>
      <c r="W167" s="44"/>
      <c r="X167" s="41"/>
      <c r="Y167" s="3"/>
      <c r="Z167" s="3"/>
    </row>
    <row r="168" spans="1:26" ht="15.75" customHeight="1" collapsed="1" x14ac:dyDescent="0.3">
      <c r="A168" s="3"/>
      <c r="B168" s="73" t="s">
        <v>63</v>
      </c>
      <c r="C168" s="56" t="s">
        <v>43</v>
      </c>
      <c r="D168" s="56" t="s">
        <v>43</v>
      </c>
      <c r="E168" s="57">
        <f>SUM(E169:E171)</f>
        <v>0</v>
      </c>
      <c r="F168" s="57">
        <f>SUMIF(D169:D171,"OK",F169:F171)</f>
        <v>6864.9400000000005</v>
      </c>
      <c r="G168" s="58" t="s">
        <v>43</v>
      </c>
      <c r="H168" s="74"/>
      <c r="I168" s="74"/>
      <c r="J168" s="3"/>
      <c r="K168" s="3"/>
      <c r="L168" s="3"/>
      <c r="M168" s="3"/>
      <c r="N168" s="3"/>
      <c r="O168" s="3"/>
      <c r="P168" s="3"/>
      <c r="Q168" s="3"/>
      <c r="R168" s="3"/>
      <c r="S168" s="3"/>
      <c r="T168" s="3"/>
      <c r="U168" s="3"/>
      <c r="V168" s="3"/>
      <c r="W168" s="44"/>
      <c r="X168" s="41"/>
      <c r="Y168" s="3"/>
      <c r="Z168" s="3"/>
    </row>
    <row r="169" spans="1:26" ht="15.75" hidden="1" customHeight="1" outlineLevel="1" x14ac:dyDescent="0.3">
      <c r="A169" s="3"/>
      <c r="B169" s="10" t="s">
        <v>547</v>
      </c>
      <c r="C169" s="62" t="s">
        <v>548</v>
      </c>
      <c r="D169" s="62" t="s">
        <v>94</v>
      </c>
      <c r="E169" s="12">
        <v>0</v>
      </c>
      <c r="F169" s="12">
        <f>5000+1000</f>
        <v>6000</v>
      </c>
      <c r="G169" s="70" t="s">
        <v>549</v>
      </c>
      <c r="H169" s="63" t="s">
        <v>37</v>
      </c>
      <c r="I169" s="63"/>
      <c r="J169" s="3"/>
      <c r="K169" s="3"/>
      <c r="L169" s="3"/>
      <c r="M169" s="3"/>
      <c r="N169" s="3"/>
      <c r="O169" s="3"/>
      <c r="P169" s="3"/>
      <c r="Q169" s="3"/>
      <c r="R169" s="3"/>
      <c r="S169" s="3"/>
      <c r="T169" s="3"/>
      <c r="U169" s="3"/>
      <c r="V169" s="3"/>
      <c r="W169" s="44"/>
      <c r="X169" s="41"/>
      <c r="Y169" s="3"/>
      <c r="Z169" s="3"/>
    </row>
    <row r="170" spans="1:26" ht="15.75" hidden="1" customHeight="1" outlineLevel="1" x14ac:dyDescent="0.3">
      <c r="A170" s="3"/>
      <c r="B170" s="10" t="s">
        <v>550</v>
      </c>
      <c r="C170" s="62">
        <v>30</v>
      </c>
      <c r="D170" s="62" t="s">
        <v>94</v>
      </c>
      <c r="E170" s="12">
        <v>0</v>
      </c>
      <c r="F170" s="12">
        <v>864.94000000000051</v>
      </c>
      <c r="G170" s="70"/>
      <c r="H170" s="63" t="s">
        <v>36</v>
      </c>
      <c r="I170" s="63"/>
      <c r="J170" s="3"/>
      <c r="K170" s="3"/>
      <c r="L170" s="3"/>
      <c r="M170" s="3"/>
      <c r="N170" s="3"/>
      <c r="O170" s="3"/>
      <c r="P170" s="3"/>
      <c r="Q170" s="3"/>
      <c r="R170" s="3"/>
      <c r="S170" s="3"/>
      <c r="T170" s="3"/>
      <c r="U170" s="3"/>
      <c r="V170" s="3"/>
      <c r="W170" s="44"/>
      <c r="X170" s="41"/>
      <c r="Y170" s="3"/>
      <c r="Z170" s="3"/>
    </row>
    <row r="171" spans="1:26" ht="15.75" hidden="1" customHeight="1" outlineLevel="1" x14ac:dyDescent="0.3">
      <c r="A171" s="3"/>
      <c r="B171" s="10" t="s">
        <v>258</v>
      </c>
      <c r="C171" s="62"/>
      <c r="D171" s="62"/>
      <c r="E171" s="12">
        <v>0</v>
      </c>
      <c r="F171" s="12">
        <v>0</v>
      </c>
      <c r="G171" s="70"/>
      <c r="H171" s="63"/>
      <c r="I171" s="63"/>
      <c r="J171" s="3"/>
      <c r="K171" s="3"/>
      <c r="L171" s="3"/>
      <c r="M171" s="3"/>
      <c r="N171" s="3"/>
      <c r="O171" s="3"/>
      <c r="P171" s="3"/>
      <c r="Q171" s="3"/>
      <c r="R171" s="3"/>
      <c r="S171" s="3"/>
      <c r="T171" s="3"/>
      <c r="U171" s="3"/>
      <c r="V171" s="3"/>
      <c r="W171" s="44"/>
      <c r="X171" s="41"/>
      <c r="Y171" s="3"/>
      <c r="Z171" s="3"/>
    </row>
    <row r="172" spans="1:26" ht="15.75" customHeight="1" collapsed="1" x14ac:dyDescent="0.3">
      <c r="A172" s="3"/>
      <c r="B172" s="73" t="s">
        <v>259</v>
      </c>
      <c r="C172" s="56" t="s">
        <v>43</v>
      </c>
      <c r="D172" s="56" t="s">
        <v>43</v>
      </c>
      <c r="E172" s="57">
        <f>SUM(E173:E179)</f>
        <v>0</v>
      </c>
      <c r="F172" s="57">
        <f>SUMIF(D173:D179,"OK",F173:F179)</f>
        <v>8.41</v>
      </c>
      <c r="G172" s="58" t="s">
        <v>43</v>
      </c>
      <c r="H172" s="74"/>
      <c r="I172" s="74"/>
      <c r="J172" s="3"/>
      <c r="K172" s="3"/>
      <c r="L172" s="3"/>
      <c r="M172" s="3"/>
      <c r="N172" s="3"/>
      <c r="O172" s="3"/>
      <c r="P172" s="3"/>
      <c r="Q172" s="3"/>
      <c r="R172" s="3"/>
      <c r="S172" s="3"/>
      <c r="T172" s="3"/>
      <c r="U172" s="3"/>
      <c r="V172" s="3"/>
      <c r="W172" s="44"/>
      <c r="X172" s="41"/>
      <c r="Y172" s="3"/>
      <c r="Z172" s="3"/>
    </row>
    <row r="173" spans="1:26" ht="15.75" hidden="1" customHeight="1" outlineLevel="1" x14ac:dyDescent="0.3">
      <c r="A173" s="3"/>
      <c r="B173" s="10" t="s">
        <v>260</v>
      </c>
      <c r="C173" s="62"/>
      <c r="D173" s="62"/>
      <c r="E173" s="12">
        <v>0</v>
      </c>
      <c r="F173" s="12">
        <v>0</v>
      </c>
      <c r="G173" s="67"/>
      <c r="H173" s="63" t="s">
        <v>37</v>
      </c>
      <c r="I173" s="63"/>
      <c r="J173" s="3"/>
      <c r="K173" s="3"/>
      <c r="L173" s="3"/>
      <c r="M173" s="3"/>
      <c r="N173" s="3"/>
      <c r="O173" s="3"/>
      <c r="P173" s="3"/>
      <c r="Q173" s="3"/>
      <c r="R173" s="3"/>
      <c r="S173" s="3"/>
      <c r="T173" s="3"/>
      <c r="U173" s="3"/>
      <c r="V173" s="3"/>
      <c r="W173" s="44"/>
      <c r="X173" s="41"/>
      <c r="Y173" s="3"/>
      <c r="Z173" s="3"/>
    </row>
    <row r="174" spans="1:26" ht="15.75" hidden="1" customHeight="1" outlineLevel="1" x14ac:dyDescent="0.3">
      <c r="A174" s="3"/>
      <c r="B174" s="10" t="s">
        <v>261</v>
      </c>
      <c r="C174" s="62">
        <v>2</v>
      </c>
      <c r="D174" s="62" t="s">
        <v>94</v>
      </c>
      <c r="E174" s="12">
        <v>0</v>
      </c>
      <c r="F174" s="12">
        <f>8.41</f>
        <v>8.41</v>
      </c>
      <c r="G174" s="69"/>
      <c r="H174" s="63" t="s">
        <v>38</v>
      </c>
      <c r="I174" s="63"/>
      <c r="J174" s="3"/>
      <c r="K174" s="3"/>
      <c r="L174" s="3"/>
      <c r="M174" s="3"/>
      <c r="N174" s="3"/>
      <c r="O174" s="3"/>
      <c r="P174" s="3"/>
      <c r="Q174" s="3"/>
      <c r="R174" s="3"/>
      <c r="S174" s="3"/>
      <c r="T174" s="3"/>
      <c r="U174" s="3"/>
      <c r="V174" s="3"/>
      <c r="W174" s="44"/>
      <c r="X174" s="41"/>
      <c r="Y174" s="3"/>
      <c r="Z174" s="3"/>
    </row>
    <row r="175" spans="1:26" ht="15.75" hidden="1" customHeight="1" outlineLevel="1" x14ac:dyDescent="0.3">
      <c r="A175" s="3"/>
      <c r="B175" s="10" t="s">
        <v>263</v>
      </c>
      <c r="C175" s="62"/>
      <c r="D175" s="62"/>
      <c r="E175" s="12">
        <v>0</v>
      </c>
      <c r="F175" s="12">
        <v>0</v>
      </c>
      <c r="G175" s="67"/>
      <c r="H175" s="63" t="s">
        <v>234</v>
      </c>
      <c r="I175" s="63"/>
      <c r="J175" s="3"/>
      <c r="K175" s="3"/>
      <c r="L175" s="3"/>
      <c r="M175" s="3"/>
      <c r="N175" s="3"/>
      <c r="O175" s="3"/>
      <c r="P175" s="3"/>
      <c r="Q175" s="3"/>
      <c r="R175" s="3"/>
      <c r="S175" s="3"/>
      <c r="T175" s="3"/>
      <c r="U175" s="3"/>
      <c r="V175" s="3"/>
      <c r="W175" s="44"/>
      <c r="X175" s="41"/>
      <c r="Y175" s="3"/>
      <c r="Z175" s="3"/>
    </row>
    <row r="176" spans="1:26" ht="15.75" hidden="1" customHeight="1" outlineLevel="1" x14ac:dyDescent="0.3">
      <c r="A176" s="3"/>
      <c r="B176" s="10" t="s">
        <v>264</v>
      </c>
      <c r="C176" s="62"/>
      <c r="D176" s="62"/>
      <c r="E176" s="12">
        <v>0</v>
      </c>
      <c r="F176" s="12">
        <v>0</v>
      </c>
      <c r="G176" s="67"/>
      <c r="H176" s="63"/>
      <c r="I176" s="63"/>
      <c r="J176" s="3"/>
      <c r="K176" s="3"/>
      <c r="L176" s="3"/>
      <c r="M176" s="3"/>
      <c r="N176" s="3"/>
      <c r="O176" s="3"/>
      <c r="P176" s="3"/>
      <c r="Q176" s="3"/>
      <c r="R176" s="3"/>
      <c r="S176" s="3"/>
      <c r="T176" s="3"/>
      <c r="U176" s="3"/>
      <c r="V176" s="3"/>
      <c r="W176" s="44"/>
      <c r="X176" s="41"/>
      <c r="Y176" s="3"/>
      <c r="Z176" s="3"/>
    </row>
    <row r="177" spans="1:26" ht="15.75" hidden="1" customHeight="1" outlineLevel="1" x14ac:dyDescent="0.3">
      <c r="A177" s="3"/>
      <c r="B177" s="10" t="s">
        <v>551</v>
      </c>
      <c r="C177" s="62"/>
      <c r="D177" s="62"/>
      <c r="E177" s="12">
        <v>0</v>
      </c>
      <c r="F177" s="12">
        <v>0</v>
      </c>
      <c r="G177" s="67"/>
      <c r="H177" s="63"/>
      <c r="I177" s="63"/>
      <c r="J177" s="3"/>
      <c r="K177" s="3"/>
      <c r="L177" s="3"/>
      <c r="M177" s="3"/>
      <c r="N177" s="3"/>
      <c r="O177" s="3"/>
      <c r="P177" s="3"/>
      <c r="Q177" s="3"/>
      <c r="R177" s="3"/>
      <c r="S177" s="3"/>
      <c r="T177" s="3"/>
      <c r="U177" s="3"/>
      <c r="V177" s="3"/>
      <c r="W177" s="44"/>
      <c r="X177" s="41"/>
      <c r="Y177" s="3"/>
      <c r="Z177" s="3"/>
    </row>
    <row r="178" spans="1:26" ht="15.75" hidden="1" customHeight="1" outlineLevel="1" x14ac:dyDescent="0.3">
      <c r="A178" s="3"/>
      <c r="B178" s="10" t="s">
        <v>267</v>
      </c>
      <c r="C178" s="62"/>
      <c r="D178" s="62"/>
      <c r="E178" s="12">
        <v>0</v>
      </c>
      <c r="F178" s="12">
        <v>0</v>
      </c>
      <c r="G178" s="67"/>
      <c r="H178" s="63"/>
      <c r="I178" s="63"/>
      <c r="J178" s="3"/>
      <c r="K178" s="3"/>
      <c r="L178" s="3"/>
      <c r="M178" s="3"/>
      <c r="N178" s="3"/>
      <c r="O178" s="3"/>
      <c r="P178" s="3"/>
      <c r="Q178" s="3"/>
      <c r="R178" s="3"/>
      <c r="S178" s="3"/>
      <c r="T178" s="3"/>
      <c r="U178" s="3"/>
      <c r="V178" s="3"/>
      <c r="W178" s="44"/>
      <c r="X178" s="41"/>
      <c r="Y178" s="3"/>
      <c r="Z178" s="3"/>
    </row>
    <row r="179" spans="1:26" ht="15.75" hidden="1" customHeight="1" outlineLevel="1" x14ac:dyDescent="0.3">
      <c r="A179" s="3"/>
      <c r="B179" s="10" t="s">
        <v>268</v>
      </c>
      <c r="C179" s="62"/>
      <c r="D179" s="62"/>
      <c r="E179" s="12">
        <v>0</v>
      </c>
      <c r="F179" s="12">
        <v>0</v>
      </c>
      <c r="G179" s="67"/>
      <c r="H179" s="63"/>
      <c r="I179" s="63"/>
      <c r="J179" s="3"/>
      <c r="K179" s="3"/>
      <c r="L179" s="3"/>
      <c r="M179" s="3"/>
      <c r="N179" s="3"/>
      <c r="O179" s="3"/>
      <c r="P179" s="3"/>
      <c r="Q179" s="3"/>
      <c r="R179" s="3"/>
      <c r="S179" s="3"/>
      <c r="T179" s="3"/>
      <c r="U179" s="3"/>
      <c r="V179" s="3"/>
      <c r="W179" s="44"/>
      <c r="X179" s="41"/>
      <c r="Y179" s="3"/>
      <c r="Z179" s="3"/>
    </row>
    <row r="180" spans="1:26" ht="15.75" customHeight="1" collapsed="1" x14ac:dyDescent="0.3">
      <c r="A180" s="3"/>
      <c r="B180" s="3"/>
      <c r="C180" s="37"/>
      <c r="D180" s="37"/>
      <c r="E180" s="37"/>
      <c r="F180" s="37"/>
      <c r="G180" s="37"/>
      <c r="H180" s="37"/>
      <c r="I180" s="37"/>
      <c r="J180" s="37"/>
      <c r="K180" s="37"/>
      <c r="L180" s="37"/>
      <c r="M180" s="37"/>
      <c r="N180" s="37"/>
      <c r="O180" s="37"/>
      <c r="P180" s="37"/>
      <c r="Q180" s="37"/>
      <c r="R180" s="37"/>
      <c r="S180" s="37"/>
      <c r="T180" s="37"/>
      <c r="U180" s="37"/>
      <c r="V180" s="37"/>
      <c r="W180" s="44"/>
      <c r="X180" s="41"/>
    </row>
    <row r="181" spans="1:26" ht="15.75" customHeight="1" x14ac:dyDescent="0.3">
      <c r="A181" s="3"/>
      <c r="B181" s="3"/>
      <c r="C181" s="37"/>
      <c r="D181" s="37"/>
      <c r="E181" s="37"/>
      <c r="F181" s="111"/>
      <c r="G181" s="37"/>
      <c r="H181" s="37"/>
      <c r="I181" s="37"/>
      <c r="J181" s="37"/>
      <c r="K181" s="37"/>
      <c r="L181" s="37"/>
      <c r="M181" s="37"/>
      <c r="N181" s="37"/>
      <c r="O181" s="37"/>
      <c r="P181" s="37"/>
      <c r="Q181" s="37"/>
      <c r="R181" s="37"/>
      <c r="S181" s="37"/>
      <c r="T181" s="37"/>
      <c r="U181" s="37"/>
      <c r="V181" s="37"/>
      <c r="W181" s="44"/>
      <c r="X181" s="41"/>
    </row>
    <row r="182" spans="1:26" ht="15.75" customHeight="1" x14ac:dyDescent="0.3">
      <c r="A182" s="3"/>
      <c r="B182" s="3"/>
      <c r="C182" s="37"/>
      <c r="D182" s="37"/>
      <c r="E182" s="37"/>
      <c r="F182" s="37"/>
      <c r="G182" s="37"/>
      <c r="H182" s="37"/>
      <c r="I182" s="37"/>
      <c r="J182" s="37"/>
      <c r="K182" s="37"/>
      <c r="L182" s="37"/>
      <c r="M182" s="37"/>
      <c r="N182" s="37"/>
      <c r="O182" s="37"/>
      <c r="P182" s="37"/>
      <c r="Q182" s="37"/>
      <c r="R182" s="37"/>
      <c r="S182" s="37"/>
      <c r="T182" s="37"/>
      <c r="U182" s="37"/>
      <c r="V182" s="37"/>
      <c r="W182" s="44"/>
      <c r="X182" s="41"/>
    </row>
    <row r="183" spans="1:26" ht="15.75" customHeight="1" x14ac:dyDescent="0.3">
      <c r="A183" s="3"/>
      <c r="B183" s="3"/>
      <c r="C183" s="37"/>
      <c r="D183" s="37"/>
      <c r="E183" s="37"/>
      <c r="F183" s="37"/>
      <c r="G183" s="37"/>
      <c r="H183" s="37"/>
      <c r="I183" s="37"/>
      <c r="J183" s="37"/>
      <c r="K183" s="37"/>
      <c r="L183" s="37"/>
      <c r="M183" s="37"/>
      <c r="N183" s="37"/>
      <c r="O183" s="37"/>
      <c r="P183" s="37"/>
      <c r="Q183" s="37"/>
      <c r="R183" s="37"/>
      <c r="S183" s="37"/>
      <c r="T183" s="37"/>
      <c r="U183" s="37"/>
      <c r="V183" s="37"/>
      <c r="W183" s="44"/>
      <c r="X183" s="41"/>
    </row>
    <row r="184" spans="1:26" ht="15.75" customHeight="1" x14ac:dyDescent="0.3">
      <c r="A184" s="3"/>
      <c r="B184" s="3"/>
      <c r="C184" s="37"/>
      <c r="D184" s="37"/>
      <c r="E184" s="37"/>
      <c r="F184" s="37"/>
      <c r="G184" s="37"/>
      <c r="H184" s="37"/>
      <c r="I184" s="37"/>
      <c r="J184" s="37"/>
      <c r="K184" s="37"/>
      <c r="L184" s="37"/>
      <c r="M184" s="37"/>
      <c r="N184" s="37"/>
      <c r="O184" s="37"/>
      <c r="P184" s="37"/>
      <c r="Q184" s="37"/>
      <c r="R184" s="37"/>
      <c r="S184" s="37"/>
      <c r="T184" s="37"/>
      <c r="U184" s="37"/>
      <c r="V184" s="37"/>
      <c r="W184" s="44"/>
      <c r="X184" s="41"/>
    </row>
    <row r="185" spans="1:26" ht="15.75" customHeight="1" x14ac:dyDescent="0.3">
      <c r="A185" s="3"/>
      <c r="B185" s="3"/>
      <c r="C185" s="37"/>
      <c r="D185" s="37"/>
      <c r="E185" s="37"/>
      <c r="F185" s="37"/>
      <c r="G185" s="37"/>
      <c r="H185" s="37"/>
      <c r="I185" s="37"/>
      <c r="J185" s="37"/>
      <c r="K185" s="37"/>
      <c r="L185" s="37"/>
      <c r="M185" s="37"/>
      <c r="N185" s="37"/>
      <c r="O185" s="37"/>
      <c r="P185" s="37"/>
      <c r="Q185" s="37"/>
      <c r="R185" s="37"/>
      <c r="S185" s="37"/>
      <c r="T185" s="37"/>
      <c r="U185" s="37"/>
      <c r="V185" s="37"/>
      <c r="W185" s="44"/>
      <c r="X185" s="41"/>
    </row>
    <row r="186" spans="1:26" ht="15.75" customHeight="1" x14ac:dyDescent="0.3">
      <c r="A186" s="3"/>
      <c r="B186" s="3"/>
      <c r="C186" s="37"/>
      <c r="D186" s="37"/>
      <c r="E186" s="37"/>
      <c r="F186" s="37"/>
      <c r="G186" s="37"/>
      <c r="H186" s="37"/>
      <c r="I186" s="37"/>
      <c r="J186" s="37"/>
      <c r="K186" s="37"/>
      <c r="L186" s="37"/>
      <c r="M186" s="37"/>
      <c r="N186" s="37"/>
      <c r="O186" s="37"/>
      <c r="P186" s="37"/>
      <c r="Q186" s="37"/>
      <c r="R186" s="37"/>
      <c r="S186" s="37"/>
      <c r="T186" s="37"/>
      <c r="U186" s="37"/>
      <c r="V186" s="37"/>
      <c r="W186" s="44"/>
      <c r="X186" s="41"/>
    </row>
    <row r="187" spans="1:26" ht="15.75" customHeight="1" x14ac:dyDescent="0.3">
      <c r="A187" s="3"/>
      <c r="B187" s="3"/>
      <c r="C187" s="37"/>
      <c r="D187" s="37"/>
      <c r="E187" s="37"/>
      <c r="F187" s="37"/>
      <c r="G187" s="37"/>
      <c r="H187" s="37"/>
      <c r="I187" s="37"/>
      <c r="J187" s="37"/>
      <c r="K187" s="37"/>
      <c r="L187" s="37"/>
      <c r="M187" s="37"/>
      <c r="N187" s="37"/>
      <c r="O187" s="37"/>
      <c r="P187" s="37"/>
      <c r="Q187" s="37"/>
      <c r="R187" s="37"/>
      <c r="S187" s="37"/>
      <c r="T187" s="37"/>
      <c r="U187" s="37"/>
      <c r="V187" s="37"/>
      <c r="W187" s="44"/>
      <c r="X187" s="41"/>
    </row>
    <row r="188" spans="1:26" ht="15.75" customHeight="1" x14ac:dyDescent="0.3">
      <c r="A188" s="3"/>
      <c r="B188" s="3"/>
      <c r="C188" s="37"/>
      <c r="D188" s="37"/>
      <c r="E188" s="37"/>
      <c r="F188" s="37"/>
      <c r="G188" s="37"/>
      <c r="H188" s="37"/>
      <c r="I188" s="37"/>
      <c r="J188" s="37"/>
      <c r="K188" s="37"/>
      <c r="L188" s="37"/>
      <c r="M188" s="37"/>
      <c r="N188" s="37"/>
      <c r="O188" s="37"/>
      <c r="P188" s="37"/>
      <c r="Q188" s="37"/>
      <c r="R188" s="37"/>
      <c r="S188" s="37"/>
      <c r="T188" s="37"/>
      <c r="U188" s="37"/>
      <c r="V188" s="37"/>
      <c r="W188" s="44"/>
      <c r="X188" s="41"/>
    </row>
    <row r="189" spans="1:26" ht="15.75" customHeight="1" x14ac:dyDescent="0.3">
      <c r="A189" s="3"/>
      <c r="B189" s="3"/>
      <c r="C189" s="37"/>
      <c r="D189" s="37"/>
      <c r="E189" s="37"/>
      <c r="F189" s="37"/>
      <c r="G189" s="37"/>
      <c r="H189" s="37"/>
      <c r="I189" s="37"/>
      <c r="J189" s="37"/>
      <c r="K189" s="37"/>
      <c r="L189" s="37"/>
      <c r="M189" s="37"/>
      <c r="N189" s="37"/>
      <c r="O189" s="37"/>
      <c r="P189" s="37"/>
      <c r="Q189" s="37"/>
      <c r="R189" s="37"/>
      <c r="S189" s="37"/>
      <c r="T189" s="37"/>
      <c r="U189" s="37"/>
      <c r="V189" s="37"/>
      <c r="W189" s="44"/>
      <c r="X189" s="41"/>
    </row>
    <row r="190" spans="1:26" ht="15.75" customHeight="1" x14ac:dyDescent="0.3">
      <c r="A190" s="3"/>
      <c r="B190" s="3"/>
      <c r="C190" s="37"/>
      <c r="D190" s="37"/>
      <c r="E190" s="37"/>
      <c r="F190" s="37"/>
      <c r="G190" s="37"/>
      <c r="H190" s="37"/>
      <c r="I190" s="37"/>
      <c r="J190" s="37"/>
      <c r="K190" s="37"/>
      <c r="L190" s="37"/>
      <c r="M190" s="37"/>
      <c r="N190" s="37"/>
      <c r="O190" s="37"/>
      <c r="P190" s="37"/>
      <c r="Q190" s="37"/>
      <c r="R190" s="37"/>
      <c r="S190" s="37"/>
      <c r="T190" s="37"/>
      <c r="U190" s="37"/>
      <c r="V190" s="37"/>
      <c r="W190" s="44"/>
      <c r="X190" s="41"/>
    </row>
    <row r="191" spans="1:26" ht="15.75" customHeight="1" x14ac:dyDescent="0.3">
      <c r="A191" s="3"/>
      <c r="B191" s="3"/>
      <c r="C191" s="37"/>
      <c r="D191" s="37"/>
      <c r="E191" s="37"/>
      <c r="F191" s="37"/>
      <c r="G191" s="37"/>
      <c r="H191" s="37"/>
      <c r="I191" s="37"/>
      <c r="J191" s="37"/>
      <c r="K191" s="37"/>
      <c r="L191" s="37"/>
      <c r="M191" s="37"/>
      <c r="N191" s="37"/>
      <c r="O191" s="37"/>
      <c r="P191" s="37"/>
      <c r="Q191" s="37"/>
      <c r="R191" s="37"/>
      <c r="S191" s="37"/>
      <c r="T191" s="37"/>
      <c r="U191" s="37"/>
      <c r="V191" s="37"/>
      <c r="W191" s="44"/>
      <c r="X191" s="41"/>
    </row>
    <row r="192" spans="1:26" ht="15.75" customHeight="1" x14ac:dyDescent="0.3">
      <c r="A192" s="3"/>
      <c r="B192" s="3"/>
      <c r="C192" s="37"/>
      <c r="D192" s="37"/>
      <c r="E192" s="37"/>
      <c r="F192" s="37"/>
      <c r="G192" s="37"/>
      <c r="H192" s="37"/>
      <c r="I192" s="37"/>
      <c r="J192" s="37"/>
      <c r="K192" s="37"/>
      <c r="L192" s="37"/>
      <c r="M192" s="37"/>
      <c r="N192" s="37"/>
      <c r="O192" s="37"/>
      <c r="P192" s="37"/>
      <c r="Q192" s="37"/>
      <c r="R192" s="37"/>
      <c r="S192" s="37"/>
      <c r="T192" s="37"/>
      <c r="U192" s="37"/>
      <c r="V192" s="37"/>
      <c r="W192" s="44"/>
      <c r="X192" s="41"/>
    </row>
    <row r="193" spans="1:24" ht="15.75" customHeight="1" x14ac:dyDescent="0.3">
      <c r="A193" s="3"/>
      <c r="B193" s="3"/>
      <c r="C193" s="37"/>
      <c r="D193" s="37"/>
      <c r="E193" s="37"/>
      <c r="F193" s="37"/>
      <c r="G193" s="37"/>
      <c r="H193" s="37"/>
      <c r="I193" s="37"/>
      <c r="J193" s="37"/>
      <c r="K193" s="37"/>
      <c r="L193" s="37"/>
      <c r="M193" s="37"/>
      <c r="N193" s="37"/>
      <c r="O193" s="37"/>
      <c r="P193" s="37"/>
      <c r="Q193" s="37"/>
      <c r="R193" s="37"/>
      <c r="S193" s="37"/>
      <c r="T193" s="37"/>
      <c r="U193" s="37"/>
      <c r="V193" s="37"/>
      <c r="W193" s="44"/>
      <c r="X193" s="41"/>
    </row>
    <row r="194" spans="1:24" ht="15.75" customHeight="1" x14ac:dyDescent="0.3">
      <c r="A194" s="3"/>
      <c r="B194" s="3"/>
      <c r="C194" s="37"/>
      <c r="D194" s="37"/>
      <c r="E194" s="37"/>
      <c r="F194" s="37"/>
      <c r="G194" s="37"/>
      <c r="H194" s="37"/>
      <c r="I194" s="37"/>
      <c r="J194" s="37"/>
      <c r="K194" s="37"/>
      <c r="L194" s="37"/>
      <c r="M194" s="37"/>
      <c r="N194" s="37"/>
      <c r="O194" s="37"/>
      <c r="P194" s="37"/>
      <c r="Q194" s="37"/>
      <c r="R194" s="37"/>
      <c r="S194" s="37"/>
      <c r="T194" s="37"/>
      <c r="U194" s="37"/>
      <c r="V194" s="37"/>
      <c r="W194" s="44"/>
      <c r="X194" s="41"/>
    </row>
    <row r="195" spans="1:24" ht="15.75" customHeight="1" x14ac:dyDescent="0.3">
      <c r="A195" s="3"/>
      <c r="B195" s="3"/>
      <c r="C195" s="37"/>
      <c r="D195" s="37"/>
      <c r="E195" s="37"/>
      <c r="F195" s="37"/>
      <c r="G195" s="37"/>
      <c r="H195" s="37"/>
      <c r="I195" s="37"/>
      <c r="J195" s="37"/>
      <c r="K195" s="37"/>
      <c r="L195" s="37"/>
      <c r="M195" s="37"/>
      <c r="N195" s="37"/>
      <c r="O195" s="37"/>
      <c r="P195" s="37"/>
      <c r="Q195" s="37"/>
      <c r="R195" s="37"/>
      <c r="S195" s="37"/>
      <c r="T195" s="37"/>
      <c r="U195" s="37"/>
      <c r="V195" s="37"/>
      <c r="W195" s="44"/>
      <c r="X195" s="41"/>
    </row>
    <row r="196" spans="1:24" ht="15.75" customHeight="1" x14ac:dyDescent="0.3">
      <c r="A196" s="3"/>
      <c r="B196" s="3"/>
      <c r="C196" s="37"/>
      <c r="D196" s="37"/>
      <c r="E196" s="37"/>
      <c r="F196" s="37"/>
      <c r="G196" s="37"/>
      <c r="H196" s="37"/>
      <c r="I196" s="37"/>
      <c r="J196" s="37"/>
      <c r="K196" s="37"/>
      <c r="L196" s="37"/>
      <c r="M196" s="37"/>
      <c r="N196" s="37"/>
      <c r="O196" s="37"/>
      <c r="P196" s="37"/>
      <c r="Q196" s="37"/>
      <c r="R196" s="37"/>
      <c r="S196" s="37"/>
      <c r="T196" s="37"/>
      <c r="U196" s="37"/>
      <c r="V196" s="37"/>
      <c r="W196" s="44"/>
      <c r="X196" s="41"/>
    </row>
    <row r="197" spans="1:24" ht="15.75" customHeight="1" x14ac:dyDescent="0.3">
      <c r="A197" s="3"/>
      <c r="B197" s="3"/>
      <c r="C197" s="37"/>
      <c r="D197" s="37"/>
      <c r="E197" s="37"/>
      <c r="F197" s="37"/>
      <c r="G197" s="37"/>
      <c r="H197" s="37"/>
      <c r="I197" s="37"/>
      <c r="J197" s="37"/>
      <c r="K197" s="37"/>
      <c r="L197" s="37"/>
      <c r="M197" s="37"/>
      <c r="N197" s="37"/>
      <c r="O197" s="37"/>
      <c r="P197" s="37"/>
      <c r="Q197" s="37"/>
      <c r="R197" s="37"/>
      <c r="S197" s="37"/>
      <c r="T197" s="37"/>
      <c r="U197" s="37"/>
      <c r="V197" s="37"/>
      <c r="W197" s="44"/>
      <c r="X197" s="41"/>
    </row>
    <row r="198" spans="1:24" ht="15.75" customHeight="1" x14ac:dyDescent="0.3">
      <c r="A198" s="3"/>
      <c r="B198" s="3"/>
      <c r="C198" s="37"/>
      <c r="D198" s="37"/>
      <c r="E198" s="37"/>
      <c r="F198" s="37"/>
      <c r="G198" s="37"/>
      <c r="H198" s="37"/>
      <c r="I198" s="37"/>
      <c r="J198" s="37"/>
      <c r="K198" s="37"/>
      <c r="L198" s="37"/>
      <c r="M198" s="37"/>
      <c r="N198" s="37"/>
      <c r="O198" s="37"/>
      <c r="P198" s="37"/>
      <c r="Q198" s="37"/>
      <c r="R198" s="37"/>
      <c r="S198" s="37"/>
      <c r="T198" s="37"/>
      <c r="U198" s="37"/>
      <c r="V198" s="37"/>
      <c r="W198" s="44"/>
      <c r="X198" s="41"/>
    </row>
    <row r="199" spans="1:24" ht="15.75" customHeight="1" x14ac:dyDescent="0.3">
      <c r="A199" s="3"/>
      <c r="B199" s="3"/>
      <c r="C199" s="37"/>
      <c r="D199" s="37"/>
      <c r="E199" s="37"/>
      <c r="F199" s="37"/>
      <c r="G199" s="37"/>
      <c r="H199" s="37"/>
      <c r="I199" s="37"/>
      <c r="J199" s="37"/>
      <c r="K199" s="37"/>
      <c r="L199" s="37"/>
      <c r="M199" s="37"/>
      <c r="N199" s="37"/>
      <c r="O199" s="37"/>
      <c r="P199" s="37"/>
      <c r="Q199" s="37"/>
      <c r="R199" s="37"/>
      <c r="S199" s="37"/>
      <c r="T199" s="37"/>
      <c r="U199" s="37"/>
      <c r="V199" s="37"/>
      <c r="W199" s="44"/>
      <c r="X199" s="41"/>
    </row>
    <row r="200" spans="1:24" ht="15.75" customHeight="1" x14ac:dyDescent="0.3">
      <c r="A200" s="3"/>
      <c r="B200" s="3"/>
      <c r="C200" s="37"/>
      <c r="D200" s="37"/>
      <c r="E200" s="37"/>
      <c r="F200" s="37"/>
      <c r="G200" s="37"/>
      <c r="H200" s="37"/>
      <c r="I200" s="37"/>
      <c r="J200" s="37"/>
      <c r="K200" s="37"/>
      <c r="L200" s="37"/>
      <c r="M200" s="37"/>
      <c r="N200" s="37"/>
      <c r="O200" s="37"/>
      <c r="P200" s="37"/>
      <c r="Q200" s="37"/>
      <c r="R200" s="37"/>
      <c r="S200" s="37"/>
      <c r="T200" s="37"/>
      <c r="U200" s="37"/>
      <c r="V200" s="37"/>
      <c r="W200" s="44"/>
      <c r="X200" s="41"/>
    </row>
    <row r="201" spans="1:24" ht="15.75" customHeight="1" x14ac:dyDescent="0.3">
      <c r="A201" s="3"/>
      <c r="B201" s="3"/>
      <c r="C201" s="37"/>
      <c r="D201" s="37"/>
      <c r="E201" s="37"/>
      <c r="F201" s="37"/>
      <c r="G201" s="37"/>
      <c r="H201" s="37"/>
      <c r="I201" s="37"/>
      <c r="J201" s="37"/>
      <c r="K201" s="37"/>
      <c r="L201" s="37"/>
      <c r="M201" s="37"/>
      <c r="N201" s="37"/>
      <c r="O201" s="37"/>
      <c r="P201" s="37"/>
      <c r="Q201" s="37"/>
      <c r="R201" s="37"/>
      <c r="S201" s="37"/>
      <c r="T201" s="37"/>
      <c r="U201" s="37"/>
      <c r="V201" s="37"/>
      <c r="W201" s="44"/>
      <c r="X201" s="41"/>
    </row>
    <row r="202" spans="1:24" ht="15.75" customHeight="1" x14ac:dyDescent="0.3">
      <c r="A202" s="3"/>
      <c r="B202" s="3"/>
      <c r="C202" s="37"/>
      <c r="D202" s="37"/>
      <c r="E202" s="37"/>
      <c r="F202" s="37"/>
      <c r="G202" s="37"/>
      <c r="H202" s="37"/>
      <c r="I202" s="37"/>
      <c r="J202" s="37"/>
      <c r="K202" s="37"/>
      <c r="L202" s="37"/>
      <c r="M202" s="37"/>
      <c r="N202" s="37"/>
      <c r="O202" s="37"/>
      <c r="P202" s="37"/>
      <c r="Q202" s="37"/>
      <c r="R202" s="37"/>
      <c r="S202" s="37"/>
      <c r="T202" s="37"/>
      <c r="U202" s="37"/>
      <c r="V202" s="37"/>
      <c r="W202" s="44"/>
      <c r="X202" s="41"/>
    </row>
    <row r="203" spans="1:24" ht="15.75" customHeight="1" x14ac:dyDescent="0.3">
      <c r="A203" s="3"/>
      <c r="B203" s="3"/>
      <c r="C203" s="37"/>
      <c r="D203" s="37"/>
      <c r="E203" s="37"/>
      <c r="F203" s="37"/>
      <c r="G203" s="37"/>
      <c r="H203" s="37"/>
      <c r="I203" s="37"/>
      <c r="J203" s="37"/>
      <c r="K203" s="37"/>
      <c r="L203" s="37"/>
      <c r="M203" s="37"/>
      <c r="N203" s="37"/>
      <c r="O203" s="37"/>
      <c r="P203" s="37"/>
      <c r="Q203" s="37"/>
      <c r="R203" s="37"/>
      <c r="S203" s="37"/>
      <c r="T203" s="37"/>
      <c r="U203" s="37"/>
      <c r="V203" s="37"/>
      <c r="W203" s="44"/>
      <c r="X203" s="41"/>
    </row>
    <row r="204" spans="1:24" ht="15.75" customHeight="1" x14ac:dyDescent="0.3">
      <c r="A204" s="3"/>
      <c r="B204" s="3"/>
      <c r="C204" s="37"/>
      <c r="D204" s="37"/>
      <c r="E204" s="37"/>
      <c r="F204" s="37"/>
      <c r="G204" s="37"/>
      <c r="H204" s="37"/>
      <c r="I204" s="37"/>
      <c r="J204" s="37"/>
      <c r="K204" s="37"/>
      <c r="L204" s="37"/>
      <c r="M204" s="37"/>
      <c r="N204" s="37"/>
      <c r="O204" s="37"/>
      <c r="P204" s="37"/>
      <c r="Q204" s="37"/>
      <c r="R204" s="37"/>
      <c r="S204" s="37"/>
      <c r="T204" s="37"/>
      <c r="U204" s="37"/>
      <c r="V204" s="37"/>
      <c r="W204" s="44"/>
      <c r="X204" s="41"/>
    </row>
    <row r="205" spans="1:24" ht="15.75" customHeight="1" x14ac:dyDescent="0.3">
      <c r="A205" s="3"/>
      <c r="B205" s="3"/>
      <c r="C205" s="37"/>
      <c r="D205" s="37"/>
      <c r="E205" s="37"/>
      <c r="F205" s="37"/>
      <c r="G205" s="37"/>
      <c r="H205" s="37"/>
      <c r="I205" s="37"/>
      <c r="J205" s="37"/>
      <c r="K205" s="37"/>
      <c r="L205" s="37"/>
      <c r="M205" s="37"/>
      <c r="N205" s="37"/>
      <c r="O205" s="37"/>
      <c r="P205" s="37"/>
      <c r="Q205" s="37"/>
      <c r="R205" s="37"/>
      <c r="S205" s="37"/>
      <c r="T205" s="37"/>
      <c r="U205" s="37"/>
      <c r="V205" s="37"/>
      <c r="W205" s="44"/>
      <c r="X205" s="41"/>
    </row>
    <row r="206" spans="1:24" ht="15.75" customHeight="1" x14ac:dyDescent="0.3">
      <c r="A206" s="3"/>
      <c r="B206" s="3"/>
      <c r="C206" s="37"/>
      <c r="D206" s="37"/>
      <c r="E206" s="37"/>
      <c r="F206" s="37"/>
      <c r="G206" s="37"/>
      <c r="H206" s="37"/>
      <c r="I206" s="37"/>
      <c r="J206" s="37"/>
      <c r="K206" s="37"/>
      <c r="L206" s="37"/>
      <c r="M206" s="37"/>
      <c r="N206" s="37"/>
      <c r="O206" s="37"/>
      <c r="P206" s="37"/>
      <c r="Q206" s="37"/>
      <c r="R206" s="37"/>
      <c r="S206" s="37"/>
      <c r="T206" s="37"/>
      <c r="U206" s="37"/>
      <c r="V206" s="37"/>
      <c r="W206" s="44"/>
      <c r="X206" s="41"/>
    </row>
    <row r="207" spans="1:24" ht="15.75" customHeight="1" x14ac:dyDescent="0.3">
      <c r="A207" s="3"/>
      <c r="B207" s="3"/>
      <c r="C207" s="37"/>
      <c r="D207" s="37"/>
      <c r="E207" s="37"/>
      <c r="F207" s="37"/>
      <c r="G207" s="37"/>
      <c r="H207" s="37"/>
      <c r="I207" s="37"/>
      <c r="J207" s="37"/>
      <c r="K207" s="37"/>
      <c r="L207" s="37"/>
      <c r="M207" s="37"/>
      <c r="N207" s="37"/>
      <c r="O207" s="37"/>
      <c r="P207" s="37"/>
      <c r="Q207" s="37"/>
      <c r="R207" s="37"/>
      <c r="S207" s="37"/>
      <c r="T207" s="37"/>
      <c r="U207" s="37"/>
      <c r="V207" s="37"/>
      <c r="W207" s="44"/>
      <c r="X207" s="41"/>
    </row>
    <row r="208" spans="1:24" ht="15.75" customHeight="1" x14ac:dyDescent="0.3">
      <c r="A208" s="3"/>
      <c r="B208" s="3"/>
      <c r="C208" s="37"/>
      <c r="D208" s="37"/>
      <c r="E208" s="37"/>
      <c r="F208" s="37"/>
      <c r="G208" s="37"/>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37"/>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37"/>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37"/>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37"/>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37"/>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37"/>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37"/>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37"/>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37"/>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37"/>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37"/>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37"/>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37"/>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37"/>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37"/>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37"/>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37"/>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37"/>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37"/>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37"/>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37"/>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37"/>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37"/>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37"/>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37"/>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37"/>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37"/>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37"/>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37"/>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37"/>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37"/>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37"/>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37"/>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37"/>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37"/>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37"/>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37"/>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37"/>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37"/>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37"/>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37"/>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37"/>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37"/>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37"/>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37"/>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37"/>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37"/>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37"/>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37"/>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37"/>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37"/>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37"/>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37"/>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37"/>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37"/>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37"/>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37"/>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37"/>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37"/>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37"/>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37"/>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37"/>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37"/>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37"/>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37"/>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37"/>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37"/>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37"/>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37"/>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37"/>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37"/>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37"/>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37"/>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37"/>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37"/>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37"/>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37"/>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37"/>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37"/>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37"/>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37"/>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37"/>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37"/>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37"/>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37"/>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37"/>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37"/>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37"/>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37"/>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37"/>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37"/>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37"/>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37"/>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37"/>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37"/>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37"/>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37"/>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37"/>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37"/>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37"/>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37"/>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37"/>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37"/>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37"/>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37"/>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37"/>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37"/>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37"/>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37"/>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37"/>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37"/>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37"/>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37"/>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37"/>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37"/>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37"/>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37"/>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37"/>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37"/>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37"/>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37"/>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37"/>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37"/>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37"/>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37"/>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37"/>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37"/>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37"/>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37"/>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37"/>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37"/>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37"/>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37"/>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37"/>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37"/>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37"/>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37"/>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37"/>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37"/>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37"/>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37"/>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37"/>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37"/>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37"/>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37"/>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37"/>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37"/>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37"/>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37"/>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37"/>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37"/>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37"/>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37"/>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37"/>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37"/>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37"/>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37"/>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37"/>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37"/>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37"/>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37"/>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37"/>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37"/>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37"/>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37"/>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37"/>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37"/>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37"/>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37"/>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37"/>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37"/>
      <c r="H379" s="37"/>
      <c r="I379" s="37"/>
      <c r="J379" s="37"/>
      <c r="K379" s="37"/>
      <c r="L379" s="37"/>
      <c r="M379" s="37"/>
      <c r="N379" s="37"/>
      <c r="O379" s="37"/>
      <c r="P379" s="37"/>
      <c r="Q379" s="37"/>
      <c r="R379" s="37"/>
      <c r="S379" s="37"/>
      <c r="T379" s="37"/>
      <c r="U379" s="37"/>
      <c r="V379" s="37"/>
      <c r="W379" s="44"/>
      <c r="X379" s="41"/>
    </row>
    <row r="380" spans="1:24" ht="15.75" customHeight="1" x14ac:dyDescent="0.3"/>
    <row r="381" spans="1:24" ht="15.75" customHeight="1" x14ac:dyDescent="0.3"/>
    <row r="382" spans="1:24" ht="15.75" customHeight="1" x14ac:dyDescent="0.3"/>
    <row r="383" spans="1:24" ht="15.75" customHeight="1" x14ac:dyDescent="0.3"/>
    <row r="384" spans="1:2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79" xr:uid="{00000000-0009-0000-0000-000007000000}"/>
  <mergeCells count="35">
    <mergeCell ref="G89:G90"/>
    <mergeCell ref="G92:G93"/>
    <mergeCell ref="G100:G101"/>
    <mergeCell ref="G50:G51"/>
    <mergeCell ref="G52:G53"/>
    <mergeCell ref="G55:G56"/>
    <mergeCell ref="G58:G59"/>
    <mergeCell ref="G62:G63"/>
    <mergeCell ref="G68:G69"/>
    <mergeCell ref="G73:G74"/>
    <mergeCell ref="G48:G49"/>
    <mergeCell ref="G79:G80"/>
    <mergeCell ref="G81:G82"/>
    <mergeCell ref="G83:G84"/>
    <mergeCell ref="G86:G87"/>
    <mergeCell ref="G33:G34"/>
    <mergeCell ref="G37:G38"/>
    <mergeCell ref="G39:G42"/>
    <mergeCell ref="G44:G45"/>
    <mergeCell ref="G46:G47"/>
    <mergeCell ref="G21:G22"/>
    <mergeCell ref="G23:G24"/>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6">
    <cfRule type="cellIs" dxfId="31" priority="1" operator="equal">
      <formula>"Diferente"</formula>
    </cfRule>
    <cfRule type="cellIs" dxfId="30" priority="2" operator="equal">
      <formula>"OK"</formula>
    </cfRule>
  </conditionalFormatting>
  <dataValidations count="1">
    <dataValidation type="list" allowBlank="1" showErrorMessage="1" sqref="D7:D126 D129:D130 D132:D134 D136:D139 D141:D143 D145:D147 D150:D153 D155:D158 D160:D162 D164:D167 D169:D171 D173:D179" xr:uid="{00000000-0002-0000-07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'Plano de contas DG'!$C$5:$C$38</xm:f>
          </x14:formula1>
          <xm:sqref>I6:I179</xm:sqref>
        </x14:dataValidation>
        <x14:dataValidation type="list" allowBlank="1" showErrorMessage="1" xr:uid="{00000000-0002-0000-0700-000001000000}">
          <x14:formula1>
            <xm:f>Caixa!$B$5:$B$8</xm:f>
          </x14:formula1>
          <xm:sqref>H7:H126 H129:H130 H132:H134 H136:H139 H141:H143 H145:H147 H150:H153 H155:H158 H160:H162 H164:H167 H169:H171 H173:H179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2"/>
      <c r="H2" s="82"/>
      <c r="I2" s="83"/>
      <c r="J2" s="82"/>
      <c r="K2" s="37"/>
      <c r="L2" s="37"/>
      <c r="M2" s="37"/>
      <c r="N2" s="37"/>
      <c r="O2" s="37"/>
      <c r="P2" s="37"/>
      <c r="Q2" s="37"/>
      <c r="R2" s="37"/>
      <c r="S2" s="37"/>
      <c r="T2" s="37"/>
      <c r="U2" s="3"/>
    </row>
    <row r="3" spans="1:26" ht="14.4" x14ac:dyDescent="0.3">
      <c r="A3" s="3"/>
      <c r="B3" s="206"/>
      <c r="C3" s="240"/>
      <c r="D3" s="241"/>
      <c r="E3" s="241"/>
      <c r="F3" s="242"/>
      <c r="G3" s="82"/>
      <c r="H3" s="82"/>
      <c r="I3" s="83"/>
      <c r="J3" s="82"/>
      <c r="K3" s="37"/>
      <c r="L3" s="37"/>
      <c r="M3" s="37"/>
      <c r="N3" s="37"/>
      <c r="O3" s="37"/>
      <c r="P3" s="37"/>
      <c r="Q3" s="37"/>
      <c r="R3" s="37"/>
      <c r="S3" s="37"/>
      <c r="T3" s="37"/>
      <c r="U3" s="3"/>
    </row>
    <row r="4" spans="1:26" ht="14.4" x14ac:dyDescent="0.3">
      <c r="A4" s="3"/>
      <c r="B4" s="227" t="s">
        <v>73</v>
      </c>
      <c r="C4" s="48" t="s">
        <v>43</v>
      </c>
      <c r="D4" s="48" t="s">
        <v>43</v>
      </c>
      <c r="E4" s="26">
        <f>SUBTOTAL(9,E16,E63,E38,E135,E160,E166,E93,E6,E34,E222,E271,E172,E182,E192,E202,E212,E108)</f>
        <v>0</v>
      </c>
      <c r="F4" s="26">
        <f>SUBTOTAL(9,F16,F63,F38,F125,F135,F160,F166,F93,F6,F34,F222,F271,F172,F182,F192,F202,F212,F108)</f>
        <v>57344.600000000006</v>
      </c>
      <c r="G4" s="48" t="s">
        <v>43</v>
      </c>
      <c r="H4" s="237" t="s">
        <v>1</v>
      </c>
      <c r="I4" s="243" t="s">
        <v>270</v>
      </c>
      <c r="J4" s="237" t="s">
        <v>74</v>
      </c>
      <c r="K4" s="37"/>
      <c r="L4" s="37"/>
      <c r="M4" s="37"/>
      <c r="N4" s="37"/>
      <c r="O4" s="37"/>
      <c r="P4" s="37"/>
      <c r="Q4" s="37"/>
      <c r="R4" s="37"/>
      <c r="S4" s="37"/>
      <c r="T4" s="37"/>
      <c r="U4" s="3"/>
      <c r="W4" s="3"/>
      <c r="X4" s="3"/>
      <c r="Y4" s="3"/>
      <c r="Z4" s="3"/>
    </row>
    <row r="5" spans="1:26" ht="14.4"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2182.8699999999994</v>
      </c>
      <c r="G6" s="87"/>
      <c r="H6" s="87"/>
      <c r="I6" s="88"/>
      <c r="J6" s="87"/>
      <c r="K6" s="37"/>
      <c r="L6" s="37"/>
      <c r="M6" s="37"/>
      <c r="N6" s="37"/>
      <c r="O6" s="37"/>
      <c r="P6" s="37"/>
      <c r="Q6" s="37"/>
      <c r="R6" s="37"/>
      <c r="S6" s="37"/>
      <c r="T6" s="37"/>
      <c r="U6" s="3"/>
      <c r="W6" s="3"/>
      <c r="X6" s="3"/>
      <c r="Y6" s="3"/>
      <c r="Z6" s="3"/>
    </row>
    <row r="7" spans="1:26" ht="36" hidden="1" outlineLevel="1" x14ac:dyDescent="0.3">
      <c r="A7" s="3"/>
      <c r="B7" s="10" t="s">
        <v>273</v>
      </c>
      <c r="C7" s="80">
        <v>1</v>
      </c>
      <c r="D7" s="62" t="s">
        <v>94</v>
      </c>
      <c r="E7" s="12">
        <v>0</v>
      </c>
      <c r="F7" s="12">
        <v>709.82</v>
      </c>
      <c r="G7" s="89" t="s">
        <v>552</v>
      </c>
      <c r="H7" s="65" t="s">
        <v>37</v>
      </c>
      <c r="I7" s="112" t="s">
        <v>553</v>
      </c>
      <c r="J7" s="65"/>
      <c r="K7" s="37"/>
      <c r="L7" s="37"/>
      <c r="M7" s="37"/>
      <c r="N7" s="37"/>
      <c r="O7" s="37"/>
      <c r="P7" s="37"/>
      <c r="Q7" s="37"/>
      <c r="R7" s="37"/>
      <c r="S7" s="37"/>
      <c r="T7" s="37"/>
      <c r="U7" s="3"/>
      <c r="W7" s="3"/>
      <c r="X7" s="3"/>
      <c r="Y7" s="3"/>
      <c r="Z7" s="3"/>
    </row>
    <row r="8" spans="1:26" ht="14.4" hidden="1" outlineLevel="1" x14ac:dyDescent="0.3">
      <c r="A8" s="3"/>
      <c r="B8" s="10" t="s">
        <v>277</v>
      </c>
      <c r="C8" s="62"/>
      <c r="D8" s="62"/>
      <c r="E8" s="12">
        <v>0</v>
      </c>
      <c r="F8" s="12">
        <v>0</v>
      </c>
      <c r="G8" s="65"/>
      <c r="H8" s="65"/>
      <c r="I8" s="89"/>
      <c r="J8" s="65"/>
      <c r="K8" s="37"/>
      <c r="L8" s="37"/>
      <c r="M8" s="37"/>
      <c r="N8" s="37"/>
      <c r="O8" s="37"/>
      <c r="P8" s="37"/>
      <c r="Q8" s="37"/>
      <c r="R8" s="37"/>
      <c r="S8" s="37"/>
      <c r="T8" s="37"/>
      <c r="U8" s="3"/>
      <c r="W8" s="3"/>
      <c r="X8" s="3"/>
      <c r="Y8" s="3"/>
      <c r="Z8" s="3"/>
    </row>
    <row r="9" spans="1:26" ht="14.4" hidden="1" outlineLevel="1" x14ac:dyDescent="0.3">
      <c r="A9" s="3"/>
      <c r="B9" s="10" t="s">
        <v>280</v>
      </c>
      <c r="C9" s="62">
        <v>3</v>
      </c>
      <c r="D9" s="62" t="s">
        <v>94</v>
      </c>
      <c r="E9" s="12">
        <v>0</v>
      </c>
      <c r="F9" s="12">
        <v>1026.95</v>
      </c>
      <c r="G9" s="65" t="s">
        <v>554</v>
      </c>
      <c r="H9" s="65" t="s">
        <v>37</v>
      </c>
      <c r="I9" s="112" t="s">
        <v>555</v>
      </c>
      <c r="J9" s="65"/>
      <c r="K9" s="37"/>
      <c r="L9" s="37"/>
      <c r="M9" s="37"/>
      <c r="N9" s="37"/>
      <c r="O9" s="37"/>
      <c r="P9" s="37"/>
      <c r="Q9" s="37"/>
      <c r="R9" s="37"/>
      <c r="S9" s="37"/>
      <c r="T9" s="37"/>
      <c r="U9" s="3"/>
      <c r="W9" s="3"/>
      <c r="X9" s="3"/>
      <c r="Y9" s="3"/>
      <c r="Z9" s="3"/>
    </row>
    <row r="10" spans="1:26" ht="14.4" hidden="1" outlineLevel="1" x14ac:dyDescent="0.3">
      <c r="A10" s="3"/>
      <c r="B10" s="10" t="s">
        <v>281</v>
      </c>
      <c r="C10" s="80">
        <v>15</v>
      </c>
      <c r="D10" s="62" t="s">
        <v>94</v>
      </c>
      <c r="E10" s="12">
        <v>0</v>
      </c>
      <c r="F10" s="12">
        <v>286.14</v>
      </c>
      <c r="G10" s="89"/>
      <c r="H10" s="65" t="s">
        <v>37</v>
      </c>
      <c r="I10" s="112" t="s">
        <v>556</v>
      </c>
      <c r="J10" s="89"/>
      <c r="K10" s="37"/>
      <c r="L10" s="37"/>
      <c r="M10" s="37"/>
      <c r="N10" s="37"/>
      <c r="O10" s="37"/>
      <c r="P10" s="37"/>
      <c r="Q10" s="37"/>
      <c r="R10" s="37"/>
      <c r="S10" s="37"/>
      <c r="T10" s="37"/>
      <c r="U10" s="3"/>
      <c r="W10" s="3"/>
      <c r="X10" s="3"/>
      <c r="Y10" s="3"/>
      <c r="Z10" s="3"/>
    </row>
    <row r="11" spans="1:26" ht="14.4" hidden="1" outlineLevel="1" x14ac:dyDescent="0.3">
      <c r="A11" s="3"/>
      <c r="B11" s="10" t="s">
        <v>281</v>
      </c>
      <c r="C11" s="80">
        <v>15</v>
      </c>
      <c r="D11" s="62" t="s">
        <v>94</v>
      </c>
      <c r="E11" s="12">
        <v>0</v>
      </c>
      <c r="F11" s="12">
        <v>40.119999999999997</v>
      </c>
      <c r="G11" s="89"/>
      <c r="H11" s="65" t="s">
        <v>37</v>
      </c>
      <c r="I11" s="112" t="s">
        <v>557</v>
      </c>
      <c r="J11" s="89"/>
      <c r="K11" s="37"/>
      <c r="L11" s="37"/>
      <c r="M11" s="37"/>
      <c r="N11" s="37"/>
      <c r="O11" s="37"/>
      <c r="P11" s="37"/>
      <c r="Q11" s="37"/>
      <c r="R11" s="37"/>
      <c r="S11" s="37"/>
      <c r="T11" s="37"/>
      <c r="U11" s="3"/>
      <c r="W11" s="3"/>
      <c r="X11" s="3"/>
      <c r="Y11" s="3"/>
      <c r="Z11" s="3"/>
    </row>
    <row r="12" spans="1:26" ht="14.4" hidden="1" outlineLevel="1" x14ac:dyDescent="0.3">
      <c r="A12" s="3"/>
      <c r="B12" s="10" t="s">
        <v>281</v>
      </c>
      <c r="C12" s="80">
        <v>15</v>
      </c>
      <c r="D12" s="62" t="s">
        <v>94</v>
      </c>
      <c r="E12" s="12">
        <v>0</v>
      </c>
      <c r="F12" s="12">
        <v>64.849999999999994</v>
      </c>
      <c r="G12" s="89"/>
      <c r="H12" s="65" t="s">
        <v>37</v>
      </c>
      <c r="I12" s="112" t="s">
        <v>558</v>
      </c>
      <c r="J12" s="89"/>
      <c r="K12" s="37"/>
      <c r="L12" s="37"/>
      <c r="M12" s="37"/>
      <c r="N12" s="37"/>
      <c r="O12" s="37"/>
      <c r="P12" s="37"/>
      <c r="Q12" s="37"/>
      <c r="R12" s="37"/>
      <c r="S12" s="37"/>
      <c r="T12" s="37"/>
      <c r="U12" s="3"/>
      <c r="W12" s="3"/>
      <c r="X12" s="3"/>
      <c r="Y12" s="3"/>
      <c r="Z12" s="3"/>
    </row>
    <row r="13" spans="1:26" ht="14.4" hidden="1" outlineLevel="1" x14ac:dyDescent="0.3">
      <c r="A13" s="3"/>
      <c r="B13" s="10" t="s">
        <v>281</v>
      </c>
      <c r="C13" s="80"/>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v>6</v>
      </c>
      <c r="D14" s="62" t="s">
        <v>94</v>
      </c>
      <c r="E14" s="12">
        <v>0</v>
      </c>
      <c r="F14" s="12">
        <v>54.99</v>
      </c>
      <c r="G14" s="65"/>
      <c r="H14" s="65" t="s">
        <v>37</v>
      </c>
      <c r="I14" s="112" t="s">
        <v>560</v>
      </c>
      <c r="J14" s="65"/>
      <c r="K14" s="37"/>
      <c r="L14" s="37"/>
      <c r="M14" s="37"/>
      <c r="N14" s="37"/>
      <c r="O14" s="37"/>
      <c r="P14" s="37"/>
      <c r="Q14" s="37"/>
      <c r="R14" s="37"/>
      <c r="S14" s="37"/>
      <c r="T14" s="37"/>
      <c r="U14" s="3"/>
      <c r="W14" s="3"/>
      <c r="X14" s="3"/>
      <c r="Y14" s="3"/>
      <c r="Z14" s="3"/>
    </row>
    <row r="15" spans="1:26" ht="14.4" hidden="1" outlineLevel="1" x14ac:dyDescent="0.3">
      <c r="A15" s="3"/>
      <c r="B15" s="10" t="s">
        <v>65</v>
      </c>
      <c r="C15" s="62"/>
      <c r="D15" s="62"/>
      <c r="E15" s="12">
        <v>0</v>
      </c>
      <c r="F15" s="12">
        <v>0</v>
      </c>
      <c r="G15" s="65"/>
      <c r="H15" s="65"/>
      <c r="I15" s="89"/>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7731.6100000000006</v>
      </c>
      <c r="G16" s="87"/>
      <c r="H16" s="87"/>
      <c r="I16" s="88"/>
      <c r="J16" s="87"/>
      <c r="K16" s="37"/>
      <c r="L16" s="37"/>
      <c r="M16" s="37"/>
      <c r="N16" s="37"/>
      <c r="O16" s="37"/>
      <c r="P16" s="37"/>
      <c r="Q16" s="37"/>
      <c r="R16" s="37"/>
      <c r="S16" s="37"/>
      <c r="T16" s="37"/>
      <c r="U16" s="3"/>
    </row>
    <row r="17" spans="1:22" ht="14.4" hidden="1" outlineLevel="1" x14ac:dyDescent="0.3">
      <c r="A17" s="3"/>
      <c r="B17" s="10" t="s">
        <v>561</v>
      </c>
      <c r="C17" s="62">
        <v>29</v>
      </c>
      <c r="D17" s="62" t="s">
        <v>94</v>
      </c>
      <c r="E17" s="12">
        <v>0</v>
      </c>
      <c r="F17" s="12">
        <v>1409.24</v>
      </c>
      <c r="G17" s="249"/>
      <c r="H17" s="65" t="s">
        <v>37</v>
      </c>
      <c r="I17" s="246" t="s">
        <v>562</v>
      </c>
      <c r="J17" s="65"/>
      <c r="K17" s="37"/>
      <c r="L17" s="37"/>
      <c r="M17" s="37"/>
      <c r="N17" s="37"/>
      <c r="O17" s="37"/>
      <c r="P17" s="37"/>
      <c r="Q17" s="37"/>
      <c r="R17" s="37"/>
      <c r="S17" s="37"/>
      <c r="T17" s="37"/>
      <c r="U17" s="3"/>
    </row>
    <row r="18" spans="1:22" ht="14.4" hidden="1" outlineLevel="1" x14ac:dyDescent="0.3">
      <c r="A18" s="3"/>
      <c r="B18" s="10" t="s">
        <v>563</v>
      </c>
      <c r="C18" s="62">
        <v>29</v>
      </c>
      <c r="D18" s="62" t="s">
        <v>94</v>
      </c>
      <c r="E18" s="12">
        <v>0</v>
      </c>
      <c r="F18" s="12">
        <v>802.62</v>
      </c>
      <c r="G18" s="215"/>
      <c r="H18" s="65" t="s">
        <v>37</v>
      </c>
      <c r="I18" s="215"/>
      <c r="J18" s="65"/>
      <c r="K18" s="37"/>
      <c r="L18" s="37"/>
      <c r="M18" s="37"/>
      <c r="N18" s="37"/>
      <c r="O18" s="37"/>
      <c r="P18" s="37"/>
      <c r="Q18" s="37"/>
      <c r="R18" s="37"/>
      <c r="S18" s="37"/>
      <c r="T18" s="37"/>
      <c r="U18" s="3"/>
    </row>
    <row r="19" spans="1:22" ht="14.4" hidden="1" outlineLevel="1" x14ac:dyDescent="0.3">
      <c r="A19" s="3"/>
      <c r="B19" s="10" t="s">
        <v>564</v>
      </c>
      <c r="C19" s="62">
        <v>29</v>
      </c>
      <c r="D19" s="62" t="s">
        <v>94</v>
      </c>
      <c r="E19" s="12">
        <v>0</v>
      </c>
      <c r="F19" s="12">
        <v>98</v>
      </c>
      <c r="G19" s="215"/>
      <c r="H19" s="65" t="s">
        <v>37</v>
      </c>
      <c r="I19" s="215"/>
      <c r="J19" s="65"/>
      <c r="K19" s="37"/>
      <c r="L19" s="37"/>
      <c r="M19" s="37"/>
      <c r="N19" s="37"/>
      <c r="O19" s="37"/>
      <c r="P19" s="37"/>
      <c r="Q19" s="37"/>
      <c r="R19" s="37"/>
      <c r="S19" s="37"/>
      <c r="T19" s="37"/>
      <c r="U19" s="3"/>
    </row>
    <row r="20" spans="1:22" ht="14.4" hidden="1" outlineLevel="1" x14ac:dyDescent="0.3">
      <c r="A20" s="3"/>
      <c r="B20" s="10" t="s">
        <v>565</v>
      </c>
      <c r="C20" s="62">
        <v>29</v>
      </c>
      <c r="D20" s="62" t="s">
        <v>94</v>
      </c>
      <c r="E20" s="12">
        <v>0</v>
      </c>
      <c r="F20" s="12">
        <v>98</v>
      </c>
      <c r="G20" s="215"/>
      <c r="H20" s="65" t="s">
        <v>37</v>
      </c>
      <c r="I20" s="215"/>
      <c r="J20" s="65"/>
      <c r="K20" s="37"/>
      <c r="L20" s="37"/>
      <c r="M20" s="37"/>
      <c r="N20" s="37"/>
      <c r="O20" s="37"/>
      <c r="P20" s="37"/>
      <c r="Q20" s="37"/>
      <c r="R20" s="37"/>
      <c r="S20" s="37"/>
      <c r="T20" s="37"/>
      <c r="U20" s="3"/>
    </row>
    <row r="21" spans="1:22" ht="15.75" hidden="1" customHeight="1" outlineLevel="1" x14ac:dyDescent="0.3">
      <c r="A21" s="3"/>
      <c r="B21" s="10" t="s">
        <v>566</v>
      </c>
      <c r="C21" s="62">
        <v>29</v>
      </c>
      <c r="D21" s="62" t="s">
        <v>94</v>
      </c>
      <c r="E21" s="12">
        <v>0</v>
      </c>
      <c r="F21" s="12">
        <v>384</v>
      </c>
      <c r="G21" s="216"/>
      <c r="H21" s="65" t="s">
        <v>37</v>
      </c>
      <c r="I21" s="216"/>
      <c r="J21" s="65"/>
      <c r="K21" s="37"/>
      <c r="L21" s="37"/>
      <c r="M21" s="37"/>
      <c r="N21" s="37"/>
      <c r="O21" s="37"/>
      <c r="P21" s="37"/>
      <c r="Q21" s="37"/>
      <c r="R21" s="37"/>
      <c r="S21" s="37"/>
      <c r="T21" s="37"/>
      <c r="U21" s="3"/>
    </row>
    <row r="22" spans="1:22" ht="15.75" hidden="1" customHeight="1" outlineLevel="1" x14ac:dyDescent="0.3">
      <c r="A22" s="3"/>
      <c r="B22" s="10" t="s">
        <v>567</v>
      </c>
      <c r="C22" s="62">
        <v>20</v>
      </c>
      <c r="D22" s="62" t="s">
        <v>94</v>
      </c>
      <c r="E22" s="12">
        <v>0</v>
      </c>
      <c r="F22" s="12">
        <f>(310.65/95)*98</f>
        <v>320.45999999999998</v>
      </c>
      <c r="G22" s="249" t="s">
        <v>568</v>
      </c>
      <c r="H22" s="65" t="s">
        <v>37</v>
      </c>
      <c r="I22" s="246" t="s">
        <v>569</v>
      </c>
      <c r="J22" s="65"/>
      <c r="K22" s="37"/>
      <c r="L22" s="37"/>
      <c r="M22" s="37"/>
      <c r="N22" s="37"/>
      <c r="O22" s="37"/>
      <c r="P22" s="37"/>
      <c r="Q22" s="37"/>
      <c r="R22" s="37"/>
      <c r="S22" s="37"/>
      <c r="T22" s="37"/>
      <c r="U22" s="3"/>
      <c r="V22" s="18"/>
    </row>
    <row r="23" spans="1:22" ht="15.75" hidden="1" customHeight="1" outlineLevel="1" x14ac:dyDescent="0.3">
      <c r="A23" s="3"/>
      <c r="B23" s="10" t="s">
        <v>570</v>
      </c>
      <c r="C23" s="62">
        <v>20</v>
      </c>
      <c r="D23" s="62" t="s">
        <v>94</v>
      </c>
      <c r="E23" s="12">
        <v>0</v>
      </c>
      <c r="F23" s="12">
        <f>(356.25/95)*98</f>
        <v>367.5</v>
      </c>
      <c r="G23" s="215"/>
      <c r="H23" s="65" t="s">
        <v>37</v>
      </c>
      <c r="I23" s="215"/>
      <c r="J23" s="65"/>
      <c r="K23" s="37"/>
      <c r="L23" s="37"/>
      <c r="M23" s="37"/>
      <c r="N23" s="37"/>
      <c r="O23" s="37"/>
      <c r="P23" s="37"/>
      <c r="Q23" s="37"/>
      <c r="R23" s="37"/>
      <c r="S23" s="37"/>
      <c r="T23" s="37"/>
      <c r="U23" s="3"/>
      <c r="V23" s="18"/>
    </row>
    <row r="24" spans="1:22" ht="15.75" hidden="1" customHeight="1" outlineLevel="1" x14ac:dyDescent="0.3">
      <c r="A24" s="3"/>
      <c r="B24" s="10" t="s">
        <v>571</v>
      </c>
      <c r="C24" s="62">
        <v>20</v>
      </c>
      <c r="D24" s="62" t="s">
        <v>94</v>
      </c>
      <c r="E24" s="12">
        <v>0</v>
      </c>
      <c r="F24" s="12">
        <f>(441.75/95)*98</f>
        <v>455.70000000000005</v>
      </c>
      <c r="G24" s="215"/>
      <c r="H24" s="65" t="s">
        <v>37</v>
      </c>
      <c r="I24" s="215"/>
      <c r="J24" s="65"/>
      <c r="K24" s="37"/>
      <c r="L24" s="37"/>
      <c r="M24" s="37"/>
      <c r="N24" s="37"/>
      <c r="O24" s="37"/>
      <c r="P24" s="37"/>
      <c r="Q24" s="37"/>
      <c r="R24" s="37"/>
      <c r="S24" s="37"/>
      <c r="T24" s="37"/>
      <c r="U24" s="3"/>
      <c r="V24" s="18"/>
    </row>
    <row r="25" spans="1:22" ht="15.75" hidden="1" customHeight="1" outlineLevel="1" x14ac:dyDescent="0.3">
      <c r="A25" s="3"/>
      <c r="B25" s="10" t="s">
        <v>572</v>
      </c>
      <c r="C25" s="62">
        <v>20</v>
      </c>
      <c r="D25" s="62" t="s">
        <v>94</v>
      </c>
      <c r="E25" s="12">
        <v>0</v>
      </c>
      <c r="F25" s="12">
        <f>(31.35/95)*98</f>
        <v>32.340000000000003</v>
      </c>
      <c r="G25" s="215"/>
      <c r="H25" s="65" t="s">
        <v>37</v>
      </c>
      <c r="I25" s="215"/>
      <c r="J25" s="65"/>
      <c r="K25" s="37"/>
      <c r="L25" s="37"/>
      <c r="M25" s="37"/>
      <c r="N25" s="37"/>
      <c r="O25" s="37"/>
      <c r="P25" s="37"/>
      <c r="Q25" s="37"/>
      <c r="R25" s="37"/>
      <c r="S25" s="37"/>
      <c r="T25" s="37"/>
      <c r="U25" s="3"/>
      <c r="V25" s="18"/>
    </row>
    <row r="26" spans="1:22" ht="15.75" hidden="1" customHeight="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5.75" hidden="1" customHeight="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5.75" hidden="1" customHeight="1" outlineLevel="1" x14ac:dyDescent="0.3">
      <c r="A28" s="3"/>
      <c r="B28" s="10" t="s">
        <v>575</v>
      </c>
      <c r="C28" s="62"/>
      <c r="D28" s="62"/>
      <c r="E28" s="12">
        <v>0</v>
      </c>
      <c r="F28" s="12">
        <v>0</v>
      </c>
      <c r="G28" s="216"/>
      <c r="H28" s="65"/>
      <c r="I28" s="216"/>
      <c r="J28" s="65"/>
      <c r="K28" s="37"/>
      <c r="L28" s="37"/>
      <c r="M28" s="37"/>
      <c r="N28" s="37"/>
      <c r="O28" s="37"/>
      <c r="P28" s="37"/>
      <c r="Q28" s="37"/>
      <c r="R28" s="37"/>
      <c r="S28" s="37"/>
      <c r="T28" s="37"/>
      <c r="U28" s="3"/>
      <c r="V28" s="18"/>
    </row>
    <row r="29" spans="1:22" ht="15.75" hidden="1" customHeight="1" outlineLevel="1" x14ac:dyDescent="0.3">
      <c r="A29" s="3"/>
      <c r="B29" s="10" t="s">
        <v>292</v>
      </c>
      <c r="C29" s="62">
        <v>15</v>
      </c>
      <c r="D29" s="62" t="s">
        <v>94</v>
      </c>
      <c r="E29" s="12">
        <v>0</v>
      </c>
      <c r="F29" s="12">
        <v>117</v>
      </c>
      <c r="G29" s="65"/>
      <c r="H29" s="65" t="s">
        <v>37</v>
      </c>
      <c r="I29" s="112" t="s">
        <v>576</v>
      </c>
      <c r="J29" s="65"/>
      <c r="K29" s="37"/>
      <c r="L29" s="37"/>
      <c r="M29" s="37"/>
      <c r="N29" s="37"/>
      <c r="O29" s="37"/>
      <c r="P29" s="37"/>
      <c r="Q29" s="37"/>
      <c r="R29" s="37"/>
      <c r="S29" s="37"/>
      <c r="T29" s="37"/>
      <c r="U29" s="3"/>
      <c r="V29" s="18"/>
    </row>
    <row r="30" spans="1:22" ht="15.75" hidden="1" customHeight="1" outlineLevel="1" x14ac:dyDescent="0.3">
      <c r="A30" s="3"/>
      <c r="B30" s="10" t="s">
        <v>294</v>
      </c>
      <c r="C30" s="62">
        <v>3</v>
      </c>
      <c r="D30" s="62" t="s">
        <v>94</v>
      </c>
      <c r="E30" s="12">
        <v>0</v>
      </c>
      <c r="F30" s="12">
        <f>2343.27-80</f>
        <v>2263.27</v>
      </c>
      <c r="G30" s="89" t="s">
        <v>577</v>
      </c>
      <c r="H30" s="65" t="s">
        <v>37</v>
      </c>
      <c r="I30" s="112" t="s">
        <v>578</v>
      </c>
      <c r="J30" s="65"/>
      <c r="K30" s="37"/>
      <c r="L30" s="37"/>
      <c r="M30" s="37"/>
      <c r="N30" s="37"/>
      <c r="O30" s="37"/>
      <c r="P30" s="37"/>
      <c r="Q30" s="37"/>
      <c r="R30" s="37"/>
      <c r="S30" s="37"/>
      <c r="T30" s="37"/>
      <c r="U30" s="3"/>
    </row>
    <row r="31" spans="1:22" ht="15.75" hidden="1" customHeight="1" outlineLevel="1" x14ac:dyDescent="0.3">
      <c r="A31" s="3"/>
      <c r="B31" s="10" t="s">
        <v>579</v>
      </c>
      <c r="C31" s="62"/>
      <c r="D31" s="62"/>
      <c r="E31" s="12">
        <v>0</v>
      </c>
      <c r="F31" s="12">
        <v>0</v>
      </c>
      <c r="G31" s="65"/>
      <c r="H31" s="65"/>
      <c r="I31" s="89"/>
      <c r="J31" s="65"/>
      <c r="K31" s="37"/>
      <c r="L31" s="37"/>
      <c r="M31" s="37"/>
      <c r="N31" s="37"/>
      <c r="O31" s="37"/>
      <c r="P31" s="37"/>
      <c r="Q31" s="37"/>
      <c r="R31" s="37"/>
      <c r="S31" s="37"/>
      <c r="T31" s="37"/>
      <c r="U31" s="3"/>
    </row>
    <row r="32" spans="1:22" ht="15.75" hidden="1" customHeight="1" outlineLevel="1" x14ac:dyDescent="0.3">
      <c r="A32" s="3"/>
      <c r="B32" s="10" t="s">
        <v>294</v>
      </c>
      <c r="C32" s="62">
        <v>31</v>
      </c>
      <c r="D32" s="62" t="s">
        <v>94</v>
      </c>
      <c r="E32" s="12">
        <v>0</v>
      </c>
      <c r="F32" s="12">
        <v>1383.48</v>
      </c>
      <c r="G32" s="89" t="s">
        <v>580</v>
      </c>
      <c r="H32" s="65" t="s">
        <v>37</v>
      </c>
      <c r="I32" s="112" t="s">
        <v>581</v>
      </c>
      <c r="J32" s="65"/>
      <c r="K32" s="37"/>
      <c r="L32" s="37"/>
      <c r="M32" s="37"/>
      <c r="N32" s="37"/>
      <c r="O32" s="37"/>
      <c r="P32" s="37"/>
      <c r="Q32" s="37"/>
      <c r="R32" s="37"/>
      <c r="S32" s="37"/>
      <c r="T32" s="37"/>
      <c r="U32" s="3"/>
    </row>
    <row r="33" spans="1:26" ht="15.75" hidden="1" customHeight="1" outlineLevel="1" x14ac:dyDescent="0.3">
      <c r="A33" s="3"/>
      <c r="B33" s="10" t="s">
        <v>582</v>
      </c>
      <c r="C33" s="62"/>
      <c r="D33" s="62"/>
      <c r="E33" s="12">
        <v>0</v>
      </c>
      <c r="F33" s="12">
        <v>0</v>
      </c>
      <c r="G33" s="65"/>
      <c r="H33" s="65"/>
      <c r="I33" s="89"/>
      <c r="J33" s="65"/>
      <c r="K33" s="37"/>
      <c r="L33" s="37"/>
      <c r="M33" s="37"/>
      <c r="N33" s="37"/>
      <c r="O33" s="37"/>
      <c r="P33" s="37"/>
      <c r="Q33" s="37"/>
      <c r="R33" s="37"/>
      <c r="S33" s="37"/>
      <c r="T33" s="37"/>
      <c r="U33" s="3"/>
    </row>
    <row r="34" spans="1:26" ht="15.75" customHeight="1" collapsed="1" x14ac:dyDescent="0.3">
      <c r="A34" s="3"/>
      <c r="B34" s="84" t="s">
        <v>300</v>
      </c>
      <c r="C34" s="85" t="s">
        <v>43</v>
      </c>
      <c r="D34" s="85" t="s">
        <v>43</v>
      </c>
      <c r="E34" s="86">
        <f>SUM(E35:E37)</f>
        <v>0</v>
      </c>
      <c r="F34" s="86">
        <f>SUMIF(D35:D37,"OK",F35:F37)</f>
        <v>1.89</v>
      </c>
      <c r="G34" s="87"/>
      <c r="H34" s="87"/>
      <c r="I34" s="88"/>
      <c r="J34" s="87"/>
      <c r="K34" s="37"/>
      <c r="L34" s="37"/>
      <c r="M34" s="37"/>
      <c r="N34" s="37"/>
      <c r="O34" s="37"/>
      <c r="P34" s="37"/>
      <c r="Q34" s="37"/>
      <c r="R34" s="37"/>
      <c r="S34" s="37"/>
      <c r="T34" s="37"/>
      <c r="U34" s="3"/>
      <c r="W34" s="3"/>
      <c r="X34" s="3"/>
      <c r="Y34" s="3"/>
      <c r="Z34" s="3"/>
    </row>
    <row r="35" spans="1:26" ht="15.75" hidden="1" customHeight="1" outlineLevel="1" x14ac:dyDescent="0.3">
      <c r="A35" s="3"/>
      <c r="B35" s="10" t="s">
        <v>583</v>
      </c>
      <c r="C35" s="62">
        <v>2</v>
      </c>
      <c r="D35" s="62" t="s">
        <v>94</v>
      </c>
      <c r="E35" s="12">
        <v>0</v>
      </c>
      <c r="F35" s="12">
        <v>1.89</v>
      </c>
      <c r="G35" s="65"/>
      <c r="H35" s="65" t="s">
        <v>38</v>
      </c>
      <c r="I35" s="112" t="s">
        <v>584</v>
      </c>
      <c r="J35" s="65"/>
      <c r="K35" s="37"/>
      <c r="L35" s="37"/>
      <c r="M35" s="37"/>
      <c r="N35" s="37"/>
      <c r="O35" s="37"/>
      <c r="P35" s="37"/>
      <c r="Q35" s="37"/>
      <c r="R35" s="37"/>
      <c r="S35" s="37"/>
      <c r="T35" s="37"/>
      <c r="U35" s="3"/>
      <c r="W35" s="3"/>
      <c r="X35" s="3"/>
      <c r="Y35" s="3"/>
      <c r="Z35" s="3"/>
    </row>
    <row r="36" spans="1:26" ht="15.75" hidden="1" customHeight="1" outlineLevel="1" x14ac:dyDescent="0.3">
      <c r="A36" s="3"/>
      <c r="B36" s="10" t="s">
        <v>585</v>
      </c>
      <c r="C36" s="62"/>
      <c r="D36" s="62"/>
      <c r="E36" s="12">
        <v>0</v>
      </c>
      <c r="F36" s="12">
        <v>0</v>
      </c>
      <c r="G36" s="65"/>
      <c r="H36" s="65"/>
      <c r="I36" s="112"/>
      <c r="J36" s="65"/>
      <c r="K36" s="37"/>
      <c r="L36" s="37"/>
      <c r="M36" s="37"/>
      <c r="N36" s="37"/>
      <c r="O36" s="37"/>
      <c r="P36" s="37"/>
      <c r="Q36" s="37"/>
      <c r="R36" s="37"/>
      <c r="S36" s="37"/>
      <c r="T36" s="37"/>
      <c r="U36" s="3"/>
      <c r="W36" s="3"/>
      <c r="X36" s="3"/>
      <c r="Y36" s="3"/>
      <c r="Z36" s="3"/>
    </row>
    <row r="37" spans="1:26" ht="15.75" hidden="1" customHeight="1" outlineLevel="1" x14ac:dyDescent="0.3">
      <c r="A37" s="3"/>
      <c r="B37" s="10" t="s">
        <v>305</v>
      </c>
      <c r="C37" s="62"/>
      <c r="D37" s="62"/>
      <c r="E37" s="12">
        <v>0</v>
      </c>
      <c r="F37" s="12">
        <v>0</v>
      </c>
      <c r="G37" s="65"/>
      <c r="H37" s="65"/>
      <c r="I37" s="89"/>
      <c r="J37" s="65"/>
      <c r="K37" s="37"/>
      <c r="L37" s="37"/>
      <c r="M37" s="37"/>
      <c r="N37" s="37"/>
      <c r="O37" s="37"/>
      <c r="P37" s="37"/>
      <c r="Q37" s="37"/>
      <c r="R37" s="37"/>
      <c r="S37" s="37"/>
      <c r="T37" s="37"/>
      <c r="U37" s="3"/>
      <c r="W37" s="3"/>
      <c r="X37" s="3"/>
      <c r="Y37" s="3"/>
      <c r="Z37" s="3"/>
    </row>
    <row r="38" spans="1:26" ht="15.75" customHeight="1" collapsed="1" x14ac:dyDescent="0.3">
      <c r="A38" s="3"/>
      <c r="B38" s="84" t="s">
        <v>306</v>
      </c>
      <c r="C38" s="85" t="s">
        <v>43</v>
      </c>
      <c r="D38" s="85" t="s">
        <v>43</v>
      </c>
      <c r="E38" s="86">
        <f>SUM(E39:E62)</f>
        <v>0</v>
      </c>
      <c r="F38" s="86">
        <f>SUMIF(D39:D62,"OK",F39:F62)</f>
        <v>4886.5</v>
      </c>
      <c r="G38" s="87"/>
      <c r="H38" s="87"/>
      <c r="I38" s="88"/>
      <c r="J38" s="87"/>
      <c r="K38" s="37"/>
      <c r="L38" s="37"/>
      <c r="M38" s="37"/>
      <c r="N38" s="37"/>
      <c r="O38" s="37"/>
      <c r="P38" s="37"/>
      <c r="Q38" s="37"/>
      <c r="R38" s="37"/>
      <c r="S38" s="37"/>
      <c r="T38" s="37"/>
      <c r="U38" s="3"/>
      <c r="W38" s="3"/>
      <c r="X38" s="3"/>
      <c r="Y38" s="3"/>
      <c r="Z38" s="3"/>
    </row>
    <row r="39" spans="1:26" ht="15.75" hidden="1" customHeight="1" outlineLevel="1" x14ac:dyDescent="0.3">
      <c r="A39" s="3"/>
      <c r="B39" s="10" t="s">
        <v>307</v>
      </c>
      <c r="C39" s="62">
        <v>31</v>
      </c>
      <c r="D39" s="62" t="s">
        <v>94</v>
      </c>
      <c r="E39" s="12">
        <v>0</v>
      </c>
      <c r="F39" s="12">
        <v>795.7</v>
      </c>
      <c r="G39" s="65"/>
      <c r="H39" s="65" t="s">
        <v>37</v>
      </c>
      <c r="I39" s="112" t="s">
        <v>586</v>
      </c>
      <c r="J39" s="65"/>
      <c r="K39" s="37"/>
      <c r="L39" s="37"/>
      <c r="M39" s="37"/>
      <c r="N39" s="37"/>
      <c r="O39" s="37"/>
      <c r="P39" s="37"/>
      <c r="Q39" s="37"/>
      <c r="R39" s="37"/>
      <c r="S39" s="37"/>
      <c r="T39" s="37"/>
      <c r="U39" s="3"/>
      <c r="W39" s="3"/>
      <c r="X39" s="3"/>
      <c r="Y39" s="3"/>
      <c r="Z39" s="3"/>
    </row>
    <row r="40" spans="1:26" ht="15.75" hidden="1" customHeight="1" outlineLevel="1" x14ac:dyDescent="0.3">
      <c r="A40" s="3"/>
      <c r="B40" s="10" t="s">
        <v>587</v>
      </c>
      <c r="C40" s="62">
        <v>5</v>
      </c>
      <c r="D40" s="62" t="s">
        <v>94</v>
      </c>
      <c r="E40" s="12">
        <v>0</v>
      </c>
      <c r="F40" s="12">
        <v>650</v>
      </c>
      <c r="G40" s="65"/>
      <c r="H40" s="65" t="s">
        <v>37</v>
      </c>
      <c r="I40" s="112" t="s">
        <v>588</v>
      </c>
      <c r="J40" s="65"/>
      <c r="K40" s="37"/>
      <c r="L40" s="37"/>
      <c r="M40" s="37"/>
      <c r="N40" s="37"/>
      <c r="O40" s="37"/>
      <c r="P40" s="37"/>
      <c r="Q40" s="37"/>
      <c r="R40" s="37"/>
      <c r="S40" s="37"/>
      <c r="T40" s="37"/>
      <c r="U40" s="3"/>
      <c r="W40" s="3"/>
      <c r="X40" s="3"/>
      <c r="Y40" s="3"/>
      <c r="Z40" s="3"/>
    </row>
    <row r="41" spans="1:26" ht="15.75" hidden="1" customHeight="1" outlineLevel="1" x14ac:dyDescent="0.3">
      <c r="A41" s="3"/>
      <c r="B41" s="10" t="s">
        <v>589</v>
      </c>
      <c r="C41" s="62">
        <v>19</v>
      </c>
      <c r="D41" s="62" t="s">
        <v>94</v>
      </c>
      <c r="E41" s="12">
        <v>0</v>
      </c>
      <c r="F41" s="12">
        <v>650</v>
      </c>
      <c r="G41" s="65"/>
      <c r="H41" s="65" t="s">
        <v>37</v>
      </c>
      <c r="I41" s="112" t="s">
        <v>590</v>
      </c>
      <c r="J41" s="65"/>
      <c r="K41" s="37"/>
      <c r="L41" s="37"/>
      <c r="M41" s="37"/>
      <c r="N41" s="37"/>
      <c r="O41" s="37"/>
      <c r="P41" s="37"/>
      <c r="Q41" s="37"/>
      <c r="R41" s="37"/>
      <c r="S41" s="37"/>
      <c r="T41" s="37"/>
      <c r="U41" s="3"/>
      <c r="W41" s="3"/>
      <c r="X41" s="3"/>
      <c r="Y41" s="3"/>
      <c r="Z41" s="3"/>
    </row>
    <row r="42" spans="1:26" ht="15.75" hidden="1" customHeight="1" outlineLevel="1" x14ac:dyDescent="0.3">
      <c r="A42" s="3"/>
      <c r="B42" s="10" t="s">
        <v>312</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5.75" hidden="1" customHeight="1" outlineLevel="1" x14ac:dyDescent="0.3">
      <c r="A43" s="3"/>
      <c r="B43" s="10" t="s">
        <v>314</v>
      </c>
      <c r="C43" s="62">
        <v>14</v>
      </c>
      <c r="D43" s="62" t="s">
        <v>94</v>
      </c>
      <c r="E43" s="12">
        <v>0</v>
      </c>
      <c r="F43" s="12">
        <v>84.9</v>
      </c>
      <c r="G43" s="65"/>
      <c r="H43" s="65" t="s">
        <v>37</v>
      </c>
      <c r="I43" s="112" t="s">
        <v>591</v>
      </c>
      <c r="J43" s="65"/>
      <c r="K43" s="37"/>
      <c r="L43" s="37"/>
      <c r="M43" s="37"/>
      <c r="N43" s="37"/>
      <c r="O43" s="37"/>
      <c r="P43" s="37"/>
      <c r="Q43" s="37"/>
      <c r="R43" s="37"/>
      <c r="S43" s="37"/>
      <c r="T43" s="37"/>
      <c r="U43" s="3"/>
      <c r="W43" s="3"/>
      <c r="X43" s="3"/>
      <c r="Y43" s="3"/>
      <c r="Z43" s="3"/>
    </row>
    <row r="44" spans="1:26" ht="15.75" hidden="1" customHeight="1" outlineLevel="1" x14ac:dyDescent="0.3">
      <c r="A44" s="3"/>
      <c r="B44" s="10" t="s">
        <v>592</v>
      </c>
      <c r="C44" s="80">
        <v>23</v>
      </c>
      <c r="D44" s="62" t="s">
        <v>94</v>
      </c>
      <c r="E44" s="12">
        <v>0</v>
      </c>
      <c r="F44" s="12">
        <v>518</v>
      </c>
      <c r="G44" s="89" t="s">
        <v>593</v>
      </c>
      <c r="H44" s="65" t="s">
        <v>37</v>
      </c>
      <c r="I44" s="112" t="s">
        <v>594</v>
      </c>
      <c r="J44" s="65"/>
      <c r="K44" s="37"/>
      <c r="L44" s="37"/>
      <c r="M44" s="37"/>
      <c r="N44" s="37"/>
      <c r="O44" s="37"/>
      <c r="P44" s="37"/>
      <c r="Q44" s="37"/>
      <c r="R44" s="37"/>
      <c r="S44" s="37"/>
      <c r="T44" s="37"/>
      <c r="U44" s="3"/>
      <c r="W44" s="3"/>
      <c r="X44" s="3"/>
      <c r="Y44" s="3"/>
      <c r="Z44" s="3"/>
    </row>
    <row r="45" spans="1:26" ht="15.75" hidden="1" customHeight="1" outlineLevel="1" x14ac:dyDescent="0.3">
      <c r="A45" s="3"/>
      <c r="B45" s="10" t="s">
        <v>595</v>
      </c>
      <c r="C45" s="80">
        <v>23</v>
      </c>
      <c r="D45" s="62" t="s">
        <v>94</v>
      </c>
      <c r="E45" s="12">
        <v>0</v>
      </c>
      <c r="F45" s="12">
        <v>212.9</v>
      </c>
      <c r="G45" s="89" t="s">
        <v>596</v>
      </c>
      <c r="H45" s="65" t="s">
        <v>37</v>
      </c>
      <c r="I45" s="112" t="s">
        <v>597</v>
      </c>
      <c r="J45" s="65"/>
      <c r="K45" s="37"/>
      <c r="L45" s="37"/>
      <c r="M45" s="37"/>
      <c r="N45" s="37"/>
      <c r="O45" s="37"/>
      <c r="P45" s="37"/>
      <c r="Q45" s="37"/>
      <c r="R45" s="37"/>
      <c r="S45" s="37"/>
      <c r="T45" s="37"/>
      <c r="U45" s="3"/>
      <c r="W45" s="3"/>
      <c r="X45" s="3"/>
      <c r="Y45" s="3"/>
      <c r="Z45" s="3"/>
    </row>
    <row r="46" spans="1:26" ht="15.75" hidden="1" customHeight="1" outlineLevel="1" x14ac:dyDescent="0.3">
      <c r="A46" s="3"/>
      <c r="B46" s="10" t="s">
        <v>540</v>
      </c>
      <c r="C46" s="62">
        <v>14</v>
      </c>
      <c r="D46" s="62" t="s">
        <v>94</v>
      </c>
      <c r="E46" s="12">
        <v>0</v>
      </c>
      <c r="F46" s="12">
        <v>1625</v>
      </c>
      <c r="G46" s="65" t="s">
        <v>598</v>
      </c>
      <c r="H46" s="65" t="s">
        <v>37</v>
      </c>
      <c r="I46" s="112" t="s">
        <v>599</v>
      </c>
      <c r="J46" s="65"/>
      <c r="K46" s="37"/>
      <c r="L46" s="37"/>
      <c r="M46" s="37"/>
      <c r="N46" s="37"/>
      <c r="O46" s="37"/>
      <c r="P46" s="37"/>
      <c r="Q46" s="37"/>
      <c r="R46" s="37"/>
      <c r="S46" s="37"/>
      <c r="T46" s="37"/>
      <c r="U46" s="3"/>
      <c r="W46" s="3"/>
      <c r="X46" s="3"/>
      <c r="Y46" s="3"/>
      <c r="Z46" s="3"/>
    </row>
    <row r="47" spans="1:26" ht="15.75" hidden="1" customHeight="1" outlineLevel="1" x14ac:dyDescent="0.3">
      <c r="A47" s="3"/>
      <c r="B47" s="10" t="s">
        <v>600</v>
      </c>
      <c r="C47" s="80">
        <v>15</v>
      </c>
      <c r="D47" s="62" t="s">
        <v>94</v>
      </c>
      <c r="E47" s="12">
        <v>0</v>
      </c>
      <c r="F47" s="12">
        <v>350</v>
      </c>
      <c r="G47" s="89"/>
      <c r="H47" s="65" t="s">
        <v>37</v>
      </c>
      <c r="I47" s="112" t="s">
        <v>601</v>
      </c>
      <c r="J47" s="65"/>
      <c r="K47" s="37"/>
      <c r="L47" s="37"/>
      <c r="M47" s="37"/>
      <c r="N47" s="37"/>
      <c r="O47" s="37"/>
      <c r="P47" s="37"/>
      <c r="Q47" s="37"/>
      <c r="R47" s="37"/>
      <c r="S47" s="37"/>
      <c r="T47" s="37"/>
      <c r="U47" s="3"/>
      <c r="W47" s="3"/>
      <c r="X47" s="3"/>
      <c r="Y47" s="3"/>
      <c r="Z47" s="3"/>
    </row>
    <row r="48" spans="1:26" ht="15.75" hidden="1" customHeight="1" outlineLevel="1" x14ac:dyDescent="0.3">
      <c r="A48" s="3"/>
      <c r="B48" s="10" t="s">
        <v>50</v>
      </c>
      <c r="C48" s="80"/>
      <c r="D48" s="62"/>
      <c r="E48" s="12">
        <v>0</v>
      </c>
      <c r="F48" s="12">
        <v>0</v>
      </c>
      <c r="G48" s="89"/>
      <c r="H48" s="65"/>
      <c r="I48" s="112"/>
      <c r="J48" s="65"/>
      <c r="K48" s="37"/>
      <c r="L48" s="37"/>
      <c r="M48" s="37"/>
      <c r="N48" s="37"/>
      <c r="O48" s="37"/>
      <c r="P48" s="37"/>
      <c r="Q48" s="37"/>
      <c r="R48" s="37"/>
      <c r="S48" s="37"/>
      <c r="T48" s="37"/>
      <c r="U48" s="3"/>
      <c r="W48" s="3"/>
      <c r="X48" s="3"/>
      <c r="Y48" s="3"/>
      <c r="Z48" s="3"/>
    </row>
    <row r="49" spans="1:26" ht="15.75" hidden="1" customHeight="1" outlineLevel="1" x14ac:dyDescent="0.3">
      <c r="A49" s="3"/>
      <c r="B49" s="10" t="s">
        <v>50</v>
      </c>
      <c r="C49" s="80"/>
      <c r="D49" s="62"/>
      <c r="E49" s="12">
        <v>0</v>
      </c>
      <c r="F49" s="12">
        <v>0</v>
      </c>
      <c r="G49" s="89"/>
      <c r="H49" s="65"/>
      <c r="I49" s="112"/>
      <c r="J49" s="65"/>
      <c r="K49" s="37"/>
      <c r="L49" s="37"/>
      <c r="M49" s="37"/>
      <c r="N49" s="37"/>
      <c r="O49" s="37"/>
      <c r="P49" s="37"/>
      <c r="Q49" s="37"/>
      <c r="R49" s="37"/>
      <c r="S49" s="37"/>
      <c r="T49" s="37"/>
      <c r="U49" s="3"/>
      <c r="W49" s="3"/>
      <c r="X49" s="3"/>
      <c r="Y49" s="3"/>
      <c r="Z49" s="3"/>
    </row>
    <row r="50" spans="1:26" ht="15.75" hidden="1" customHeight="1" outlineLevel="1" x14ac:dyDescent="0.3">
      <c r="A50" s="3"/>
      <c r="B50" s="10" t="s">
        <v>50</v>
      </c>
      <c r="C50" s="62"/>
      <c r="D50" s="62"/>
      <c r="E50" s="12">
        <v>0</v>
      </c>
      <c r="F50" s="12">
        <v>0</v>
      </c>
      <c r="G50" s="65"/>
      <c r="H50" s="65"/>
      <c r="I50" s="112"/>
      <c r="J50" s="65"/>
      <c r="K50" s="37"/>
      <c r="L50" s="37"/>
      <c r="M50" s="37"/>
      <c r="N50" s="37"/>
      <c r="O50" s="37"/>
      <c r="P50" s="37"/>
      <c r="Q50" s="37"/>
      <c r="R50" s="37"/>
      <c r="S50" s="37"/>
      <c r="T50" s="37"/>
      <c r="U50" s="3"/>
      <c r="W50" s="3"/>
      <c r="X50" s="3"/>
      <c r="Y50" s="3"/>
      <c r="Z50" s="3"/>
    </row>
    <row r="51" spans="1:26" ht="15.75" hidden="1" customHeight="1" outlineLevel="1" x14ac:dyDescent="0.3">
      <c r="A51" s="3"/>
      <c r="B51" s="10" t="s">
        <v>50</v>
      </c>
      <c r="C51" s="62"/>
      <c r="D51" s="62"/>
      <c r="E51" s="12">
        <v>0</v>
      </c>
      <c r="F51" s="12">
        <v>0</v>
      </c>
      <c r="G51" s="65"/>
      <c r="H51" s="65"/>
      <c r="I51" s="112"/>
      <c r="J51" s="65"/>
      <c r="K51" s="37"/>
      <c r="L51" s="37"/>
      <c r="M51" s="37"/>
      <c r="N51" s="37"/>
      <c r="O51" s="37"/>
      <c r="P51" s="37"/>
      <c r="Q51" s="37"/>
      <c r="R51" s="37"/>
      <c r="S51" s="37"/>
      <c r="T51" s="37"/>
      <c r="U51" s="3"/>
      <c r="W51" s="3"/>
      <c r="X51" s="3"/>
      <c r="Y51" s="3"/>
      <c r="Z51" s="3"/>
    </row>
    <row r="52" spans="1:26" ht="15.75" hidden="1" customHeight="1" outlineLevel="1" x14ac:dyDescent="0.3">
      <c r="A52" s="3"/>
      <c r="B52" s="10" t="s">
        <v>50</v>
      </c>
      <c r="C52" s="62"/>
      <c r="D52" s="62"/>
      <c r="E52" s="12">
        <v>0</v>
      </c>
      <c r="F52" s="12">
        <v>0</v>
      </c>
      <c r="G52" s="65"/>
      <c r="H52" s="65"/>
      <c r="I52" s="112"/>
      <c r="J52" s="65"/>
      <c r="K52" s="37"/>
      <c r="L52" s="37"/>
      <c r="M52" s="37"/>
      <c r="N52" s="37"/>
      <c r="O52" s="37"/>
      <c r="P52" s="37"/>
      <c r="Q52" s="37"/>
      <c r="R52" s="37"/>
      <c r="S52" s="37"/>
      <c r="T52" s="37"/>
      <c r="U52" s="3"/>
      <c r="W52" s="3"/>
      <c r="X52" s="3"/>
      <c r="Y52" s="3"/>
      <c r="Z52" s="3"/>
    </row>
    <row r="53" spans="1:26" ht="15.75" hidden="1" customHeight="1" outlineLevel="1" x14ac:dyDescent="0.3">
      <c r="A53" s="3"/>
      <c r="B53" s="10" t="s">
        <v>50</v>
      </c>
      <c r="C53" s="62"/>
      <c r="D53" s="62"/>
      <c r="E53" s="12">
        <v>0</v>
      </c>
      <c r="F53" s="12">
        <v>0</v>
      </c>
      <c r="G53" s="65"/>
      <c r="H53" s="65"/>
      <c r="I53" s="112"/>
      <c r="J53" s="65"/>
      <c r="K53" s="37"/>
      <c r="L53" s="37"/>
      <c r="M53" s="37"/>
      <c r="N53" s="37"/>
      <c r="O53" s="37"/>
      <c r="P53" s="37"/>
      <c r="Q53" s="37"/>
      <c r="R53" s="37"/>
      <c r="S53" s="37"/>
      <c r="T53" s="37"/>
      <c r="U53" s="3"/>
      <c r="W53" s="3"/>
      <c r="X53" s="3"/>
      <c r="Y53" s="3"/>
      <c r="Z53" s="3"/>
    </row>
    <row r="54" spans="1:26" ht="15.75" hidden="1" customHeight="1" outlineLevel="1" x14ac:dyDescent="0.3">
      <c r="A54" s="3"/>
      <c r="B54" s="10" t="s">
        <v>50</v>
      </c>
      <c r="C54" s="62"/>
      <c r="D54" s="62"/>
      <c r="E54" s="12">
        <v>0</v>
      </c>
      <c r="F54" s="12">
        <v>0</v>
      </c>
      <c r="G54" s="65"/>
      <c r="H54" s="65"/>
      <c r="I54" s="112"/>
      <c r="J54" s="65"/>
      <c r="K54" s="37"/>
      <c r="L54" s="37"/>
      <c r="M54" s="37"/>
      <c r="N54" s="37"/>
      <c r="O54" s="37"/>
      <c r="P54" s="37"/>
      <c r="Q54" s="37"/>
      <c r="R54" s="37"/>
      <c r="S54" s="37"/>
      <c r="T54" s="37"/>
      <c r="U54" s="3"/>
      <c r="W54" s="3"/>
      <c r="X54" s="3"/>
      <c r="Y54" s="3"/>
      <c r="Z54" s="3"/>
    </row>
    <row r="55" spans="1:26" ht="15.75" hidden="1" customHeight="1" outlineLevel="1" x14ac:dyDescent="0.3">
      <c r="A55" s="3"/>
      <c r="B55" s="10" t="s">
        <v>50</v>
      </c>
      <c r="C55" s="62"/>
      <c r="D55" s="62"/>
      <c r="E55" s="12">
        <v>0</v>
      </c>
      <c r="F55" s="12">
        <v>0</v>
      </c>
      <c r="G55" s="89"/>
      <c r="H55" s="65"/>
      <c r="I55" s="112"/>
      <c r="J55" s="65"/>
      <c r="K55" s="37"/>
      <c r="L55" s="37"/>
      <c r="M55" s="37"/>
      <c r="N55" s="37"/>
      <c r="O55" s="37"/>
      <c r="P55" s="37"/>
      <c r="Q55" s="37"/>
      <c r="R55" s="37"/>
      <c r="S55" s="37"/>
      <c r="T55" s="37"/>
      <c r="U55" s="3"/>
      <c r="W55" s="3"/>
      <c r="X55" s="3"/>
      <c r="Y55" s="3"/>
      <c r="Z55" s="3"/>
    </row>
    <row r="56" spans="1:26" ht="15.75" hidden="1" customHeight="1" outlineLevel="1" x14ac:dyDescent="0.3">
      <c r="A56" s="3"/>
      <c r="B56" s="10" t="s">
        <v>50</v>
      </c>
      <c r="C56" s="62"/>
      <c r="D56" s="62"/>
      <c r="E56" s="12">
        <v>0</v>
      </c>
      <c r="F56" s="12">
        <v>0</v>
      </c>
      <c r="G56" s="89"/>
      <c r="H56" s="65"/>
      <c r="I56" s="112"/>
      <c r="J56" s="65"/>
      <c r="K56" s="37"/>
      <c r="L56" s="37"/>
      <c r="M56" s="37"/>
      <c r="N56" s="37"/>
      <c r="O56" s="37"/>
      <c r="P56" s="37"/>
      <c r="Q56" s="37"/>
      <c r="R56" s="37"/>
      <c r="S56" s="37"/>
      <c r="T56" s="37"/>
      <c r="U56" s="3"/>
      <c r="W56" s="3"/>
      <c r="X56" s="3"/>
      <c r="Y56" s="3"/>
      <c r="Z56" s="3"/>
    </row>
    <row r="57" spans="1:26" ht="15.75" hidden="1" customHeight="1" outlineLevel="1" x14ac:dyDescent="0.3">
      <c r="A57" s="3"/>
      <c r="B57" s="10" t="s">
        <v>50</v>
      </c>
      <c r="C57" s="62"/>
      <c r="D57" s="62"/>
      <c r="E57" s="12">
        <v>0</v>
      </c>
      <c r="F57" s="12">
        <v>0</v>
      </c>
      <c r="G57" s="89"/>
      <c r="H57" s="65"/>
      <c r="I57" s="112"/>
      <c r="J57" s="65"/>
      <c r="K57" s="37"/>
      <c r="L57" s="37"/>
      <c r="M57" s="37"/>
      <c r="N57" s="37"/>
      <c r="O57" s="37"/>
      <c r="P57" s="37"/>
      <c r="Q57" s="37"/>
      <c r="R57" s="37"/>
      <c r="S57" s="37"/>
      <c r="T57" s="37"/>
      <c r="U57" s="3"/>
      <c r="W57" s="3"/>
      <c r="X57" s="3"/>
      <c r="Y57" s="3"/>
      <c r="Z57" s="3"/>
    </row>
    <row r="58" spans="1:26" ht="15.75" hidden="1" customHeight="1" outlineLevel="1" x14ac:dyDescent="0.3">
      <c r="A58" s="3"/>
      <c r="B58" s="10" t="s">
        <v>50</v>
      </c>
      <c r="C58" s="62"/>
      <c r="D58" s="62"/>
      <c r="E58" s="12">
        <v>0</v>
      </c>
      <c r="F58" s="12">
        <v>0</v>
      </c>
      <c r="G58" s="89"/>
      <c r="H58" s="65"/>
      <c r="I58" s="112"/>
      <c r="J58" s="65"/>
      <c r="K58" s="37"/>
      <c r="L58" s="37"/>
      <c r="M58" s="37"/>
      <c r="N58" s="37"/>
      <c r="O58" s="37"/>
      <c r="P58" s="37"/>
      <c r="Q58" s="37"/>
      <c r="R58" s="37"/>
      <c r="S58" s="37"/>
      <c r="T58" s="37"/>
      <c r="U58" s="3"/>
      <c r="W58" s="3"/>
      <c r="X58" s="3"/>
      <c r="Y58" s="3"/>
      <c r="Z58" s="3"/>
    </row>
    <row r="59" spans="1:26" ht="15.75" hidden="1" customHeight="1" outlineLevel="1" x14ac:dyDescent="0.3">
      <c r="A59" s="3"/>
      <c r="B59" s="10" t="s">
        <v>50</v>
      </c>
      <c r="C59" s="62"/>
      <c r="D59" s="62"/>
      <c r="E59" s="12">
        <v>0</v>
      </c>
      <c r="F59" s="12">
        <v>0</v>
      </c>
      <c r="G59" s="89"/>
      <c r="H59" s="65"/>
      <c r="I59" s="112"/>
      <c r="J59" s="65"/>
      <c r="K59" s="37"/>
      <c r="L59" s="37"/>
      <c r="M59" s="37"/>
      <c r="N59" s="37"/>
      <c r="O59" s="37"/>
      <c r="P59" s="37"/>
      <c r="Q59" s="37"/>
      <c r="R59" s="37"/>
      <c r="S59" s="37"/>
      <c r="T59" s="37"/>
      <c r="U59" s="3"/>
      <c r="W59" s="3"/>
      <c r="X59" s="3"/>
      <c r="Y59" s="3"/>
      <c r="Z59" s="3"/>
    </row>
    <row r="60" spans="1:26" ht="15.75" hidden="1" customHeight="1" outlineLevel="1" x14ac:dyDescent="0.3">
      <c r="A60" s="3"/>
      <c r="B60" s="10" t="s">
        <v>50</v>
      </c>
      <c r="C60" s="62"/>
      <c r="D60" s="62"/>
      <c r="E60" s="12">
        <v>0</v>
      </c>
      <c r="F60" s="12">
        <v>0</v>
      </c>
      <c r="G60" s="89"/>
      <c r="H60" s="65"/>
      <c r="I60" s="112"/>
      <c r="J60" s="65"/>
      <c r="K60" s="37"/>
      <c r="L60" s="37"/>
      <c r="M60" s="37"/>
      <c r="N60" s="37"/>
      <c r="O60" s="37"/>
      <c r="P60" s="37"/>
      <c r="Q60" s="37"/>
      <c r="R60" s="37"/>
      <c r="S60" s="37"/>
      <c r="T60" s="37"/>
      <c r="U60" s="3"/>
      <c r="W60" s="3"/>
      <c r="X60" s="3"/>
      <c r="Y60" s="3"/>
      <c r="Z60" s="3"/>
    </row>
    <row r="61" spans="1:26" ht="15.75" hidden="1" customHeight="1" outlineLevel="1" x14ac:dyDescent="0.3">
      <c r="A61" s="3"/>
      <c r="B61" s="10" t="s">
        <v>50</v>
      </c>
      <c r="C61" s="62"/>
      <c r="D61" s="62"/>
      <c r="E61" s="12">
        <v>0</v>
      </c>
      <c r="F61" s="12">
        <v>0</v>
      </c>
      <c r="G61" s="89"/>
      <c r="H61" s="65"/>
      <c r="I61" s="112"/>
      <c r="J61" s="65"/>
      <c r="K61" s="37"/>
      <c r="L61" s="37"/>
      <c r="M61" s="37"/>
      <c r="N61" s="37"/>
      <c r="O61" s="37"/>
      <c r="P61" s="37"/>
      <c r="Q61" s="37"/>
      <c r="R61" s="37"/>
      <c r="S61" s="37"/>
      <c r="T61" s="37"/>
      <c r="U61" s="3"/>
      <c r="W61" s="3"/>
      <c r="X61" s="3"/>
      <c r="Y61" s="3"/>
      <c r="Z61" s="3"/>
    </row>
    <row r="62" spans="1:26" ht="15.75" hidden="1" customHeight="1" outlineLevel="1" x14ac:dyDescent="0.3">
      <c r="A62" s="3"/>
      <c r="B62" s="10" t="s">
        <v>50</v>
      </c>
      <c r="C62" s="62"/>
      <c r="D62" s="62"/>
      <c r="E62" s="12">
        <v>0</v>
      </c>
      <c r="F62" s="12">
        <v>0</v>
      </c>
      <c r="G62" s="65"/>
      <c r="H62" s="65"/>
      <c r="I62" s="112"/>
      <c r="J62" s="65"/>
      <c r="K62" s="37"/>
      <c r="L62" s="37"/>
      <c r="M62" s="37"/>
      <c r="N62" s="37"/>
      <c r="O62" s="37"/>
      <c r="P62" s="37"/>
      <c r="Q62" s="37"/>
      <c r="R62" s="37"/>
      <c r="S62" s="37"/>
      <c r="T62" s="37"/>
      <c r="U62" s="3"/>
      <c r="W62" s="3"/>
      <c r="X62" s="3"/>
      <c r="Y62" s="3"/>
      <c r="Z62" s="3"/>
    </row>
    <row r="63" spans="1:26" ht="15.75" customHeight="1" collapsed="1" x14ac:dyDescent="0.3">
      <c r="A63" s="3"/>
      <c r="B63" s="84" t="s">
        <v>329</v>
      </c>
      <c r="C63" s="85" t="s">
        <v>43</v>
      </c>
      <c r="D63" s="85" t="s">
        <v>43</v>
      </c>
      <c r="E63" s="86">
        <f>SUM(E64:E92)</f>
        <v>0</v>
      </c>
      <c r="F63" s="86">
        <f>SUMIF(D64:D92,"OK",F64:F92)</f>
        <v>2783.7400000000002</v>
      </c>
      <c r="G63" s="87"/>
      <c r="H63" s="87"/>
      <c r="I63" s="88"/>
      <c r="J63" s="87"/>
      <c r="K63" s="37"/>
      <c r="L63" s="37"/>
      <c r="M63" s="37"/>
      <c r="N63" s="37"/>
      <c r="O63" s="37"/>
      <c r="P63" s="37"/>
      <c r="Q63" s="37"/>
      <c r="R63" s="37"/>
      <c r="S63" s="37"/>
      <c r="T63" s="37"/>
      <c r="U63" s="3"/>
    </row>
    <row r="64" spans="1:26" ht="15.75" hidden="1" customHeight="1" outlineLevel="1" x14ac:dyDescent="0.3">
      <c r="A64" s="3"/>
      <c r="B64" s="10" t="s">
        <v>602</v>
      </c>
      <c r="C64" s="80">
        <v>6</v>
      </c>
      <c r="D64" s="62" t="s">
        <v>94</v>
      </c>
      <c r="E64" s="12">
        <v>0</v>
      </c>
      <c r="F64" s="12">
        <v>161.38999999999999</v>
      </c>
      <c r="G64" s="89"/>
      <c r="H64" s="65" t="s">
        <v>37</v>
      </c>
      <c r="I64" s="112" t="s">
        <v>603</v>
      </c>
      <c r="J64" s="89"/>
      <c r="K64" s="37"/>
      <c r="L64" s="37"/>
      <c r="M64" s="37"/>
      <c r="N64" s="37"/>
      <c r="O64" s="37"/>
      <c r="P64" s="37"/>
      <c r="Q64" s="37"/>
      <c r="R64" s="37"/>
      <c r="S64" s="37"/>
      <c r="T64" s="37"/>
      <c r="U64" s="3"/>
      <c r="V64" s="18"/>
    </row>
    <row r="65" spans="1:22" ht="15.75" hidden="1" customHeight="1" outlineLevel="1" x14ac:dyDescent="0.3">
      <c r="A65" s="3"/>
      <c r="B65" s="10" t="s">
        <v>602</v>
      </c>
      <c r="C65" s="80">
        <v>6</v>
      </c>
      <c r="D65" s="62" t="s">
        <v>94</v>
      </c>
      <c r="E65" s="12">
        <v>0</v>
      </c>
      <c r="F65" s="12">
        <v>31.8</v>
      </c>
      <c r="G65" s="89"/>
      <c r="H65" s="65" t="s">
        <v>37</v>
      </c>
      <c r="I65" s="112" t="s">
        <v>604</v>
      </c>
      <c r="J65" s="89"/>
      <c r="K65" s="37"/>
      <c r="L65" s="37"/>
      <c r="M65" s="37"/>
      <c r="N65" s="37"/>
      <c r="O65" s="37"/>
      <c r="P65" s="37"/>
      <c r="Q65" s="37"/>
      <c r="R65" s="37"/>
      <c r="S65" s="37"/>
      <c r="T65" s="37"/>
      <c r="U65" s="3"/>
      <c r="V65" s="18"/>
    </row>
    <row r="66" spans="1:22" ht="15.75" hidden="1" customHeight="1" outlineLevel="1" x14ac:dyDescent="0.3">
      <c r="A66" s="3"/>
      <c r="B66" s="10" t="s">
        <v>602</v>
      </c>
      <c r="C66" s="80">
        <v>7</v>
      </c>
      <c r="D66" s="62" t="s">
        <v>94</v>
      </c>
      <c r="E66" s="12">
        <v>0</v>
      </c>
      <c r="F66" s="12">
        <v>45</v>
      </c>
      <c r="G66" s="89" t="s">
        <v>605</v>
      </c>
      <c r="H66" s="65" t="s">
        <v>37</v>
      </c>
      <c r="I66" s="112" t="s">
        <v>606</v>
      </c>
      <c r="J66" s="89"/>
      <c r="K66" s="37"/>
      <c r="L66" s="37"/>
      <c r="M66" s="37"/>
      <c r="N66" s="37"/>
      <c r="O66" s="37"/>
      <c r="P66" s="37"/>
      <c r="Q66" s="37"/>
      <c r="R66" s="37"/>
      <c r="S66" s="37"/>
      <c r="T66" s="37"/>
      <c r="U66" s="3"/>
      <c r="V66" s="18"/>
    </row>
    <row r="67" spans="1:22" ht="15.75" hidden="1" customHeight="1" outlineLevel="1" x14ac:dyDescent="0.3">
      <c r="A67" s="3"/>
      <c r="B67" s="10" t="s">
        <v>602</v>
      </c>
      <c r="C67" s="80">
        <v>7</v>
      </c>
      <c r="D67" s="62" t="s">
        <v>94</v>
      </c>
      <c r="E67" s="12">
        <v>0</v>
      </c>
      <c r="F67" s="12">
        <v>86.71</v>
      </c>
      <c r="G67" s="89"/>
      <c r="H67" s="65" t="s">
        <v>37</v>
      </c>
      <c r="I67" s="112" t="s">
        <v>607</v>
      </c>
      <c r="J67" s="89"/>
      <c r="K67" s="37"/>
      <c r="L67" s="37"/>
      <c r="M67" s="37"/>
      <c r="N67" s="37"/>
      <c r="O67" s="37"/>
      <c r="P67" s="37"/>
      <c r="Q67" s="37"/>
      <c r="R67" s="37"/>
      <c r="S67" s="37"/>
      <c r="T67" s="37"/>
      <c r="U67" s="3"/>
      <c r="V67" s="18"/>
    </row>
    <row r="68" spans="1:22" ht="15.75" hidden="1" customHeight="1" outlineLevel="1" x14ac:dyDescent="0.3">
      <c r="A68" s="3"/>
      <c r="B68" s="10" t="s">
        <v>602</v>
      </c>
      <c r="C68" s="80">
        <v>8</v>
      </c>
      <c r="D68" s="62" t="s">
        <v>94</v>
      </c>
      <c r="E68" s="12">
        <v>0</v>
      </c>
      <c r="F68" s="12">
        <v>80.489999999999995</v>
      </c>
      <c r="G68" s="89"/>
      <c r="H68" s="65" t="s">
        <v>37</v>
      </c>
      <c r="I68" s="112" t="s">
        <v>608</v>
      </c>
      <c r="J68" s="89"/>
      <c r="K68" s="37"/>
      <c r="L68" s="37"/>
      <c r="M68" s="37"/>
      <c r="N68" s="37"/>
      <c r="O68" s="37"/>
      <c r="P68" s="37"/>
      <c r="Q68" s="37"/>
      <c r="R68" s="37"/>
      <c r="S68" s="37"/>
      <c r="T68" s="37"/>
      <c r="U68" s="3"/>
      <c r="V68" s="18"/>
    </row>
    <row r="69" spans="1:22" ht="15.75" hidden="1" customHeight="1" outlineLevel="1" x14ac:dyDescent="0.3">
      <c r="A69" s="3"/>
      <c r="B69" s="10" t="s">
        <v>602</v>
      </c>
      <c r="C69" s="80">
        <v>8</v>
      </c>
      <c r="D69" s="62" t="s">
        <v>94</v>
      </c>
      <c r="E69" s="12">
        <v>0</v>
      </c>
      <c r="F69" s="12">
        <v>67.959999999999994</v>
      </c>
      <c r="G69" s="89"/>
      <c r="H69" s="65" t="s">
        <v>37</v>
      </c>
      <c r="I69" s="112" t="s">
        <v>609</v>
      </c>
      <c r="J69" s="89"/>
      <c r="K69" s="37"/>
      <c r="L69" s="37"/>
      <c r="M69" s="37"/>
      <c r="N69" s="37"/>
      <c r="O69" s="37"/>
      <c r="P69" s="37"/>
      <c r="Q69" s="37"/>
      <c r="R69" s="37"/>
      <c r="S69" s="37"/>
      <c r="T69" s="37"/>
      <c r="U69" s="3"/>
      <c r="V69" s="18"/>
    </row>
    <row r="70" spans="1:22" ht="15.75" hidden="1" customHeight="1" outlineLevel="1" x14ac:dyDescent="0.3">
      <c r="A70" s="3"/>
      <c r="B70" s="10" t="s">
        <v>602</v>
      </c>
      <c r="C70" s="80">
        <v>8</v>
      </c>
      <c r="D70" s="62" t="s">
        <v>94</v>
      </c>
      <c r="E70" s="12">
        <v>0</v>
      </c>
      <c r="F70" s="12">
        <v>279.75</v>
      </c>
      <c r="G70" s="89"/>
      <c r="H70" s="65" t="s">
        <v>37</v>
      </c>
      <c r="I70" s="112" t="s">
        <v>610</v>
      </c>
      <c r="J70" s="89"/>
      <c r="K70" s="37"/>
      <c r="L70" s="37"/>
      <c r="M70" s="37"/>
      <c r="N70" s="37"/>
      <c r="O70" s="37"/>
      <c r="P70" s="37"/>
      <c r="Q70" s="37"/>
      <c r="R70" s="37"/>
      <c r="S70" s="37"/>
      <c r="T70" s="37"/>
      <c r="U70" s="3"/>
      <c r="V70" s="18"/>
    </row>
    <row r="71" spans="1:22" ht="15.75" hidden="1" customHeight="1" outlineLevel="1" x14ac:dyDescent="0.3">
      <c r="A71" s="3"/>
      <c r="B71" s="10" t="s">
        <v>602</v>
      </c>
      <c r="C71" s="80">
        <v>8</v>
      </c>
      <c r="D71" s="62" t="s">
        <v>94</v>
      </c>
      <c r="E71" s="12">
        <v>0</v>
      </c>
      <c r="F71" s="12">
        <v>95</v>
      </c>
      <c r="G71" s="89"/>
      <c r="H71" s="65" t="s">
        <v>37</v>
      </c>
      <c r="I71" s="112" t="s">
        <v>611</v>
      </c>
      <c r="J71" s="89"/>
      <c r="K71" s="37"/>
      <c r="L71" s="37"/>
      <c r="M71" s="37"/>
      <c r="N71" s="37"/>
      <c r="O71" s="37"/>
      <c r="P71" s="37"/>
      <c r="Q71" s="37"/>
      <c r="R71" s="37"/>
      <c r="S71" s="37"/>
      <c r="T71" s="37"/>
      <c r="U71" s="3"/>
      <c r="V71" s="18"/>
    </row>
    <row r="72" spans="1:22" ht="15.75" hidden="1" customHeight="1" outlineLevel="1" x14ac:dyDescent="0.3">
      <c r="A72" s="3"/>
      <c r="B72" s="10" t="s">
        <v>612</v>
      </c>
      <c r="C72" s="80">
        <v>17</v>
      </c>
      <c r="D72" s="62" t="s">
        <v>94</v>
      </c>
      <c r="E72" s="12">
        <v>0</v>
      </c>
      <c r="F72" s="12">
        <v>57</v>
      </c>
      <c r="G72" s="89" t="s">
        <v>613</v>
      </c>
      <c r="H72" s="65" t="s">
        <v>37</v>
      </c>
      <c r="I72" s="112" t="s">
        <v>614</v>
      </c>
      <c r="J72" s="89"/>
      <c r="K72" s="37"/>
      <c r="L72" s="37"/>
      <c r="M72" s="37"/>
      <c r="N72" s="37"/>
      <c r="O72" s="37"/>
      <c r="P72" s="37"/>
      <c r="Q72" s="37"/>
      <c r="R72" s="37"/>
      <c r="S72" s="37"/>
      <c r="T72" s="37"/>
      <c r="U72" s="3"/>
      <c r="V72" s="18"/>
    </row>
    <row r="73" spans="1:22" ht="15.75" hidden="1" customHeight="1" outlineLevel="1" x14ac:dyDescent="0.3">
      <c r="A73" s="3"/>
      <c r="B73" s="10" t="s">
        <v>612</v>
      </c>
      <c r="C73" s="80">
        <v>18</v>
      </c>
      <c r="D73" s="62" t="s">
        <v>94</v>
      </c>
      <c r="E73" s="12">
        <v>0</v>
      </c>
      <c r="F73" s="12">
        <v>102</v>
      </c>
      <c r="G73" s="89"/>
      <c r="H73" s="65" t="s">
        <v>37</v>
      </c>
      <c r="I73" s="112" t="s">
        <v>615</v>
      </c>
      <c r="J73" s="89"/>
      <c r="K73" s="37"/>
      <c r="L73" s="37"/>
      <c r="M73" s="37"/>
      <c r="N73" s="37"/>
      <c r="O73" s="37"/>
      <c r="P73" s="37"/>
      <c r="Q73" s="37"/>
      <c r="R73" s="37"/>
      <c r="S73" s="37"/>
      <c r="T73" s="37"/>
      <c r="U73" s="3"/>
      <c r="V73" s="18"/>
    </row>
    <row r="74" spans="1:22" ht="15.75" hidden="1" customHeight="1" outlineLevel="1" x14ac:dyDescent="0.3">
      <c r="A74" s="3"/>
      <c r="B74" s="10" t="s">
        <v>612</v>
      </c>
      <c r="C74" s="80">
        <v>19</v>
      </c>
      <c r="D74" s="62" t="s">
        <v>94</v>
      </c>
      <c r="E74" s="12">
        <v>0</v>
      </c>
      <c r="F74" s="12">
        <v>209.47</v>
      </c>
      <c r="G74" s="89" t="s">
        <v>616</v>
      </c>
      <c r="H74" s="65" t="s">
        <v>37</v>
      </c>
      <c r="I74" s="112" t="s">
        <v>617</v>
      </c>
      <c r="J74" s="89"/>
      <c r="K74" s="37"/>
      <c r="L74" s="37"/>
      <c r="M74" s="37"/>
      <c r="N74" s="37"/>
      <c r="O74" s="37"/>
      <c r="P74" s="37"/>
      <c r="Q74" s="37"/>
      <c r="R74" s="37"/>
      <c r="S74" s="37"/>
      <c r="T74" s="37"/>
      <c r="U74" s="3"/>
      <c r="V74" s="18"/>
    </row>
    <row r="75" spans="1:22" ht="15.75" hidden="1" customHeight="1" outlineLevel="1" x14ac:dyDescent="0.3">
      <c r="A75" s="3"/>
      <c r="B75" s="10" t="s">
        <v>612</v>
      </c>
      <c r="C75" s="80">
        <v>19</v>
      </c>
      <c r="D75" s="62" t="s">
        <v>94</v>
      </c>
      <c r="E75" s="12">
        <v>0</v>
      </c>
      <c r="F75" s="12">
        <v>50</v>
      </c>
      <c r="G75" s="89" t="s">
        <v>616</v>
      </c>
      <c r="H75" s="65" t="s">
        <v>37</v>
      </c>
      <c r="I75" s="112" t="s">
        <v>618</v>
      </c>
      <c r="J75" s="89"/>
      <c r="K75" s="37"/>
      <c r="L75" s="37"/>
      <c r="M75" s="37"/>
      <c r="N75" s="37"/>
      <c r="O75" s="37"/>
      <c r="P75" s="37"/>
      <c r="Q75" s="37"/>
      <c r="R75" s="37"/>
      <c r="S75" s="37"/>
      <c r="T75" s="37"/>
      <c r="U75" s="3"/>
      <c r="V75" s="18"/>
    </row>
    <row r="76" spans="1:22" ht="15.75" hidden="1" customHeight="1" outlineLevel="1" x14ac:dyDescent="0.3">
      <c r="A76" s="3"/>
      <c r="B76" s="10" t="s">
        <v>619</v>
      </c>
      <c r="C76" s="80">
        <v>19</v>
      </c>
      <c r="D76" s="62" t="s">
        <v>94</v>
      </c>
      <c r="E76" s="12">
        <v>0</v>
      </c>
      <c r="F76" s="12">
        <v>574.95000000000005</v>
      </c>
      <c r="G76" s="89" t="s">
        <v>616</v>
      </c>
      <c r="H76" s="65" t="s">
        <v>37</v>
      </c>
      <c r="I76" s="112" t="s">
        <v>620</v>
      </c>
      <c r="J76" s="89"/>
      <c r="K76" s="37"/>
      <c r="L76" s="37"/>
      <c r="M76" s="37"/>
      <c r="N76" s="37"/>
      <c r="O76" s="37"/>
      <c r="P76" s="37"/>
      <c r="Q76" s="37"/>
      <c r="R76" s="37"/>
      <c r="S76" s="37"/>
      <c r="T76" s="37"/>
      <c r="U76" s="3"/>
      <c r="V76" s="18"/>
    </row>
    <row r="77" spans="1:22" ht="15.75" hidden="1" customHeight="1" outlineLevel="1" x14ac:dyDescent="0.3">
      <c r="A77" s="3"/>
      <c r="B77" s="10" t="s">
        <v>612</v>
      </c>
      <c r="C77" s="80">
        <v>19</v>
      </c>
      <c r="D77" s="62" t="s">
        <v>94</v>
      </c>
      <c r="E77" s="12">
        <v>0</v>
      </c>
      <c r="F77" s="12">
        <v>45</v>
      </c>
      <c r="G77" s="89" t="s">
        <v>605</v>
      </c>
      <c r="H77" s="65" t="s">
        <v>37</v>
      </c>
      <c r="I77" s="112" t="s">
        <v>606</v>
      </c>
      <c r="J77" s="89"/>
      <c r="K77" s="37"/>
      <c r="L77" s="37"/>
      <c r="M77" s="37"/>
      <c r="N77" s="37"/>
      <c r="O77" s="37"/>
      <c r="P77" s="37"/>
      <c r="Q77" s="37"/>
      <c r="R77" s="37"/>
      <c r="S77" s="37"/>
      <c r="T77" s="37"/>
      <c r="U77" s="3"/>
      <c r="V77" s="18"/>
    </row>
    <row r="78" spans="1:22" ht="15.75" hidden="1" customHeight="1" outlineLevel="1" x14ac:dyDescent="0.3">
      <c r="A78" s="3"/>
      <c r="B78" s="10" t="s">
        <v>612</v>
      </c>
      <c r="C78" s="80"/>
      <c r="D78" s="62"/>
      <c r="E78" s="12">
        <v>0</v>
      </c>
      <c r="F78" s="12">
        <v>0</v>
      </c>
      <c r="G78" s="89"/>
      <c r="H78" s="65"/>
      <c r="I78" s="112"/>
      <c r="J78" s="89"/>
      <c r="K78" s="37"/>
      <c r="L78" s="37"/>
      <c r="M78" s="37"/>
      <c r="N78" s="37"/>
      <c r="O78" s="37"/>
      <c r="P78" s="37"/>
      <c r="Q78" s="37"/>
      <c r="R78" s="37"/>
      <c r="S78" s="37"/>
      <c r="T78" s="37"/>
      <c r="U78" s="3"/>
      <c r="V78" s="18"/>
    </row>
    <row r="79" spans="1:22" ht="15.75" hidden="1" customHeight="1" outlineLevel="1" x14ac:dyDescent="0.3">
      <c r="A79" s="3"/>
      <c r="B79" s="10" t="s">
        <v>612</v>
      </c>
      <c r="C79" s="80"/>
      <c r="D79" s="62"/>
      <c r="E79" s="12">
        <v>0</v>
      </c>
      <c r="F79" s="12">
        <v>0</v>
      </c>
      <c r="G79" s="89"/>
      <c r="H79" s="65"/>
      <c r="I79" s="112"/>
      <c r="J79" s="89"/>
      <c r="K79" s="37"/>
      <c r="L79" s="37"/>
      <c r="M79" s="37"/>
      <c r="N79" s="37"/>
      <c r="O79" s="37"/>
      <c r="P79" s="37"/>
      <c r="Q79" s="37"/>
      <c r="R79" s="37"/>
      <c r="S79" s="37"/>
      <c r="T79" s="37"/>
      <c r="U79" s="3"/>
      <c r="V79" s="18"/>
    </row>
    <row r="80" spans="1:22" ht="15.75" hidden="1" customHeight="1" outlineLevel="1" x14ac:dyDescent="0.3">
      <c r="A80" s="3"/>
      <c r="B80" s="10" t="s">
        <v>330</v>
      </c>
      <c r="C80" s="80">
        <v>6</v>
      </c>
      <c r="D80" s="62" t="s">
        <v>94</v>
      </c>
      <c r="E80" s="12">
        <v>0</v>
      </c>
      <c r="F80" s="12">
        <v>29.97</v>
      </c>
      <c r="G80" s="89"/>
      <c r="H80" s="65" t="s">
        <v>37</v>
      </c>
      <c r="I80" s="112" t="s">
        <v>621</v>
      </c>
      <c r="J80" s="89"/>
      <c r="K80" s="37"/>
      <c r="L80" s="37"/>
      <c r="M80" s="37"/>
      <c r="N80" s="37"/>
      <c r="O80" s="37"/>
      <c r="P80" s="37"/>
      <c r="Q80" s="37"/>
      <c r="R80" s="37"/>
      <c r="S80" s="37"/>
      <c r="T80" s="37"/>
      <c r="U80" s="3"/>
      <c r="V80" s="18"/>
    </row>
    <row r="81" spans="1:26" ht="15.75" hidden="1" customHeight="1" outlineLevel="1" x14ac:dyDescent="0.3">
      <c r="A81" s="3"/>
      <c r="B81" s="10" t="s">
        <v>330</v>
      </c>
      <c r="C81" s="80">
        <v>8</v>
      </c>
      <c r="D81" s="62" t="s">
        <v>94</v>
      </c>
      <c r="E81" s="12">
        <v>0</v>
      </c>
      <c r="F81" s="12">
        <v>59.8</v>
      </c>
      <c r="G81" s="89"/>
      <c r="H81" s="65" t="s">
        <v>37</v>
      </c>
      <c r="I81" s="112" t="s">
        <v>622</v>
      </c>
      <c r="J81" s="89"/>
      <c r="K81" s="37"/>
      <c r="L81" s="37"/>
      <c r="M81" s="37"/>
      <c r="N81" s="37"/>
      <c r="O81" s="37"/>
      <c r="P81" s="37"/>
      <c r="Q81" s="37"/>
      <c r="R81" s="37"/>
      <c r="S81" s="37"/>
      <c r="T81" s="37"/>
      <c r="U81" s="3"/>
      <c r="V81" s="18"/>
    </row>
    <row r="82" spans="1:26" ht="15.75" hidden="1" customHeight="1" outlineLevel="1" x14ac:dyDescent="0.3">
      <c r="A82" s="3"/>
      <c r="B82" s="10" t="s">
        <v>330</v>
      </c>
      <c r="C82" s="80">
        <v>18</v>
      </c>
      <c r="D82" s="62" t="s">
        <v>94</v>
      </c>
      <c r="E82" s="12">
        <v>0</v>
      </c>
      <c r="F82" s="12">
        <v>34</v>
      </c>
      <c r="G82" s="89"/>
      <c r="H82" s="65" t="s">
        <v>37</v>
      </c>
      <c r="I82" s="112" t="s">
        <v>623</v>
      </c>
      <c r="J82" s="89"/>
      <c r="K82" s="37"/>
      <c r="L82" s="37"/>
      <c r="M82" s="37"/>
      <c r="N82" s="37"/>
      <c r="O82" s="37"/>
      <c r="P82" s="37"/>
      <c r="Q82" s="37"/>
      <c r="R82" s="37"/>
      <c r="S82" s="37"/>
      <c r="T82" s="37"/>
      <c r="U82" s="3"/>
      <c r="V82" s="18"/>
    </row>
    <row r="83" spans="1:26" ht="15.75" hidden="1" customHeight="1" outlineLevel="1" x14ac:dyDescent="0.3">
      <c r="A83" s="3"/>
      <c r="B83" s="10" t="s">
        <v>330</v>
      </c>
      <c r="C83" s="80">
        <v>18</v>
      </c>
      <c r="D83" s="62" t="s">
        <v>94</v>
      </c>
      <c r="E83" s="12">
        <v>0</v>
      </c>
      <c r="F83" s="12">
        <v>44.5</v>
      </c>
      <c r="G83" s="89"/>
      <c r="H83" s="65" t="s">
        <v>37</v>
      </c>
      <c r="I83" s="112" t="s">
        <v>624</v>
      </c>
      <c r="J83" s="89"/>
      <c r="K83" s="37"/>
      <c r="L83" s="37"/>
      <c r="M83" s="37"/>
      <c r="N83" s="37"/>
      <c r="O83" s="37"/>
      <c r="P83" s="37"/>
      <c r="Q83" s="37"/>
      <c r="R83" s="37"/>
      <c r="S83" s="37"/>
      <c r="T83" s="37"/>
      <c r="U83" s="3"/>
      <c r="V83" s="18"/>
    </row>
    <row r="84" spans="1:26" ht="15.75" hidden="1" customHeight="1" outlineLevel="1" x14ac:dyDescent="0.3">
      <c r="A84" s="3"/>
      <c r="B84" s="10" t="s">
        <v>330</v>
      </c>
      <c r="C84" s="80">
        <v>30</v>
      </c>
      <c r="D84" s="62" t="s">
        <v>94</v>
      </c>
      <c r="E84" s="12">
        <v>0</v>
      </c>
      <c r="F84" s="12">
        <v>253.53</v>
      </c>
      <c r="G84" s="89"/>
      <c r="H84" s="65" t="s">
        <v>37</v>
      </c>
      <c r="I84" s="112" t="s">
        <v>625</v>
      </c>
      <c r="J84" s="89"/>
      <c r="K84" s="37"/>
      <c r="L84" s="37"/>
      <c r="M84" s="37"/>
      <c r="N84" s="37"/>
      <c r="O84" s="37"/>
      <c r="P84" s="37"/>
      <c r="Q84" s="37"/>
      <c r="R84" s="37"/>
      <c r="S84" s="37"/>
      <c r="T84" s="37"/>
      <c r="U84" s="3"/>
      <c r="V84" s="18"/>
    </row>
    <row r="85" spans="1:26" ht="15.75" hidden="1" customHeight="1" outlineLevel="1" x14ac:dyDescent="0.3">
      <c r="A85" s="3"/>
      <c r="B85" s="10" t="s">
        <v>334</v>
      </c>
      <c r="C85" s="62">
        <v>15</v>
      </c>
      <c r="D85" s="62" t="s">
        <v>94</v>
      </c>
      <c r="E85" s="12">
        <v>0</v>
      </c>
      <c r="F85" s="12">
        <v>176</v>
      </c>
      <c r="G85" s="65"/>
      <c r="H85" s="65" t="s">
        <v>37</v>
      </c>
      <c r="I85" s="112" t="s">
        <v>626</v>
      </c>
      <c r="J85" s="65"/>
      <c r="K85" s="37"/>
      <c r="L85" s="37"/>
      <c r="M85" s="37"/>
      <c r="N85" s="37"/>
      <c r="O85" s="37"/>
      <c r="P85" s="37"/>
      <c r="Q85" s="37"/>
      <c r="R85" s="37"/>
      <c r="S85" s="37"/>
      <c r="T85" s="37"/>
      <c r="U85" s="3"/>
    </row>
    <row r="86" spans="1:26" ht="15.75" hidden="1" customHeight="1" outlineLevel="1" x14ac:dyDescent="0.3">
      <c r="A86" s="3"/>
      <c r="B86" s="10" t="s">
        <v>334</v>
      </c>
      <c r="C86" s="62"/>
      <c r="D86" s="62"/>
      <c r="E86" s="12">
        <v>0</v>
      </c>
      <c r="F86" s="12">
        <v>0</v>
      </c>
      <c r="G86" s="65"/>
      <c r="H86" s="65"/>
      <c r="I86" s="112"/>
      <c r="J86" s="65"/>
      <c r="K86" s="37"/>
      <c r="L86" s="37"/>
      <c r="M86" s="37"/>
      <c r="N86" s="37"/>
      <c r="O86" s="37"/>
      <c r="P86" s="37"/>
      <c r="Q86" s="37"/>
      <c r="R86" s="37"/>
      <c r="S86" s="37"/>
      <c r="T86" s="37"/>
      <c r="U86" s="3"/>
    </row>
    <row r="87" spans="1:26" ht="15.75" hidden="1" customHeight="1" outlineLevel="1" x14ac:dyDescent="0.3">
      <c r="A87" s="3"/>
      <c r="B87" s="10" t="s">
        <v>627</v>
      </c>
      <c r="C87" s="80">
        <v>8</v>
      </c>
      <c r="D87" s="62" t="s">
        <v>94</v>
      </c>
      <c r="E87" s="12">
        <v>0</v>
      </c>
      <c r="F87" s="12">
        <v>266.42</v>
      </c>
      <c r="G87" s="89"/>
      <c r="H87" s="65" t="s">
        <v>37</v>
      </c>
      <c r="I87" s="112" t="s">
        <v>628</v>
      </c>
      <c r="J87" s="89"/>
      <c r="K87" s="37"/>
      <c r="L87" s="37"/>
      <c r="M87" s="37"/>
      <c r="N87" s="37"/>
      <c r="O87" s="37"/>
      <c r="P87" s="37"/>
      <c r="Q87" s="37"/>
      <c r="R87" s="37"/>
      <c r="S87" s="37"/>
      <c r="T87" s="37"/>
      <c r="U87" s="3"/>
    </row>
    <row r="88" spans="1:26" ht="15.75" hidden="1" customHeight="1" outlineLevel="1" x14ac:dyDescent="0.3">
      <c r="A88" s="3"/>
      <c r="B88" s="10" t="s">
        <v>629</v>
      </c>
      <c r="C88" s="80">
        <v>19</v>
      </c>
      <c r="D88" s="62" t="s">
        <v>94</v>
      </c>
      <c r="E88" s="12">
        <v>0</v>
      </c>
      <c r="F88" s="12">
        <v>33</v>
      </c>
      <c r="G88" s="89" t="s">
        <v>616</v>
      </c>
      <c r="H88" s="65" t="s">
        <v>37</v>
      </c>
      <c r="I88" s="112" t="s">
        <v>630</v>
      </c>
      <c r="J88" s="89"/>
      <c r="K88" s="37"/>
      <c r="L88" s="37"/>
      <c r="M88" s="37"/>
      <c r="N88" s="37"/>
      <c r="O88" s="37"/>
      <c r="P88" s="37"/>
      <c r="Q88" s="37"/>
      <c r="R88" s="37"/>
      <c r="S88" s="37"/>
      <c r="T88" s="37"/>
      <c r="U88" s="3"/>
    </row>
    <row r="89" spans="1:26" ht="15.75" hidden="1" customHeight="1" outlineLevel="1" x14ac:dyDescent="0.3">
      <c r="A89" s="3"/>
      <c r="B89" s="10" t="s">
        <v>629</v>
      </c>
      <c r="C89" s="80"/>
      <c r="D89" s="62"/>
      <c r="E89" s="12">
        <v>0</v>
      </c>
      <c r="F89" s="12">
        <v>0</v>
      </c>
      <c r="G89" s="89"/>
      <c r="H89" s="65"/>
      <c r="I89" s="112"/>
      <c r="J89" s="89"/>
      <c r="K89" s="37"/>
      <c r="L89" s="37"/>
      <c r="M89" s="37"/>
      <c r="N89" s="37"/>
      <c r="O89" s="37"/>
      <c r="P89" s="37"/>
      <c r="Q89" s="37"/>
      <c r="R89" s="37"/>
      <c r="S89" s="37"/>
      <c r="T89" s="37"/>
      <c r="U89" s="3"/>
    </row>
    <row r="90" spans="1:26" ht="15.75" hidden="1" customHeight="1" outlineLevel="1" x14ac:dyDescent="0.3">
      <c r="A90" s="3"/>
      <c r="B90" s="10" t="s">
        <v>629</v>
      </c>
      <c r="C90" s="80"/>
      <c r="D90" s="62"/>
      <c r="E90" s="12">
        <v>0</v>
      </c>
      <c r="F90" s="12">
        <v>0</v>
      </c>
      <c r="G90" s="89"/>
      <c r="H90" s="65"/>
      <c r="I90" s="112"/>
      <c r="J90" s="89"/>
      <c r="K90" s="37"/>
      <c r="L90" s="37"/>
      <c r="M90" s="37"/>
      <c r="N90" s="37"/>
      <c r="O90" s="37"/>
      <c r="P90" s="37"/>
      <c r="Q90" s="37"/>
      <c r="R90" s="37"/>
      <c r="S90" s="37"/>
      <c r="T90" s="37"/>
      <c r="U90" s="3"/>
    </row>
    <row r="91" spans="1:26" ht="15.75" hidden="1" customHeight="1" outlineLevel="1" x14ac:dyDescent="0.3">
      <c r="A91" s="3"/>
      <c r="B91" s="10" t="s">
        <v>631</v>
      </c>
      <c r="C91" s="80"/>
      <c r="D91" s="62"/>
      <c r="E91" s="12">
        <v>0</v>
      </c>
      <c r="F91" s="12">
        <v>0</v>
      </c>
      <c r="G91" s="89"/>
      <c r="H91" s="65"/>
      <c r="I91" s="112"/>
      <c r="J91" s="65"/>
      <c r="K91" s="37"/>
      <c r="L91" s="37"/>
      <c r="M91" s="37"/>
      <c r="N91" s="37"/>
      <c r="O91" s="37"/>
      <c r="P91" s="37"/>
      <c r="Q91" s="37"/>
      <c r="R91" s="37"/>
      <c r="S91" s="37"/>
      <c r="T91" s="37"/>
      <c r="U91" s="3"/>
      <c r="W91" s="3"/>
      <c r="X91" s="3"/>
      <c r="Y91" s="3"/>
      <c r="Z91" s="3"/>
    </row>
    <row r="92" spans="1:26" ht="15.75" hidden="1" customHeight="1" outlineLevel="1" x14ac:dyDescent="0.3">
      <c r="A92" s="3"/>
      <c r="B92" s="10" t="s">
        <v>631</v>
      </c>
      <c r="C92" s="62"/>
      <c r="D92" s="62"/>
      <c r="E92" s="12">
        <v>0</v>
      </c>
      <c r="F92" s="12">
        <v>0</v>
      </c>
      <c r="G92" s="65"/>
      <c r="H92" s="65"/>
      <c r="I92" s="112"/>
      <c r="J92" s="65"/>
      <c r="K92" s="37"/>
      <c r="L92" s="37"/>
      <c r="M92" s="37"/>
      <c r="N92" s="37"/>
      <c r="O92" s="37"/>
      <c r="P92" s="37"/>
      <c r="Q92" s="37"/>
      <c r="R92" s="37"/>
      <c r="S92" s="37"/>
      <c r="T92" s="37"/>
      <c r="U92" s="3"/>
      <c r="W92" s="3"/>
      <c r="X92" s="3"/>
      <c r="Y92" s="3"/>
      <c r="Z92" s="3"/>
    </row>
    <row r="93" spans="1:26" ht="15.75" customHeight="1" collapsed="1" x14ac:dyDescent="0.3">
      <c r="A93" s="3"/>
      <c r="B93" s="84" t="s">
        <v>348</v>
      </c>
      <c r="C93" s="85" t="s">
        <v>43</v>
      </c>
      <c r="D93" s="85" t="s">
        <v>43</v>
      </c>
      <c r="E93" s="86">
        <f t="shared" ref="E93:F93" si="0">SUM(E94,E100,E104)</f>
        <v>0</v>
      </c>
      <c r="F93" s="86">
        <f t="shared" si="0"/>
        <v>0</v>
      </c>
      <c r="G93" s="87"/>
      <c r="H93" s="87"/>
      <c r="I93" s="88"/>
      <c r="J93" s="87"/>
      <c r="K93" s="37"/>
      <c r="L93" s="37"/>
      <c r="M93" s="37"/>
      <c r="N93" s="37"/>
      <c r="O93" s="37"/>
      <c r="P93" s="37"/>
      <c r="Q93" s="37"/>
      <c r="R93" s="37"/>
      <c r="S93" s="37"/>
      <c r="T93" s="37"/>
      <c r="U93" s="3"/>
      <c r="W93" s="3"/>
      <c r="X93" s="3"/>
      <c r="Y93" s="3"/>
      <c r="Z93" s="3"/>
    </row>
    <row r="94" spans="1:26" ht="15.75" hidden="1" customHeight="1" outlineLevel="1" x14ac:dyDescent="0.3">
      <c r="A94" s="3"/>
      <c r="B94" s="91" t="s">
        <v>349</v>
      </c>
      <c r="C94" s="92"/>
      <c r="D94" s="92"/>
      <c r="E94" s="93">
        <f>SUM(E95:E99)</f>
        <v>0</v>
      </c>
      <c r="F94" s="93">
        <f>SUMIF(D95:D99,"OK",F95:F99)</f>
        <v>0</v>
      </c>
      <c r="G94" s="94"/>
      <c r="H94" s="94"/>
      <c r="I94" s="95"/>
      <c r="J94" s="94"/>
      <c r="K94" s="37"/>
      <c r="L94" s="37"/>
      <c r="M94" s="37"/>
      <c r="N94" s="37"/>
      <c r="O94" s="37"/>
      <c r="P94" s="37"/>
      <c r="Q94" s="37"/>
      <c r="R94" s="37"/>
      <c r="S94" s="37"/>
      <c r="T94" s="37"/>
      <c r="U94" s="3"/>
      <c r="W94" s="3"/>
      <c r="X94" s="3"/>
      <c r="Y94" s="3"/>
      <c r="Z94" s="3"/>
    </row>
    <row r="95" spans="1:26" ht="15.75" hidden="1" customHeight="1" outlineLevel="1" x14ac:dyDescent="0.3">
      <c r="A95" s="3"/>
      <c r="B95" s="10" t="s">
        <v>330</v>
      </c>
      <c r="C95" s="62"/>
      <c r="D95" s="62"/>
      <c r="E95" s="12">
        <v>0</v>
      </c>
      <c r="F95" s="12">
        <v>0</v>
      </c>
      <c r="G95" s="65"/>
      <c r="H95" s="65"/>
      <c r="I95" s="89"/>
      <c r="J95" s="65"/>
      <c r="K95" s="37"/>
      <c r="L95" s="37"/>
      <c r="M95" s="37"/>
      <c r="N95" s="37"/>
      <c r="O95" s="37"/>
      <c r="P95" s="37"/>
      <c r="Q95" s="37"/>
      <c r="R95" s="37"/>
      <c r="S95" s="37"/>
      <c r="T95" s="37"/>
      <c r="U95" s="3"/>
      <c r="W95" s="3"/>
      <c r="X95" s="3"/>
      <c r="Y95" s="3"/>
      <c r="Z95" s="3"/>
    </row>
    <row r="96" spans="1:26" ht="15.75" hidden="1" customHeight="1" outlineLevel="1" x14ac:dyDescent="0.3">
      <c r="A96" s="3"/>
      <c r="B96" s="10" t="s">
        <v>334</v>
      </c>
      <c r="C96" s="62"/>
      <c r="D96" s="62"/>
      <c r="E96" s="12">
        <v>0</v>
      </c>
      <c r="F96" s="12">
        <v>0</v>
      </c>
      <c r="G96" s="65"/>
      <c r="H96" s="65"/>
      <c r="I96" s="89"/>
      <c r="J96" s="65"/>
      <c r="K96" s="37"/>
      <c r="L96" s="37"/>
      <c r="M96" s="37"/>
      <c r="N96" s="37"/>
      <c r="O96" s="37"/>
      <c r="P96" s="37"/>
      <c r="Q96" s="37"/>
      <c r="R96" s="37"/>
      <c r="S96" s="37"/>
      <c r="T96" s="37"/>
      <c r="U96" s="3"/>
      <c r="W96" s="3"/>
      <c r="X96" s="3"/>
      <c r="Y96" s="3"/>
      <c r="Z96" s="3"/>
    </row>
    <row r="97" spans="1:26" ht="15.75" hidden="1" customHeight="1" outlineLevel="1" x14ac:dyDescent="0.3">
      <c r="A97" s="3"/>
      <c r="B97" s="10" t="s">
        <v>350</v>
      </c>
      <c r="C97" s="62"/>
      <c r="D97" s="62"/>
      <c r="E97" s="12">
        <v>0</v>
      </c>
      <c r="F97" s="12">
        <v>0</v>
      </c>
      <c r="G97" s="65"/>
      <c r="H97" s="65"/>
      <c r="I97" s="89"/>
      <c r="J97" s="65"/>
      <c r="K97" s="37"/>
      <c r="L97" s="37"/>
      <c r="M97" s="37"/>
      <c r="N97" s="37"/>
      <c r="O97" s="37"/>
      <c r="P97" s="37"/>
      <c r="Q97" s="37"/>
      <c r="R97" s="37"/>
      <c r="S97" s="37"/>
      <c r="T97" s="37"/>
      <c r="U97" s="3"/>
      <c r="W97" s="3"/>
      <c r="X97" s="3"/>
      <c r="Y97" s="3"/>
      <c r="Z97" s="3"/>
    </row>
    <row r="98" spans="1:26" ht="15.75" hidden="1" customHeight="1" outlineLevel="1" x14ac:dyDescent="0.3">
      <c r="A98" s="3"/>
      <c r="B98" s="10" t="s">
        <v>351</v>
      </c>
      <c r="C98" s="62"/>
      <c r="D98" s="62"/>
      <c r="E98" s="12">
        <v>0</v>
      </c>
      <c r="F98" s="12">
        <v>0</v>
      </c>
      <c r="G98" s="65"/>
      <c r="H98" s="65"/>
      <c r="I98" s="89"/>
      <c r="J98" s="65"/>
      <c r="K98" s="37"/>
      <c r="L98" s="37"/>
      <c r="M98" s="37"/>
      <c r="N98" s="37"/>
      <c r="O98" s="37"/>
      <c r="P98" s="37"/>
      <c r="Q98" s="37"/>
      <c r="R98" s="37"/>
      <c r="S98" s="37"/>
      <c r="T98" s="37"/>
      <c r="U98" s="3"/>
      <c r="W98" s="3"/>
      <c r="X98" s="3"/>
      <c r="Y98" s="3"/>
      <c r="Z98" s="3"/>
    </row>
    <row r="99" spans="1:26" ht="15.75" hidden="1" customHeight="1" outlineLevel="1" x14ac:dyDescent="0.3">
      <c r="A99" s="3"/>
      <c r="B99" s="10" t="s">
        <v>345</v>
      </c>
      <c r="C99" s="62"/>
      <c r="D99" s="62"/>
      <c r="E99" s="12">
        <v>0</v>
      </c>
      <c r="F99" s="12">
        <v>0</v>
      </c>
      <c r="G99" s="65"/>
      <c r="H99" s="65"/>
      <c r="I99" s="89"/>
      <c r="J99" s="65"/>
      <c r="K99" s="37"/>
      <c r="L99" s="37"/>
      <c r="M99" s="37"/>
      <c r="N99" s="37"/>
      <c r="O99" s="37"/>
      <c r="P99" s="37"/>
      <c r="Q99" s="37"/>
      <c r="R99" s="37"/>
      <c r="S99" s="37"/>
      <c r="T99" s="37"/>
      <c r="U99" s="3"/>
      <c r="W99" s="3"/>
      <c r="X99" s="3"/>
      <c r="Y99" s="3"/>
      <c r="Z99" s="3"/>
    </row>
    <row r="100" spans="1:26" ht="15.75" hidden="1" customHeight="1" outlineLevel="1" x14ac:dyDescent="0.3">
      <c r="A100" s="3"/>
      <c r="B100" s="91" t="s">
        <v>352</v>
      </c>
      <c r="C100" s="92"/>
      <c r="D100" s="92"/>
      <c r="E100" s="93">
        <f>SUM(E101:E103)</f>
        <v>0</v>
      </c>
      <c r="F100" s="93">
        <f>SUMIF(D101:D103,"OK",F101:F103)</f>
        <v>0</v>
      </c>
      <c r="G100" s="94"/>
      <c r="H100" s="94"/>
      <c r="I100" s="95"/>
      <c r="J100" s="94"/>
      <c r="K100" s="37"/>
      <c r="L100" s="37"/>
      <c r="M100" s="37"/>
      <c r="N100" s="37"/>
      <c r="O100" s="37"/>
      <c r="P100" s="37"/>
      <c r="Q100" s="37"/>
      <c r="R100" s="37"/>
      <c r="S100" s="37"/>
      <c r="T100" s="37"/>
      <c r="U100" s="3"/>
      <c r="W100" s="3"/>
      <c r="X100" s="3"/>
      <c r="Y100" s="3"/>
      <c r="Z100" s="3"/>
    </row>
    <row r="101" spans="1:26" ht="15.75" hidden="1" customHeight="1" outlineLevel="1" x14ac:dyDescent="0.3">
      <c r="A101" s="3"/>
      <c r="B101" s="10" t="s">
        <v>353</v>
      </c>
      <c r="C101" s="62"/>
      <c r="D101" s="62"/>
      <c r="E101" s="12">
        <v>0</v>
      </c>
      <c r="F101" s="12">
        <v>0</v>
      </c>
      <c r="G101" s="65"/>
      <c r="H101" s="65"/>
      <c r="I101" s="89"/>
      <c r="J101" s="65"/>
      <c r="K101" s="37"/>
      <c r="L101" s="37"/>
      <c r="M101" s="37"/>
      <c r="N101" s="37"/>
      <c r="O101" s="37"/>
      <c r="P101" s="37"/>
      <c r="Q101" s="37"/>
      <c r="R101" s="37"/>
      <c r="S101" s="37"/>
      <c r="T101" s="37"/>
      <c r="U101" s="3"/>
      <c r="W101" s="3"/>
      <c r="X101" s="3"/>
      <c r="Y101" s="3"/>
      <c r="Z101" s="3"/>
    </row>
    <row r="102" spans="1:26" ht="15.75" hidden="1" customHeight="1" outlineLevel="1" x14ac:dyDescent="0.3">
      <c r="A102" s="3"/>
      <c r="B102" s="10" t="s">
        <v>354</v>
      </c>
      <c r="C102" s="62"/>
      <c r="D102" s="62"/>
      <c r="E102" s="12">
        <v>0</v>
      </c>
      <c r="F102" s="12">
        <v>0</v>
      </c>
      <c r="G102" s="65"/>
      <c r="H102" s="65"/>
      <c r="I102" s="89"/>
      <c r="J102" s="65"/>
      <c r="K102" s="37"/>
      <c r="L102" s="37"/>
      <c r="M102" s="37"/>
      <c r="N102" s="37"/>
      <c r="O102" s="37"/>
      <c r="P102" s="37"/>
      <c r="Q102" s="37"/>
      <c r="R102" s="37"/>
      <c r="S102" s="37"/>
      <c r="T102" s="37"/>
      <c r="U102" s="3"/>
      <c r="W102" s="3"/>
      <c r="X102" s="3"/>
      <c r="Y102" s="3"/>
      <c r="Z102" s="3"/>
    </row>
    <row r="103" spans="1:26" ht="15.75" hidden="1" customHeight="1" outlineLevel="1" x14ac:dyDescent="0.3">
      <c r="A103" s="3"/>
      <c r="B103" s="10" t="s">
        <v>355</v>
      </c>
      <c r="C103" s="62"/>
      <c r="D103" s="62"/>
      <c r="E103" s="12">
        <v>0</v>
      </c>
      <c r="F103" s="12">
        <v>0</v>
      </c>
      <c r="G103" s="65"/>
      <c r="H103" s="65"/>
      <c r="I103" s="89"/>
      <c r="J103" s="65"/>
      <c r="K103" s="37"/>
      <c r="L103" s="37"/>
      <c r="M103" s="37"/>
      <c r="N103" s="37"/>
      <c r="O103" s="37"/>
      <c r="P103" s="37"/>
      <c r="Q103" s="37"/>
      <c r="R103" s="37"/>
      <c r="S103" s="37"/>
      <c r="T103" s="37"/>
      <c r="U103" s="3"/>
      <c r="W103" s="3"/>
      <c r="X103" s="3"/>
      <c r="Y103" s="3"/>
      <c r="Z103" s="3"/>
    </row>
    <row r="104" spans="1:26" ht="15.75" hidden="1" customHeight="1" outlineLevel="1" x14ac:dyDescent="0.3">
      <c r="A104" s="3"/>
      <c r="B104" s="91" t="s">
        <v>356</v>
      </c>
      <c r="C104" s="92"/>
      <c r="D104" s="92"/>
      <c r="E104" s="93">
        <f>SUM(E105:E107)</f>
        <v>0</v>
      </c>
      <c r="F104" s="93">
        <f>SUMIF(D105:D107,"OK",F105:F107)</f>
        <v>0</v>
      </c>
      <c r="G104" s="94"/>
      <c r="H104" s="94"/>
      <c r="I104" s="95"/>
      <c r="J104" s="94"/>
      <c r="K104" s="37"/>
      <c r="L104" s="37"/>
      <c r="M104" s="37"/>
      <c r="N104" s="37"/>
      <c r="O104" s="37"/>
      <c r="P104" s="37"/>
      <c r="Q104" s="37"/>
      <c r="R104" s="37"/>
      <c r="S104" s="37"/>
      <c r="T104" s="37"/>
      <c r="U104" s="3"/>
      <c r="W104" s="3"/>
      <c r="X104" s="3"/>
      <c r="Y104" s="3"/>
      <c r="Z104" s="3"/>
    </row>
    <row r="105" spans="1:26" ht="15.75" hidden="1" customHeight="1" outlineLevel="1" x14ac:dyDescent="0.3">
      <c r="A105" s="3"/>
      <c r="B105" s="10" t="s">
        <v>353</v>
      </c>
      <c r="C105" s="62"/>
      <c r="D105" s="62"/>
      <c r="E105" s="12">
        <v>0</v>
      </c>
      <c r="F105" s="12">
        <v>0</v>
      </c>
      <c r="G105" s="65"/>
      <c r="H105" s="65"/>
      <c r="I105" s="89"/>
      <c r="J105" s="65"/>
      <c r="K105" s="37"/>
      <c r="L105" s="37"/>
      <c r="M105" s="37"/>
      <c r="N105" s="37"/>
      <c r="O105" s="37"/>
      <c r="P105" s="37"/>
      <c r="Q105" s="37"/>
      <c r="R105" s="37"/>
      <c r="S105" s="37"/>
      <c r="T105" s="37"/>
      <c r="U105" s="3"/>
      <c r="W105" s="3"/>
      <c r="X105" s="3"/>
      <c r="Y105" s="3"/>
      <c r="Z105" s="3"/>
    </row>
    <row r="106" spans="1:26" ht="15.75" hidden="1" customHeight="1" outlineLevel="1" x14ac:dyDescent="0.3">
      <c r="A106" s="3"/>
      <c r="B106" s="10" t="s">
        <v>354</v>
      </c>
      <c r="C106" s="62"/>
      <c r="D106" s="62"/>
      <c r="E106" s="12">
        <v>0</v>
      </c>
      <c r="F106" s="12">
        <v>0</v>
      </c>
      <c r="G106" s="65"/>
      <c r="H106" s="65"/>
      <c r="I106" s="89"/>
      <c r="J106" s="65"/>
      <c r="K106" s="37"/>
      <c r="L106" s="37"/>
      <c r="M106" s="37"/>
      <c r="N106" s="37"/>
      <c r="O106" s="37"/>
      <c r="P106" s="37"/>
      <c r="Q106" s="37"/>
      <c r="R106" s="37"/>
      <c r="S106" s="37"/>
      <c r="T106" s="37"/>
      <c r="U106" s="3"/>
      <c r="W106" s="3"/>
      <c r="X106" s="3"/>
      <c r="Y106" s="3"/>
      <c r="Z106" s="3"/>
    </row>
    <row r="107" spans="1:26" ht="15.75" hidden="1" customHeight="1" outlineLevel="1" x14ac:dyDescent="0.3">
      <c r="A107" s="3"/>
      <c r="B107" s="10" t="s">
        <v>355</v>
      </c>
      <c r="C107" s="62"/>
      <c r="D107" s="62"/>
      <c r="E107" s="12">
        <v>0</v>
      </c>
      <c r="F107" s="12">
        <v>0</v>
      </c>
      <c r="G107" s="65"/>
      <c r="H107" s="65"/>
      <c r="I107" s="89"/>
      <c r="J107" s="65"/>
      <c r="K107" s="37"/>
      <c r="L107" s="37"/>
      <c r="M107" s="37"/>
      <c r="N107" s="37"/>
      <c r="O107" s="37"/>
      <c r="P107" s="37"/>
      <c r="Q107" s="37"/>
      <c r="R107" s="37"/>
      <c r="S107" s="37"/>
      <c r="T107" s="37"/>
      <c r="U107" s="3"/>
      <c r="W107" s="3"/>
      <c r="X107" s="3"/>
      <c r="Y107" s="3"/>
      <c r="Z107" s="3"/>
    </row>
    <row r="108" spans="1:26" ht="15.75" customHeight="1" collapsed="1" x14ac:dyDescent="0.3">
      <c r="A108" s="3"/>
      <c r="B108" s="84" t="s">
        <v>357</v>
      </c>
      <c r="C108" s="85" t="s">
        <v>43</v>
      </c>
      <c r="D108" s="85" t="s">
        <v>43</v>
      </c>
      <c r="E108" s="86">
        <f t="shared" ref="E108:F108" si="1">SUM(E109,E115)</f>
        <v>0</v>
      </c>
      <c r="F108" s="86">
        <f t="shared" si="1"/>
        <v>1203.73</v>
      </c>
      <c r="G108" s="87"/>
      <c r="H108" s="87"/>
      <c r="I108" s="88"/>
      <c r="J108" s="87"/>
      <c r="K108" s="37"/>
      <c r="L108" s="37"/>
      <c r="M108" s="37"/>
      <c r="N108" s="37"/>
      <c r="O108" s="37"/>
      <c r="P108" s="37"/>
      <c r="Q108" s="37"/>
      <c r="R108" s="37"/>
      <c r="S108" s="37"/>
      <c r="T108" s="37"/>
      <c r="U108" s="3"/>
      <c r="W108" s="3"/>
      <c r="X108" s="3"/>
      <c r="Y108" s="3"/>
      <c r="Z108" s="3"/>
    </row>
    <row r="109" spans="1:26" ht="15.75" hidden="1" customHeight="1" outlineLevel="1" x14ac:dyDescent="0.3">
      <c r="A109" s="3"/>
      <c r="B109" s="91" t="s">
        <v>358</v>
      </c>
      <c r="C109" s="92"/>
      <c r="D109" s="92"/>
      <c r="E109" s="93">
        <f>SUM(E110:E114)</f>
        <v>0</v>
      </c>
      <c r="F109" s="93">
        <f>SUMIF(D110:D114,"OK",F110:F114)</f>
        <v>0</v>
      </c>
      <c r="G109" s="94"/>
      <c r="H109" s="94"/>
      <c r="I109" s="95"/>
      <c r="J109" s="94"/>
      <c r="K109" s="37"/>
      <c r="L109" s="37"/>
      <c r="M109" s="37"/>
      <c r="N109" s="37"/>
      <c r="O109" s="37"/>
      <c r="P109" s="37"/>
      <c r="Q109" s="37"/>
      <c r="R109" s="37"/>
      <c r="S109" s="37"/>
      <c r="T109" s="37"/>
      <c r="U109" s="3"/>
      <c r="W109" s="3"/>
      <c r="X109" s="3"/>
      <c r="Y109" s="3"/>
      <c r="Z109" s="3"/>
    </row>
    <row r="110" spans="1:26" ht="15.75" hidden="1" customHeight="1" outlineLevel="1" x14ac:dyDescent="0.3">
      <c r="A110" s="3"/>
      <c r="B110" s="10" t="s">
        <v>337</v>
      </c>
      <c r="C110" s="62"/>
      <c r="D110" s="62"/>
      <c r="E110" s="12">
        <v>0</v>
      </c>
      <c r="F110" s="12">
        <v>0</v>
      </c>
      <c r="G110" s="65"/>
      <c r="H110" s="65"/>
      <c r="I110" s="89"/>
      <c r="J110" s="65"/>
      <c r="K110" s="37"/>
      <c r="L110" s="37"/>
      <c r="M110" s="37"/>
      <c r="N110" s="37"/>
      <c r="O110" s="37"/>
      <c r="P110" s="37"/>
      <c r="Q110" s="37"/>
      <c r="R110" s="37"/>
      <c r="S110" s="37"/>
      <c r="T110" s="37"/>
      <c r="U110" s="3"/>
      <c r="W110" s="3"/>
      <c r="X110" s="3"/>
      <c r="Y110" s="3"/>
      <c r="Z110" s="3"/>
    </row>
    <row r="111" spans="1:26" ht="15.75" hidden="1" customHeight="1" outlineLevel="1" x14ac:dyDescent="0.3">
      <c r="A111" s="3"/>
      <c r="B111" s="10" t="s">
        <v>359</v>
      </c>
      <c r="C111" s="62"/>
      <c r="D111" s="62"/>
      <c r="E111" s="12">
        <v>0</v>
      </c>
      <c r="F111" s="12">
        <v>0</v>
      </c>
      <c r="G111" s="65"/>
      <c r="H111" s="65"/>
      <c r="I111" s="89"/>
      <c r="J111" s="65"/>
      <c r="K111" s="37"/>
      <c r="L111" s="37"/>
      <c r="M111" s="37"/>
      <c r="N111" s="37"/>
      <c r="O111" s="37"/>
      <c r="P111" s="37"/>
      <c r="Q111" s="37"/>
      <c r="R111" s="37"/>
      <c r="S111" s="37"/>
      <c r="T111" s="37"/>
      <c r="U111" s="3"/>
      <c r="W111" s="3"/>
      <c r="X111" s="3"/>
      <c r="Y111" s="3"/>
      <c r="Z111" s="3"/>
    </row>
    <row r="112" spans="1:26" ht="15.75" hidden="1" customHeight="1" outlineLevel="1" x14ac:dyDescent="0.3">
      <c r="A112" s="3"/>
      <c r="B112" s="10" t="s">
        <v>353</v>
      </c>
      <c r="C112" s="62"/>
      <c r="D112" s="62"/>
      <c r="E112" s="12">
        <v>0</v>
      </c>
      <c r="F112" s="12">
        <v>0</v>
      </c>
      <c r="G112" s="65"/>
      <c r="H112" s="65"/>
      <c r="I112" s="89"/>
      <c r="J112" s="65"/>
      <c r="K112" s="37"/>
      <c r="L112" s="37"/>
      <c r="M112" s="37"/>
      <c r="N112" s="37"/>
      <c r="O112" s="37"/>
      <c r="P112" s="37"/>
      <c r="Q112" s="37"/>
      <c r="R112" s="37"/>
      <c r="S112" s="37"/>
      <c r="T112" s="37"/>
      <c r="U112" s="3"/>
      <c r="W112" s="3"/>
      <c r="X112" s="3"/>
      <c r="Y112" s="3"/>
      <c r="Z112" s="3"/>
    </row>
    <row r="113" spans="1:26" ht="15.75" hidden="1" customHeight="1" outlineLevel="1" x14ac:dyDescent="0.3">
      <c r="A113" s="3"/>
      <c r="B113" s="10" t="s">
        <v>354</v>
      </c>
      <c r="C113" s="62"/>
      <c r="D113" s="62"/>
      <c r="E113" s="12">
        <v>0</v>
      </c>
      <c r="F113" s="12">
        <v>0</v>
      </c>
      <c r="G113" s="65"/>
      <c r="H113" s="65"/>
      <c r="I113" s="89"/>
      <c r="J113" s="65"/>
      <c r="K113" s="37"/>
      <c r="L113" s="37"/>
      <c r="M113" s="37"/>
      <c r="N113" s="37"/>
      <c r="O113" s="37"/>
      <c r="P113" s="37"/>
      <c r="Q113" s="37"/>
      <c r="R113" s="37"/>
      <c r="S113" s="37"/>
      <c r="T113" s="37"/>
      <c r="U113" s="3"/>
      <c r="W113" s="3"/>
      <c r="X113" s="3"/>
      <c r="Y113" s="3"/>
      <c r="Z113" s="3"/>
    </row>
    <row r="114" spans="1:26" ht="15.75" hidden="1" customHeight="1" outlineLevel="1" x14ac:dyDescent="0.3">
      <c r="A114" s="3"/>
      <c r="B114" s="10" t="s">
        <v>355</v>
      </c>
      <c r="C114" s="62"/>
      <c r="D114" s="62"/>
      <c r="E114" s="12">
        <v>0</v>
      </c>
      <c r="F114" s="12">
        <v>0</v>
      </c>
      <c r="G114" s="65"/>
      <c r="H114" s="65"/>
      <c r="I114" s="89"/>
      <c r="J114" s="65"/>
      <c r="K114" s="37"/>
      <c r="L114" s="37"/>
      <c r="M114" s="37"/>
      <c r="N114" s="37"/>
      <c r="O114" s="37"/>
      <c r="P114" s="37"/>
      <c r="Q114" s="37"/>
      <c r="R114" s="37"/>
      <c r="S114" s="37"/>
      <c r="T114" s="37"/>
      <c r="U114" s="3"/>
      <c r="W114" s="3"/>
      <c r="X114" s="3"/>
      <c r="Y114" s="3"/>
      <c r="Z114" s="3"/>
    </row>
    <row r="115" spans="1:26" ht="15.75" hidden="1" customHeight="1" outlineLevel="1" x14ac:dyDescent="0.3">
      <c r="A115" s="3"/>
      <c r="B115" s="91" t="s">
        <v>632</v>
      </c>
      <c r="C115" s="92"/>
      <c r="D115" s="92"/>
      <c r="E115" s="93">
        <f>SUM(E116:E124)</f>
        <v>0</v>
      </c>
      <c r="F115" s="93">
        <f>SUMIF(D116:D124,"OK",F116:F124)</f>
        <v>1203.73</v>
      </c>
      <c r="G115" s="94"/>
      <c r="H115" s="94"/>
      <c r="I115" s="95"/>
      <c r="J115" s="94"/>
      <c r="K115" s="37"/>
      <c r="L115" s="37"/>
      <c r="M115" s="37"/>
      <c r="N115" s="37"/>
      <c r="O115" s="37"/>
      <c r="P115" s="37"/>
      <c r="Q115" s="37"/>
      <c r="R115" s="37"/>
      <c r="S115" s="37"/>
      <c r="T115" s="37"/>
      <c r="U115" s="3"/>
      <c r="W115" s="3"/>
      <c r="X115" s="3"/>
      <c r="Y115" s="3"/>
      <c r="Z115" s="3"/>
    </row>
    <row r="116" spans="1:26" ht="15.75" hidden="1" customHeight="1" outlineLevel="1" x14ac:dyDescent="0.3">
      <c r="A116" s="3"/>
      <c r="B116" s="10" t="s">
        <v>633</v>
      </c>
      <c r="C116" s="62">
        <v>1</v>
      </c>
      <c r="D116" s="62" t="s">
        <v>94</v>
      </c>
      <c r="E116" s="12">
        <v>0</v>
      </c>
      <c r="F116" s="12">
        <v>800</v>
      </c>
      <c r="G116" s="89"/>
      <c r="H116" s="65" t="s">
        <v>37</v>
      </c>
      <c r="I116" s="112" t="s">
        <v>634</v>
      </c>
      <c r="J116" s="65"/>
      <c r="K116" s="37"/>
      <c r="L116" s="37"/>
      <c r="M116" s="37"/>
      <c r="N116" s="37"/>
      <c r="O116" s="37"/>
      <c r="P116" s="37"/>
      <c r="Q116" s="37"/>
      <c r="R116" s="37"/>
      <c r="S116" s="37"/>
      <c r="T116" s="37"/>
      <c r="U116" s="3"/>
      <c r="W116" s="3"/>
      <c r="X116" s="3"/>
      <c r="Y116" s="3"/>
      <c r="Z116" s="3"/>
    </row>
    <row r="117" spans="1:26" ht="15.75" hidden="1" customHeight="1" outlineLevel="1" x14ac:dyDescent="0.3">
      <c r="A117" s="3"/>
      <c r="B117" s="10" t="s">
        <v>635</v>
      </c>
      <c r="C117" s="62">
        <v>6</v>
      </c>
      <c r="D117" s="62" t="s">
        <v>94</v>
      </c>
      <c r="E117" s="12">
        <v>0</v>
      </c>
      <c r="F117" s="12">
        <v>100.29</v>
      </c>
      <c r="G117" s="89"/>
      <c r="H117" s="65" t="s">
        <v>37</v>
      </c>
      <c r="I117" s="112" t="s">
        <v>636</v>
      </c>
      <c r="J117" s="65"/>
      <c r="K117" s="37"/>
      <c r="L117" s="37"/>
      <c r="M117" s="37"/>
      <c r="N117" s="37"/>
      <c r="O117" s="37"/>
      <c r="P117" s="37"/>
      <c r="Q117" s="37"/>
      <c r="R117" s="37"/>
      <c r="S117" s="37"/>
      <c r="T117" s="37"/>
      <c r="U117" s="3"/>
      <c r="W117" s="3"/>
      <c r="X117" s="3"/>
      <c r="Y117" s="3"/>
      <c r="Z117" s="3"/>
    </row>
    <row r="118" spans="1:26" ht="15.75" hidden="1" customHeight="1" outlineLevel="1" x14ac:dyDescent="0.3">
      <c r="A118" s="3"/>
      <c r="B118" s="10" t="s">
        <v>635</v>
      </c>
      <c r="C118" s="62">
        <v>6</v>
      </c>
      <c r="D118" s="62" t="s">
        <v>94</v>
      </c>
      <c r="E118" s="12">
        <v>0</v>
      </c>
      <c r="F118" s="12">
        <v>91.48</v>
      </c>
      <c r="G118" s="65"/>
      <c r="H118" s="65" t="s">
        <v>37</v>
      </c>
      <c r="I118" s="112" t="s">
        <v>637</v>
      </c>
      <c r="J118" s="65"/>
      <c r="K118" s="37"/>
      <c r="L118" s="37"/>
      <c r="M118" s="37"/>
      <c r="N118" s="37"/>
      <c r="O118" s="37"/>
      <c r="P118" s="37"/>
      <c r="Q118" s="37"/>
      <c r="R118" s="37"/>
      <c r="S118" s="37"/>
      <c r="T118" s="37"/>
      <c r="U118" s="3"/>
      <c r="W118" s="3"/>
      <c r="X118" s="3"/>
      <c r="Y118" s="3"/>
      <c r="Z118" s="3"/>
    </row>
    <row r="119" spans="1:26" ht="15.75" hidden="1" customHeight="1" outlineLevel="1" x14ac:dyDescent="0.3">
      <c r="A119" s="3"/>
      <c r="B119" s="10" t="s">
        <v>635</v>
      </c>
      <c r="C119" s="62">
        <v>7</v>
      </c>
      <c r="D119" s="62" t="s">
        <v>94</v>
      </c>
      <c r="E119" s="12">
        <v>0</v>
      </c>
      <c r="F119" s="12">
        <v>45</v>
      </c>
      <c r="G119" s="65" t="s">
        <v>605</v>
      </c>
      <c r="H119" s="65" t="s">
        <v>37</v>
      </c>
      <c r="I119" s="112" t="s">
        <v>606</v>
      </c>
      <c r="J119" s="65"/>
      <c r="K119" s="37"/>
      <c r="L119" s="37"/>
      <c r="M119" s="37"/>
      <c r="N119" s="37"/>
      <c r="O119" s="37"/>
      <c r="P119" s="37"/>
      <c r="Q119" s="37"/>
      <c r="R119" s="37"/>
      <c r="S119" s="37"/>
      <c r="T119" s="37"/>
      <c r="U119" s="3"/>
      <c r="W119" s="3"/>
      <c r="X119" s="3"/>
      <c r="Y119" s="3"/>
      <c r="Z119" s="3"/>
    </row>
    <row r="120" spans="1:26" ht="15.75" hidden="1" customHeight="1" outlineLevel="1" x14ac:dyDescent="0.3">
      <c r="A120" s="3"/>
      <c r="B120" s="10" t="s">
        <v>635</v>
      </c>
      <c r="C120" s="62">
        <v>8</v>
      </c>
      <c r="D120" s="62" t="s">
        <v>94</v>
      </c>
      <c r="E120" s="12">
        <v>0</v>
      </c>
      <c r="F120" s="12">
        <v>166.96</v>
      </c>
      <c r="G120" s="65"/>
      <c r="H120" s="65" t="s">
        <v>37</v>
      </c>
      <c r="I120" s="112" t="s">
        <v>638</v>
      </c>
      <c r="J120" s="65"/>
      <c r="K120" s="37"/>
      <c r="L120" s="37"/>
      <c r="M120" s="37"/>
      <c r="N120" s="37"/>
      <c r="O120" s="37"/>
      <c r="P120" s="37"/>
      <c r="Q120" s="37"/>
      <c r="R120" s="37"/>
      <c r="S120" s="37"/>
      <c r="T120" s="37"/>
      <c r="U120" s="3"/>
      <c r="W120" s="3"/>
      <c r="X120" s="3"/>
      <c r="Y120" s="3"/>
      <c r="Z120" s="3"/>
    </row>
    <row r="121" spans="1:26" ht="15.75" hidden="1" customHeight="1" outlineLevel="1" x14ac:dyDescent="0.3">
      <c r="A121" s="3"/>
      <c r="B121" s="10" t="s">
        <v>328</v>
      </c>
      <c r="C121" s="62"/>
      <c r="D121" s="62"/>
      <c r="E121" s="12">
        <v>0</v>
      </c>
      <c r="F121" s="12">
        <v>0</v>
      </c>
      <c r="G121" s="65"/>
      <c r="H121" s="65"/>
      <c r="I121" s="89"/>
      <c r="J121" s="65"/>
      <c r="K121" s="37"/>
      <c r="L121" s="37"/>
      <c r="M121" s="37"/>
      <c r="N121" s="37"/>
      <c r="O121" s="37"/>
      <c r="P121" s="37"/>
      <c r="Q121" s="37"/>
      <c r="R121" s="37"/>
      <c r="S121" s="37"/>
      <c r="T121" s="37"/>
      <c r="U121" s="3"/>
      <c r="W121" s="3"/>
      <c r="X121" s="3"/>
      <c r="Y121" s="3"/>
      <c r="Z121" s="3"/>
    </row>
    <row r="122" spans="1:26" ht="15.75" hidden="1" customHeight="1" outlineLevel="1" x14ac:dyDescent="0.3">
      <c r="A122" s="3"/>
      <c r="B122" s="10" t="s">
        <v>370</v>
      </c>
      <c r="C122" s="62"/>
      <c r="D122" s="62"/>
      <c r="E122" s="12">
        <v>0</v>
      </c>
      <c r="F122" s="12">
        <v>0</v>
      </c>
      <c r="G122" s="65"/>
      <c r="H122" s="65"/>
      <c r="I122" s="89"/>
      <c r="J122" s="65"/>
      <c r="K122" s="37"/>
      <c r="L122" s="37"/>
      <c r="M122" s="37"/>
      <c r="N122" s="37"/>
      <c r="O122" s="37"/>
      <c r="P122" s="37"/>
      <c r="Q122" s="37"/>
      <c r="R122" s="37"/>
      <c r="S122" s="37"/>
      <c r="T122" s="37"/>
      <c r="U122" s="3"/>
      <c r="W122" s="3"/>
      <c r="X122" s="3"/>
      <c r="Y122" s="3"/>
      <c r="Z122" s="3"/>
    </row>
    <row r="123" spans="1:26" ht="15.75" hidden="1" customHeight="1" outlineLevel="1" x14ac:dyDescent="0.3">
      <c r="A123" s="3"/>
      <c r="B123" s="10" t="s">
        <v>371</v>
      </c>
      <c r="C123" s="62"/>
      <c r="D123" s="62"/>
      <c r="E123" s="12">
        <v>0</v>
      </c>
      <c r="F123" s="12">
        <v>0</v>
      </c>
      <c r="G123" s="65"/>
      <c r="H123" s="65"/>
      <c r="I123" s="89"/>
      <c r="J123" s="65"/>
      <c r="K123" s="37"/>
      <c r="L123" s="37"/>
      <c r="M123" s="37"/>
      <c r="N123" s="37"/>
      <c r="O123" s="37"/>
      <c r="P123" s="37"/>
      <c r="Q123" s="37"/>
      <c r="R123" s="37"/>
      <c r="S123" s="37"/>
      <c r="T123" s="37"/>
      <c r="U123" s="3"/>
      <c r="W123" s="3"/>
      <c r="X123" s="3"/>
      <c r="Y123" s="3"/>
      <c r="Z123" s="3"/>
    </row>
    <row r="124" spans="1:26" ht="15.75" hidden="1" customHeight="1" outlineLevel="1" x14ac:dyDescent="0.3">
      <c r="A124" s="3"/>
      <c r="B124" s="10" t="s">
        <v>372</v>
      </c>
      <c r="C124" s="62"/>
      <c r="D124" s="62"/>
      <c r="E124" s="12">
        <v>0</v>
      </c>
      <c r="F124" s="12">
        <v>0</v>
      </c>
      <c r="G124" s="65"/>
      <c r="H124" s="65"/>
      <c r="I124" s="89"/>
      <c r="J124" s="65"/>
      <c r="K124" s="37"/>
      <c r="L124" s="37"/>
      <c r="M124" s="37"/>
      <c r="N124" s="37"/>
      <c r="O124" s="37"/>
      <c r="P124" s="37"/>
      <c r="Q124" s="37"/>
      <c r="R124" s="37"/>
      <c r="S124" s="37"/>
      <c r="T124" s="37"/>
      <c r="U124" s="3"/>
      <c r="W124" s="3"/>
      <c r="X124" s="3"/>
      <c r="Y124" s="3"/>
      <c r="Z124" s="3"/>
    </row>
    <row r="125" spans="1:26" ht="15.75" customHeight="1" collapsed="1" x14ac:dyDescent="0.3">
      <c r="A125" s="3"/>
      <c r="B125" s="84" t="s">
        <v>87</v>
      </c>
      <c r="C125" s="85" t="s">
        <v>43</v>
      </c>
      <c r="D125" s="85" t="s">
        <v>43</v>
      </c>
      <c r="E125" s="86">
        <f>SUM(E126:E134)</f>
        <v>0</v>
      </c>
      <c r="F125" s="86">
        <f>SUMIF(D126:D134,"OK",F126:F134)</f>
        <v>0</v>
      </c>
      <c r="G125" s="87"/>
      <c r="H125" s="87"/>
      <c r="I125" s="88"/>
      <c r="J125" s="87"/>
      <c r="K125" s="37"/>
      <c r="L125" s="37"/>
      <c r="M125" s="37"/>
      <c r="N125" s="37"/>
      <c r="O125" s="37"/>
      <c r="P125" s="37"/>
      <c r="Q125" s="37"/>
      <c r="R125" s="37"/>
      <c r="S125" s="37"/>
      <c r="T125" s="37"/>
      <c r="U125" s="3"/>
      <c r="W125" s="3"/>
      <c r="X125" s="3"/>
      <c r="Y125" s="3"/>
      <c r="Z125" s="3"/>
    </row>
    <row r="126" spans="1:26" ht="15.75" hidden="1" customHeight="1" outlineLevel="1" x14ac:dyDescent="0.3">
      <c r="A126" s="3"/>
      <c r="B126" s="10" t="s">
        <v>639</v>
      </c>
      <c r="C126" s="80"/>
      <c r="D126" s="62"/>
      <c r="E126" s="12">
        <v>0</v>
      </c>
      <c r="F126" s="12">
        <v>0</v>
      </c>
      <c r="G126" s="89"/>
      <c r="H126" s="65"/>
      <c r="I126" s="112"/>
      <c r="J126" s="89"/>
      <c r="K126" s="37"/>
      <c r="L126" s="37"/>
      <c r="M126" s="37"/>
      <c r="N126" s="37"/>
      <c r="O126" s="37"/>
      <c r="P126" s="37"/>
      <c r="Q126" s="37"/>
      <c r="R126" s="37"/>
      <c r="S126" s="37"/>
      <c r="T126" s="37"/>
      <c r="U126" s="3"/>
      <c r="W126" s="3"/>
      <c r="X126" s="3"/>
      <c r="Y126" s="3"/>
      <c r="Z126" s="3"/>
    </row>
    <row r="127" spans="1:26" ht="15.75" hidden="1" customHeight="1" outlineLevel="1" x14ac:dyDescent="0.3">
      <c r="A127" s="3"/>
      <c r="B127" s="10" t="s">
        <v>639</v>
      </c>
      <c r="C127" s="62"/>
      <c r="D127" s="62"/>
      <c r="E127" s="12">
        <v>0</v>
      </c>
      <c r="F127" s="12">
        <v>0</v>
      </c>
      <c r="G127" s="89"/>
      <c r="H127" s="65"/>
      <c r="I127" s="112"/>
      <c r="J127" s="65"/>
      <c r="K127" s="37"/>
      <c r="L127" s="37"/>
      <c r="M127" s="37"/>
      <c r="N127" s="37"/>
      <c r="O127" s="37"/>
      <c r="P127" s="37"/>
      <c r="Q127" s="37"/>
      <c r="R127" s="37"/>
      <c r="S127" s="37"/>
      <c r="T127" s="37"/>
      <c r="U127" s="3"/>
      <c r="W127" s="3"/>
      <c r="X127" s="3"/>
      <c r="Y127" s="3"/>
      <c r="Z127" s="3"/>
    </row>
    <row r="128" spans="1:26" ht="15.75" hidden="1" customHeight="1" outlineLevel="1" x14ac:dyDescent="0.3">
      <c r="A128" s="3"/>
      <c r="B128" s="10" t="s">
        <v>355</v>
      </c>
      <c r="C128" s="62"/>
      <c r="D128" s="62"/>
      <c r="E128" s="12">
        <v>0</v>
      </c>
      <c r="F128" s="12">
        <v>0</v>
      </c>
      <c r="G128" s="65"/>
      <c r="H128" s="65"/>
      <c r="I128" s="89"/>
      <c r="J128" s="65"/>
      <c r="K128" s="37"/>
      <c r="L128" s="37"/>
      <c r="M128" s="37"/>
      <c r="N128" s="37"/>
      <c r="O128" s="37"/>
      <c r="P128" s="37"/>
      <c r="Q128" s="37"/>
      <c r="R128" s="37"/>
      <c r="S128" s="37"/>
      <c r="T128" s="37"/>
      <c r="U128" s="3"/>
      <c r="W128" s="3"/>
      <c r="X128" s="3"/>
      <c r="Y128" s="3"/>
      <c r="Z128" s="3"/>
    </row>
    <row r="129" spans="1:26" ht="15.75" hidden="1" customHeight="1" outlineLevel="1" x14ac:dyDescent="0.3">
      <c r="A129" s="3"/>
      <c r="B129" s="10" t="s">
        <v>369</v>
      </c>
      <c r="C129" s="62"/>
      <c r="D129" s="62"/>
      <c r="E129" s="12">
        <v>0</v>
      </c>
      <c r="F129" s="12">
        <v>0</v>
      </c>
      <c r="G129" s="65"/>
      <c r="H129" s="65"/>
      <c r="I129" s="89"/>
      <c r="J129" s="65"/>
      <c r="K129" s="37"/>
      <c r="L129" s="37"/>
      <c r="M129" s="37"/>
      <c r="N129" s="37"/>
      <c r="O129" s="37"/>
      <c r="P129" s="37"/>
      <c r="Q129" s="37"/>
      <c r="R129" s="37"/>
      <c r="S129" s="37"/>
      <c r="T129" s="37"/>
      <c r="U129" s="3"/>
      <c r="W129" s="3"/>
      <c r="X129" s="3"/>
      <c r="Y129" s="3"/>
      <c r="Z129" s="3"/>
    </row>
    <row r="130" spans="1:26" ht="15.75" hidden="1" customHeight="1" outlineLevel="1" x14ac:dyDescent="0.3">
      <c r="A130" s="3"/>
      <c r="B130" s="10" t="s">
        <v>327</v>
      </c>
      <c r="C130" s="62"/>
      <c r="D130" s="62"/>
      <c r="E130" s="12">
        <v>0</v>
      </c>
      <c r="F130" s="12">
        <v>0</v>
      </c>
      <c r="G130" s="65"/>
      <c r="H130" s="65"/>
      <c r="I130" s="89"/>
      <c r="J130" s="65"/>
      <c r="K130" s="37"/>
      <c r="L130" s="37"/>
      <c r="M130" s="37"/>
      <c r="N130" s="37"/>
      <c r="O130" s="37"/>
      <c r="P130" s="37"/>
      <c r="Q130" s="37"/>
      <c r="R130" s="37"/>
      <c r="S130" s="37"/>
      <c r="T130" s="37"/>
      <c r="U130" s="3"/>
      <c r="W130" s="3"/>
      <c r="X130" s="3"/>
      <c r="Y130" s="3"/>
      <c r="Z130" s="3"/>
    </row>
    <row r="131" spans="1:26" ht="15.75" hidden="1" customHeight="1" outlineLevel="1" x14ac:dyDescent="0.3">
      <c r="A131" s="3"/>
      <c r="B131" s="10" t="s">
        <v>328</v>
      </c>
      <c r="C131" s="62"/>
      <c r="D131" s="62"/>
      <c r="E131" s="12">
        <v>0</v>
      </c>
      <c r="F131" s="12">
        <v>0</v>
      </c>
      <c r="G131" s="65"/>
      <c r="H131" s="65"/>
      <c r="I131" s="89"/>
      <c r="J131" s="65"/>
      <c r="K131" s="37"/>
      <c r="L131" s="37"/>
      <c r="M131" s="37"/>
      <c r="N131" s="37"/>
      <c r="O131" s="37"/>
      <c r="P131" s="37"/>
      <c r="Q131" s="37"/>
      <c r="R131" s="37"/>
      <c r="S131" s="37"/>
      <c r="T131" s="37"/>
      <c r="U131" s="3"/>
      <c r="W131" s="3"/>
      <c r="X131" s="3"/>
      <c r="Y131" s="3"/>
      <c r="Z131" s="3"/>
    </row>
    <row r="132" spans="1:26" ht="15.75" hidden="1" customHeight="1" outlineLevel="1" x14ac:dyDescent="0.3">
      <c r="A132" s="3"/>
      <c r="B132" s="10" t="s">
        <v>370</v>
      </c>
      <c r="C132" s="62"/>
      <c r="D132" s="62"/>
      <c r="E132" s="12">
        <v>0</v>
      </c>
      <c r="F132" s="12">
        <v>0</v>
      </c>
      <c r="G132" s="65"/>
      <c r="H132" s="65"/>
      <c r="I132" s="89"/>
      <c r="J132" s="65"/>
      <c r="K132" s="37"/>
      <c r="L132" s="37"/>
      <c r="M132" s="37"/>
      <c r="N132" s="37"/>
      <c r="O132" s="37"/>
      <c r="P132" s="37"/>
      <c r="Q132" s="37"/>
      <c r="R132" s="37"/>
      <c r="S132" s="37"/>
      <c r="T132" s="37"/>
      <c r="U132" s="3"/>
      <c r="W132" s="3"/>
      <c r="X132" s="3"/>
      <c r="Y132" s="3"/>
      <c r="Z132" s="3"/>
    </row>
    <row r="133" spans="1:26" ht="15.75" hidden="1" customHeight="1" outlineLevel="1" x14ac:dyDescent="0.3">
      <c r="A133" s="3"/>
      <c r="B133" s="10" t="s">
        <v>371</v>
      </c>
      <c r="C133" s="62"/>
      <c r="D133" s="62"/>
      <c r="E133" s="12">
        <v>0</v>
      </c>
      <c r="F133" s="12">
        <v>0</v>
      </c>
      <c r="G133" s="65"/>
      <c r="H133" s="65"/>
      <c r="I133" s="89"/>
      <c r="J133" s="65"/>
      <c r="K133" s="37"/>
      <c r="L133" s="37"/>
      <c r="M133" s="37"/>
      <c r="N133" s="37"/>
      <c r="O133" s="37"/>
      <c r="P133" s="37"/>
      <c r="Q133" s="37"/>
      <c r="R133" s="37"/>
      <c r="S133" s="37"/>
      <c r="T133" s="37"/>
      <c r="U133" s="3"/>
      <c r="W133" s="3"/>
      <c r="X133" s="3"/>
      <c r="Y133" s="3"/>
      <c r="Z133" s="3"/>
    </row>
    <row r="134" spans="1:26" ht="15.75" hidden="1" customHeight="1" outlineLevel="1" x14ac:dyDescent="0.3">
      <c r="A134" s="3"/>
      <c r="B134" s="10" t="s">
        <v>372</v>
      </c>
      <c r="C134" s="62"/>
      <c r="D134" s="62"/>
      <c r="E134" s="12">
        <v>0</v>
      </c>
      <c r="F134" s="12">
        <v>0</v>
      </c>
      <c r="G134" s="65"/>
      <c r="H134" s="65"/>
      <c r="I134" s="89"/>
      <c r="J134" s="65"/>
      <c r="K134" s="37"/>
      <c r="L134" s="37"/>
      <c r="M134" s="37"/>
      <c r="N134" s="37"/>
      <c r="O134" s="37"/>
      <c r="P134" s="37"/>
      <c r="Q134" s="37"/>
      <c r="R134" s="37"/>
      <c r="S134" s="37"/>
      <c r="T134" s="37"/>
      <c r="U134" s="3"/>
      <c r="W134" s="3"/>
      <c r="X134" s="3"/>
      <c r="Y134" s="3"/>
      <c r="Z134" s="3"/>
    </row>
    <row r="135" spans="1:26" ht="15.75" customHeight="1" collapsed="1" x14ac:dyDescent="0.3">
      <c r="A135" s="3"/>
      <c r="B135" s="84" t="s">
        <v>88</v>
      </c>
      <c r="C135" s="85" t="s">
        <v>43</v>
      </c>
      <c r="D135" s="85" t="s">
        <v>43</v>
      </c>
      <c r="E135" s="86">
        <f t="shared" ref="E135:F135" si="2">SUM(E136,E142,E148,E154)</f>
        <v>0</v>
      </c>
      <c r="F135" s="86">
        <f t="shared" si="2"/>
        <v>18774.73</v>
      </c>
      <c r="G135" s="87"/>
      <c r="H135" s="87"/>
      <c r="I135" s="88"/>
      <c r="J135" s="87"/>
      <c r="K135" s="37"/>
      <c r="L135" s="37"/>
      <c r="M135" s="37"/>
      <c r="N135" s="37"/>
      <c r="O135" s="37"/>
      <c r="P135" s="37"/>
      <c r="Q135" s="37"/>
      <c r="R135" s="37"/>
      <c r="S135" s="37"/>
      <c r="T135" s="37"/>
      <c r="U135" s="3"/>
      <c r="W135" s="3"/>
      <c r="X135" s="3"/>
      <c r="Y135" s="3"/>
      <c r="Z135" s="3"/>
    </row>
    <row r="136" spans="1:26" ht="15.75" hidden="1" customHeight="1" outlineLevel="1" x14ac:dyDescent="0.3">
      <c r="A136" s="3"/>
      <c r="B136" s="91" t="s">
        <v>380</v>
      </c>
      <c r="C136" s="92"/>
      <c r="D136" s="92"/>
      <c r="E136" s="93">
        <f>SUM(E137:E141)</f>
        <v>0</v>
      </c>
      <c r="F136" s="93">
        <f>SUMIF(D137:D141,"OK",F137:F141)</f>
        <v>18774.73</v>
      </c>
      <c r="G136" s="94"/>
      <c r="H136" s="94"/>
      <c r="I136" s="95"/>
      <c r="J136" s="94"/>
      <c r="K136" s="37"/>
      <c r="L136" s="37"/>
      <c r="M136" s="37"/>
      <c r="N136" s="37"/>
      <c r="O136" s="37"/>
      <c r="P136" s="37"/>
      <c r="Q136" s="37"/>
      <c r="R136" s="37"/>
      <c r="S136" s="37"/>
      <c r="T136" s="37"/>
      <c r="U136" s="3"/>
      <c r="W136" s="3"/>
      <c r="X136" s="3"/>
      <c r="Y136" s="3"/>
      <c r="Z136" s="3"/>
    </row>
    <row r="137" spans="1:26" ht="15.75" hidden="1" customHeight="1" outlineLevel="1" x14ac:dyDescent="0.3">
      <c r="A137" s="3"/>
      <c r="B137" s="10" t="s">
        <v>640</v>
      </c>
      <c r="C137" s="62" t="s">
        <v>641</v>
      </c>
      <c r="D137" s="62" t="s">
        <v>94</v>
      </c>
      <c r="E137" s="12">
        <v>0</v>
      </c>
      <c r="F137" s="12">
        <f>11898.68+300+1320</f>
        <v>13518.68</v>
      </c>
      <c r="G137" s="65"/>
      <c r="H137" s="65" t="s">
        <v>37</v>
      </c>
      <c r="I137" s="112" t="s">
        <v>642</v>
      </c>
      <c r="J137" s="65"/>
      <c r="K137" s="37"/>
      <c r="L137" s="37"/>
      <c r="M137" s="37"/>
      <c r="N137" s="37"/>
      <c r="O137" s="37"/>
      <c r="P137" s="37"/>
      <c r="Q137" s="37"/>
      <c r="R137" s="37"/>
      <c r="S137" s="37"/>
      <c r="T137" s="37"/>
      <c r="U137" s="3"/>
      <c r="W137" s="3"/>
      <c r="X137" s="3"/>
      <c r="Y137" s="3"/>
      <c r="Z137" s="3"/>
    </row>
    <row r="138" spans="1:26" ht="15.75" hidden="1" customHeight="1" outlineLevel="1" x14ac:dyDescent="0.3">
      <c r="A138" s="3"/>
      <c r="B138" s="10" t="s">
        <v>640</v>
      </c>
      <c r="C138" s="62" t="s">
        <v>641</v>
      </c>
      <c r="D138" s="62" t="s">
        <v>94</v>
      </c>
      <c r="E138" s="12">
        <v>0</v>
      </c>
      <c r="F138" s="12">
        <f>1564.8+3691.25</f>
        <v>5256.05</v>
      </c>
      <c r="G138" s="65"/>
      <c r="H138" s="65" t="s">
        <v>38</v>
      </c>
      <c r="I138" s="112" t="s">
        <v>642</v>
      </c>
      <c r="J138" s="65"/>
      <c r="K138" s="37"/>
      <c r="L138" s="37"/>
      <c r="M138" s="37"/>
      <c r="N138" s="37"/>
      <c r="O138" s="37"/>
      <c r="P138" s="37"/>
      <c r="Q138" s="37"/>
      <c r="R138" s="37"/>
      <c r="S138" s="37"/>
      <c r="T138" s="37"/>
      <c r="U138" s="3"/>
      <c r="W138" s="3"/>
      <c r="X138" s="3"/>
      <c r="Y138" s="3"/>
      <c r="Z138" s="3"/>
    </row>
    <row r="139" spans="1:26" ht="15.75" hidden="1" customHeight="1" outlineLevel="1" x14ac:dyDescent="0.3">
      <c r="A139" s="3"/>
      <c r="B139" s="10" t="s">
        <v>355</v>
      </c>
      <c r="C139" s="62"/>
      <c r="D139" s="62"/>
      <c r="E139" s="12">
        <v>0</v>
      </c>
      <c r="F139" s="12">
        <v>0</v>
      </c>
      <c r="G139" s="65"/>
      <c r="H139" s="65"/>
      <c r="I139" s="89"/>
      <c r="J139" s="65"/>
      <c r="K139" s="37"/>
      <c r="L139" s="37"/>
      <c r="M139" s="37"/>
      <c r="N139" s="37"/>
      <c r="O139" s="37"/>
      <c r="P139" s="37"/>
      <c r="Q139" s="37"/>
      <c r="R139" s="37"/>
      <c r="S139" s="37"/>
      <c r="T139" s="37"/>
      <c r="U139" s="3"/>
      <c r="W139" s="3"/>
      <c r="X139" s="3"/>
      <c r="Y139" s="3"/>
      <c r="Z139" s="3"/>
    </row>
    <row r="140" spans="1:26" ht="15.75" hidden="1" customHeight="1" outlineLevel="1" x14ac:dyDescent="0.3">
      <c r="A140" s="3"/>
      <c r="B140" s="10" t="s">
        <v>369</v>
      </c>
      <c r="C140" s="62"/>
      <c r="D140" s="62"/>
      <c r="E140" s="12">
        <v>0</v>
      </c>
      <c r="F140" s="12">
        <v>0</v>
      </c>
      <c r="G140" s="65"/>
      <c r="H140" s="65"/>
      <c r="I140" s="89"/>
      <c r="J140" s="65"/>
      <c r="K140" s="37"/>
      <c r="L140" s="37"/>
      <c r="M140" s="37"/>
      <c r="N140" s="37"/>
      <c r="O140" s="37"/>
      <c r="P140" s="37"/>
      <c r="Q140" s="37"/>
      <c r="R140" s="37"/>
      <c r="S140" s="37"/>
      <c r="T140" s="37"/>
      <c r="U140" s="3"/>
      <c r="W140" s="3"/>
      <c r="X140" s="3"/>
      <c r="Y140" s="3"/>
      <c r="Z140" s="3"/>
    </row>
    <row r="141" spans="1:26" ht="15.75" hidden="1" customHeight="1" outlineLevel="1" x14ac:dyDescent="0.3">
      <c r="A141" s="3"/>
      <c r="B141" s="10" t="s">
        <v>327</v>
      </c>
      <c r="C141" s="62"/>
      <c r="D141" s="62"/>
      <c r="E141" s="12">
        <v>0</v>
      </c>
      <c r="F141" s="12">
        <v>0</v>
      </c>
      <c r="G141" s="65"/>
      <c r="H141" s="65"/>
      <c r="I141" s="89"/>
      <c r="J141" s="65"/>
      <c r="K141" s="37"/>
      <c r="L141" s="37"/>
      <c r="M141" s="37"/>
      <c r="N141" s="37"/>
      <c r="O141" s="37"/>
      <c r="P141" s="37"/>
      <c r="Q141" s="37"/>
      <c r="R141" s="37"/>
      <c r="S141" s="37"/>
      <c r="T141" s="37"/>
      <c r="U141" s="3"/>
      <c r="W141" s="3"/>
      <c r="X141" s="3"/>
      <c r="Y141" s="3"/>
      <c r="Z141" s="3"/>
    </row>
    <row r="142" spans="1:26" ht="15.75" hidden="1" customHeight="1" outlineLevel="1" x14ac:dyDescent="0.3">
      <c r="A142" s="3"/>
      <c r="B142" s="91" t="s">
        <v>643</v>
      </c>
      <c r="C142" s="92"/>
      <c r="D142" s="92"/>
      <c r="E142" s="93">
        <f>SUM(E143:E147)</f>
        <v>0</v>
      </c>
      <c r="F142" s="93">
        <f>SUMIF(D143:D147,"OK",F143:F147)</f>
        <v>0</v>
      </c>
      <c r="G142" s="94"/>
      <c r="H142" s="94"/>
      <c r="I142" s="95"/>
      <c r="J142" s="94"/>
      <c r="K142" s="37"/>
      <c r="L142" s="37"/>
      <c r="M142" s="37"/>
      <c r="N142" s="37"/>
      <c r="O142" s="37"/>
      <c r="P142" s="37"/>
      <c r="Q142" s="37"/>
      <c r="R142" s="37"/>
      <c r="S142" s="37"/>
      <c r="T142" s="37"/>
      <c r="U142" s="3"/>
      <c r="W142" s="3"/>
      <c r="X142" s="3"/>
      <c r="Y142" s="3"/>
      <c r="Z142" s="3"/>
    </row>
    <row r="143" spans="1:26" ht="15.75" hidden="1" customHeight="1" outlineLevel="1" x14ac:dyDescent="0.3">
      <c r="A143" s="3"/>
      <c r="B143" s="10" t="s">
        <v>353</v>
      </c>
      <c r="C143" s="62"/>
      <c r="D143" s="62"/>
      <c r="E143" s="12">
        <v>0</v>
      </c>
      <c r="F143" s="12">
        <v>0</v>
      </c>
      <c r="G143" s="65"/>
      <c r="H143" s="65"/>
      <c r="I143" s="89"/>
      <c r="J143" s="65"/>
      <c r="K143" s="37"/>
      <c r="L143" s="37"/>
      <c r="M143" s="37"/>
      <c r="N143" s="37"/>
      <c r="O143" s="37"/>
      <c r="P143" s="37"/>
      <c r="Q143" s="37"/>
      <c r="R143" s="37"/>
      <c r="S143" s="37"/>
      <c r="T143" s="37"/>
      <c r="U143" s="3"/>
      <c r="W143" s="3"/>
      <c r="X143" s="3"/>
      <c r="Y143" s="3"/>
      <c r="Z143" s="3"/>
    </row>
    <row r="144" spans="1:26" ht="15.75" hidden="1" customHeight="1" outlineLevel="1" x14ac:dyDescent="0.3">
      <c r="A144" s="3"/>
      <c r="B144" s="10" t="s">
        <v>354</v>
      </c>
      <c r="C144" s="62"/>
      <c r="D144" s="62"/>
      <c r="E144" s="12">
        <v>0</v>
      </c>
      <c r="F144" s="12">
        <v>0</v>
      </c>
      <c r="G144" s="65"/>
      <c r="H144" s="65"/>
      <c r="I144" s="89"/>
      <c r="J144" s="65"/>
      <c r="K144" s="37"/>
      <c r="L144" s="37"/>
      <c r="M144" s="37"/>
      <c r="N144" s="37"/>
      <c r="O144" s="37"/>
      <c r="P144" s="37"/>
      <c r="Q144" s="37"/>
      <c r="R144" s="37"/>
      <c r="S144" s="37"/>
      <c r="T144" s="37"/>
      <c r="U144" s="3"/>
      <c r="W144" s="3"/>
      <c r="X144" s="3"/>
      <c r="Y144" s="3"/>
      <c r="Z144" s="3"/>
    </row>
    <row r="145" spans="1:26" ht="15.75" hidden="1" customHeight="1" outlineLevel="1" x14ac:dyDescent="0.3">
      <c r="A145" s="3"/>
      <c r="B145" s="10" t="s">
        <v>355</v>
      </c>
      <c r="C145" s="62"/>
      <c r="D145" s="62"/>
      <c r="E145" s="12">
        <v>0</v>
      </c>
      <c r="F145" s="12">
        <v>0</v>
      </c>
      <c r="G145" s="65"/>
      <c r="H145" s="65"/>
      <c r="I145" s="89"/>
      <c r="J145" s="65"/>
      <c r="K145" s="37"/>
      <c r="L145" s="37"/>
      <c r="M145" s="37"/>
      <c r="N145" s="37"/>
      <c r="O145" s="37"/>
      <c r="P145" s="37"/>
      <c r="Q145" s="37"/>
      <c r="R145" s="37"/>
      <c r="S145" s="37"/>
      <c r="T145" s="37"/>
      <c r="U145" s="3"/>
      <c r="W145" s="3"/>
      <c r="X145" s="3"/>
      <c r="Y145" s="3"/>
      <c r="Z145" s="3"/>
    </row>
    <row r="146" spans="1:26" ht="15.75" hidden="1" customHeight="1" outlineLevel="1" x14ac:dyDescent="0.3">
      <c r="A146" s="3"/>
      <c r="B146" s="10" t="s">
        <v>369</v>
      </c>
      <c r="C146" s="62"/>
      <c r="D146" s="62"/>
      <c r="E146" s="12">
        <v>0</v>
      </c>
      <c r="F146" s="12">
        <v>0</v>
      </c>
      <c r="G146" s="65"/>
      <c r="H146" s="65"/>
      <c r="I146" s="89"/>
      <c r="J146" s="65"/>
      <c r="K146" s="37"/>
      <c r="L146" s="37"/>
      <c r="M146" s="37"/>
      <c r="N146" s="37"/>
      <c r="O146" s="37"/>
      <c r="P146" s="37"/>
      <c r="Q146" s="37"/>
      <c r="R146" s="37"/>
      <c r="S146" s="37"/>
      <c r="T146" s="37"/>
      <c r="U146" s="3"/>
      <c r="W146" s="3"/>
      <c r="X146" s="3"/>
      <c r="Y146" s="3"/>
      <c r="Z146" s="3"/>
    </row>
    <row r="147" spans="1:26" ht="15.75" hidden="1" customHeight="1" outlineLevel="1" x14ac:dyDescent="0.3">
      <c r="A147" s="3"/>
      <c r="B147" s="10" t="s">
        <v>327</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5.75" hidden="1" customHeight="1" outlineLevel="1" x14ac:dyDescent="0.3">
      <c r="A148" s="3"/>
      <c r="B148" s="91" t="s">
        <v>381</v>
      </c>
      <c r="C148" s="92"/>
      <c r="D148" s="92"/>
      <c r="E148" s="93">
        <f>SUM(E149:E153)</f>
        <v>0</v>
      </c>
      <c r="F148" s="93">
        <f>SUMIF(D149:D153,"OK",F149:F153)</f>
        <v>0</v>
      </c>
      <c r="G148" s="94"/>
      <c r="H148" s="94"/>
      <c r="I148" s="95"/>
      <c r="J148" s="94"/>
      <c r="K148" s="37"/>
      <c r="L148" s="37"/>
      <c r="M148" s="37"/>
      <c r="N148" s="37"/>
      <c r="O148" s="37"/>
      <c r="P148" s="37"/>
      <c r="Q148" s="37"/>
      <c r="R148" s="37"/>
      <c r="S148" s="37"/>
      <c r="T148" s="37"/>
      <c r="U148" s="3"/>
      <c r="W148" s="3"/>
      <c r="X148" s="3"/>
      <c r="Y148" s="3"/>
      <c r="Z148" s="3"/>
    </row>
    <row r="149" spans="1:26" ht="15.75" hidden="1" customHeight="1" outlineLevel="1" x14ac:dyDescent="0.3">
      <c r="A149" s="3"/>
      <c r="B149" s="10" t="s">
        <v>353</v>
      </c>
      <c r="C149" s="62"/>
      <c r="D149" s="62"/>
      <c r="E149" s="12">
        <v>0</v>
      </c>
      <c r="F149" s="12">
        <v>0</v>
      </c>
      <c r="G149" s="65"/>
      <c r="H149" s="65"/>
      <c r="I149" s="89"/>
      <c r="J149" s="65"/>
      <c r="K149" s="37"/>
      <c r="L149" s="37"/>
      <c r="M149" s="37"/>
      <c r="N149" s="37"/>
      <c r="O149" s="37"/>
      <c r="P149" s="37"/>
      <c r="Q149" s="37"/>
      <c r="R149" s="37"/>
      <c r="S149" s="37"/>
      <c r="T149" s="37"/>
      <c r="U149" s="3"/>
      <c r="W149" s="3"/>
      <c r="X149" s="3"/>
      <c r="Y149" s="3"/>
      <c r="Z149" s="3"/>
    </row>
    <row r="150" spans="1:26" ht="15.75" hidden="1" customHeight="1" outlineLevel="1" x14ac:dyDescent="0.3">
      <c r="A150" s="3"/>
      <c r="B150" s="10" t="s">
        <v>354</v>
      </c>
      <c r="C150" s="62"/>
      <c r="D150" s="62"/>
      <c r="E150" s="12">
        <v>0</v>
      </c>
      <c r="F150" s="12">
        <v>0</v>
      </c>
      <c r="G150" s="65"/>
      <c r="H150" s="65"/>
      <c r="I150" s="89"/>
      <c r="J150" s="65"/>
      <c r="K150" s="37"/>
      <c r="L150" s="37"/>
      <c r="M150" s="37"/>
      <c r="N150" s="37"/>
      <c r="O150" s="37"/>
      <c r="P150" s="37"/>
      <c r="Q150" s="37"/>
      <c r="R150" s="37"/>
      <c r="S150" s="37"/>
      <c r="T150" s="37"/>
      <c r="U150" s="3"/>
      <c r="W150" s="3"/>
      <c r="X150" s="3"/>
      <c r="Y150" s="3"/>
      <c r="Z150" s="3"/>
    </row>
    <row r="151" spans="1:26" ht="15.75" hidden="1" customHeight="1" outlineLevel="1" x14ac:dyDescent="0.3">
      <c r="A151" s="3"/>
      <c r="B151" s="10" t="s">
        <v>355</v>
      </c>
      <c r="C151" s="62"/>
      <c r="D151" s="62"/>
      <c r="E151" s="12">
        <v>0</v>
      </c>
      <c r="F151" s="12">
        <v>0</v>
      </c>
      <c r="G151" s="65"/>
      <c r="H151" s="65"/>
      <c r="I151" s="89"/>
      <c r="J151" s="65"/>
      <c r="K151" s="37"/>
      <c r="L151" s="37"/>
      <c r="M151" s="37"/>
      <c r="N151" s="37"/>
      <c r="O151" s="37"/>
      <c r="P151" s="37"/>
      <c r="Q151" s="37"/>
      <c r="R151" s="37"/>
      <c r="S151" s="37"/>
      <c r="T151" s="37"/>
      <c r="U151" s="3"/>
      <c r="W151" s="3"/>
      <c r="X151" s="3"/>
      <c r="Y151" s="3"/>
      <c r="Z151" s="3"/>
    </row>
    <row r="152" spans="1:26" ht="15.75" hidden="1" customHeight="1" outlineLevel="1" x14ac:dyDescent="0.3">
      <c r="A152" s="3"/>
      <c r="B152" s="10" t="s">
        <v>369</v>
      </c>
      <c r="C152" s="62"/>
      <c r="D152" s="62"/>
      <c r="E152" s="12">
        <v>0</v>
      </c>
      <c r="F152" s="12">
        <v>0</v>
      </c>
      <c r="G152" s="65"/>
      <c r="H152" s="65"/>
      <c r="I152" s="89"/>
      <c r="J152" s="65"/>
      <c r="K152" s="37"/>
      <c r="L152" s="37"/>
      <c r="M152" s="37"/>
      <c r="N152" s="37"/>
      <c r="O152" s="37"/>
      <c r="P152" s="37"/>
      <c r="Q152" s="37"/>
      <c r="R152" s="37"/>
      <c r="S152" s="37"/>
      <c r="T152" s="37"/>
      <c r="U152" s="3"/>
      <c r="W152" s="3"/>
      <c r="X152" s="3"/>
      <c r="Y152" s="3"/>
      <c r="Z152" s="3"/>
    </row>
    <row r="153" spans="1:26" ht="15.75" hidden="1" customHeight="1" outlineLevel="1" x14ac:dyDescent="0.3">
      <c r="A153" s="3"/>
      <c r="B153" s="10" t="s">
        <v>327</v>
      </c>
      <c r="C153" s="62"/>
      <c r="D153" s="62"/>
      <c r="E153" s="12">
        <v>0</v>
      </c>
      <c r="F153" s="12">
        <v>0</v>
      </c>
      <c r="G153" s="65"/>
      <c r="H153" s="65"/>
      <c r="I153" s="89"/>
      <c r="J153" s="65"/>
      <c r="K153" s="37"/>
      <c r="L153" s="37"/>
      <c r="M153" s="37"/>
      <c r="N153" s="37"/>
      <c r="O153" s="37"/>
      <c r="P153" s="37"/>
      <c r="Q153" s="37"/>
      <c r="R153" s="37"/>
      <c r="S153" s="37"/>
      <c r="T153" s="37"/>
      <c r="U153" s="3"/>
      <c r="W153" s="3"/>
      <c r="X153" s="3"/>
      <c r="Y153" s="3"/>
      <c r="Z153" s="3"/>
    </row>
    <row r="154" spans="1:26" ht="15.75" hidden="1" customHeight="1" outlineLevel="1" x14ac:dyDescent="0.3">
      <c r="A154" s="3"/>
      <c r="B154" s="91" t="s">
        <v>382</v>
      </c>
      <c r="C154" s="92"/>
      <c r="D154" s="92"/>
      <c r="E154" s="93">
        <f>SUM(E155:E159)</f>
        <v>0</v>
      </c>
      <c r="F154" s="93">
        <f>SUMIF(D155:D159,"OK",F155:F159)</f>
        <v>0</v>
      </c>
      <c r="G154" s="94"/>
      <c r="H154" s="94"/>
      <c r="I154" s="95"/>
      <c r="J154" s="94"/>
      <c r="K154" s="37"/>
      <c r="L154" s="37"/>
      <c r="M154" s="37"/>
      <c r="N154" s="37"/>
      <c r="O154" s="37"/>
      <c r="P154" s="37"/>
      <c r="Q154" s="37"/>
      <c r="R154" s="37"/>
      <c r="S154" s="37"/>
      <c r="T154" s="37"/>
      <c r="U154" s="3"/>
      <c r="W154" s="3"/>
      <c r="X154" s="3"/>
      <c r="Y154" s="3"/>
      <c r="Z154" s="3"/>
    </row>
    <row r="155" spans="1:26" ht="15.75" hidden="1" customHeight="1" outlineLevel="1" x14ac:dyDescent="0.3">
      <c r="A155" s="3"/>
      <c r="B155" s="10" t="s">
        <v>353</v>
      </c>
      <c r="C155" s="62"/>
      <c r="D155" s="62"/>
      <c r="E155" s="12">
        <v>0</v>
      </c>
      <c r="F155" s="12">
        <v>0</v>
      </c>
      <c r="G155" s="65"/>
      <c r="H155" s="65"/>
      <c r="I155" s="89"/>
      <c r="J155" s="65"/>
      <c r="K155" s="37"/>
      <c r="L155" s="37"/>
      <c r="M155" s="37"/>
      <c r="N155" s="37"/>
      <c r="O155" s="37"/>
      <c r="P155" s="37"/>
      <c r="Q155" s="37"/>
      <c r="R155" s="37"/>
      <c r="S155" s="37"/>
      <c r="T155" s="37"/>
      <c r="U155" s="3"/>
      <c r="W155" s="3"/>
      <c r="X155" s="3"/>
      <c r="Y155" s="3"/>
      <c r="Z155" s="3"/>
    </row>
    <row r="156" spans="1:26" ht="15.75" hidden="1" customHeight="1" outlineLevel="1" x14ac:dyDescent="0.3">
      <c r="A156" s="3"/>
      <c r="B156" s="10" t="s">
        <v>354</v>
      </c>
      <c r="C156" s="62"/>
      <c r="D156" s="62"/>
      <c r="E156" s="12">
        <v>0</v>
      </c>
      <c r="F156" s="12">
        <v>0</v>
      </c>
      <c r="G156" s="65"/>
      <c r="H156" s="65"/>
      <c r="I156" s="89"/>
      <c r="J156" s="65"/>
      <c r="K156" s="37"/>
      <c r="L156" s="37"/>
      <c r="M156" s="37"/>
      <c r="N156" s="37"/>
      <c r="O156" s="37"/>
      <c r="P156" s="37"/>
      <c r="Q156" s="37"/>
      <c r="R156" s="37"/>
      <c r="S156" s="37"/>
      <c r="T156" s="37"/>
      <c r="U156" s="3"/>
      <c r="W156" s="3"/>
      <c r="X156" s="3"/>
      <c r="Y156" s="3"/>
      <c r="Z156" s="3"/>
    </row>
    <row r="157" spans="1:26" ht="15.75" hidden="1" customHeight="1" outlineLevel="1" x14ac:dyDescent="0.3">
      <c r="A157" s="3"/>
      <c r="B157" s="10" t="s">
        <v>355</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5.75" hidden="1" customHeight="1" outlineLevel="1" x14ac:dyDescent="0.3">
      <c r="A158" s="3"/>
      <c r="B158" s="10" t="s">
        <v>369</v>
      </c>
      <c r="C158" s="62"/>
      <c r="D158" s="62"/>
      <c r="E158" s="12">
        <v>0</v>
      </c>
      <c r="F158" s="12">
        <v>0</v>
      </c>
      <c r="G158" s="65"/>
      <c r="H158" s="65"/>
      <c r="I158" s="89"/>
      <c r="J158" s="65"/>
      <c r="K158" s="37"/>
      <c r="L158" s="37"/>
      <c r="M158" s="37"/>
      <c r="N158" s="37"/>
      <c r="O158" s="37"/>
      <c r="P158" s="37"/>
      <c r="Q158" s="37"/>
      <c r="R158" s="37"/>
      <c r="S158" s="37"/>
      <c r="T158" s="37"/>
      <c r="U158" s="3"/>
      <c r="W158" s="3"/>
      <c r="X158" s="3"/>
      <c r="Y158" s="3"/>
      <c r="Z158" s="3"/>
    </row>
    <row r="159" spans="1:26" ht="15.75" hidden="1" customHeight="1" outlineLevel="1" x14ac:dyDescent="0.3">
      <c r="A159" s="3"/>
      <c r="B159" s="10" t="s">
        <v>327</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5.75" customHeight="1" collapsed="1" x14ac:dyDescent="0.3">
      <c r="A160" s="3"/>
      <c r="B160" s="84" t="s">
        <v>383</v>
      </c>
      <c r="C160" s="85" t="s">
        <v>43</v>
      </c>
      <c r="D160" s="85" t="s">
        <v>43</v>
      </c>
      <c r="E160" s="86">
        <f>SUM(E161:E165)</f>
        <v>0</v>
      </c>
      <c r="F160" s="86">
        <f>SUMIF(D161:D165,"OK",F161:F165)</f>
        <v>0</v>
      </c>
      <c r="G160" s="87"/>
      <c r="H160" s="87"/>
      <c r="I160" s="88"/>
      <c r="J160" s="87"/>
      <c r="K160" s="37"/>
      <c r="L160" s="37"/>
      <c r="M160" s="37"/>
      <c r="N160" s="37"/>
      <c r="O160" s="37"/>
      <c r="P160" s="37"/>
      <c r="Q160" s="37"/>
      <c r="R160" s="37"/>
      <c r="S160" s="37"/>
      <c r="T160" s="37"/>
      <c r="U160" s="3"/>
      <c r="W160" s="3"/>
      <c r="X160" s="3"/>
      <c r="Y160" s="3"/>
      <c r="Z160" s="3"/>
    </row>
    <row r="161" spans="1:26" ht="15.75" hidden="1" customHeight="1" outlineLevel="1" x14ac:dyDescent="0.3">
      <c r="A161" s="3"/>
      <c r="B161" s="10" t="s">
        <v>353</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t="15.75" hidden="1" customHeight="1" outlineLevel="1" x14ac:dyDescent="0.3">
      <c r="A162" s="3"/>
      <c r="B162" s="10" t="s">
        <v>354</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5.75" hidden="1" customHeight="1" outlineLevel="1" x14ac:dyDescent="0.3">
      <c r="A163" s="3"/>
      <c r="B163" s="10" t="s">
        <v>355</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5.75" hidden="1" customHeight="1" outlineLevel="1" x14ac:dyDescent="0.3">
      <c r="A164" s="3"/>
      <c r="B164" s="10" t="s">
        <v>369</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5.75" hidden="1" customHeight="1" outlineLevel="1" x14ac:dyDescent="0.3">
      <c r="A165" s="3"/>
      <c r="B165" s="10" t="s">
        <v>327</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5.75" customHeight="1" collapsed="1" x14ac:dyDescent="0.3">
      <c r="A166" s="3"/>
      <c r="B166" s="84" t="s">
        <v>384</v>
      </c>
      <c r="C166" s="85" t="s">
        <v>43</v>
      </c>
      <c r="D166" s="85" t="s">
        <v>43</v>
      </c>
      <c r="E166" s="86">
        <f>SUM(E167:E171)</f>
        <v>0</v>
      </c>
      <c r="F166" s="86">
        <f>SUMIF(D167:D171,"OK",F167:F171)</f>
        <v>0</v>
      </c>
      <c r="G166" s="87"/>
      <c r="H166" s="87"/>
      <c r="I166" s="88"/>
      <c r="J166" s="87"/>
      <c r="K166" s="37"/>
      <c r="L166" s="37"/>
      <c r="M166" s="37"/>
      <c r="N166" s="37"/>
      <c r="O166" s="37"/>
      <c r="P166" s="37"/>
      <c r="Q166" s="37"/>
      <c r="R166" s="37"/>
      <c r="S166" s="37"/>
      <c r="T166" s="37"/>
      <c r="U166" s="3"/>
      <c r="W166" s="3"/>
      <c r="X166" s="3"/>
      <c r="Y166" s="3"/>
      <c r="Z166" s="3"/>
    </row>
    <row r="167" spans="1:26" ht="15.75" hidden="1" customHeight="1" outlineLevel="1" x14ac:dyDescent="0.3">
      <c r="A167" s="3"/>
      <c r="B167" s="10" t="s">
        <v>385</v>
      </c>
      <c r="C167" s="80"/>
      <c r="D167" s="62"/>
      <c r="E167" s="12">
        <v>0</v>
      </c>
      <c r="F167" s="12">
        <v>0</v>
      </c>
      <c r="G167" s="89"/>
      <c r="H167" s="65"/>
      <c r="I167" s="112"/>
      <c r="J167" s="65"/>
      <c r="K167" s="37"/>
      <c r="L167" s="37"/>
      <c r="M167" s="37"/>
      <c r="N167" s="37"/>
      <c r="O167" s="37"/>
      <c r="P167" s="37"/>
      <c r="Q167" s="37"/>
      <c r="R167" s="37"/>
      <c r="S167" s="37"/>
      <c r="T167" s="37"/>
      <c r="U167" s="3"/>
      <c r="W167" s="3"/>
      <c r="X167" s="3"/>
      <c r="Y167" s="3"/>
      <c r="Z167" s="3"/>
    </row>
    <row r="168" spans="1:26" ht="15.75" hidden="1" customHeight="1" outlineLevel="1" x14ac:dyDescent="0.3">
      <c r="A168" s="3"/>
      <c r="B168" s="10" t="s">
        <v>354</v>
      </c>
      <c r="C168" s="62"/>
      <c r="D168" s="62"/>
      <c r="E168" s="12">
        <v>0</v>
      </c>
      <c r="F168" s="12">
        <v>0</v>
      </c>
      <c r="G168" s="89"/>
      <c r="H168" s="65"/>
      <c r="I168" s="89"/>
      <c r="J168" s="89"/>
      <c r="K168" s="37"/>
      <c r="L168" s="37"/>
      <c r="M168" s="37"/>
      <c r="N168" s="37"/>
      <c r="O168" s="37"/>
      <c r="P168" s="37"/>
      <c r="Q168" s="37"/>
      <c r="R168" s="37"/>
      <c r="S168" s="37"/>
      <c r="T168" s="37"/>
      <c r="U168" s="3"/>
      <c r="W168" s="3"/>
      <c r="X168" s="3"/>
      <c r="Y168" s="3"/>
      <c r="Z168" s="3"/>
    </row>
    <row r="169" spans="1:26" ht="15.75" hidden="1" customHeight="1" outlineLevel="1" x14ac:dyDescent="0.3">
      <c r="A169" s="3"/>
      <c r="B169" s="10" t="s">
        <v>355</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5.75" hidden="1" customHeight="1" outlineLevel="1" x14ac:dyDescent="0.3">
      <c r="A170" s="3"/>
      <c r="B170" s="10" t="s">
        <v>369</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5.75" hidden="1" customHeight="1" outlineLevel="1" x14ac:dyDescent="0.3">
      <c r="A171" s="3"/>
      <c r="B171" s="10" t="s">
        <v>327</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5.75" customHeight="1" collapsed="1" x14ac:dyDescent="0.3">
      <c r="A172" s="3"/>
      <c r="B172" s="84" t="s">
        <v>394</v>
      </c>
      <c r="C172" s="85" t="s">
        <v>43</v>
      </c>
      <c r="D172" s="85" t="s">
        <v>43</v>
      </c>
      <c r="E172" s="86">
        <f>SUM(E173:E181)</f>
        <v>0</v>
      </c>
      <c r="F172" s="86">
        <f>SUMIF(D173:D181,"OK",F173:F181)</f>
        <v>0</v>
      </c>
      <c r="G172" s="87"/>
      <c r="H172" s="87"/>
      <c r="I172" s="88"/>
      <c r="J172" s="87"/>
      <c r="K172" s="37"/>
      <c r="L172" s="37"/>
      <c r="M172" s="37"/>
      <c r="N172" s="37"/>
      <c r="O172" s="37"/>
      <c r="P172" s="37"/>
      <c r="Q172" s="37"/>
      <c r="R172" s="37"/>
      <c r="S172" s="37"/>
      <c r="T172" s="37"/>
      <c r="U172" s="3"/>
      <c r="W172" s="3"/>
      <c r="X172" s="3"/>
      <c r="Y172" s="3"/>
      <c r="Z172" s="3"/>
    </row>
    <row r="173" spans="1:26" ht="15.75" hidden="1" customHeight="1" outlineLevel="1" x14ac:dyDescent="0.3">
      <c r="A173" s="3"/>
      <c r="B173" s="10" t="s">
        <v>644</v>
      </c>
      <c r="C173" s="62"/>
      <c r="D173" s="62"/>
      <c r="E173" s="12">
        <v>0</v>
      </c>
      <c r="F173" s="12">
        <v>0</v>
      </c>
      <c r="G173" s="65"/>
      <c r="H173" s="65"/>
      <c r="I173" s="112"/>
      <c r="J173" s="65"/>
      <c r="K173" s="37"/>
      <c r="L173" s="37"/>
      <c r="M173" s="37"/>
      <c r="N173" s="37"/>
      <c r="O173" s="37"/>
      <c r="P173" s="37"/>
      <c r="Q173" s="37"/>
      <c r="R173" s="37"/>
      <c r="S173" s="37"/>
      <c r="T173" s="37"/>
      <c r="U173" s="3"/>
      <c r="W173" s="3"/>
      <c r="X173" s="3"/>
      <c r="Y173" s="3"/>
      <c r="Z173" s="3"/>
    </row>
    <row r="174" spans="1:26" ht="15.75" hidden="1" customHeight="1" outlineLevel="1" x14ac:dyDescent="0.3">
      <c r="A174" s="3"/>
      <c r="B174" s="10" t="s">
        <v>645</v>
      </c>
      <c r="C174" s="62"/>
      <c r="D174" s="62"/>
      <c r="E174" s="12">
        <v>0</v>
      </c>
      <c r="F174" s="12">
        <v>0</v>
      </c>
      <c r="G174" s="65"/>
      <c r="H174" s="65"/>
      <c r="I174" s="112"/>
      <c r="J174" s="65"/>
      <c r="K174" s="37"/>
      <c r="L174" s="37"/>
      <c r="M174" s="37"/>
      <c r="N174" s="37"/>
      <c r="O174" s="37"/>
      <c r="P174" s="37"/>
      <c r="Q174" s="37"/>
      <c r="R174" s="37"/>
      <c r="S174" s="37"/>
      <c r="T174" s="37"/>
      <c r="U174" s="3"/>
      <c r="W174" s="3"/>
      <c r="X174" s="3"/>
      <c r="Y174" s="3"/>
      <c r="Z174" s="3"/>
    </row>
    <row r="175" spans="1:26" ht="15.75" hidden="1" customHeight="1" outlineLevel="1" x14ac:dyDescent="0.3">
      <c r="A175" s="3"/>
      <c r="B175" s="10" t="s">
        <v>355</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5.75" hidden="1" customHeight="1" outlineLevel="1" x14ac:dyDescent="0.3">
      <c r="A176" s="3"/>
      <c r="B176" s="10" t="s">
        <v>369</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t="15.75" hidden="1" customHeight="1" outlineLevel="1" x14ac:dyDescent="0.3">
      <c r="A177" s="3"/>
      <c r="B177" s="10" t="s">
        <v>327</v>
      </c>
      <c r="C177" s="62"/>
      <c r="D177" s="62"/>
      <c r="E177" s="12">
        <v>0</v>
      </c>
      <c r="F177" s="12">
        <v>0</v>
      </c>
      <c r="G177" s="65"/>
      <c r="H177" s="65"/>
      <c r="I177" s="89"/>
      <c r="J177" s="65"/>
      <c r="K177" s="37"/>
      <c r="L177" s="37"/>
      <c r="M177" s="37"/>
      <c r="N177" s="37"/>
      <c r="O177" s="37"/>
      <c r="P177" s="37"/>
      <c r="Q177" s="37"/>
      <c r="R177" s="37"/>
      <c r="S177" s="37"/>
      <c r="T177" s="37"/>
      <c r="U177" s="3"/>
      <c r="W177" s="3"/>
      <c r="X177" s="3"/>
      <c r="Y177" s="3"/>
      <c r="Z177" s="3"/>
    </row>
    <row r="178" spans="1:26" ht="15.75" hidden="1" customHeight="1" outlineLevel="1" x14ac:dyDescent="0.3">
      <c r="A178" s="3"/>
      <c r="B178" s="10" t="s">
        <v>328</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5.75" hidden="1" customHeight="1" outlineLevel="1" x14ac:dyDescent="0.3">
      <c r="A179" s="3"/>
      <c r="B179" s="10" t="s">
        <v>370</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15.75" hidden="1" customHeight="1" outlineLevel="1" x14ac:dyDescent="0.3">
      <c r="A180" s="3"/>
      <c r="B180" s="10" t="s">
        <v>371</v>
      </c>
      <c r="C180" s="62"/>
      <c r="D180" s="62"/>
      <c r="E180" s="12">
        <v>0</v>
      </c>
      <c r="F180" s="12">
        <v>0</v>
      </c>
      <c r="G180" s="65"/>
      <c r="H180" s="65"/>
      <c r="I180" s="89"/>
      <c r="J180" s="65"/>
      <c r="K180" s="37"/>
      <c r="L180" s="37"/>
      <c r="M180" s="37"/>
      <c r="N180" s="37"/>
      <c r="O180" s="37"/>
      <c r="P180" s="37"/>
      <c r="Q180" s="37"/>
      <c r="R180" s="37"/>
      <c r="S180" s="37"/>
      <c r="T180" s="37"/>
      <c r="U180" s="3"/>
      <c r="W180" s="3"/>
      <c r="X180" s="3"/>
      <c r="Y180" s="3"/>
      <c r="Z180" s="3"/>
    </row>
    <row r="181" spans="1:26" ht="15.75" hidden="1" customHeight="1" outlineLevel="1" x14ac:dyDescent="0.3">
      <c r="A181" s="3"/>
      <c r="B181" s="10" t="s">
        <v>372</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5.75" customHeight="1" collapsed="1" x14ac:dyDescent="0.3">
      <c r="A182" s="3"/>
      <c r="B182" s="84" t="s">
        <v>401</v>
      </c>
      <c r="C182" s="85" t="s">
        <v>43</v>
      </c>
      <c r="D182" s="85" t="s">
        <v>43</v>
      </c>
      <c r="E182" s="86">
        <f>SUM(E183:E191)</f>
        <v>0</v>
      </c>
      <c r="F182" s="86">
        <f>SUMIF(D183:D191,"OK",F183:F191)</f>
        <v>0</v>
      </c>
      <c r="G182" s="87"/>
      <c r="H182" s="87"/>
      <c r="I182" s="88"/>
      <c r="J182" s="87"/>
      <c r="K182" s="37"/>
      <c r="L182" s="37"/>
      <c r="M182" s="37"/>
      <c r="N182" s="37"/>
      <c r="O182" s="37"/>
      <c r="P182" s="37"/>
      <c r="Q182" s="37"/>
      <c r="R182" s="37"/>
      <c r="S182" s="37"/>
      <c r="T182" s="37"/>
      <c r="U182" s="3"/>
      <c r="W182" s="3"/>
      <c r="X182" s="3"/>
      <c r="Y182" s="3"/>
      <c r="Z182" s="3"/>
    </row>
    <row r="183" spans="1:26" ht="15.75" hidden="1" customHeight="1" outlineLevel="1" x14ac:dyDescent="0.3">
      <c r="A183" s="3"/>
      <c r="B183" s="10" t="s">
        <v>353</v>
      </c>
      <c r="C183" s="62"/>
      <c r="D183" s="62"/>
      <c r="E183" s="12">
        <v>0</v>
      </c>
      <c r="F183" s="12">
        <v>0</v>
      </c>
      <c r="G183" s="65"/>
      <c r="H183" s="65"/>
      <c r="I183" s="89"/>
      <c r="J183" s="65"/>
      <c r="K183" s="37"/>
      <c r="L183" s="37"/>
      <c r="M183" s="37"/>
      <c r="N183" s="37"/>
      <c r="O183" s="37"/>
      <c r="P183" s="37"/>
      <c r="Q183" s="37"/>
      <c r="R183" s="37"/>
      <c r="S183" s="37"/>
      <c r="T183" s="37"/>
      <c r="U183" s="3"/>
      <c r="W183" s="3"/>
      <c r="X183" s="3"/>
      <c r="Y183" s="3"/>
      <c r="Z183" s="3"/>
    </row>
    <row r="184" spans="1:26" ht="15.75" hidden="1" customHeight="1" outlineLevel="1" x14ac:dyDescent="0.3">
      <c r="A184" s="3"/>
      <c r="B184" s="10" t="s">
        <v>354</v>
      </c>
      <c r="C184" s="62"/>
      <c r="D184" s="62"/>
      <c r="E184" s="12">
        <v>0</v>
      </c>
      <c r="F184" s="12">
        <v>0</v>
      </c>
      <c r="G184" s="65"/>
      <c r="H184" s="65"/>
      <c r="I184" s="89"/>
      <c r="J184" s="65"/>
      <c r="K184" s="37"/>
      <c r="L184" s="37"/>
      <c r="M184" s="37"/>
      <c r="N184" s="37"/>
      <c r="O184" s="37"/>
      <c r="P184" s="37"/>
      <c r="Q184" s="37"/>
      <c r="R184" s="37"/>
      <c r="S184" s="37"/>
      <c r="T184" s="37"/>
      <c r="U184" s="3"/>
      <c r="W184" s="3"/>
      <c r="X184" s="3"/>
      <c r="Y184" s="3"/>
      <c r="Z184" s="3"/>
    </row>
    <row r="185" spans="1:26" ht="15.75" hidden="1" customHeight="1" outlineLevel="1" x14ac:dyDescent="0.3">
      <c r="A185" s="3"/>
      <c r="B185" s="10" t="s">
        <v>355</v>
      </c>
      <c r="C185" s="62"/>
      <c r="D185" s="62"/>
      <c r="E185" s="12">
        <v>0</v>
      </c>
      <c r="F185" s="12">
        <v>0</v>
      </c>
      <c r="G185" s="65"/>
      <c r="H185" s="65"/>
      <c r="I185" s="89"/>
      <c r="J185" s="65"/>
      <c r="K185" s="37"/>
      <c r="L185" s="37"/>
      <c r="M185" s="37"/>
      <c r="N185" s="37"/>
      <c r="O185" s="37"/>
      <c r="P185" s="37"/>
      <c r="Q185" s="37"/>
      <c r="R185" s="37"/>
      <c r="S185" s="37"/>
      <c r="T185" s="37"/>
      <c r="U185" s="3"/>
      <c r="W185" s="3"/>
      <c r="X185" s="3"/>
      <c r="Y185" s="3"/>
      <c r="Z185" s="3"/>
    </row>
    <row r="186" spans="1:26" ht="15.75" hidden="1" customHeight="1" outlineLevel="1" x14ac:dyDescent="0.3">
      <c r="A186" s="3"/>
      <c r="B186" s="10" t="s">
        <v>369</v>
      </c>
      <c r="C186" s="62"/>
      <c r="D186" s="62"/>
      <c r="E186" s="12">
        <v>0</v>
      </c>
      <c r="F186" s="12">
        <v>0</v>
      </c>
      <c r="G186" s="65"/>
      <c r="H186" s="65"/>
      <c r="I186" s="89"/>
      <c r="J186" s="65"/>
      <c r="K186" s="37"/>
      <c r="L186" s="37"/>
      <c r="M186" s="37"/>
      <c r="N186" s="37"/>
      <c r="O186" s="37"/>
      <c r="P186" s="37"/>
      <c r="Q186" s="37"/>
      <c r="R186" s="37"/>
      <c r="S186" s="37"/>
      <c r="T186" s="37"/>
      <c r="U186" s="3"/>
      <c r="W186" s="3"/>
      <c r="X186" s="3"/>
      <c r="Y186" s="3"/>
      <c r="Z186" s="3"/>
    </row>
    <row r="187" spans="1:26" ht="15.75" hidden="1" customHeight="1" outlineLevel="1" x14ac:dyDescent="0.3">
      <c r="A187" s="3"/>
      <c r="B187" s="10" t="s">
        <v>327</v>
      </c>
      <c r="C187" s="62"/>
      <c r="D187" s="62"/>
      <c r="E187" s="12">
        <v>0</v>
      </c>
      <c r="F187" s="12">
        <v>0</v>
      </c>
      <c r="G187" s="65"/>
      <c r="H187" s="65"/>
      <c r="I187" s="89"/>
      <c r="J187" s="65"/>
      <c r="K187" s="37"/>
      <c r="L187" s="37"/>
      <c r="M187" s="37"/>
      <c r="N187" s="37"/>
      <c r="O187" s="37"/>
      <c r="P187" s="37"/>
      <c r="Q187" s="37"/>
      <c r="R187" s="37"/>
      <c r="S187" s="37"/>
      <c r="T187" s="37"/>
      <c r="U187" s="3"/>
      <c r="W187" s="3"/>
      <c r="X187" s="3"/>
      <c r="Y187" s="3"/>
      <c r="Z187" s="3"/>
    </row>
    <row r="188" spans="1:26" ht="15.75" hidden="1" customHeight="1" outlineLevel="1" x14ac:dyDescent="0.3">
      <c r="A188" s="3"/>
      <c r="B188" s="10" t="s">
        <v>328</v>
      </c>
      <c r="C188" s="62"/>
      <c r="D188" s="62"/>
      <c r="E188" s="12">
        <v>0</v>
      </c>
      <c r="F188" s="12">
        <v>0</v>
      </c>
      <c r="G188" s="65"/>
      <c r="H188" s="65"/>
      <c r="I188" s="89"/>
      <c r="J188" s="65"/>
      <c r="K188" s="37"/>
      <c r="L188" s="37"/>
      <c r="M188" s="37"/>
      <c r="N188" s="37"/>
      <c r="O188" s="37"/>
      <c r="P188" s="37"/>
      <c r="Q188" s="37"/>
      <c r="R188" s="37"/>
      <c r="S188" s="37"/>
      <c r="T188" s="37"/>
      <c r="U188" s="3"/>
      <c r="W188" s="3"/>
      <c r="X188" s="3"/>
      <c r="Y188" s="3"/>
      <c r="Z188" s="3"/>
    </row>
    <row r="189" spans="1:26" ht="15.75" hidden="1" customHeight="1" outlineLevel="1" x14ac:dyDescent="0.3">
      <c r="A189" s="3"/>
      <c r="B189" s="10" t="s">
        <v>370</v>
      </c>
      <c r="C189" s="62"/>
      <c r="D189" s="62"/>
      <c r="E189" s="12">
        <v>0</v>
      </c>
      <c r="F189" s="12">
        <v>0</v>
      </c>
      <c r="G189" s="65"/>
      <c r="H189" s="65"/>
      <c r="I189" s="89"/>
      <c r="J189" s="65"/>
      <c r="K189" s="37"/>
      <c r="L189" s="37"/>
      <c r="M189" s="37"/>
      <c r="N189" s="37"/>
      <c r="O189" s="37"/>
      <c r="P189" s="37"/>
      <c r="Q189" s="37"/>
      <c r="R189" s="37"/>
      <c r="S189" s="37"/>
      <c r="T189" s="37"/>
      <c r="U189" s="3"/>
      <c r="W189" s="3"/>
      <c r="X189" s="3"/>
      <c r="Y189" s="3"/>
      <c r="Z189" s="3"/>
    </row>
    <row r="190" spans="1:26" ht="15.75" hidden="1" customHeight="1" outlineLevel="1" x14ac:dyDescent="0.3">
      <c r="A190" s="3"/>
      <c r="B190" s="10" t="s">
        <v>371</v>
      </c>
      <c r="C190" s="62"/>
      <c r="D190" s="62"/>
      <c r="E190" s="12">
        <v>0</v>
      </c>
      <c r="F190" s="12">
        <v>0</v>
      </c>
      <c r="G190" s="65"/>
      <c r="H190" s="65"/>
      <c r="I190" s="89"/>
      <c r="J190" s="65"/>
      <c r="K190" s="37"/>
      <c r="L190" s="37"/>
      <c r="M190" s="37"/>
      <c r="N190" s="37"/>
      <c r="O190" s="37"/>
      <c r="P190" s="37"/>
      <c r="Q190" s="37"/>
      <c r="R190" s="37"/>
      <c r="S190" s="37"/>
      <c r="T190" s="37"/>
      <c r="U190" s="3"/>
      <c r="W190" s="3"/>
      <c r="X190" s="3"/>
      <c r="Y190" s="3"/>
      <c r="Z190" s="3"/>
    </row>
    <row r="191" spans="1:26" ht="15.75" hidden="1" customHeight="1" outlineLevel="1" x14ac:dyDescent="0.3">
      <c r="A191" s="3"/>
      <c r="B191" s="10" t="s">
        <v>372</v>
      </c>
      <c r="C191" s="62"/>
      <c r="D191" s="62"/>
      <c r="E191" s="12">
        <v>0</v>
      </c>
      <c r="F191" s="12">
        <v>0</v>
      </c>
      <c r="G191" s="65"/>
      <c r="H191" s="65"/>
      <c r="I191" s="89"/>
      <c r="J191" s="65"/>
      <c r="K191" s="37"/>
      <c r="L191" s="37"/>
      <c r="M191" s="37"/>
      <c r="N191" s="37"/>
      <c r="O191" s="37"/>
      <c r="P191" s="37"/>
      <c r="Q191" s="37"/>
      <c r="R191" s="37"/>
      <c r="S191" s="37"/>
      <c r="T191" s="37"/>
      <c r="U191" s="3"/>
      <c r="W191" s="3"/>
      <c r="X191" s="3"/>
      <c r="Y191" s="3"/>
      <c r="Z191" s="3"/>
    </row>
    <row r="192" spans="1:26" ht="15.75" customHeight="1" collapsed="1" x14ac:dyDescent="0.3">
      <c r="A192" s="3"/>
      <c r="B192" s="84" t="s">
        <v>402</v>
      </c>
      <c r="C192" s="85" t="s">
        <v>43</v>
      </c>
      <c r="D192" s="85" t="s">
        <v>43</v>
      </c>
      <c r="E192" s="86">
        <f>SUM(E193:E201)</f>
        <v>0</v>
      </c>
      <c r="F192" s="86">
        <f>SUMIF(D193:D201,"OK",F193:F201)</f>
        <v>357</v>
      </c>
      <c r="G192" s="87"/>
      <c r="H192" s="87"/>
      <c r="I192" s="88"/>
      <c r="J192" s="87"/>
      <c r="K192" s="37"/>
      <c r="L192" s="37"/>
      <c r="M192" s="37"/>
      <c r="N192" s="37"/>
      <c r="O192" s="37"/>
      <c r="P192" s="37"/>
      <c r="Q192" s="37"/>
      <c r="R192" s="37"/>
      <c r="S192" s="37"/>
      <c r="T192" s="37"/>
      <c r="U192" s="3"/>
      <c r="W192" s="3"/>
      <c r="X192" s="3"/>
      <c r="Y192" s="3"/>
      <c r="Z192" s="3"/>
    </row>
    <row r="193" spans="1:26" ht="15.75" hidden="1" customHeight="1" outlineLevel="1" x14ac:dyDescent="0.3">
      <c r="A193" s="3"/>
      <c r="B193" s="10" t="s">
        <v>646</v>
      </c>
      <c r="C193" s="62">
        <v>27</v>
      </c>
      <c r="D193" s="62" t="s">
        <v>94</v>
      </c>
      <c r="E193" s="12">
        <v>0</v>
      </c>
      <c r="F193" s="12">
        <v>357</v>
      </c>
      <c r="G193" s="65"/>
      <c r="H193" s="65" t="s">
        <v>37</v>
      </c>
      <c r="I193" s="112" t="s">
        <v>647</v>
      </c>
      <c r="J193" s="65"/>
      <c r="K193" s="37"/>
      <c r="L193" s="37"/>
      <c r="M193" s="37"/>
      <c r="N193" s="37"/>
      <c r="O193" s="37"/>
      <c r="P193" s="37"/>
      <c r="Q193" s="37"/>
      <c r="R193" s="37"/>
      <c r="S193" s="37"/>
      <c r="T193" s="37"/>
      <c r="U193" s="3"/>
      <c r="W193" s="3"/>
      <c r="X193" s="3"/>
      <c r="Y193" s="3"/>
      <c r="Z193" s="3"/>
    </row>
    <row r="194" spans="1:26" ht="15.75" hidden="1" customHeight="1" outlineLevel="1" x14ac:dyDescent="0.3">
      <c r="A194" s="3"/>
      <c r="B194" s="10" t="s">
        <v>354</v>
      </c>
      <c r="C194" s="62"/>
      <c r="D194" s="62"/>
      <c r="E194" s="12">
        <v>0</v>
      </c>
      <c r="F194" s="12">
        <v>0</v>
      </c>
      <c r="G194" s="65"/>
      <c r="H194" s="65"/>
      <c r="I194" s="89"/>
      <c r="J194" s="65"/>
      <c r="K194" s="37"/>
      <c r="L194" s="37"/>
      <c r="M194" s="37"/>
      <c r="N194" s="37"/>
      <c r="O194" s="37"/>
      <c r="P194" s="37"/>
      <c r="Q194" s="37"/>
      <c r="R194" s="37"/>
      <c r="S194" s="37"/>
      <c r="T194" s="37"/>
      <c r="U194" s="3"/>
      <c r="W194" s="3"/>
      <c r="X194" s="3"/>
      <c r="Y194" s="3"/>
      <c r="Z194" s="3"/>
    </row>
    <row r="195" spans="1:26" ht="15.75" hidden="1" customHeight="1" outlineLevel="1" x14ac:dyDescent="0.3">
      <c r="A195" s="3"/>
      <c r="B195" s="10" t="s">
        <v>355</v>
      </c>
      <c r="C195" s="62"/>
      <c r="D195" s="62"/>
      <c r="E195" s="12">
        <v>0</v>
      </c>
      <c r="F195" s="12">
        <v>0</v>
      </c>
      <c r="G195" s="65"/>
      <c r="H195" s="65"/>
      <c r="I195" s="89"/>
      <c r="J195" s="65"/>
      <c r="K195" s="37"/>
      <c r="L195" s="37"/>
      <c r="M195" s="37"/>
      <c r="N195" s="37"/>
      <c r="O195" s="37"/>
      <c r="P195" s="37"/>
      <c r="Q195" s="37"/>
      <c r="R195" s="37"/>
      <c r="S195" s="37"/>
      <c r="T195" s="37"/>
      <c r="U195" s="3"/>
      <c r="W195" s="3"/>
      <c r="X195" s="3"/>
      <c r="Y195" s="3"/>
      <c r="Z195" s="3"/>
    </row>
    <row r="196" spans="1:26" ht="15.75" hidden="1" customHeight="1" outlineLevel="1" x14ac:dyDescent="0.3">
      <c r="A196" s="3"/>
      <c r="B196" s="10" t="s">
        <v>369</v>
      </c>
      <c r="C196" s="62"/>
      <c r="D196" s="62"/>
      <c r="E196" s="12">
        <v>0</v>
      </c>
      <c r="F196" s="12">
        <v>0</v>
      </c>
      <c r="G196" s="65"/>
      <c r="H196" s="65"/>
      <c r="I196" s="89"/>
      <c r="J196" s="65"/>
      <c r="K196" s="37"/>
      <c r="L196" s="37"/>
      <c r="M196" s="37"/>
      <c r="N196" s="37"/>
      <c r="O196" s="37"/>
      <c r="P196" s="37"/>
      <c r="Q196" s="37"/>
      <c r="R196" s="37"/>
      <c r="S196" s="37"/>
      <c r="T196" s="37"/>
      <c r="U196" s="3"/>
      <c r="W196" s="3"/>
      <c r="X196" s="3"/>
      <c r="Y196" s="3"/>
      <c r="Z196" s="3"/>
    </row>
    <row r="197" spans="1:26" ht="15.75" hidden="1" customHeight="1" outlineLevel="1" x14ac:dyDescent="0.3">
      <c r="A197" s="3"/>
      <c r="B197" s="10" t="s">
        <v>327</v>
      </c>
      <c r="C197" s="62"/>
      <c r="D197" s="62"/>
      <c r="E197" s="12">
        <v>0</v>
      </c>
      <c r="F197" s="12">
        <v>0</v>
      </c>
      <c r="G197" s="65"/>
      <c r="H197" s="65"/>
      <c r="I197" s="89"/>
      <c r="J197" s="65"/>
      <c r="K197" s="37"/>
      <c r="L197" s="37"/>
      <c r="M197" s="37"/>
      <c r="N197" s="37"/>
      <c r="O197" s="37"/>
      <c r="P197" s="37"/>
      <c r="Q197" s="37"/>
      <c r="R197" s="37"/>
      <c r="S197" s="37"/>
      <c r="T197" s="37"/>
      <c r="U197" s="3"/>
      <c r="W197" s="3"/>
      <c r="X197" s="3"/>
      <c r="Y197" s="3"/>
      <c r="Z197" s="3"/>
    </row>
    <row r="198" spans="1:26" ht="15.75" hidden="1" customHeight="1" outlineLevel="1" x14ac:dyDescent="0.3">
      <c r="A198" s="3"/>
      <c r="B198" s="10" t="s">
        <v>328</v>
      </c>
      <c r="C198" s="62"/>
      <c r="D198" s="62"/>
      <c r="E198" s="12">
        <v>0</v>
      </c>
      <c r="F198" s="12">
        <v>0</v>
      </c>
      <c r="G198" s="65"/>
      <c r="H198" s="65"/>
      <c r="I198" s="89"/>
      <c r="J198" s="65"/>
      <c r="K198" s="37"/>
      <c r="L198" s="37"/>
      <c r="M198" s="37"/>
      <c r="N198" s="37"/>
      <c r="O198" s="37"/>
      <c r="P198" s="37"/>
      <c r="Q198" s="37"/>
      <c r="R198" s="37"/>
      <c r="S198" s="37"/>
      <c r="T198" s="37"/>
      <c r="U198" s="3"/>
      <c r="W198" s="3"/>
      <c r="X198" s="3"/>
      <c r="Y198" s="3"/>
      <c r="Z198" s="3"/>
    </row>
    <row r="199" spans="1:26" ht="15.75" hidden="1" customHeight="1" outlineLevel="1" x14ac:dyDescent="0.3">
      <c r="A199" s="3"/>
      <c r="B199" s="10" t="s">
        <v>370</v>
      </c>
      <c r="C199" s="62"/>
      <c r="D199" s="62"/>
      <c r="E199" s="12">
        <v>0</v>
      </c>
      <c r="F199" s="12">
        <v>0</v>
      </c>
      <c r="G199" s="65"/>
      <c r="H199" s="65"/>
      <c r="I199" s="89"/>
      <c r="J199" s="65"/>
      <c r="K199" s="37"/>
      <c r="L199" s="37"/>
      <c r="M199" s="37"/>
      <c r="N199" s="37"/>
      <c r="O199" s="37"/>
      <c r="P199" s="37"/>
      <c r="Q199" s="37"/>
      <c r="R199" s="37"/>
      <c r="S199" s="37"/>
      <c r="T199" s="37"/>
      <c r="U199" s="3"/>
      <c r="W199" s="3"/>
      <c r="X199" s="3"/>
      <c r="Y199" s="3"/>
      <c r="Z199" s="3"/>
    </row>
    <row r="200" spans="1:26" ht="15.75" hidden="1" customHeight="1" outlineLevel="1" x14ac:dyDescent="0.3">
      <c r="A200" s="3"/>
      <c r="B200" s="10" t="s">
        <v>371</v>
      </c>
      <c r="C200" s="62"/>
      <c r="D200" s="62"/>
      <c r="E200" s="12">
        <v>0</v>
      </c>
      <c r="F200" s="12">
        <v>0</v>
      </c>
      <c r="G200" s="65"/>
      <c r="H200" s="65"/>
      <c r="I200" s="89"/>
      <c r="J200" s="65"/>
      <c r="K200" s="37"/>
      <c r="L200" s="37"/>
      <c r="M200" s="37"/>
      <c r="N200" s="37"/>
      <c r="O200" s="37"/>
      <c r="P200" s="37"/>
      <c r="Q200" s="37"/>
      <c r="R200" s="37"/>
      <c r="S200" s="37"/>
      <c r="T200" s="37"/>
      <c r="U200" s="3"/>
      <c r="W200" s="3"/>
      <c r="X200" s="3"/>
      <c r="Y200" s="3"/>
      <c r="Z200" s="3"/>
    </row>
    <row r="201" spans="1:26" ht="15.75" hidden="1" customHeight="1" outlineLevel="1" x14ac:dyDescent="0.3">
      <c r="A201" s="3"/>
      <c r="B201" s="10" t="s">
        <v>372</v>
      </c>
      <c r="C201" s="62"/>
      <c r="D201" s="62"/>
      <c r="E201" s="12">
        <v>0</v>
      </c>
      <c r="F201" s="12">
        <v>0</v>
      </c>
      <c r="G201" s="65"/>
      <c r="H201" s="65"/>
      <c r="I201" s="89"/>
      <c r="J201" s="65"/>
      <c r="K201" s="37"/>
      <c r="L201" s="37"/>
      <c r="M201" s="37"/>
      <c r="N201" s="37"/>
      <c r="O201" s="37"/>
      <c r="P201" s="37"/>
      <c r="Q201" s="37"/>
      <c r="R201" s="37"/>
      <c r="S201" s="37"/>
      <c r="T201" s="37"/>
      <c r="U201" s="3"/>
      <c r="W201" s="3"/>
      <c r="X201" s="3"/>
      <c r="Y201" s="3"/>
      <c r="Z201" s="3"/>
    </row>
    <row r="202" spans="1:26" ht="15.75" customHeight="1" collapsed="1" x14ac:dyDescent="0.3">
      <c r="A202" s="3"/>
      <c r="B202" s="84" t="s">
        <v>403</v>
      </c>
      <c r="C202" s="85" t="s">
        <v>43</v>
      </c>
      <c r="D202" s="85" t="s">
        <v>43</v>
      </c>
      <c r="E202" s="86">
        <f>SUM(E203:E211)</f>
        <v>0</v>
      </c>
      <c r="F202" s="86">
        <f>SUMIF(D203:D211,"OK",F203:F211)</f>
        <v>160</v>
      </c>
      <c r="G202" s="87"/>
      <c r="H202" s="87"/>
      <c r="I202" s="88"/>
      <c r="J202" s="87"/>
      <c r="K202" s="37"/>
      <c r="L202" s="37"/>
      <c r="M202" s="37"/>
      <c r="N202" s="37"/>
      <c r="O202" s="37"/>
      <c r="P202" s="37"/>
      <c r="Q202" s="37"/>
      <c r="R202" s="37"/>
      <c r="S202" s="37"/>
      <c r="T202" s="37"/>
      <c r="U202" s="3"/>
      <c r="W202" s="3"/>
      <c r="X202" s="3"/>
      <c r="Y202" s="3"/>
      <c r="Z202" s="3"/>
    </row>
    <row r="203" spans="1:26" ht="15.75" hidden="1" customHeight="1" outlineLevel="1" x14ac:dyDescent="0.3">
      <c r="A203" s="3"/>
      <c r="B203" s="10" t="s">
        <v>648</v>
      </c>
      <c r="C203" s="62">
        <v>3</v>
      </c>
      <c r="D203" s="62" t="s">
        <v>94</v>
      </c>
      <c r="E203" s="12">
        <v>0</v>
      </c>
      <c r="F203" s="12">
        <v>80</v>
      </c>
      <c r="G203" s="89"/>
      <c r="H203" s="65" t="s">
        <v>37</v>
      </c>
      <c r="I203" s="112" t="s">
        <v>578</v>
      </c>
      <c r="J203" s="65"/>
      <c r="K203" s="37"/>
      <c r="L203" s="37"/>
      <c r="M203" s="37"/>
      <c r="N203" s="37"/>
      <c r="O203" s="37"/>
      <c r="P203" s="37"/>
      <c r="Q203" s="37"/>
      <c r="R203" s="37"/>
      <c r="S203" s="37"/>
      <c r="T203" s="37"/>
      <c r="U203" s="3"/>
      <c r="W203" s="3"/>
      <c r="X203" s="3"/>
      <c r="Y203" s="3"/>
      <c r="Z203" s="3"/>
    </row>
    <row r="204" spans="1:26" ht="15.75" hidden="1" customHeight="1" outlineLevel="1" x14ac:dyDescent="0.3">
      <c r="A204" s="3"/>
      <c r="B204" s="10" t="s">
        <v>648</v>
      </c>
      <c r="C204" s="62">
        <v>31</v>
      </c>
      <c r="D204" s="62" t="s">
        <v>94</v>
      </c>
      <c r="E204" s="12">
        <v>0</v>
      </c>
      <c r="F204" s="12">
        <v>80</v>
      </c>
      <c r="G204" s="89"/>
      <c r="H204" s="65" t="s">
        <v>37</v>
      </c>
      <c r="I204" s="112" t="s">
        <v>581</v>
      </c>
      <c r="J204" s="65"/>
      <c r="K204" s="37"/>
      <c r="L204" s="37"/>
      <c r="M204" s="37"/>
      <c r="N204" s="37"/>
      <c r="O204" s="37"/>
      <c r="P204" s="37"/>
      <c r="Q204" s="37"/>
      <c r="R204" s="37"/>
      <c r="S204" s="37"/>
      <c r="T204" s="37"/>
      <c r="U204" s="3"/>
      <c r="W204" s="3"/>
      <c r="X204" s="3"/>
      <c r="Y204" s="3"/>
      <c r="Z204" s="3"/>
    </row>
    <row r="205" spans="1:26" ht="15.75" hidden="1" customHeight="1" outlineLevel="1" x14ac:dyDescent="0.3">
      <c r="A205" s="3"/>
      <c r="B205" s="10" t="s">
        <v>355</v>
      </c>
      <c r="C205" s="62"/>
      <c r="D205" s="62"/>
      <c r="E205" s="12">
        <v>0</v>
      </c>
      <c r="F205" s="12">
        <v>0</v>
      </c>
      <c r="G205" s="65"/>
      <c r="H205" s="65"/>
      <c r="I205" s="89"/>
      <c r="J205" s="65"/>
      <c r="K205" s="37"/>
      <c r="L205" s="37"/>
      <c r="M205" s="37"/>
      <c r="N205" s="37"/>
      <c r="O205" s="37"/>
      <c r="P205" s="37"/>
      <c r="Q205" s="37"/>
      <c r="R205" s="37"/>
      <c r="S205" s="37"/>
      <c r="T205" s="37"/>
      <c r="U205" s="3"/>
      <c r="W205" s="3"/>
      <c r="X205" s="3"/>
      <c r="Y205" s="3"/>
      <c r="Z205" s="3"/>
    </row>
    <row r="206" spans="1:26" ht="15.75" hidden="1" customHeight="1" outlineLevel="1" x14ac:dyDescent="0.3">
      <c r="A206" s="3"/>
      <c r="B206" s="10" t="s">
        <v>369</v>
      </c>
      <c r="C206" s="62"/>
      <c r="D206" s="62"/>
      <c r="E206" s="12">
        <v>0</v>
      </c>
      <c r="F206" s="12">
        <v>0</v>
      </c>
      <c r="G206" s="65"/>
      <c r="H206" s="65"/>
      <c r="I206" s="89"/>
      <c r="J206" s="65"/>
      <c r="K206" s="37"/>
      <c r="L206" s="37"/>
      <c r="M206" s="37"/>
      <c r="N206" s="37"/>
      <c r="O206" s="37"/>
      <c r="P206" s="37"/>
      <c r="Q206" s="37"/>
      <c r="R206" s="37"/>
      <c r="S206" s="37"/>
      <c r="T206" s="37"/>
      <c r="U206" s="3"/>
      <c r="W206" s="3"/>
      <c r="X206" s="3"/>
      <c r="Y206" s="3"/>
      <c r="Z206" s="3"/>
    </row>
    <row r="207" spans="1:26" ht="15.75" hidden="1" customHeight="1" outlineLevel="1" x14ac:dyDescent="0.3">
      <c r="A207" s="3"/>
      <c r="B207" s="10" t="s">
        <v>327</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5.75" hidden="1" customHeight="1" outlineLevel="1" x14ac:dyDescent="0.3">
      <c r="A208" s="3"/>
      <c r="B208" s="10" t="s">
        <v>328</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5.75" hidden="1" customHeight="1" outlineLevel="1" x14ac:dyDescent="0.3">
      <c r="A209" s="3"/>
      <c r="B209" s="10" t="s">
        <v>370</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5.75" hidden="1" customHeight="1" outlineLevel="1" x14ac:dyDescent="0.3">
      <c r="A210" s="3"/>
      <c r="B210" s="10" t="s">
        <v>371</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5.75" hidden="1" customHeight="1" outlineLevel="1" x14ac:dyDescent="0.3">
      <c r="A211" s="3"/>
      <c r="B211" s="10" t="s">
        <v>372</v>
      </c>
      <c r="C211" s="62"/>
      <c r="D211" s="62"/>
      <c r="E211" s="12">
        <v>0</v>
      </c>
      <c r="F211" s="12">
        <v>0</v>
      </c>
      <c r="G211" s="65"/>
      <c r="H211" s="65"/>
      <c r="I211" s="89"/>
      <c r="J211" s="65"/>
      <c r="K211" s="37"/>
      <c r="L211" s="37"/>
      <c r="M211" s="37"/>
      <c r="N211" s="37"/>
      <c r="O211" s="37"/>
      <c r="P211" s="37"/>
      <c r="Q211" s="37"/>
      <c r="R211" s="37"/>
      <c r="S211" s="37"/>
      <c r="T211" s="37"/>
      <c r="U211" s="3"/>
      <c r="W211" s="3"/>
      <c r="X211" s="3"/>
      <c r="Y211" s="3"/>
      <c r="Z211" s="3"/>
    </row>
    <row r="212" spans="1:26" ht="15.75" customHeight="1" collapsed="1" x14ac:dyDescent="0.3">
      <c r="A212" s="3"/>
      <c r="B212" s="84" t="s">
        <v>405</v>
      </c>
      <c r="C212" s="85" t="s">
        <v>43</v>
      </c>
      <c r="D212" s="85" t="s">
        <v>43</v>
      </c>
      <c r="E212" s="86">
        <f>SUM(E213:E221)</f>
        <v>0</v>
      </c>
      <c r="F212" s="86">
        <f>SUMIF(D213:D221,"OK",F213:F221)</f>
        <v>0</v>
      </c>
      <c r="G212" s="87"/>
      <c r="H212" s="87"/>
      <c r="I212" s="88"/>
      <c r="J212" s="87"/>
      <c r="K212" s="37"/>
      <c r="L212" s="37"/>
      <c r="M212" s="37"/>
      <c r="N212" s="37"/>
      <c r="O212" s="37"/>
      <c r="P212" s="37"/>
      <c r="Q212" s="37"/>
      <c r="R212" s="37"/>
      <c r="S212" s="37"/>
      <c r="T212" s="37"/>
      <c r="U212" s="3"/>
      <c r="W212" s="3"/>
      <c r="X212" s="3"/>
      <c r="Y212" s="3"/>
      <c r="Z212" s="3"/>
    </row>
    <row r="213" spans="1:26" ht="15.75" hidden="1" customHeight="1" outlineLevel="1" x14ac:dyDescent="0.3">
      <c r="A213" s="3"/>
      <c r="B213" s="10" t="s">
        <v>353</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5.75" hidden="1" customHeight="1" outlineLevel="1" x14ac:dyDescent="0.3">
      <c r="A214" s="3"/>
      <c r="B214" s="10" t="s">
        <v>354</v>
      </c>
      <c r="C214" s="62"/>
      <c r="D214" s="62"/>
      <c r="E214" s="12">
        <v>0</v>
      </c>
      <c r="F214" s="12">
        <v>0</v>
      </c>
      <c r="G214" s="65"/>
      <c r="H214" s="65"/>
      <c r="I214" s="89"/>
      <c r="J214" s="65"/>
      <c r="K214" s="37"/>
      <c r="L214" s="37"/>
      <c r="M214" s="37"/>
      <c r="N214" s="37"/>
      <c r="O214" s="37"/>
      <c r="P214" s="37"/>
      <c r="Q214" s="37"/>
      <c r="R214" s="37"/>
      <c r="S214" s="37"/>
      <c r="T214" s="37"/>
      <c r="U214" s="3"/>
      <c r="W214" s="3"/>
      <c r="X214" s="3"/>
      <c r="Y214" s="3"/>
      <c r="Z214" s="3"/>
    </row>
    <row r="215" spans="1:26" ht="15.75" hidden="1" customHeight="1" outlineLevel="1" x14ac:dyDescent="0.3">
      <c r="A215" s="3"/>
      <c r="B215" s="10" t="s">
        <v>355</v>
      </c>
      <c r="C215" s="62"/>
      <c r="D215" s="62"/>
      <c r="E215" s="12">
        <v>0</v>
      </c>
      <c r="F215" s="12">
        <v>0</v>
      </c>
      <c r="G215" s="65"/>
      <c r="H215" s="65"/>
      <c r="I215" s="89"/>
      <c r="J215" s="65"/>
      <c r="K215" s="37"/>
      <c r="L215" s="37"/>
      <c r="M215" s="37"/>
      <c r="N215" s="37"/>
      <c r="O215" s="37"/>
      <c r="P215" s="37"/>
      <c r="Q215" s="37"/>
      <c r="R215" s="37"/>
      <c r="S215" s="37"/>
      <c r="T215" s="37"/>
      <c r="U215" s="3"/>
      <c r="W215" s="3"/>
      <c r="X215" s="3"/>
      <c r="Y215" s="3"/>
      <c r="Z215" s="3"/>
    </row>
    <row r="216" spans="1:26" ht="15.75" hidden="1" customHeight="1" outlineLevel="1" x14ac:dyDescent="0.3">
      <c r="A216" s="3"/>
      <c r="B216" s="10" t="s">
        <v>369</v>
      </c>
      <c r="C216" s="62"/>
      <c r="D216" s="62"/>
      <c r="E216" s="12">
        <v>0</v>
      </c>
      <c r="F216" s="12">
        <v>0</v>
      </c>
      <c r="G216" s="65"/>
      <c r="H216" s="65"/>
      <c r="I216" s="89"/>
      <c r="J216" s="65"/>
      <c r="K216" s="37"/>
      <c r="L216" s="37"/>
      <c r="M216" s="37"/>
      <c r="N216" s="37"/>
      <c r="O216" s="37"/>
      <c r="P216" s="37"/>
      <c r="Q216" s="37"/>
      <c r="R216" s="37"/>
      <c r="S216" s="37"/>
      <c r="T216" s="37"/>
      <c r="U216" s="3"/>
      <c r="W216" s="3"/>
      <c r="X216" s="3"/>
      <c r="Y216" s="3"/>
      <c r="Z216" s="3"/>
    </row>
    <row r="217" spans="1:26" ht="15.75" hidden="1" customHeight="1" outlineLevel="1" x14ac:dyDescent="0.3">
      <c r="A217" s="3"/>
      <c r="B217" s="10" t="s">
        <v>327</v>
      </c>
      <c r="C217" s="62"/>
      <c r="D217" s="62"/>
      <c r="E217" s="12">
        <v>0</v>
      </c>
      <c r="F217" s="12">
        <v>0</v>
      </c>
      <c r="G217" s="65"/>
      <c r="H217" s="65"/>
      <c r="I217" s="89"/>
      <c r="J217" s="65"/>
      <c r="K217" s="37"/>
      <c r="L217" s="37"/>
      <c r="M217" s="37"/>
      <c r="N217" s="37"/>
      <c r="O217" s="37"/>
      <c r="P217" s="37"/>
      <c r="Q217" s="37"/>
      <c r="R217" s="37"/>
      <c r="S217" s="37"/>
      <c r="T217" s="37"/>
      <c r="U217" s="3"/>
      <c r="W217" s="3"/>
      <c r="X217" s="3"/>
      <c r="Y217" s="3"/>
      <c r="Z217" s="3"/>
    </row>
    <row r="218" spans="1:26" ht="15.75" hidden="1" customHeight="1" outlineLevel="1" x14ac:dyDescent="0.3">
      <c r="A218" s="3"/>
      <c r="B218" s="10" t="s">
        <v>328</v>
      </c>
      <c r="C218" s="62"/>
      <c r="D218" s="62"/>
      <c r="E218" s="12">
        <v>0</v>
      </c>
      <c r="F218" s="12">
        <v>0</v>
      </c>
      <c r="G218" s="65"/>
      <c r="H218" s="65"/>
      <c r="I218" s="89"/>
      <c r="J218" s="65"/>
      <c r="K218" s="37"/>
      <c r="L218" s="37"/>
      <c r="M218" s="37"/>
      <c r="N218" s="37"/>
      <c r="O218" s="37"/>
      <c r="P218" s="37"/>
      <c r="Q218" s="37"/>
      <c r="R218" s="37"/>
      <c r="S218" s="37"/>
      <c r="T218" s="37"/>
      <c r="U218" s="3"/>
      <c r="W218" s="3"/>
      <c r="X218" s="3"/>
      <c r="Y218" s="3"/>
      <c r="Z218" s="3"/>
    </row>
    <row r="219" spans="1:26" ht="15.75" hidden="1" customHeight="1" outlineLevel="1" x14ac:dyDescent="0.3">
      <c r="A219" s="3"/>
      <c r="B219" s="10" t="s">
        <v>370</v>
      </c>
      <c r="C219" s="62"/>
      <c r="D219" s="62"/>
      <c r="E219" s="12">
        <v>0</v>
      </c>
      <c r="F219" s="12">
        <v>0</v>
      </c>
      <c r="G219" s="65"/>
      <c r="H219" s="65"/>
      <c r="I219" s="89"/>
      <c r="J219" s="65"/>
      <c r="K219" s="37"/>
      <c r="L219" s="37"/>
      <c r="M219" s="37"/>
      <c r="N219" s="37"/>
      <c r="O219" s="37"/>
      <c r="P219" s="37"/>
      <c r="Q219" s="37"/>
      <c r="R219" s="37"/>
      <c r="S219" s="37"/>
      <c r="T219" s="37"/>
      <c r="U219" s="3"/>
      <c r="W219" s="3"/>
      <c r="X219" s="3"/>
      <c r="Y219" s="3"/>
      <c r="Z219" s="3"/>
    </row>
    <row r="220" spans="1:26" ht="15.75" hidden="1" customHeight="1" outlineLevel="1" x14ac:dyDescent="0.3">
      <c r="A220" s="3"/>
      <c r="B220" s="10" t="s">
        <v>371</v>
      </c>
      <c r="C220" s="62"/>
      <c r="D220" s="62"/>
      <c r="E220" s="12">
        <v>0</v>
      </c>
      <c r="F220" s="12">
        <v>0</v>
      </c>
      <c r="G220" s="65"/>
      <c r="H220" s="65"/>
      <c r="I220" s="89"/>
      <c r="J220" s="65"/>
      <c r="K220" s="37"/>
      <c r="L220" s="37"/>
      <c r="M220" s="37"/>
      <c r="N220" s="37"/>
      <c r="O220" s="37"/>
      <c r="P220" s="37"/>
      <c r="Q220" s="37"/>
      <c r="R220" s="37"/>
      <c r="S220" s="37"/>
      <c r="T220" s="37"/>
      <c r="U220" s="3"/>
      <c r="W220" s="3"/>
      <c r="X220" s="3"/>
      <c r="Y220" s="3"/>
      <c r="Z220" s="3"/>
    </row>
    <row r="221" spans="1:26" ht="15.75" hidden="1" customHeight="1" outlineLevel="1" x14ac:dyDescent="0.3">
      <c r="A221" s="3"/>
      <c r="B221" s="10" t="s">
        <v>372</v>
      </c>
      <c r="C221" s="62"/>
      <c r="D221" s="62"/>
      <c r="E221" s="12">
        <v>0</v>
      </c>
      <c r="F221" s="12">
        <v>0</v>
      </c>
      <c r="G221" s="65"/>
      <c r="H221" s="65"/>
      <c r="I221" s="89"/>
      <c r="J221" s="65"/>
      <c r="K221" s="37"/>
      <c r="L221" s="37"/>
      <c r="M221" s="37"/>
      <c r="N221" s="37"/>
      <c r="O221" s="37"/>
      <c r="P221" s="37"/>
      <c r="Q221" s="37"/>
      <c r="R221" s="37"/>
      <c r="S221" s="37"/>
      <c r="T221" s="37"/>
      <c r="U221" s="3"/>
      <c r="W221" s="3"/>
      <c r="X221" s="3"/>
      <c r="Y221" s="3"/>
      <c r="Z221" s="3"/>
    </row>
    <row r="222" spans="1:26" ht="15.75" customHeight="1" collapsed="1" x14ac:dyDescent="0.3">
      <c r="A222" s="3"/>
      <c r="B222" s="84" t="s">
        <v>408</v>
      </c>
      <c r="C222" s="85" t="s">
        <v>43</v>
      </c>
      <c r="D222" s="85" t="s">
        <v>43</v>
      </c>
      <c r="E222" s="86">
        <f t="shared" ref="E222:F222" si="3">SUM(E223,E233,E243,E261)</f>
        <v>0</v>
      </c>
      <c r="F222" s="86">
        <f t="shared" si="3"/>
        <v>18906.02</v>
      </c>
      <c r="G222" s="87"/>
      <c r="H222" s="87"/>
      <c r="I222" s="88"/>
      <c r="J222" s="87"/>
      <c r="K222" s="37"/>
      <c r="L222" s="37"/>
      <c r="M222" s="37"/>
      <c r="N222" s="37"/>
      <c r="O222" s="37"/>
      <c r="P222" s="37"/>
      <c r="Q222" s="37"/>
      <c r="R222" s="37"/>
      <c r="S222" s="37"/>
      <c r="T222" s="37"/>
      <c r="U222" s="3"/>
      <c r="W222" s="3"/>
      <c r="X222" s="3"/>
      <c r="Y222" s="3"/>
      <c r="Z222" s="3"/>
    </row>
    <row r="223" spans="1:26" ht="15.75" hidden="1" customHeight="1" outlineLevel="1" x14ac:dyDescent="0.3">
      <c r="A223" s="3"/>
      <c r="B223" s="91" t="s">
        <v>232</v>
      </c>
      <c r="C223" s="92"/>
      <c r="D223" s="92"/>
      <c r="E223" s="93">
        <f>SUM(E224:E232)</f>
        <v>0</v>
      </c>
      <c r="F223" s="93">
        <f>SUMIF(D224:D232,"OK",F224:F232)</f>
        <v>880</v>
      </c>
      <c r="G223" s="94"/>
      <c r="H223" s="94"/>
      <c r="I223" s="95"/>
      <c r="J223" s="94"/>
      <c r="K223" s="37"/>
      <c r="L223" s="37"/>
      <c r="M223" s="37"/>
      <c r="N223" s="37"/>
      <c r="O223" s="37"/>
      <c r="P223" s="37"/>
      <c r="Q223" s="37"/>
      <c r="R223" s="37"/>
      <c r="S223" s="37"/>
      <c r="T223" s="37"/>
      <c r="U223" s="3"/>
      <c r="W223" s="3"/>
      <c r="X223" s="3"/>
      <c r="Y223" s="3"/>
      <c r="Z223" s="3"/>
    </row>
    <row r="224" spans="1:26" ht="15.75" hidden="1" customHeight="1" outlineLevel="1" x14ac:dyDescent="0.3">
      <c r="A224" s="3"/>
      <c r="B224" s="10" t="s">
        <v>649</v>
      </c>
      <c r="C224" s="62">
        <v>17</v>
      </c>
      <c r="D224" s="62" t="s">
        <v>94</v>
      </c>
      <c r="E224" s="12">
        <v>0</v>
      </c>
      <c r="F224" s="12">
        <v>880</v>
      </c>
      <c r="G224" s="65"/>
      <c r="H224" s="65" t="s">
        <v>37</v>
      </c>
      <c r="I224" s="112" t="s">
        <v>650</v>
      </c>
      <c r="J224" s="65"/>
      <c r="K224" s="37"/>
      <c r="L224" s="37"/>
      <c r="M224" s="37"/>
      <c r="N224" s="37"/>
      <c r="O224" s="37"/>
      <c r="P224" s="37"/>
      <c r="Q224" s="37"/>
      <c r="R224" s="37"/>
      <c r="S224" s="37"/>
      <c r="T224" s="37"/>
      <c r="U224" s="3"/>
      <c r="W224" s="3"/>
      <c r="X224" s="3"/>
      <c r="Y224" s="3"/>
      <c r="Z224" s="3"/>
    </row>
    <row r="225" spans="1:26" ht="15.75" hidden="1" customHeight="1" outlineLevel="1" x14ac:dyDescent="0.3">
      <c r="A225" s="3"/>
      <c r="B225" s="10" t="s">
        <v>354</v>
      </c>
      <c r="C225" s="62"/>
      <c r="D225" s="62"/>
      <c r="E225" s="12">
        <v>0</v>
      </c>
      <c r="F225" s="12">
        <v>0</v>
      </c>
      <c r="G225" s="65"/>
      <c r="H225" s="65"/>
      <c r="I225" s="89"/>
      <c r="J225" s="65"/>
      <c r="K225" s="37"/>
      <c r="L225" s="37"/>
      <c r="M225" s="37"/>
      <c r="N225" s="37"/>
      <c r="O225" s="37"/>
      <c r="P225" s="37"/>
      <c r="Q225" s="37"/>
      <c r="R225" s="37"/>
      <c r="S225" s="37"/>
      <c r="T225" s="37"/>
      <c r="U225" s="3"/>
      <c r="W225" s="3"/>
      <c r="X225" s="3"/>
      <c r="Y225" s="3"/>
      <c r="Z225" s="3"/>
    </row>
    <row r="226" spans="1:26" ht="15.75" hidden="1" customHeight="1" outlineLevel="1" x14ac:dyDescent="0.3">
      <c r="A226" s="3"/>
      <c r="B226" s="10" t="s">
        <v>355</v>
      </c>
      <c r="C226" s="62"/>
      <c r="D226" s="62"/>
      <c r="E226" s="12">
        <v>0</v>
      </c>
      <c r="F226" s="12">
        <v>0</v>
      </c>
      <c r="G226" s="65"/>
      <c r="H226" s="65"/>
      <c r="I226" s="89"/>
      <c r="J226" s="65"/>
      <c r="K226" s="37"/>
      <c r="L226" s="37"/>
      <c r="M226" s="37"/>
      <c r="N226" s="37"/>
      <c r="O226" s="37"/>
      <c r="P226" s="37"/>
      <c r="Q226" s="37"/>
      <c r="R226" s="37"/>
      <c r="S226" s="37"/>
      <c r="T226" s="37"/>
      <c r="U226" s="3"/>
      <c r="W226" s="3"/>
      <c r="X226" s="3"/>
      <c r="Y226" s="3"/>
      <c r="Z226" s="3"/>
    </row>
    <row r="227" spans="1:26" ht="15.75" hidden="1" customHeight="1" outlineLevel="1" x14ac:dyDescent="0.3">
      <c r="A227" s="3"/>
      <c r="B227" s="10" t="s">
        <v>369</v>
      </c>
      <c r="C227" s="62"/>
      <c r="D227" s="62"/>
      <c r="E227" s="12">
        <v>0</v>
      </c>
      <c r="F227" s="12">
        <v>0</v>
      </c>
      <c r="G227" s="65"/>
      <c r="H227" s="65"/>
      <c r="I227" s="89"/>
      <c r="J227" s="65"/>
      <c r="K227" s="37"/>
      <c r="L227" s="37"/>
      <c r="M227" s="37"/>
      <c r="N227" s="37"/>
      <c r="O227" s="37"/>
      <c r="P227" s="37"/>
      <c r="Q227" s="37"/>
      <c r="R227" s="37"/>
      <c r="S227" s="37"/>
      <c r="T227" s="37"/>
      <c r="U227" s="3"/>
      <c r="W227" s="3"/>
      <c r="X227" s="3"/>
      <c r="Y227" s="3"/>
      <c r="Z227" s="3"/>
    </row>
    <row r="228" spans="1:26" ht="15.75" hidden="1" customHeight="1" outlineLevel="1" x14ac:dyDescent="0.3">
      <c r="A228" s="3"/>
      <c r="B228" s="10" t="s">
        <v>327</v>
      </c>
      <c r="C228" s="62"/>
      <c r="D228" s="62"/>
      <c r="E228" s="12">
        <v>0</v>
      </c>
      <c r="F228" s="12">
        <v>0</v>
      </c>
      <c r="G228" s="65"/>
      <c r="H228" s="65"/>
      <c r="I228" s="89"/>
      <c r="J228" s="65"/>
      <c r="K228" s="37"/>
      <c r="L228" s="37"/>
      <c r="M228" s="37"/>
      <c r="N228" s="37"/>
      <c r="O228" s="37"/>
      <c r="P228" s="37"/>
      <c r="Q228" s="37"/>
      <c r="R228" s="37"/>
      <c r="S228" s="37"/>
      <c r="T228" s="37"/>
      <c r="U228" s="3"/>
      <c r="W228" s="3"/>
      <c r="X228" s="3"/>
      <c r="Y228" s="3"/>
      <c r="Z228" s="3"/>
    </row>
    <row r="229" spans="1:26" ht="15.75" hidden="1" customHeight="1" outlineLevel="1" x14ac:dyDescent="0.3">
      <c r="A229" s="3"/>
      <c r="B229" s="10" t="s">
        <v>328</v>
      </c>
      <c r="C229" s="62"/>
      <c r="D229" s="62"/>
      <c r="E229" s="12">
        <v>0</v>
      </c>
      <c r="F229" s="12">
        <v>0</v>
      </c>
      <c r="G229" s="65"/>
      <c r="H229" s="65"/>
      <c r="I229" s="89"/>
      <c r="J229" s="65"/>
      <c r="K229" s="37"/>
      <c r="L229" s="37"/>
      <c r="M229" s="37"/>
      <c r="N229" s="37"/>
      <c r="O229" s="37"/>
      <c r="P229" s="37"/>
      <c r="Q229" s="37"/>
      <c r="R229" s="37"/>
      <c r="S229" s="37"/>
      <c r="T229" s="37"/>
      <c r="U229" s="3"/>
      <c r="W229" s="3"/>
      <c r="X229" s="3"/>
      <c r="Y229" s="3"/>
      <c r="Z229" s="3"/>
    </row>
    <row r="230" spans="1:26" ht="15.75" hidden="1" customHeight="1" outlineLevel="1" x14ac:dyDescent="0.3">
      <c r="A230" s="3"/>
      <c r="B230" s="10" t="s">
        <v>370</v>
      </c>
      <c r="C230" s="62"/>
      <c r="D230" s="62"/>
      <c r="E230" s="12">
        <v>0</v>
      </c>
      <c r="F230" s="12">
        <v>0</v>
      </c>
      <c r="G230" s="65"/>
      <c r="H230" s="65"/>
      <c r="I230" s="89"/>
      <c r="J230" s="65"/>
      <c r="K230" s="37"/>
      <c r="L230" s="37"/>
      <c r="M230" s="37"/>
      <c r="N230" s="37"/>
      <c r="O230" s="37"/>
      <c r="P230" s="37"/>
      <c r="Q230" s="37"/>
      <c r="R230" s="37"/>
      <c r="S230" s="37"/>
      <c r="T230" s="37"/>
      <c r="U230" s="3"/>
      <c r="W230" s="3"/>
      <c r="X230" s="3"/>
      <c r="Y230" s="3"/>
      <c r="Z230" s="3"/>
    </row>
    <row r="231" spans="1:26" ht="15.75" hidden="1" customHeight="1" outlineLevel="1" x14ac:dyDescent="0.3">
      <c r="A231" s="3"/>
      <c r="B231" s="10" t="s">
        <v>371</v>
      </c>
      <c r="C231" s="62"/>
      <c r="D231" s="62"/>
      <c r="E231" s="12">
        <v>0</v>
      </c>
      <c r="F231" s="12">
        <v>0</v>
      </c>
      <c r="G231" s="65"/>
      <c r="H231" s="65"/>
      <c r="I231" s="89"/>
      <c r="J231" s="65"/>
      <c r="K231" s="37"/>
      <c r="L231" s="37"/>
      <c r="M231" s="37"/>
      <c r="N231" s="37"/>
      <c r="O231" s="37"/>
      <c r="P231" s="37"/>
      <c r="Q231" s="37"/>
      <c r="R231" s="37"/>
      <c r="S231" s="37"/>
      <c r="T231" s="37"/>
      <c r="U231" s="3"/>
      <c r="W231" s="3"/>
      <c r="X231" s="3"/>
      <c r="Y231" s="3"/>
      <c r="Z231" s="3"/>
    </row>
    <row r="232" spans="1:26" ht="15.75" hidden="1" customHeight="1" outlineLevel="1" x14ac:dyDescent="0.3">
      <c r="A232" s="3"/>
      <c r="B232" s="10" t="s">
        <v>372</v>
      </c>
      <c r="C232" s="62"/>
      <c r="D232" s="62"/>
      <c r="E232" s="12">
        <v>0</v>
      </c>
      <c r="F232" s="12">
        <v>0</v>
      </c>
      <c r="G232" s="65"/>
      <c r="H232" s="65"/>
      <c r="I232" s="89"/>
      <c r="J232" s="65"/>
      <c r="K232" s="37"/>
      <c r="L232" s="37"/>
      <c r="M232" s="37"/>
      <c r="N232" s="37"/>
      <c r="O232" s="37"/>
      <c r="P232" s="37"/>
      <c r="Q232" s="37"/>
      <c r="R232" s="37"/>
      <c r="S232" s="37"/>
      <c r="T232" s="37"/>
      <c r="U232" s="3"/>
      <c r="W232" s="3"/>
      <c r="X232" s="3"/>
      <c r="Y232" s="3"/>
      <c r="Z232" s="3"/>
    </row>
    <row r="233" spans="1:26" ht="15.75" hidden="1" customHeight="1" outlineLevel="1" x14ac:dyDescent="0.3">
      <c r="A233" s="3"/>
      <c r="B233" s="91" t="s">
        <v>651</v>
      </c>
      <c r="C233" s="92"/>
      <c r="D233" s="92"/>
      <c r="E233" s="93">
        <f>SUM(E234:E242)</f>
        <v>0</v>
      </c>
      <c r="F233" s="93">
        <f>SUMIF(D234:D242,"OK",F234:F242)</f>
        <v>0</v>
      </c>
      <c r="G233" s="94"/>
      <c r="H233" s="94"/>
      <c r="I233" s="95"/>
      <c r="J233" s="94"/>
      <c r="K233" s="37"/>
      <c r="L233" s="37"/>
      <c r="M233" s="37"/>
      <c r="N233" s="37"/>
      <c r="O233" s="37"/>
      <c r="P233" s="37"/>
      <c r="Q233" s="37"/>
      <c r="R233" s="37"/>
      <c r="S233" s="37"/>
      <c r="T233" s="37"/>
      <c r="U233" s="3"/>
      <c r="W233" s="3"/>
      <c r="X233" s="3"/>
      <c r="Y233" s="3"/>
      <c r="Z233" s="3"/>
    </row>
    <row r="234" spans="1:26" ht="15.75" hidden="1" customHeight="1" outlineLevel="1" x14ac:dyDescent="0.3">
      <c r="A234" s="3"/>
      <c r="B234" s="10" t="s">
        <v>353</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15.75" hidden="1" customHeight="1" outlineLevel="1" x14ac:dyDescent="0.3">
      <c r="A235" s="3"/>
      <c r="B235" s="10" t="s">
        <v>354</v>
      </c>
      <c r="C235" s="62"/>
      <c r="D235" s="62"/>
      <c r="E235" s="12">
        <v>0</v>
      </c>
      <c r="F235" s="12">
        <v>0</v>
      </c>
      <c r="G235" s="65"/>
      <c r="H235" s="65"/>
      <c r="I235" s="89"/>
      <c r="J235" s="65"/>
      <c r="K235" s="37"/>
      <c r="L235" s="37"/>
      <c r="M235" s="37"/>
      <c r="N235" s="37"/>
      <c r="O235" s="37"/>
      <c r="P235" s="37"/>
      <c r="Q235" s="37"/>
      <c r="R235" s="37"/>
      <c r="S235" s="37"/>
      <c r="T235" s="37"/>
      <c r="U235" s="3"/>
      <c r="W235" s="3"/>
      <c r="X235" s="3"/>
      <c r="Y235" s="3"/>
      <c r="Z235" s="3"/>
    </row>
    <row r="236" spans="1:26" ht="15.75" hidden="1" customHeight="1" outlineLevel="1" x14ac:dyDescent="0.3">
      <c r="A236" s="3"/>
      <c r="B236" s="10" t="s">
        <v>355</v>
      </c>
      <c r="C236" s="62"/>
      <c r="D236" s="62"/>
      <c r="E236" s="12">
        <v>0</v>
      </c>
      <c r="F236" s="12">
        <v>0</v>
      </c>
      <c r="G236" s="65"/>
      <c r="H236" s="65"/>
      <c r="I236" s="89"/>
      <c r="J236" s="65"/>
      <c r="K236" s="37"/>
      <c r="L236" s="37"/>
      <c r="M236" s="37"/>
      <c r="N236" s="37"/>
      <c r="O236" s="37"/>
      <c r="P236" s="37"/>
      <c r="Q236" s="37"/>
      <c r="R236" s="37"/>
      <c r="S236" s="37"/>
      <c r="T236" s="37"/>
      <c r="U236" s="3"/>
      <c r="W236" s="3"/>
      <c r="X236" s="3"/>
      <c r="Y236" s="3"/>
      <c r="Z236" s="3"/>
    </row>
    <row r="237" spans="1:26" ht="15.75" hidden="1" customHeight="1" outlineLevel="1" x14ac:dyDescent="0.3">
      <c r="A237" s="3"/>
      <c r="B237" s="10" t="s">
        <v>369</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5.75" hidden="1" customHeight="1" outlineLevel="1" x14ac:dyDescent="0.3">
      <c r="A238" s="3"/>
      <c r="B238" s="10" t="s">
        <v>327</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5.75" hidden="1" customHeight="1" outlineLevel="1" x14ac:dyDescent="0.3">
      <c r="A239" s="3"/>
      <c r="B239" s="10" t="s">
        <v>328</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5.75" hidden="1" customHeight="1" outlineLevel="1" x14ac:dyDescent="0.3">
      <c r="A240" s="3"/>
      <c r="B240" s="10" t="s">
        <v>370</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5.75" hidden="1" customHeight="1" outlineLevel="1" x14ac:dyDescent="0.3">
      <c r="A241" s="3"/>
      <c r="B241" s="10" t="s">
        <v>371</v>
      </c>
      <c r="C241" s="62"/>
      <c r="D241" s="62"/>
      <c r="E241" s="12">
        <v>0</v>
      </c>
      <c r="F241" s="12">
        <v>0</v>
      </c>
      <c r="G241" s="65"/>
      <c r="H241" s="65"/>
      <c r="I241" s="89"/>
      <c r="J241" s="65"/>
      <c r="K241" s="37"/>
      <c r="L241" s="37"/>
      <c r="M241" s="37"/>
      <c r="N241" s="37"/>
      <c r="O241" s="37"/>
      <c r="P241" s="37"/>
      <c r="Q241" s="37"/>
      <c r="R241" s="37"/>
      <c r="S241" s="37"/>
      <c r="T241" s="37"/>
      <c r="U241" s="3"/>
      <c r="W241" s="3"/>
      <c r="X241" s="3"/>
      <c r="Y241" s="3"/>
      <c r="Z241" s="3"/>
    </row>
    <row r="242" spans="1:26" ht="15.75" hidden="1" customHeight="1" outlineLevel="1" x14ac:dyDescent="0.3">
      <c r="A242" s="3"/>
      <c r="B242" s="10" t="s">
        <v>372</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5.75" hidden="1" customHeight="1" outlineLevel="1" x14ac:dyDescent="0.3">
      <c r="A243" s="3"/>
      <c r="B243" s="91" t="s">
        <v>652</v>
      </c>
      <c r="C243" s="92"/>
      <c r="D243" s="92"/>
      <c r="E243" s="93">
        <f>SUM(E244:E260)</f>
        <v>0</v>
      </c>
      <c r="F243" s="93">
        <f>SUMIF(D244:D260,"OK",F244:F260)</f>
        <v>17931.53</v>
      </c>
      <c r="G243" s="94"/>
      <c r="H243" s="94"/>
      <c r="I243" s="95"/>
      <c r="J243" s="94"/>
      <c r="K243" s="37"/>
      <c r="L243" s="37"/>
      <c r="M243" s="37"/>
      <c r="N243" s="37"/>
      <c r="O243" s="37"/>
      <c r="P243" s="37"/>
      <c r="Q243" s="37"/>
      <c r="R243" s="37"/>
      <c r="S243" s="37"/>
      <c r="T243" s="37"/>
      <c r="U243" s="3"/>
      <c r="W243" s="3"/>
      <c r="X243" s="3"/>
      <c r="Y243" s="3"/>
      <c r="Z243" s="3"/>
    </row>
    <row r="244" spans="1:26" ht="15.75" hidden="1" customHeight="1" outlineLevel="1" x14ac:dyDescent="0.3">
      <c r="A244" s="3"/>
      <c r="B244" s="10" t="s">
        <v>653</v>
      </c>
      <c r="C244" s="62">
        <v>8</v>
      </c>
      <c r="D244" s="62" t="s">
        <v>94</v>
      </c>
      <c r="E244" s="12">
        <v>0</v>
      </c>
      <c r="F244" s="12">
        <v>1200</v>
      </c>
      <c r="G244" s="65"/>
      <c r="H244" s="65" t="s">
        <v>37</v>
      </c>
      <c r="I244" s="112" t="s">
        <v>654</v>
      </c>
      <c r="J244" s="65"/>
      <c r="K244" s="37"/>
      <c r="L244" s="37"/>
      <c r="M244" s="37"/>
      <c r="N244" s="37"/>
      <c r="O244" s="37"/>
      <c r="P244" s="37"/>
      <c r="Q244" s="37"/>
      <c r="R244" s="37"/>
      <c r="S244" s="37"/>
      <c r="T244" s="37"/>
      <c r="U244" s="3"/>
      <c r="W244" s="3"/>
      <c r="X244" s="3"/>
      <c r="Y244" s="3"/>
      <c r="Z244" s="3"/>
    </row>
    <row r="245" spans="1:26" ht="15.75" hidden="1" customHeight="1" outlineLevel="1" x14ac:dyDescent="0.3">
      <c r="A245" s="3"/>
      <c r="B245" s="10" t="s">
        <v>655</v>
      </c>
      <c r="C245" s="62">
        <v>20</v>
      </c>
      <c r="D245" s="62" t="s">
        <v>94</v>
      </c>
      <c r="E245" s="12">
        <v>0</v>
      </c>
      <c r="F245" s="12">
        <v>1650</v>
      </c>
      <c r="G245" s="65"/>
      <c r="H245" s="65" t="s">
        <v>36</v>
      </c>
      <c r="I245" s="112" t="s">
        <v>656</v>
      </c>
      <c r="J245" s="65"/>
      <c r="K245" s="37"/>
      <c r="L245" s="37"/>
      <c r="M245" s="37"/>
      <c r="N245" s="37"/>
      <c r="O245" s="37"/>
      <c r="P245" s="37"/>
      <c r="Q245" s="37"/>
      <c r="R245" s="37"/>
      <c r="S245" s="37"/>
      <c r="T245" s="37"/>
      <c r="U245" s="3"/>
      <c r="W245" s="3"/>
      <c r="X245" s="3"/>
      <c r="Y245" s="3"/>
      <c r="Z245" s="3"/>
    </row>
    <row r="246" spans="1:26" ht="15.75" hidden="1" customHeight="1" outlineLevel="1" x14ac:dyDescent="0.3">
      <c r="A246" s="3"/>
      <c r="B246" s="10" t="s">
        <v>657</v>
      </c>
      <c r="C246" s="62">
        <v>25</v>
      </c>
      <c r="D246" s="62" t="s">
        <v>94</v>
      </c>
      <c r="E246" s="12">
        <v>0</v>
      </c>
      <c r="F246" s="12">
        <v>1237.5</v>
      </c>
      <c r="G246" s="65"/>
      <c r="H246" s="65" t="s">
        <v>36</v>
      </c>
      <c r="I246" s="112" t="s">
        <v>658</v>
      </c>
      <c r="J246" s="65"/>
      <c r="K246" s="37"/>
      <c r="L246" s="37"/>
      <c r="M246" s="37"/>
      <c r="N246" s="37"/>
      <c r="O246" s="37"/>
      <c r="P246" s="37"/>
      <c r="Q246" s="37"/>
      <c r="R246" s="37"/>
      <c r="S246" s="37"/>
      <c r="T246" s="37"/>
      <c r="U246" s="3"/>
      <c r="W246" s="3"/>
      <c r="X246" s="3"/>
      <c r="Y246" s="3"/>
      <c r="Z246" s="3"/>
    </row>
    <row r="247" spans="1:26" ht="15.75" hidden="1" customHeight="1" outlineLevel="1" x14ac:dyDescent="0.3">
      <c r="A247" s="3"/>
      <c r="B247" s="10" t="s">
        <v>659</v>
      </c>
      <c r="C247" s="62">
        <v>27</v>
      </c>
      <c r="D247" s="62" t="s">
        <v>94</v>
      </c>
      <c r="E247" s="12">
        <v>0</v>
      </c>
      <c r="F247" s="12">
        <v>9250</v>
      </c>
      <c r="G247" s="65" t="s">
        <v>660</v>
      </c>
      <c r="H247" s="65" t="s">
        <v>38</v>
      </c>
      <c r="I247" s="112" t="s">
        <v>661</v>
      </c>
      <c r="J247" s="65"/>
      <c r="K247" s="37"/>
      <c r="L247" s="37"/>
      <c r="M247" s="37"/>
      <c r="N247" s="37"/>
      <c r="O247" s="37"/>
      <c r="P247" s="37"/>
      <c r="Q247" s="37"/>
      <c r="R247" s="37"/>
      <c r="S247" s="37"/>
      <c r="T247" s="37"/>
      <c r="U247" s="3"/>
      <c r="W247" s="3"/>
      <c r="X247" s="3"/>
      <c r="Y247" s="3"/>
      <c r="Z247" s="3"/>
    </row>
    <row r="248" spans="1:26" ht="15.75" hidden="1" customHeight="1" outlineLevel="1" x14ac:dyDescent="0.3">
      <c r="A248" s="3"/>
      <c r="B248" s="10" t="s">
        <v>659</v>
      </c>
      <c r="C248" s="62">
        <v>20</v>
      </c>
      <c r="D248" s="62" t="s">
        <v>94</v>
      </c>
      <c r="E248" s="12">
        <v>0</v>
      </c>
      <c r="F248" s="12">
        <v>750</v>
      </c>
      <c r="G248" s="65" t="s">
        <v>662</v>
      </c>
      <c r="H248" s="65" t="s">
        <v>37</v>
      </c>
      <c r="I248" s="112" t="s">
        <v>663</v>
      </c>
      <c r="J248" s="65"/>
      <c r="K248" s="37"/>
      <c r="L248" s="37"/>
      <c r="M248" s="37"/>
      <c r="N248" s="37"/>
      <c r="O248" s="37"/>
      <c r="P248" s="37"/>
      <c r="Q248" s="37"/>
      <c r="R248" s="37"/>
      <c r="S248" s="37"/>
      <c r="T248" s="37"/>
      <c r="U248" s="3"/>
      <c r="W248" s="3"/>
      <c r="X248" s="3"/>
      <c r="Y248" s="3"/>
      <c r="Z248" s="3"/>
    </row>
    <row r="249" spans="1:26" ht="15.75" hidden="1" customHeight="1" outlineLevel="1" x14ac:dyDescent="0.3">
      <c r="A249" s="3"/>
      <c r="B249" s="10" t="s">
        <v>649</v>
      </c>
      <c r="C249" s="62">
        <v>20</v>
      </c>
      <c r="D249" s="62" t="s">
        <v>94</v>
      </c>
      <c r="E249" s="12">
        <v>0</v>
      </c>
      <c r="F249" s="12">
        <v>1620</v>
      </c>
      <c r="G249" s="65"/>
      <c r="H249" s="65" t="s">
        <v>37</v>
      </c>
      <c r="I249" s="112" t="s">
        <v>664</v>
      </c>
      <c r="J249" s="65"/>
      <c r="K249" s="37"/>
      <c r="L249" s="37"/>
      <c r="M249" s="37"/>
      <c r="N249" s="37"/>
      <c r="O249" s="37"/>
      <c r="P249" s="37"/>
      <c r="Q249" s="37"/>
      <c r="R249" s="37"/>
      <c r="S249" s="37"/>
      <c r="T249" s="37"/>
      <c r="U249" s="3"/>
      <c r="W249" s="3"/>
      <c r="X249" s="3"/>
      <c r="Y249" s="3"/>
      <c r="Z249" s="3"/>
    </row>
    <row r="250" spans="1:26" ht="15.75" hidden="1" customHeight="1" outlineLevel="1" x14ac:dyDescent="0.3">
      <c r="A250" s="3"/>
      <c r="B250" s="10" t="s">
        <v>665</v>
      </c>
      <c r="C250" s="62">
        <v>21</v>
      </c>
      <c r="D250" s="62" t="s">
        <v>94</v>
      </c>
      <c r="E250" s="12">
        <v>0</v>
      </c>
      <c r="F250" s="12">
        <v>156.38999999999999</v>
      </c>
      <c r="G250" s="65"/>
      <c r="H250" s="65" t="s">
        <v>37</v>
      </c>
      <c r="I250" s="112" t="s">
        <v>666</v>
      </c>
      <c r="J250" s="65"/>
      <c r="K250" s="37"/>
      <c r="L250" s="37"/>
      <c r="M250" s="37"/>
      <c r="N250" s="37"/>
      <c r="O250" s="37"/>
      <c r="P250" s="37"/>
      <c r="Q250" s="37"/>
      <c r="R250" s="37"/>
      <c r="S250" s="37"/>
      <c r="T250" s="37"/>
      <c r="U250" s="3"/>
      <c r="W250" s="3"/>
      <c r="X250" s="3"/>
      <c r="Y250" s="3"/>
      <c r="Z250" s="3"/>
    </row>
    <row r="251" spans="1:26" ht="15.75" hidden="1" customHeight="1" outlineLevel="1" x14ac:dyDescent="0.3">
      <c r="A251" s="3"/>
      <c r="B251" s="10" t="s">
        <v>667</v>
      </c>
      <c r="C251" s="62">
        <v>21</v>
      </c>
      <c r="D251" s="62" t="s">
        <v>94</v>
      </c>
      <c r="E251" s="12">
        <v>0</v>
      </c>
      <c r="F251" s="12">
        <v>161.5</v>
      </c>
      <c r="G251" s="65"/>
      <c r="H251" s="65" t="s">
        <v>37</v>
      </c>
      <c r="I251" s="112" t="s">
        <v>668</v>
      </c>
      <c r="J251" s="65"/>
      <c r="K251" s="37"/>
      <c r="L251" s="37"/>
      <c r="M251" s="37"/>
      <c r="N251" s="37"/>
      <c r="O251" s="37"/>
      <c r="P251" s="37"/>
      <c r="Q251" s="37"/>
      <c r="R251" s="37"/>
      <c r="S251" s="37"/>
      <c r="T251" s="37"/>
      <c r="U251" s="3"/>
      <c r="W251" s="3"/>
      <c r="X251" s="3"/>
      <c r="Y251" s="3"/>
      <c r="Z251" s="3"/>
    </row>
    <row r="252" spans="1:26" ht="15.75" hidden="1" customHeight="1" outlineLevel="1" x14ac:dyDescent="0.3">
      <c r="A252" s="3"/>
      <c r="B252" s="10" t="s">
        <v>669</v>
      </c>
      <c r="C252" s="62">
        <v>23</v>
      </c>
      <c r="D252" s="62" t="s">
        <v>94</v>
      </c>
      <c r="E252" s="12">
        <v>0</v>
      </c>
      <c r="F252" s="12">
        <v>42</v>
      </c>
      <c r="G252" s="65"/>
      <c r="H252" s="65" t="s">
        <v>37</v>
      </c>
      <c r="I252" s="112" t="s">
        <v>670</v>
      </c>
      <c r="J252" s="65"/>
      <c r="K252" s="37"/>
      <c r="L252" s="37"/>
      <c r="M252" s="37"/>
      <c r="N252" s="37"/>
      <c r="O252" s="37"/>
      <c r="P252" s="37"/>
      <c r="Q252" s="37"/>
      <c r="R252" s="37"/>
      <c r="S252" s="37"/>
      <c r="T252" s="37"/>
      <c r="U252" s="3"/>
      <c r="W252" s="3"/>
      <c r="X252" s="3"/>
      <c r="Y252" s="3"/>
      <c r="Z252" s="3"/>
    </row>
    <row r="253" spans="1:26" ht="15.75" hidden="1" customHeight="1" outlineLevel="1" x14ac:dyDescent="0.3">
      <c r="A253" s="3"/>
      <c r="B253" s="10" t="s">
        <v>671</v>
      </c>
      <c r="C253" s="62">
        <v>23</v>
      </c>
      <c r="D253" s="62" t="s">
        <v>94</v>
      </c>
      <c r="E253" s="12">
        <v>0</v>
      </c>
      <c r="F253" s="12">
        <v>285</v>
      </c>
      <c r="G253" s="65" t="s">
        <v>672</v>
      </c>
      <c r="H253" s="65" t="s">
        <v>37</v>
      </c>
      <c r="I253" s="112" t="s">
        <v>673</v>
      </c>
      <c r="J253" s="65"/>
      <c r="K253" s="37"/>
      <c r="L253" s="37"/>
      <c r="M253" s="37"/>
      <c r="N253" s="37"/>
      <c r="O253" s="37"/>
      <c r="P253" s="37"/>
      <c r="Q253" s="37"/>
      <c r="R253" s="37"/>
      <c r="S253" s="37"/>
      <c r="T253" s="37"/>
      <c r="U253" s="3"/>
      <c r="W253" s="3"/>
      <c r="X253" s="3"/>
      <c r="Y253" s="3"/>
      <c r="Z253" s="3"/>
    </row>
    <row r="254" spans="1:26" ht="15.75" hidden="1" customHeight="1" outlineLevel="1" x14ac:dyDescent="0.3">
      <c r="A254" s="3"/>
      <c r="B254" s="10" t="s">
        <v>674</v>
      </c>
      <c r="C254" s="62">
        <v>23</v>
      </c>
      <c r="D254" s="62" t="s">
        <v>94</v>
      </c>
      <c r="E254" s="12">
        <v>0</v>
      </c>
      <c r="F254" s="12">
        <v>19.8</v>
      </c>
      <c r="G254" s="65" t="s">
        <v>675</v>
      </c>
      <c r="H254" s="65" t="s">
        <v>37</v>
      </c>
      <c r="I254" s="112" t="s">
        <v>676</v>
      </c>
      <c r="J254" s="65"/>
      <c r="K254" s="37"/>
      <c r="L254" s="37"/>
      <c r="M254" s="37"/>
      <c r="N254" s="37"/>
      <c r="O254" s="37"/>
      <c r="P254" s="37"/>
      <c r="Q254" s="37"/>
      <c r="R254" s="37"/>
      <c r="S254" s="37"/>
      <c r="T254" s="37"/>
      <c r="U254" s="3"/>
      <c r="W254" s="3"/>
      <c r="X254" s="3"/>
      <c r="Y254" s="3"/>
      <c r="Z254" s="3"/>
    </row>
    <row r="255" spans="1:26" ht="15.75" hidden="1" customHeight="1" outlineLevel="1" x14ac:dyDescent="0.3">
      <c r="A255" s="3"/>
      <c r="B255" s="10" t="s">
        <v>677</v>
      </c>
      <c r="C255" s="62">
        <v>23</v>
      </c>
      <c r="D255" s="62" t="s">
        <v>94</v>
      </c>
      <c r="E255" s="12">
        <v>0</v>
      </c>
      <c r="F255" s="12">
        <v>32.97</v>
      </c>
      <c r="G255" s="65" t="s">
        <v>675</v>
      </c>
      <c r="H255" s="65" t="s">
        <v>37</v>
      </c>
      <c r="I255" s="112" t="s">
        <v>678</v>
      </c>
      <c r="J255" s="65"/>
      <c r="K255" s="37"/>
      <c r="L255" s="37"/>
      <c r="M255" s="37"/>
      <c r="N255" s="37"/>
      <c r="O255" s="37"/>
      <c r="P255" s="37"/>
      <c r="Q255" s="37"/>
      <c r="R255" s="37"/>
      <c r="S255" s="37"/>
      <c r="T255" s="37"/>
      <c r="U255" s="3"/>
      <c r="W255" s="3"/>
      <c r="X255" s="3"/>
      <c r="Y255" s="3"/>
      <c r="Z255" s="3"/>
    </row>
    <row r="256" spans="1:26" ht="15.75" hidden="1" customHeight="1" outlineLevel="1" x14ac:dyDescent="0.3">
      <c r="A256" s="3"/>
      <c r="B256" s="10" t="s">
        <v>679</v>
      </c>
      <c r="C256" s="62">
        <v>23</v>
      </c>
      <c r="D256" s="62" t="s">
        <v>94</v>
      </c>
      <c r="E256" s="12">
        <v>0</v>
      </c>
      <c r="F256" s="12">
        <v>337.67</v>
      </c>
      <c r="G256" s="65"/>
      <c r="H256" s="65" t="s">
        <v>37</v>
      </c>
      <c r="I256" s="112" t="s">
        <v>680</v>
      </c>
      <c r="J256" s="65"/>
      <c r="K256" s="37"/>
      <c r="L256" s="37"/>
      <c r="M256" s="37"/>
      <c r="N256" s="37"/>
      <c r="O256" s="37"/>
      <c r="P256" s="37"/>
      <c r="Q256" s="37"/>
      <c r="R256" s="37"/>
      <c r="S256" s="37"/>
      <c r="T256" s="37"/>
      <c r="U256" s="3"/>
      <c r="W256" s="3"/>
      <c r="X256" s="3"/>
      <c r="Y256" s="3"/>
      <c r="Z256" s="3"/>
    </row>
    <row r="257" spans="1:26" ht="15.75" hidden="1" customHeight="1" outlineLevel="1" x14ac:dyDescent="0.3">
      <c r="A257" s="3"/>
      <c r="B257" s="10" t="s">
        <v>681</v>
      </c>
      <c r="C257" s="62">
        <v>23</v>
      </c>
      <c r="D257" s="62" t="s">
        <v>94</v>
      </c>
      <c r="E257" s="12">
        <v>0</v>
      </c>
      <c r="F257" s="12">
        <v>300</v>
      </c>
      <c r="G257" s="65"/>
      <c r="H257" s="65" t="s">
        <v>37</v>
      </c>
      <c r="I257" s="112" t="s">
        <v>682</v>
      </c>
      <c r="J257" s="65"/>
      <c r="K257" s="37"/>
      <c r="L257" s="37"/>
      <c r="M257" s="37"/>
      <c r="N257" s="37"/>
      <c r="O257" s="37"/>
      <c r="P257" s="37"/>
      <c r="Q257" s="37"/>
      <c r="R257" s="37"/>
      <c r="S257" s="37"/>
      <c r="T257" s="37"/>
      <c r="U257" s="3"/>
      <c r="W257" s="3"/>
      <c r="X257" s="3"/>
      <c r="Y257" s="3"/>
      <c r="Z257" s="3"/>
    </row>
    <row r="258" spans="1:26" ht="15.75" hidden="1" customHeight="1" outlineLevel="1" x14ac:dyDescent="0.3">
      <c r="A258" s="3"/>
      <c r="B258" s="10" t="s">
        <v>683</v>
      </c>
      <c r="C258" s="62">
        <v>25</v>
      </c>
      <c r="D258" s="62" t="s">
        <v>94</v>
      </c>
      <c r="E258" s="12">
        <v>0</v>
      </c>
      <c r="F258" s="12">
        <v>84.7</v>
      </c>
      <c r="G258" s="65"/>
      <c r="H258" s="65" t="s">
        <v>37</v>
      </c>
      <c r="I258" s="112" t="s">
        <v>684</v>
      </c>
      <c r="J258" s="65"/>
      <c r="K258" s="37"/>
      <c r="L258" s="37"/>
      <c r="M258" s="37"/>
      <c r="N258" s="37"/>
      <c r="O258" s="37"/>
      <c r="P258" s="37"/>
      <c r="Q258" s="37"/>
      <c r="R258" s="37"/>
      <c r="S258" s="37"/>
      <c r="T258" s="37"/>
      <c r="U258" s="3"/>
      <c r="W258" s="3"/>
      <c r="X258" s="3"/>
      <c r="Y258" s="3"/>
      <c r="Z258" s="3"/>
    </row>
    <row r="259" spans="1:26" ht="15.75" hidden="1" customHeight="1" outlineLevel="1" x14ac:dyDescent="0.3">
      <c r="A259" s="3"/>
      <c r="B259" s="10" t="s">
        <v>683</v>
      </c>
      <c r="C259" s="62">
        <v>27</v>
      </c>
      <c r="D259" s="62" t="s">
        <v>94</v>
      </c>
      <c r="E259" s="12">
        <v>0</v>
      </c>
      <c r="F259" s="12">
        <v>24</v>
      </c>
      <c r="G259" s="65"/>
      <c r="H259" s="65" t="s">
        <v>37</v>
      </c>
      <c r="I259" s="112" t="s">
        <v>685</v>
      </c>
      <c r="J259" s="65"/>
      <c r="K259" s="37"/>
      <c r="L259" s="37"/>
      <c r="M259" s="37"/>
      <c r="N259" s="37"/>
      <c r="O259" s="37"/>
      <c r="P259" s="37"/>
      <c r="Q259" s="37"/>
      <c r="R259" s="37"/>
      <c r="S259" s="37"/>
      <c r="T259" s="37"/>
      <c r="U259" s="3"/>
      <c r="W259" s="3"/>
      <c r="X259" s="3"/>
      <c r="Y259" s="3"/>
      <c r="Z259" s="3"/>
    </row>
    <row r="260" spans="1:26" ht="15.75" hidden="1" customHeight="1" outlineLevel="1" x14ac:dyDescent="0.3">
      <c r="A260" s="3"/>
      <c r="B260" s="10" t="s">
        <v>686</v>
      </c>
      <c r="C260" s="62">
        <v>30</v>
      </c>
      <c r="D260" s="62" t="s">
        <v>94</v>
      </c>
      <c r="E260" s="12">
        <v>0</v>
      </c>
      <c r="F260" s="12">
        <v>780</v>
      </c>
      <c r="G260" s="65" t="s">
        <v>687</v>
      </c>
      <c r="H260" s="65" t="s">
        <v>36</v>
      </c>
      <c r="I260" s="112" t="s">
        <v>688</v>
      </c>
      <c r="J260" s="65"/>
      <c r="K260" s="37"/>
      <c r="L260" s="37"/>
      <c r="M260" s="37"/>
      <c r="N260" s="37"/>
      <c r="O260" s="37"/>
      <c r="P260" s="37"/>
      <c r="Q260" s="37"/>
      <c r="R260" s="37"/>
      <c r="S260" s="37"/>
      <c r="T260" s="37"/>
      <c r="U260" s="3"/>
      <c r="W260" s="3"/>
      <c r="X260" s="3"/>
      <c r="Y260" s="3"/>
      <c r="Z260" s="3"/>
    </row>
    <row r="261" spans="1:26" ht="15.75" hidden="1" customHeight="1" outlineLevel="1" x14ac:dyDescent="0.3">
      <c r="A261" s="3"/>
      <c r="B261" s="91" t="s">
        <v>689</v>
      </c>
      <c r="C261" s="92"/>
      <c r="D261" s="92"/>
      <c r="E261" s="93">
        <f>SUM(E262:E270)</f>
        <v>0</v>
      </c>
      <c r="F261" s="93">
        <f>SUMIF(D262:D270,"OK",F262:F270)</f>
        <v>94.490000000000009</v>
      </c>
      <c r="G261" s="94"/>
      <c r="H261" s="94"/>
      <c r="I261" s="95"/>
      <c r="J261" s="94"/>
      <c r="K261" s="37"/>
      <c r="L261" s="37"/>
      <c r="M261" s="37"/>
      <c r="N261" s="37"/>
      <c r="O261" s="37"/>
      <c r="P261" s="37"/>
      <c r="Q261" s="37"/>
      <c r="R261" s="37"/>
      <c r="S261" s="37"/>
      <c r="T261" s="37"/>
      <c r="U261" s="3"/>
      <c r="W261" s="3"/>
      <c r="X261" s="3"/>
      <c r="Y261" s="3"/>
      <c r="Z261" s="3"/>
    </row>
    <row r="262" spans="1:26" ht="15.75" hidden="1" customHeight="1" outlineLevel="1" x14ac:dyDescent="0.3">
      <c r="A262" s="3"/>
      <c r="B262" s="10" t="s">
        <v>690</v>
      </c>
      <c r="C262" s="62">
        <v>6</v>
      </c>
      <c r="D262" s="62" t="s">
        <v>94</v>
      </c>
      <c r="E262" s="12">
        <v>0</v>
      </c>
      <c r="F262" s="12">
        <v>49</v>
      </c>
      <c r="G262" s="65"/>
      <c r="H262" s="65" t="s">
        <v>37</v>
      </c>
      <c r="I262" s="112" t="s">
        <v>691</v>
      </c>
      <c r="J262" s="65"/>
      <c r="K262" s="37"/>
      <c r="L262" s="37"/>
      <c r="M262" s="37"/>
      <c r="N262" s="37"/>
      <c r="O262" s="37"/>
      <c r="P262" s="37"/>
      <c r="Q262" s="37"/>
      <c r="R262" s="37"/>
      <c r="S262" s="37"/>
      <c r="T262" s="37"/>
      <c r="U262" s="3"/>
      <c r="W262" s="3"/>
      <c r="X262" s="3"/>
      <c r="Y262" s="3"/>
      <c r="Z262" s="3"/>
    </row>
    <row r="263" spans="1:26" ht="15.75" hidden="1" customHeight="1" outlineLevel="1" x14ac:dyDescent="0.3">
      <c r="A263" s="3"/>
      <c r="B263" s="10" t="s">
        <v>692</v>
      </c>
      <c r="C263" s="62">
        <v>6</v>
      </c>
      <c r="D263" s="62" t="s">
        <v>94</v>
      </c>
      <c r="E263" s="12">
        <v>0</v>
      </c>
      <c r="F263" s="12">
        <v>36.9</v>
      </c>
      <c r="G263" s="65"/>
      <c r="H263" s="65" t="s">
        <v>37</v>
      </c>
      <c r="I263" s="112" t="s">
        <v>693</v>
      </c>
      <c r="J263" s="65"/>
      <c r="K263" s="37"/>
      <c r="L263" s="37"/>
      <c r="M263" s="37"/>
      <c r="N263" s="37"/>
      <c r="O263" s="37"/>
      <c r="P263" s="37"/>
      <c r="Q263" s="37"/>
      <c r="R263" s="37"/>
      <c r="S263" s="37"/>
      <c r="T263" s="37"/>
      <c r="U263" s="3"/>
      <c r="W263" s="3"/>
      <c r="X263" s="3"/>
      <c r="Y263" s="3"/>
      <c r="Z263" s="3"/>
    </row>
    <row r="264" spans="1:26" ht="15.75" hidden="1" customHeight="1" outlineLevel="1" x14ac:dyDescent="0.3">
      <c r="A264" s="3"/>
      <c r="B264" s="10" t="s">
        <v>692</v>
      </c>
      <c r="C264" s="62">
        <v>6</v>
      </c>
      <c r="D264" s="62" t="s">
        <v>94</v>
      </c>
      <c r="E264" s="12">
        <v>0</v>
      </c>
      <c r="F264" s="12">
        <v>8.59</v>
      </c>
      <c r="G264" s="65"/>
      <c r="H264" s="65" t="s">
        <v>37</v>
      </c>
      <c r="I264" s="112" t="s">
        <v>694</v>
      </c>
      <c r="J264" s="65"/>
      <c r="K264" s="37"/>
      <c r="L264" s="37"/>
      <c r="M264" s="37"/>
      <c r="N264" s="37"/>
      <c r="O264" s="37"/>
      <c r="P264" s="37"/>
      <c r="Q264" s="37"/>
      <c r="R264" s="37"/>
      <c r="S264" s="37"/>
      <c r="T264" s="37"/>
      <c r="U264" s="3"/>
      <c r="W264" s="3"/>
      <c r="X264" s="3"/>
      <c r="Y264" s="3"/>
      <c r="Z264" s="3"/>
    </row>
    <row r="265" spans="1:26" ht="15.75" hidden="1" customHeight="1" outlineLevel="1" x14ac:dyDescent="0.3">
      <c r="A265" s="3"/>
      <c r="B265" s="10" t="s">
        <v>369</v>
      </c>
      <c r="C265" s="62"/>
      <c r="D265" s="62"/>
      <c r="E265" s="12">
        <v>0</v>
      </c>
      <c r="F265" s="12">
        <v>0</v>
      </c>
      <c r="G265" s="65"/>
      <c r="H265" s="65"/>
      <c r="I265" s="89"/>
      <c r="J265" s="65"/>
      <c r="K265" s="37"/>
      <c r="L265" s="37"/>
      <c r="M265" s="37"/>
      <c r="N265" s="37"/>
      <c r="O265" s="37"/>
      <c r="P265" s="37"/>
      <c r="Q265" s="37"/>
      <c r="R265" s="37"/>
      <c r="S265" s="37"/>
      <c r="T265" s="37"/>
      <c r="U265" s="3"/>
      <c r="W265" s="3"/>
      <c r="X265" s="3"/>
      <c r="Y265" s="3"/>
      <c r="Z265" s="3"/>
    </row>
    <row r="266" spans="1:26" ht="15.75" hidden="1" customHeight="1" outlineLevel="1" x14ac:dyDescent="0.3">
      <c r="A266" s="3"/>
      <c r="B266" s="10" t="s">
        <v>327</v>
      </c>
      <c r="C266" s="62"/>
      <c r="D266" s="62"/>
      <c r="E266" s="12">
        <v>0</v>
      </c>
      <c r="F266" s="12">
        <v>0</v>
      </c>
      <c r="G266" s="65"/>
      <c r="H266" s="65"/>
      <c r="I266" s="89"/>
      <c r="J266" s="65"/>
      <c r="K266" s="37"/>
      <c r="L266" s="37"/>
      <c r="M266" s="37"/>
      <c r="N266" s="37"/>
      <c r="O266" s="37"/>
      <c r="P266" s="37"/>
      <c r="Q266" s="37"/>
      <c r="R266" s="37"/>
      <c r="S266" s="37"/>
      <c r="T266" s="37"/>
      <c r="U266" s="3"/>
      <c r="W266" s="3"/>
      <c r="X266" s="3"/>
      <c r="Y266" s="3"/>
      <c r="Z266" s="3"/>
    </row>
    <row r="267" spans="1:26" ht="15.75" hidden="1" customHeight="1" outlineLevel="1" x14ac:dyDescent="0.3">
      <c r="A267" s="3"/>
      <c r="B267" s="10" t="s">
        <v>328</v>
      </c>
      <c r="C267" s="62"/>
      <c r="D267" s="62"/>
      <c r="E267" s="12">
        <v>0</v>
      </c>
      <c r="F267" s="12">
        <v>0</v>
      </c>
      <c r="G267" s="65"/>
      <c r="H267" s="65"/>
      <c r="I267" s="89"/>
      <c r="J267" s="65"/>
      <c r="K267" s="37"/>
      <c r="L267" s="37"/>
      <c r="M267" s="37"/>
      <c r="N267" s="37"/>
      <c r="O267" s="37"/>
      <c r="P267" s="37"/>
      <c r="Q267" s="37"/>
      <c r="R267" s="37"/>
      <c r="S267" s="37"/>
      <c r="T267" s="37"/>
      <c r="U267" s="3"/>
      <c r="W267" s="3"/>
      <c r="X267" s="3"/>
      <c r="Y267" s="3"/>
      <c r="Z267" s="3"/>
    </row>
    <row r="268" spans="1:26" ht="15.75" hidden="1" customHeight="1" outlineLevel="1" x14ac:dyDescent="0.3">
      <c r="A268" s="3"/>
      <c r="B268" s="10" t="s">
        <v>370</v>
      </c>
      <c r="C268" s="62"/>
      <c r="D268" s="62"/>
      <c r="E268" s="12">
        <v>0</v>
      </c>
      <c r="F268" s="12">
        <v>0</v>
      </c>
      <c r="G268" s="65"/>
      <c r="H268" s="65"/>
      <c r="I268" s="89"/>
      <c r="J268" s="65"/>
      <c r="K268" s="37"/>
      <c r="L268" s="37"/>
      <c r="M268" s="37"/>
      <c r="N268" s="37"/>
      <c r="O268" s="37"/>
      <c r="P268" s="37"/>
      <c r="Q268" s="37"/>
      <c r="R268" s="37"/>
      <c r="S268" s="37"/>
      <c r="T268" s="37"/>
      <c r="U268" s="3"/>
      <c r="W268" s="3"/>
      <c r="X268" s="3"/>
      <c r="Y268" s="3"/>
      <c r="Z268" s="3"/>
    </row>
    <row r="269" spans="1:26" ht="15.75" hidden="1" customHeight="1" outlineLevel="1" x14ac:dyDescent="0.3">
      <c r="A269" s="3"/>
      <c r="B269" s="10" t="s">
        <v>371</v>
      </c>
      <c r="C269" s="62"/>
      <c r="D269" s="62"/>
      <c r="E269" s="12">
        <v>0</v>
      </c>
      <c r="F269" s="12">
        <v>0</v>
      </c>
      <c r="G269" s="65"/>
      <c r="H269" s="65"/>
      <c r="I269" s="89"/>
      <c r="J269" s="65"/>
      <c r="K269" s="37"/>
      <c r="L269" s="37"/>
      <c r="M269" s="37"/>
      <c r="N269" s="37"/>
      <c r="O269" s="37"/>
      <c r="P269" s="37"/>
      <c r="Q269" s="37"/>
      <c r="R269" s="37"/>
      <c r="S269" s="37"/>
      <c r="T269" s="37"/>
      <c r="U269" s="3"/>
      <c r="W269" s="3"/>
      <c r="X269" s="3"/>
      <c r="Y269" s="3"/>
      <c r="Z269" s="3"/>
    </row>
    <row r="270" spans="1:26" ht="15.75" hidden="1" customHeight="1" outlineLevel="1" x14ac:dyDescent="0.3">
      <c r="A270" s="3"/>
      <c r="B270" s="10" t="s">
        <v>372</v>
      </c>
      <c r="C270" s="62"/>
      <c r="D270" s="62"/>
      <c r="E270" s="12">
        <v>0</v>
      </c>
      <c r="F270" s="12">
        <v>0</v>
      </c>
      <c r="G270" s="65"/>
      <c r="H270" s="65"/>
      <c r="I270" s="89"/>
      <c r="J270" s="65"/>
      <c r="K270" s="37"/>
      <c r="L270" s="37"/>
      <c r="M270" s="37"/>
      <c r="N270" s="37"/>
      <c r="O270" s="37"/>
      <c r="P270" s="37"/>
      <c r="Q270" s="37"/>
      <c r="R270" s="37"/>
      <c r="S270" s="37"/>
      <c r="T270" s="37"/>
      <c r="U270" s="3"/>
      <c r="W270" s="3"/>
      <c r="X270" s="3"/>
      <c r="Y270" s="3"/>
      <c r="Z270" s="3"/>
    </row>
    <row r="271" spans="1:26" ht="15.75" customHeight="1" collapsed="1" x14ac:dyDescent="0.3">
      <c r="A271" s="3"/>
      <c r="B271" s="84" t="s">
        <v>411</v>
      </c>
      <c r="C271" s="85" t="s">
        <v>43</v>
      </c>
      <c r="D271" s="85" t="s">
        <v>43</v>
      </c>
      <c r="E271" s="86">
        <f>SUM(E272:E282)</f>
        <v>0</v>
      </c>
      <c r="F271" s="86">
        <f>SUMIF(D272:D282,"OK",F272:F282)</f>
        <v>356.51</v>
      </c>
      <c r="G271" s="87"/>
      <c r="H271" s="87"/>
      <c r="I271" s="88"/>
      <c r="J271" s="87"/>
      <c r="K271" s="37"/>
      <c r="L271" s="37"/>
      <c r="M271" s="37"/>
      <c r="N271" s="37"/>
      <c r="O271" s="37"/>
      <c r="P271" s="37"/>
      <c r="Q271" s="37"/>
      <c r="R271" s="37"/>
      <c r="S271" s="37"/>
      <c r="T271" s="37"/>
      <c r="U271" s="3"/>
      <c r="W271" s="3"/>
      <c r="X271" s="3"/>
      <c r="Y271" s="3"/>
      <c r="Z271" s="3"/>
    </row>
    <row r="272" spans="1:26" ht="15.75" hidden="1" customHeight="1" outlineLevel="1" x14ac:dyDescent="0.3">
      <c r="A272" s="3"/>
      <c r="B272" s="10" t="s">
        <v>412</v>
      </c>
      <c r="C272" s="62"/>
      <c r="D272" s="62"/>
      <c r="E272" s="12">
        <v>0</v>
      </c>
      <c r="F272" s="12">
        <v>0</v>
      </c>
      <c r="G272" s="65"/>
      <c r="H272" s="65"/>
      <c r="I272" s="89"/>
      <c r="J272" s="65"/>
      <c r="K272" s="37"/>
      <c r="L272" s="37"/>
      <c r="M272" s="37"/>
      <c r="N272" s="37"/>
      <c r="O272" s="37"/>
      <c r="P272" s="37"/>
      <c r="Q272" s="37"/>
      <c r="R272" s="37"/>
      <c r="S272" s="37"/>
      <c r="T272" s="37"/>
      <c r="U272" s="3"/>
      <c r="W272" s="3"/>
      <c r="X272" s="3"/>
      <c r="Y272" s="3"/>
      <c r="Z272" s="3"/>
    </row>
    <row r="273" spans="1:26" ht="15.75" hidden="1" customHeight="1" outlineLevel="1" x14ac:dyDescent="0.3">
      <c r="A273" s="3"/>
      <c r="B273" s="10" t="s">
        <v>413</v>
      </c>
      <c r="C273" s="62">
        <v>29</v>
      </c>
      <c r="D273" s="62" t="s">
        <v>94</v>
      </c>
      <c r="E273" s="12">
        <v>0</v>
      </c>
      <c r="F273" s="12">
        <v>356.51</v>
      </c>
      <c r="G273" s="65"/>
      <c r="H273" s="65" t="s">
        <v>37</v>
      </c>
      <c r="I273" s="112" t="s">
        <v>695</v>
      </c>
      <c r="J273" s="65"/>
      <c r="K273" s="37"/>
      <c r="L273" s="37"/>
      <c r="M273" s="37"/>
      <c r="N273" s="37"/>
      <c r="O273" s="37"/>
      <c r="P273" s="37"/>
      <c r="Q273" s="37"/>
      <c r="R273" s="37"/>
      <c r="S273" s="37"/>
      <c r="T273" s="37"/>
      <c r="U273" s="3"/>
      <c r="W273" s="3"/>
      <c r="X273" s="3"/>
      <c r="Y273" s="3"/>
      <c r="Z273" s="3"/>
    </row>
    <row r="274" spans="1:26" ht="15.75" hidden="1" customHeight="1" outlineLevel="1" x14ac:dyDescent="0.3">
      <c r="A274" s="3"/>
      <c r="B274" s="10" t="s">
        <v>413</v>
      </c>
      <c r="C274" s="62"/>
      <c r="D274" s="62"/>
      <c r="E274" s="12">
        <v>0</v>
      </c>
      <c r="F274" s="12">
        <v>0</v>
      </c>
      <c r="G274" s="65"/>
      <c r="H274" s="65"/>
      <c r="I274" s="112"/>
      <c r="J274" s="65"/>
      <c r="K274" s="37"/>
      <c r="L274" s="37"/>
      <c r="M274" s="37"/>
      <c r="N274" s="37"/>
      <c r="O274" s="37"/>
      <c r="P274" s="37"/>
      <c r="Q274" s="37"/>
      <c r="R274" s="37"/>
      <c r="S274" s="37"/>
      <c r="T274" s="37"/>
      <c r="U274" s="3"/>
      <c r="W274" s="3"/>
      <c r="X274" s="3"/>
      <c r="Y274" s="3"/>
      <c r="Z274" s="3"/>
    </row>
    <row r="275" spans="1:26" ht="15.75" hidden="1" customHeight="1" outlineLevel="1" x14ac:dyDescent="0.3">
      <c r="A275" s="3"/>
      <c r="B275" s="10" t="s">
        <v>414</v>
      </c>
      <c r="C275" s="62"/>
      <c r="D275" s="62"/>
      <c r="E275" s="12">
        <v>0</v>
      </c>
      <c r="F275" s="12">
        <v>0</v>
      </c>
      <c r="G275" s="65"/>
      <c r="H275" s="65"/>
      <c r="I275" s="89"/>
      <c r="J275" s="65"/>
      <c r="K275" s="37"/>
      <c r="L275" s="37"/>
      <c r="M275" s="37"/>
      <c r="N275" s="37"/>
      <c r="O275" s="37"/>
      <c r="P275" s="37"/>
      <c r="Q275" s="37"/>
      <c r="R275" s="37"/>
      <c r="S275" s="37"/>
      <c r="T275" s="37"/>
      <c r="U275" s="3"/>
      <c r="W275" s="3"/>
      <c r="X275" s="3"/>
      <c r="Y275" s="3"/>
      <c r="Z275" s="3"/>
    </row>
    <row r="276" spans="1:26" ht="15.75" hidden="1" customHeight="1" outlineLevel="1" x14ac:dyDescent="0.3">
      <c r="A276" s="3"/>
      <c r="B276" s="10" t="s">
        <v>415</v>
      </c>
      <c r="C276" s="62"/>
      <c r="D276" s="62"/>
      <c r="E276" s="12">
        <v>0</v>
      </c>
      <c r="F276" s="12">
        <v>0</v>
      </c>
      <c r="G276" s="65"/>
      <c r="H276" s="65"/>
      <c r="I276" s="89"/>
      <c r="J276" s="65"/>
      <c r="K276" s="37"/>
      <c r="L276" s="37"/>
      <c r="M276" s="37"/>
      <c r="N276" s="37"/>
      <c r="O276" s="37"/>
      <c r="P276" s="37"/>
      <c r="Q276" s="37"/>
      <c r="R276" s="37"/>
      <c r="S276" s="37"/>
      <c r="T276" s="37"/>
      <c r="U276" s="3"/>
      <c r="W276" s="3"/>
      <c r="X276" s="3"/>
      <c r="Y276" s="3"/>
      <c r="Z276" s="3"/>
    </row>
    <row r="277" spans="1:26" ht="15.75" hidden="1" customHeight="1" outlineLevel="1" x14ac:dyDescent="0.3">
      <c r="A277" s="3"/>
      <c r="B277" s="10" t="s">
        <v>416</v>
      </c>
      <c r="C277" s="62"/>
      <c r="D277" s="62"/>
      <c r="E277" s="12">
        <v>0</v>
      </c>
      <c r="F277" s="12">
        <v>0</v>
      </c>
      <c r="G277" s="65"/>
      <c r="H277" s="65"/>
      <c r="I277" s="89"/>
      <c r="J277" s="65"/>
      <c r="K277" s="37"/>
      <c r="L277" s="37"/>
      <c r="M277" s="37"/>
      <c r="N277" s="37"/>
      <c r="O277" s="37"/>
      <c r="P277" s="37"/>
      <c r="Q277" s="37"/>
      <c r="R277" s="37"/>
      <c r="S277" s="37"/>
      <c r="T277" s="37"/>
      <c r="U277" s="3"/>
      <c r="W277" s="3"/>
      <c r="X277" s="3"/>
      <c r="Y277" s="3"/>
      <c r="Z277" s="3"/>
    </row>
    <row r="278" spans="1:26" ht="15.75" hidden="1" customHeight="1" outlineLevel="1" x14ac:dyDescent="0.3">
      <c r="A278" s="3"/>
      <c r="B278" s="10" t="s">
        <v>417</v>
      </c>
      <c r="C278" s="62"/>
      <c r="D278" s="62"/>
      <c r="E278" s="12">
        <v>0</v>
      </c>
      <c r="F278" s="12">
        <v>0</v>
      </c>
      <c r="G278" s="65"/>
      <c r="H278" s="65"/>
      <c r="I278" s="89"/>
      <c r="J278" s="65"/>
      <c r="K278" s="37"/>
      <c r="L278" s="37"/>
      <c r="M278" s="37"/>
      <c r="N278" s="37"/>
      <c r="O278" s="37"/>
      <c r="P278" s="37"/>
      <c r="Q278" s="37"/>
      <c r="R278" s="37"/>
      <c r="S278" s="37"/>
      <c r="T278" s="37"/>
      <c r="U278" s="3"/>
      <c r="W278" s="3"/>
      <c r="X278" s="3"/>
      <c r="Y278" s="3"/>
      <c r="Z278" s="3"/>
    </row>
    <row r="279" spans="1:26" ht="15.75" hidden="1" customHeight="1" outlineLevel="1" x14ac:dyDescent="0.3">
      <c r="A279" s="3"/>
      <c r="B279" s="10" t="s">
        <v>418</v>
      </c>
      <c r="C279" s="62"/>
      <c r="D279" s="62"/>
      <c r="E279" s="12">
        <v>0</v>
      </c>
      <c r="F279" s="12">
        <v>0</v>
      </c>
      <c r="G279" s="65"/>
      <c r="H279" s="65"/>
      <c r="I279" s="89"/>
      <c r="J279" s="65"/>
      <c r="K279" s="37"/>
      <c r="L279" s="37"/>
      <c r="M279" s="37"/>
      <c r="N279" s="37"/>
      <c r="O279" s="37"/>
      <c r="P279" s="37"/>
      <c r="Q279" s="37"/>
      <c r="R279" s="37"/>
      <c r="S279" s="37"/>
      <c r="T279" s="37"/>
      <c r="U279" s="3"/>
      <c r="W279" s="3"/>
      <c r="X279" s="3"/>
      <c r="Y279" s="3"/>
      <c r="Z279" s="3"/>
    </row>
    <row r="280" spans="1:26" ht="15.75" hidden="1" customHeight="1" outlineLevel="1" x14ac:dyDescent="0.3">
      <c r="A280" s="3"/>
      <c r="B280" s="10" t="s">
        <v>419</v>
      </c>
      <c r="C280" s="62"/>
      <c r="D280" s="62"/>
      <c r="E280" s="12">
        <v>0</v>
      </c>
      <c r="F280" s="12">
        <v>0</v>
      </c>
      <c r="G280" s="65"/>
      <c r="H280" s="65"/>
      <c r="I280" s="89"/>
      <c r="J280" s="65"/>
      <c r="K280" s="37"/>
      <c r="L280" s="37"/>
      <c r="M280" s="37"/>
      <c r="N280" s="37"/>
      <c r="O280" s="37"/>
      <c r="P280" s="37"/>
      <c r="Q280" s="37"/>
      <c r="R280" s="37"/>
      <c r="S280" s="37"/>
      <c r="T280" s="37"/>
      <c r="U280" s="3"/>
      <c r="W280" s="3"/>
      <c r="X280" s="3"/>
      <c r="Y280" s="3"/>
      <c r="Z280" s="3"/>
    </row>
    <row r="281" spans="1:26" ht="15.75" hidden="1" customHeight="1" outlineLevel="1" x14ac:dyDescent="0.3">
      <c r="A281" s="3"/>
      <c r="B281" s="10" t="s">
        <v>420</v>
      </c>
      <c r="C281" s="62"/>
      <c r="D281" s="62"/>
      <c r="E281" s="12">
        <v>0</v>
      </c>
      <c r="F281" s="12">
        <v>0</v>
      </c>
      <c r="G281" s="65"/>
      <c r="H281" s="65"/>
      <c r="I281" s="89"/>
      <c r="J281" s="65"/>
      <c r="K281" s="37"/>
      <c r="L281" s="37"/>
      <c r="M281" s="37"/>
      <c r="N281" s="37"/>
      <c r="O281" s="37"/>
      <c r="P281" s="37"/>
      <c r="Q281" s="37"/>
      <c r="R281" s="37"/>
      <c r="S281" s="37"/>
      <c r="T281" s="37"/>
      <c r="U281" s="3"/>
      <c r="W281" s="3"/>
      <c r="X281" s="3"/>
      <c r="Y281" s="3"/>
      <c r="Z281" s="3"/>
    </row>
    <row r="282" spans="1:26" ht="15.75" hidden="1" customHeight="1" outlineLevel="1" x14ac:dyDescent="0.3">
      <c r="A282" s="3"/>
      <c r="B282" s="10" t="s">
        <v>65</v>
      </c>
      <c r="C282" s="62"/>
      <c r="D282" s="62"/>
      <c r="E282" s="12">
        <v>0</v>
      </c>
      <c r="F282" s="12">
        <v>0</v>
      </c>
      <c r="G282" s="65"/>
      <c r="H282" s="65"/>
      <c r="I282" s="89"/>
      <c r="J282" s="65"/>
      <c r="K282" s="37"/>
      <c r="L282" s="37"/>
      <c r="M282" s="37"/>
      <c r="N282" s="37"/>
      <c r="O282" s="37"/>
      <c r="P282" s="37"/>
      <c r="Q282" s="37"/>
      <c r="R282" s="37"/>
      <c r="S282" s="37"/>
      <c r="T282" s="37"/>
      <c r="U282" s="3"/>
      <c r="W282" s="3"/>
      <c r="X282" s="3"/>
      <c r="Y282" s="3"/>
      <c r="Z282" s="3"/>
    </row>
    <row r="283" spans="1:26" ht="15.75" customHeight="1" collapsed="1" x14ac:dyDescent="0.3">
      <c r="A283" s="3"/>
      <c r="B283" s="3"/>
      <c r="C283" s="37"/>
      <c r="D283" s="37"/>
      <c r="E283" s="37"/>
      <c r="F283" s="37"/>
      <c r="G283" s="98"/>
      <c r="H283" s="98"/>
      <c r="I283" s="99"/>
      <c r="J283" s="98"/>
      <c r="K283" s="37"/>
      <c r="L283" s="37"/>
      <c r="M283" s="37"/>
      <c r="N283" s="37"/>
      <c r="O283" s="37"/>
      <c r="P283" s="37"/>
      <c r="Q283" s="37"/>
      <c r="R283" s="37"/>
      <c r="S283" s="37"/>
      <c r="T283" s="37"/>
      <c r="U283" s="3"/>
    </row>
    <row r="284" spans="1:26" ht="26.25" customHeight="1" x14ac:dyDescent="0.3">
      <c r="A284" s="3"/>
      <c r="B284" s="247" t="s">
        <v>696</v>
      </c>
      <c r="C284" s="248"/>
      <c r="D284" s="248"/>
      <c r="E284" s="248"/>
      <c r="F284" s="248"/>
      <c r="G284" s="248"/>
      <c r="H284" s="248"/>
      <c r="I284" s="248"/>
      <c r="J284" s="248"/>
      <c r="K284" s="37"/>
      <c r="L284" s="37"/>
      <c r="M284" s="37"/>
      <c r="N284" s="37"/>
      <c r="O284" s="37"/>
      <c r="P284" s="37"/>
      <c r="Q284" s="37"/>
      <c r="R284" s="37"/>
      <c r="S284" s="37"/>
      <c r="T284" s="37"/>
      <c r="U284" s="3"/>
    </row>
    <row r="285" spans="1:26" ht="15.75" customHeight="1" x14ac:dyDescent="0.3">
      <c r="A285" s="3"/>
      <c r="B285" s="248"/>
      <c r="C285" s="248"/>
      <c r="D285" s="248"/>
      <c r="E285" s="248"/>
      <c r="F285" s="248"/>
      <c r="G285" s="248"/>
      <c r="H285" s="248"/>
      <c r="I285" s="248"/>
      <c r="J285" s="248"/>
      <c r="K285" s="37"/>
      <c r="L285" s="37"/>
      <c r="M285" s="37"/>
      <c r="N285" s="37"/>
      <c r="O285" s="37"/>
      <c r="P285" s="37"/>
      <c r="Q285" s="37"/>
      <c r="R285" s="37"/>
      <c r="S285" s="37"/>
      <c r="T285" s="37"/>
      <c r="U285" s="3"/>
    </row>
    <row r="286" spans="1:26" ht="15.75" customHeight="1" x14ac:dyDescent="0.3">
      <c r="A286" s="3"/>
      <c r="B286" s="3"/>
      <c r="C286" s="37"/>
      <c r="D286" s="37"/>
      <c r="E286" s="37"/>
      <c r="F286" s="37"/>
      <c r="G286" s="98"/>
      <c r="H286" s="98"/>
      <c r="I286" s="99"/>
      <c r="J286" s="98"/>
      <c r="K286" s="37"/>
      <c r="L286" s="37"/>
      <c r="M286" s="37"/>
      <c r="N286" s="37"/>
      <c r="O286" s="37"/>
      <c r="P286" s="37"/>
      <c r="Q286" s="37"/>
      <c r="R286" s="37"/>
      <c r="S286" s="37"/>
      <c r="T286" s="37"/>
      <c r="U286" s="3"/>
    </row>
    <row r="287" spans="1:26" ht="15.75" customHeight="1" x14ac:dyDescent="0.3">
      <c r="A287" s="3"/>
      <c r="C287" s="37"/>
      <c r="D287" s="37"/>
      <c r="E287" s="37"/>
      <c r="F287" s="37"/>
      <c r="G287" s="98"/>
      <c r="H287" s="98"/>
      <c r="I287" s="99"/>
      <c r="J287" s="98"/>
      <c r="K287" s="37"/>
      <c r="L287" s="37"/>
      <c r="M287" s="37"/>
      <c r="N287" s="37"/>
      <c r="O287" s="37"/>
      <c r="P287" s="37"/>
      <c r="Q287" s="37"/>
      <c r="R287" s="37"/>
      <c r="S287" s="37"/>
      <c r="T287" s="37"/>
      <c r="U287" s="3"/>
    </row>
    <row r="288" spans="1:26" ht="15.75" customHeight="1" x14ac:dyDescent="0.3">
      <c r="A288" s="3"/>
      <c r="B288" s="3"/>
      <c r="C288" s="37"/>
      <c r="D288" s="37"/>
      <c r="E288" s="37"/>
      <c r="F288" s="37"/>
      <c r="G288" s="98"/>
      <c r="H288" s="98"/>
      <c r="I288" s="99"/>
      <c r="J288" s="98"/>
      <c r="K288" s="37"/>
      <c r="L288" s="37"/>
      <c r="M288" s="37"/>
      <c r="N288" s="37"/>
      <c r="O288" s="37"/>
      <c r="P288" s="37"/>
      <c r="Q288" s="37"/>
      <c r="R288" s="37"/>
      <c r="S288" s="37"/>
      <c r="T288" s="37"/>
      <c r="U288" s="3"/>
    </row>
    <row r="289" spans="1:21" ht="15.75" customHeight="1" x14ac:dyDescent="0.3">
      <c r="A289" s="3"/>
      <c r="B289" s="3"/>
      <c r="C289" s="37"/>
      <c r="D289" s="37"/>
      <c r="E289" s="37"/>
      <c r="F289" s="37"/>
      <c r="G289" s="98"/>
      <c r="H289" s="98"/>
      <c r="I289" s="99"/>
      <c r="J289" s="98"/>
      <c r="K289" s="37"/>
      <c r="L289" s="37"/>
      <c r="M289" s="37"/>
      <c r="N289" s="37"/>
      <c r="O289" s="37"/>
      <c r="P289" s="37"/>
      <c r="Q289" s="37"/>
      <c r="R289" s="37"/>
      <c r="S289" s="37"/>
      <c r="T289" s="37"/>
      <c r="U289" s="3"/>
    </row>
    <row r="290" spans="1:21" ht="15.75" customHeight="1" x14ac:dyDescent="0.3">
      <c r="A290" s="3"/>
      <c r="B290" s="3"/>
      <c r="C290" s="37"/>
      <c r="D290" s="37"/>
      <c r="E290" s="37"/>
      <c r="F290" s="37"/>
      <c r="G290" s="98"/>
      <c r="H290" s="98"/>
      <c r="I290" s="99"/>
      <c r="J290" s="98"/>
      <c r="K290" s="37"/>
      <c r="L290" s="37"/>
      <c r="M290" s="37"/>
      <c r="N290" s="37"/>
      <c r="O290" s="37"/>
      <c r="P290" s="37"/>
      <c r="Q290" s="37"/>
      <c r="R290" s="37"/>
      <c r="S290" s="37"/>
      <c r="T290" s="37"/>
      <c r="U290" s="3"/>
    </row>
    <row r="291" spans="1:21" ht="15.75" customHeight="1" x14ac:dyDescent="0.3">
      <c r="A291" s="3"/>
      <c r="B291" s="3"/>
      <c r="C291" s="37"/>
      <c r="D291" s="37"/>
      <c r="E291" s="37"/>
      <c r="F291" s="37"/>
      <c r="G291" s="98"/>
      <c r="H291" s="98"/>
      <c r="I291" s="99"/>
      <c r="J291" s="98"/>
      <c r="K291" s="37"/>
      <c r="L291" s="37"/>
      <c r="M291" s="37"/>
      <c r="N291" s="37"/>
      <c r="O291" s="37"/>
      <c r="P291" s="37"/>
      <c r="Q291" s="37"/>
      <c r="R291" s="37"/>
      <c r="S291" s="37"/>
      <c r="T291" s="37"/>
      <c r="U291" s="3"/>
    </row>
    <row r="292" spans="1:21" ht="15.75" customHeight="1" x14ac:dyDescent="0.3">
      <c r="A292" s="3"/>
      <c r="B292" s="3"/>
      <c r="C292" s="37"/>
      <c r="D292" s="37"/>
      <c r="E292" s="37"/>
      <c r="F292" s="37"/>
      <c r="G292" s="98"/>
      <c r="H292" s="98"/>
      <c r="I292" s="99"/>
      <c r="J292" s="98"/>
      <c r="K292" s="37"/>
      <c r="L292" s="37"/>
      <c r="M292" s="37"/>
      <c r="N292" s="37"/>
      <c r="O292" s="37"/>
      <c r="P292" s="37"/>
      <c r="Q292" s="37"/>
      <c r="R292" s="37"/>
      <c r="S292" s="37"/>
      <c r="T292" s="37"/>
      <c r="U292" s="3"/>
    </row>
    <row r="293" spans="1:21" ht="15.75" customHeight="1" x14ac:dyDescent="0.3">
      <c r="A293" s="3"/>
      <c r="B293" s="3"/>
      <c r="C293" s="37"/>
      <c r="D293" s="37"/>
      <c r="E293" s="37"/>
      <c r="F293" s="37"/>
      <c r="G293" s="98"/>
      <c r="H293" s="98"/>
      <c r="I293" s="99"/>
      <c r="J293" s="98"/>
      <c r="K293" s="37"/>
      <c r="L293" s="37"/>
      <c r="M293" s="37"/>
      <c r="N293" s="37"/>
      <c r="O293" s="37"/>
      <c r="P293" s="37"/>
      <c r="Q293" s="37"/>
      <c r="R293" s="37"/>
      <c r="S293" s="37"/>
      <c r="T293" s="37"/>
      <c r="U293" s="3"/>
    </row>
    <row r="294" spans="1:21" ht="15.75" customHeight="1" x14ac:dyDescent="0.3">
      <c r="A294" s="3"/>
      <c r="B294" s="3"/>
      <c r="C294" s="37"/>
      <c r="D294" s="37"/>
      <c r="E294" s="37"/>
      <c r="F294" s="37"/>
      <c r="G294" s="98"/>
      <c r="H294" s="98"/>
      <c r="I294" s="99"/>
      <c r="J294" s="98"/>
      <c r="K294" s="37"/>
      <c r="L294" s="37"/>
      <c r="M294" s="37"/>
      <c r="N294" s="37"/>
      <c r="O294" s="37"/>
      <c r="P294" s="37"/>
      <c r="Q294" s="37"/>
      <c r="R294" s="37"/>
      <c r="S294" s="37"/>
      <c r="T294" s="37"/>
      <c r="U294" s="3"/>
    </row>
    <row r="295" spans="1:21" ht="15.75" customHeight="1" x14ac:dyDescent="0.3">
      <c r="A295" s="3"/>
      <c r="B295" s="3"/>
      <c r="C295" s="37"/>
      <c r="D295" s="37"/>
      <c r="E295" s="37"/>
      <c r="F295" s="37"/>
      <c r="G295" s="98"/>
      <c r="H295" s="98"/>
      <c r="I295" s="99"/>
      <c r="J295" s="98"/>
      <c r="K295" s="37"/>
      <c r="L295" s="37"/>
      <c r="M295" s="37"/>
      <c r="N295" s="37"/>
      <c r="O295" s="37"/>
      <c r="P295" s="37"/>
      <c r="Q295" s="37"/>
      <c r="R295" s="37"/>
      <c r="S295" s="37"/>
      <c r="T295" s="37"/>
      <c r="U295" s="3"/>
    </row>
    <row r="296" spans="1:21" ht="15.75" customHeight="1" x14ac:dyDescent="0.3">
      <c r="A296" s="3"/>
      <c r="B296" s="3"/>
      <c r="C296" s="37"/>
      <c r="D296" s="37"/>
      <c r="E296" s="37"/>
      <c r="F296" s="37"/>
      <c r="G296" s="98"/>
      <c r="H296" s="98"/>
      <c r="I296" s="99"/>
      <c r="J296" s="98"/>
      <c r="K296" s="37"/>
      <c r="L296" s="37"/>
      <c r="M296" s="37"/>
      <c r="N296" s="37"/>
      <c r="O296" s="37"/>
      <c r="P296" s="37"/>
      <c r="Q296" s="37"/>
      <c r="R296" s="37"/>
      <c r="S296" s="37"/>
      <c r="T296" s="37"/>
      <c r="U296" s="3"/>
    </row>
    <row r="297" spans="1:21" ht="15.75" customHeight="1" x14ac:dyDescent="0.3">
      <c r="A297" s="3"/>
      <c r="B297" s="3"/>
      <c r="C297" s="37"/>
      <c r="D297" s="37"/>
      <c r="E297" s="37"/>
      <c r="F297" s="37"/>
      <c r="G297" s="98"/>
      <c r="H297" s="98"/>
      <c r="I297" s="99"/>
      <c r="J297" s="98"/>
      <c r="K297" s="37"/>
      <c r="L297" s="37"/>
      <c r="M297" s="37"/>
      <c r="N297" s="37"/>
      <c r="O297" s="37"/>
      <c r="P297" s="37"/>
      <c r="Q297" s="37"/>
      <c r="R297" s="37"/>
      <c r="S297" s="37"/>
      <c r="T297" s="37"/>
      <c r="U297" s="3"/>
    </row>
    <row r="298" spans="1:21" ht="15.75" customHeight="1" x14ac:dyDescent="0.3">
      <c r="A298" s="3"/>
      <c r="B298" s="3"/>
      <c r="C298" s="37"/>
      <c r="D298" s="37"/>
      <c r="E298" s="37"/>
      <c r="F298" s="37"/>
      <c r="G298" s="98"/>
      <c r="H298" s="98"/>
      <c r="I298" s="99"/>
      <c r="J298" s="98"/>
      <c r="K298" s="37"/>
      <c r="L298" s="37"/>
      <c r="M298" s="37"/>
      <c r="N298" s="37"/>
      <c r="O298" s="37"/>
      <c r="P298" s="37"/>
      <c r="Q298" s="37"/>
      <c r="R298" s="37"/>
      <c r="S298" s="37"/>
      <c r="T298" s="37"/>
      <c r="U298" s="3"/>
    </row>
    <row r="299" spans="1:21" ht="15.75" customHeight="1" x14ac:dyDescent="0.3">
      <c r="A299" s="3"/>
      <c r="B299" s="3"/>
      <c r="C299" s="37"/>
      <c r="D299" s="37"/>
      <c r="E299" s="37"/>
      <c r="F299" s="37"/>
      <c r="G299" s="98"/>
      <c r="H299" s="98"/>
      <c r="I299" s="99"/>
      <c r="J299" s="98"/>
      <c r="K299" s="37"/>
      <c r="L299" s="37"/>
      <c r="M299" s="37"/>
      <c r="N299" s="37"/>
      <c r="O299" s="37"/>
      <c r="P299" s="37"/>
      <c r="Q299" s="37"/>
      <c r="R299" s="37"/>
      <c r="S299" s="37"/>
      <c r="T299" s="37"/>
      <c r="U299" s="3"/>
    </row>
    <row r="300" spans="1:21" ht="15.75" customHeight="1" x14ac:dyDescent="0.3">
      <c r="A300" s="3"/>
      <c r="B300" s="3"/>
      <c r="C300" s="37"/>
      <c r="D300" s="37"/>
      <c r="E300" s="37"/>
      <c r="F300" s="37"/>
      <c r="G300" s="98"/>
      <c r="H300" s="98"/>
      <c r="I300" s="99"/>
      <c r="J300" s="98"/>
      <c r="K300" s="37"/>
      <c r="L300" s="37"/>
      <c r="M300" s="37"/>
      <c r="N300" s="37"/>
      <c r="O300" s="37"/>
      <c r="P300" s="37"/>
      <c r="Q300" s="37"/>
      <c r="R300" s="37"/>
      <c r="S300" s="37"/>
      <c r="T300" s="37"/>
      <c r="U300" s="3"/>
    </row>
    <row r="301" spans="1:21" ht="15.75" customHeight="1" x14ac:dyDescent="0.3">
      <c r="A301" s="3"/>
      <c r="B301" s="3"/>
      <c r="C301" s="37"/>
      <c r="D301" s="37"/>
      <c r="E301" s="37"/>
      <c r="F301" s="37"/>
      <c r="G301" s="98"/>
      <c r="H301" s="98"/>
      <c r="I301" s="99"/>
      <c r="J301" s="98"/>
      <c r="K301" s="37"/>
      <c r="L301" s="37"/>
      <c r="M301" s="37"/>
      <c r="N301" s="37"/>
      <c r="O301" s="37"/>
      <c r="P301" s="37"/>
      <c r="Q301" s="37"/>
      <c r="R301" s="37"/>
      <c r="S301" s="37"/>
      <c r="T301" s="37"/>
      <c r="U301" s="3"/>
    </row>
    <row r="302" spans="1:21" ht="15.75" customHeight="1" x14ac:dyDescent="0.3">
      <c r="A302" s="3"/>
      <c r="B302" s="3"/>
      <c r="C302" s="37"/>
      <c r="D302" s="37"/>
      <c r="E302" s="37"/>
      <c r="F302" s="37"/>
      <c r="G302" s="98"/>
      <c r="H302" s="98"/>
      <c r="I302" s="99"/>
      <c r="J302" s="98"/>
      <c r="K302" s="37"/>
      <c r="L302" s="37"/>
      <c r="M302" s="37"/>
      <c r="N302" s="37"/>
      <c r="O302" s="37"/>
      <c r="P302" s="37"/>
      <c r="Q302" s="37"/>
      <c r="R302" s="37"/>
      <c r="S302" s="37"/>
      <c r="T302" s="37"/>
      <c r="U302" s="3"/>
    </row>
    <row r="303" spans="1:21" ht="15.75" customHeight="1" x14ac:dyDescent="0.3">
      <c r="A303" s="3"/>
      <c r="B303" s="3"/>
      <c r="C303" s="37"/>
      <c r="D303" s="37"/>
      <c r="E303" s="37"/>
      <c r="F303" s="37"/>
      <c r="G303" s="98"/>
      <c r="H303" s="98"/>
      <c r="I303" s="99"/>
      <c r="J303" s="98"/>
      <c r="K303" s="37"/>
      <c r="L303" s="37"/>
      <c r="M303" s="37"/>
      <c r="N303" s="37"/>
      <c r="O303" s="37"/>
      <c r="P303" s="37"/>
      <c r="Q303" s="37"/>
      <c r="R303" s="37"/>
      <c r="S303" s="37"/>
      <c r="T303" s="37"/>
      <c r="U303" s="3"/>
    </row>
    <row r="304" spans="1:21" ht="15.75" customHeight="1" x14ac:dyDescent="0.3">
      <c r="A304" s="3"/>
      <c r="B304" s="3"/>
      <c r="C304" s="37"/>
      <c r="D304" s="37"/>
      <c r="E304" s="37"/>
      <c r="F304" s="37"/>
      <c r="G304" s="98"/>
      <c r="H304" s="98"/>
      <c r="I304" s="99"/>
      <c r="J304" s="98"/>
      <c r="K304" s="37"/>
      <c r="L304" s="37"/>
      <c r="M304" s="37"/>
      <c r="N304" s="37"/>
      <c r="O304" s="37"/>
      <c r="P304" s="37"/>
      <c r="Q304" s="37"/>
      <c r="R304" s="37"/>
      <c r="S304" s="37"/>
      <c r="T304" s="37"/>
      <c r="U304" s="3"/>
    </row>
    <row r="305" spans="1:21" ht="15.75" customHeight="1" x14ac:dyDescent="0.3">
      <c r="A305" s="3"/>
      <c r="B305" s="3"/>
      <c r="C305" s="37"/>
      <c r="D305" s="37"/>
      <c r="E305" s="37"/>
      <c r="F305" s="37"/>
      <c r="G305" s="98"/>
      <c r="H305" s="98"/>
      <c r="I305" s="99"/>
      <c r="J305" s="98"/>
      <c r="K305" s="37"/>
      <c r="L305" s="37"/>
      <c r="M305" s="37"/>
      <c r="N305" s="37"/>
      <c r="O305" s="37"/>
      <c r="P305" s="37"/>
      <c r="Q305" s="37"/>
      <c r="R305" s="37"/>
      <c r="S305" s="37"/>
      <c r="T305" s="37"/>
      <c r="U305" s="3"/>
    </row>
    <row r="306" spans="1:21" ht="15.75" customHeight="1" x14ac:dyDescent="0.3">
      <c r="A306" s="3"/>
      <c r="B306" s="3"/>
      <c r="C306" s="37"/>
      <c r="D306" s="37"/>
      <c r="E306" s="37"/>
      <c r="F306" s="37"/>
      <c r="G306" s="98"/>
      <c r="H306" s="98"/>
      <c r="I306" s="99"/>
      <c r="J306" s="98"/>
      <c r="K306" s="37"/>
      <c r="L306" s="37"/>
      <c r="M306" s="37"/>
      <c r="N306" s="37"/>
      <c r="O306" s="37"/>
      <c r="P306" s="37"/>
      <c r="Q306" s="37"/>
      <c r="R306" s="37"/>
      <c r="S306" s="37"/>
      <c r="T306" s="37"/>
      <c r="U306" s="3"/>
    </row>
    <row r="307" spans="1:21" ht="15.75" customHeight="1" x14ac:dyDescent="0.3">
      <c r="A307" s="3"/>
      <c r="B307" s="3"/>
      <c r="C307" s="37"/>
      <c r="D307" s="37"/>
      <c r="E307" s="37"/>
      <c r="F307" s="37"/>
      <c r="G307" s="98"/>
      <c r="H307" s="98"/>
      <c r="I307" s="99"/>
      <c r="J307" s="98"/>
      <c r="K307" s="37"/>
      <c r="L307" s="37"/>
      <c r="M307" s="37"/>
      <c r="N307" s="37"/>
      <c r="O307" s="37"/>
      <c r="P307" s="37"/>
      <c r="Q307" s="37"/>
      <c r="R307" s="37"/>
      <c r="S307" s="37"/>
      <c r="T307" s="37"/>
      <c r="U307" s="3"/>
    </row>
    <row r="308" spans="1:21" ht="15.75" customHeight="1" x14ac:dyDescent="0.3">
      <c r="A308" s="3"/>
      <c r="B308" s="3"/>
      <c r="C308" s="37"/>
      <c r="D308" s="37"/>
      <c r="E308" s="37"/>
      <c r="F308" s="37"/>
      <c r="G308" s="98"/>
      <c r="H308" s="98"/>
      <c r="I308" s="99"/>
      <c r="J308" s="98"/>
      <c r="K308" s="37"/>
      <c r="L308" s="37"/>
      <c r="M308" s="37"/>
      <c r="N308" s="37"/>
      <c r="O308" s="37"/>
      <c r="P308" s="37"/>
      <c r="Q308" s="37"/>
      <c r="R308" s="37"/>
      <c r="S308" s="37"/>
      <c r="T308" s="37"/>
      <c r="U308" s="3"/>
    </row>
    <row r="309" spans="1:21" ht="15.75" customHeight="1" x14ac:dyDescent="0.3">
      <c r="A309" s="3"/>
      <c r="B309" s="3"/>
      <c r="C309" s="37"/>
      <c r="D309" s="37"/>
      <c r="E309" s="37"/>
      <c r="F309" s="37"/>
      <c r="G309" s="98"/>
      <c r="H309" s="98"/>
      <c r="I309" s="99"/>
      <c r="J309" s="98"/>
      <c r="K309" s="37"/>
      <c r="L309" s="37"/>
      <c r="M309" s="37"/>
      <c r="N309" s="37"/>
      <c r="O309" s="37"/>
      <c r="P309" s="37"/>
      <c r="Q309" s="37"/>
      <c r="R309" s="37"/>
      <c r="S309" s="37"/>
      <c r="T309" s="37"/>
      <c r="U309" s="3"/>
    </row>
    <row r="310" spans="1:21" ht="15.75" customHeight="1" x14ac:dyDescent="0.3">
      <c r="A310" s="3"/>
      <c r="B310" s="3"/>
      <c r="C310" s="37"/>
      <c r="D310" s="37"/>
      <c r="E310" s="37"/>
      <c r="F310" s="37"/>
      <c r="G310" s="98"/>
      <c r="H310" s="98"/>
      <c r="I310" s="99"/>
      <c r="J310" s="98"/>
      <c r="K310" s="37"/>
      <c r="L310" s="37"/>
      <c r="M310" s="37"/>
      <c r="N310" s="37"/>
      <c r="O310" s="37"/>
      <c r="P310" s="37"/>
      <c r="Q310" s="37"/>
      <c r="R310" s="37"/>
      <c r="S310" s="37"/>
      <c r="T310" s="37"/>
      <c r="U310" s="3"/>
    </row>
    <row r="311" spans="1:21" ht="15.75" customHeight="1" x14ac:dyDescent="0.3">
      <c r="A311" s="3"/>
      <c r="B311" s="3"/>
      <c r="C311" s="37"/>
      <c r="D311" s="37"/>
      <c r="E311" s="37"/>
      <c r="F311" s="37"/>
      <c r="G311" s="98"/>
      <c r="H311" s="98"/>
      <c r="I311" s="99"/>
      <c r="J311" s="98"/>
      <c r="K311" s="37"/>
      <c r="L311" s="37"/>
      <c r="M311" s="37"/>
      <c r="N311" s="37"/>
      <c r="O311" s="37"/>
      <c r="P311" s="37"/>
      <c r="Q311" s="37"/>
      <c r="R311" s="37"/>
      <c r="S311" s="37"/>
      <c r="T311" s="37"/>
      <c r="U311" s="3"/>
    </row>
    <row r="312" spans="1:21" ht="15.75" customHeight="1" x14ac:dyDescent="0.3">
      <c r="A312" s="3"/>
      <c r="B312" s="3"/>
      <c r="C312" s="37"/>
      <c r="D312" s="37"/>
      <c r="E312" s="37"/>
      <c r="F312" s="37"/>
      <c r="G312" s="98"/>
      <c r="H312" s="98"/>
      <c r="I312" s="99"/>
      <c r="J312" s="98"/>
      <c r="K312" s="37"/>
      <c r="L312" s="37"/>
      <c r="M312" s="37"/>
      <c r="N312" s="37"/>
      <c r="O312" s="37"/>
      <c r="P312" s="37"/>
      <c r="Q312" s="37"/>
      <c r="R312" s="37"/>
      <c r="S312" s="37"/>
      <c r="T312" s="37"/>
      <c r="U312" s="3"/>
    </row>
    <row r="313" spans="1:21" ht="15.75" customHeight="1" x14ac:dyDescent="0.3">
      <c r="A313" s="3"/>
      <c r="B313" s="3"/>
      <c r="C313" s="37"/>
      <c r="D313" s="37"/>
      <c r="E313" s="37"/>
      <c r="F313" s="37"/>
      <c r="G313" s="98"/>
      <c r="H313" s="98"/>
      <c r="I313" s="99"/>
      <c r="J313" s="98"/>
      <c r="K313" s="37"/>
      <c r="L313" s="37"/>
      <c r="M313" s="37"/>
      <c r="N313" s="37"/>
      <c r="O313" s="37"/>
      <c r="P313" s="37"/>
      <c r="Q313" s="37"/>
      <c r="R313" s="37"/>
      <c r="S313" s="37"/>
      <c r="T313" s="37"/>
      <c r="U313" s="3"/>
    </row>
    <row r="314" spans="1:21" ht="15.75" customHeight="1" x14ac:dyDescent="0.3">
      <c r="A314" s="3"/>
      <c r="B314" s="3"/>
      <c r="C314" s="37"/>
      <c r="D314" s="37"/>
      <c r="E314" s="37"/>
      <c r="F314" s="37"/>
      <c r="G314" s="98"/>
      <c r="H314" s="98"/>
      <c r="I314" s="99"/>
      <c r="J314" s="98"/>
      <c r="K314" s="37"/>
      <c r="L314" s="37"/>
      <c r="M314" s="37"/>
      <c r="N314" s="37"/>
      <c r="O314" s="37"/>
      <c r="P314" s="37"/>
      <c r="Q314" s="37"/>
      <c r="R314" s="37"/>
      <c r="S314" s="37"/>
      <c r="T314" s="37"/>
      <c r="U314" s="3"/>
    </row>
    <row r="315" spans="1:21" ht="15.75" customHeight="1" x14ac:dyDescent="0.3">
      <c r="A315" s="3"/>
      <c r="B315" s="3"/>
      <c r="C315" s="37"/>
      <c r="D315" s="37"/>
      <c r="E315" s="37"/>
      <c r="F315" s="37"/>
      <c r="G315" s="98"/>
      <c r="H315" s="98"/>
      <c r="I315" s="99"/>
      <c r="J315" s="98"/>
      <c r="K315" s="37"/>
      <c r="L315" s="37"/>
      <c r="M315" s="37"/>
      <c r="N315" s="37"/>
      <c r="O315" s="37"/>
      <c r="P315" s="37"/>
      <c r="Q315" s="37"/>
      <c r="R315" s="37"/>
      <c r="S315" s="37"/>
      <c r="T315" s="37"/>
      <c r="U315" s="3"/>
    </row>
    <row r="316" spans="1:21" ht="15.75" customHeight="1" x14ac:dyDescent="0.3">
      <c r="A316" s="3"/>
      <c r="B316" s="3"/>
      <c r="C316" s="37"/>
      <c r="D316" s="37"/>
      <c r="E316" s="37"/>
      <c r="F316" s="37"/>
      <c r="G316" s="98"/>
      <c r="H316" s="98"/>
      <c r="I316" s="99"/>
      <c r="J316" s="98"/>
      <c r="K316" s="37"/>
      <c r="L316" s="37"/>
      <c r="M316" s="37"/>
      <c r="N316" s="37"/>
      <c r="O316" s="37"/>
      <c r="P316" s="37"/>
      <c r="Q316" s="37"/>
      <c r="R316" s="37"/>
      <c r="S316" s="37"/>
      <c r="T316" s="37"/>
      <c r="U316" s="3"/>
    </row>
    <row r="317" spans="1:21" ht="15.75" customHeight="1" x14ac:dyDescent="0.3">
      <c r="A317" s="3"/>
      <c r="B317" s="3"/>
      <c r="C317" s="37"/>
      <c r="D317" s="37"/>
      <c r="E317" s="37"/>
      <c r="F317" s="37"/>
      <c r="G317" s="98"/>
      <c r="H317" s="98"/>
      <c r="I317" s="99"/>
      <c r="J317" s="98"/>
      <c r="K317" s="37"/>
      <c r="L317" s="37"/>
      <c r="M317" s="37"/>
      <c r="N317" s="37"/>
      <c r="O317" s="37"/>
      <c r="P317" s="37"/>
      <c r="Q317" s="37"/>
      <c r="R317" s="37"/>
      <c r="S317" s="37"/>
      <c r="T317" s="37"/>
      <c r="U317" s="3"/>
    </row>
    <row r="318" spans="1:21" ht="15.75" customHeight="1" x14ac:dyDescent="0.3">
      <c r="A318" s="3"/>
      <c r="B318" s="3"/>
      <c r="C318" s="37"/>
      <c r="D318" s="37"/>
      <c r="E318" s="37"/>
      <c r="F318" s="37"/>
      <c r="G318" s="98"/>
      <c r="H318" s="98"/>
      <c r="I318" s="99"/>
      <c r="J318" s="98"/>
      <c r="K318" s="37"/>
      <c r="L318" s="37"/>
      <c r="M318" s="37"/>
      <c r="N318" s="37"/>
      <c r="O318" s="37"/>
      <c r="P318" s="37"/>
      <c r="Q318" s="37"/>
      <c r="R318" s="37"/>
      <c r="S318" s="37"/>
      <c r="T318" s="37"/>
      <c r="U318" s="3"/>
    </row>
    <row r="319" spans="1:21" ht="15.75" customHeight="1" x14ac:dyDescent="0.3">
      <c r="A319" s="3"/>
      <c r="B319" s="3"/>
      <c r="C319" s="37"/>
      <c r="D319" s="37"/>
      <c r="E319" s="37"/>
      <c r="F319" s="37"/>
      <c r="G319" s="98"/>
      <c r="H319" s="98"/>
      <c r="I319" s="99"/>
      <c r="J319" s="98"/>
      <c r="K319" s="37"/>
      <c r="L319" s="37"/>
      <c r="M319" s="37"/>
      <c r="N319" s="37"/>
      <c r="O319" s="37"/>
      <c r="P319" s="37"/>
      <c r="Q319" s="37"/>
      <c r="R319" s="37"/>
      <c r="S319" s="37"/>
      <c r="T319" s="37"/>
      <c r="U319" s="3"/>
    </row>
    <row r="320" spans="1:21" ht="15.75" customHeight="1" x14ac:dyDescent="0.3">
      <c r="A320" s="3"/>
      <c r="B320" s="3"/>
      <c r="C320" s="37"/>
      <c r="D320" s="37"/>
      <c r="E320" s="37"/>
      <c r="F320" s="37"/>
      <c r="G320" s="98"/>
      <c r="H320" s="98"/>
      <c r="I320" s="99"/>
      <c r="J320" s="98"/>
      <c r="K320" s="37"/>
      <c r="L320" s="37"/>
      <c r="M320" s="37"/>
      <c r="N320" s="37"/>
      <c r="O320" s="37"/>
      <c r="P320" s="37"/>
      <c r="Q320" s="37"/>
      <c r="R320" s="37"/>
      <c r="S320" s="37"/>
      <c r="T320" s="37"/>
      <c r="U320" s="3"/>
    </row>
    <row r="321" spans="1:21" ht="15.75" customHeight="1" x14ac:dyDescent="0.3">
      <c r="A321" s="3"/>
      <c r="B321" s="3"/>
      <c r="C321" s="37"/>
      <c r="D321" s="37"/>
      <c r="E321" s="37"/>
      <c r="F321" s="37"/>
      <c r="G321" s="98"/>
      <c r="H321" s="98"/>
      <c r="I321" s="99"/>
      <c r="J321" s="98"/>
      <c r="K321" s="37"/>
      <c r="L321" s="37"/>
      <c r="M321" s="37"/>
      <c r="N321" s="37"/>
      <c r="O321" s="37"/>
      <c r="P321" s="37"/>
      <c r="Q321" s="37"/>
      <c r="R321" s="37"/>
      <c r="S321" s="37"/>
      <c r="T321" s="37"/>
      <c r="U321" s="3"/>
    </row>
    <row r="322" spans="1:21" ht="15.75" customHeight="1" x14ac:dyDescent="0.3">
      <c r="A322" s="3"/>
      <c r="B322" s="3"/>
      <c r="C322" s="37"/>
      <c r="D322" s="37"/>
      <c r="E322" s="37"/>
      <c r="F322" s="37"/>
      <c r="G322" s="98"/>
      <c r="H322" s="98"/>
      <c r="I322" s="99"/>
      <c r="J322" s="98"/>
      <c r="K322" s="37"/>
      <c r="L322" s="37"/>
      <c r="M322" s="37"/>
      <c r="N322" s="37"/>
      <c r="O322" s="37"/>
      <c r="P322" s="37"/>
      <c r="Q322" s="37"/>
      <c r="R322" s="37"/>
      <c r="S322" s="37"/>
      <c r="T322" s="37"/>
      <c r="U322" s="3"/>
    </row>
    <row r="323" spans="1:21" ht="15.75" customHeight="1" x14ac:dyDescent="0.3">
      <c r="A323" s="3"/>
      <c r="B323" s="3"/>
      <c r="C323" s="37"/>
      <c r="D323" s="37"/>
      <c r="E323" s="37"/>
      <c r="F323" s="37"/>
      <c r="G323" s="98"/>
      <c r="H323" s="98"/>
      <c r="I323" s="99"/>
      <c r="J323" s="98"/>
      <c r="K323" s="37"/>
      <c r="L323" s="37"/>
      <c r="M323" s="37"/>
      <c r="N323" s="37"/>
      <c r="O323" s="37"/>
      <c r="P323" s="37"/>
      <c r="Q323" s="37"/>
      <c r="R323" s="37"/>
      <c r="S323" s="37"/>
      <c r="T323" s="37"/>
      <c r="U323" s="3"/>
    </row>
    <row r="324" spans="1:21" ht="15.75" customHeight="1" x14ac:dyDescent="0.3">
      <c r="A324" s="3"/>
      <c r="B324" s="3"/>
      <c r="C324" s="37"/>
      <c r="D324" s="37"/>
      <c r="E324" s="37"/>
      <c r="F324" s="37"/>
      <c r="G324" s="98"/>
      <c r="H324" s="98"/>
      <c r="I324" s="99"/>
      <c r="J324" s="98"/>
      <c r="K324" s="37"/>
      <c r="L324" s="37"/>
      <c r="M324" s="37"/>
      <c r="N324" s="37"/>
      <c r="O324" s="37"/>
      <c r="P324" s="37"/>
      <c r="Q324" s="37"/>
      <c r="R324" s="37"/>
      <c r="S324" s="37"/>
      <c r="T324" s="37"/>
      <c r="U324" s="3"/>
    </row>
    <row r="325" spans="1:21" ht="15.75" customHeight="1" x14ac:dyDescent="0.3">
      <c r="A325" s="3"/>
      <c r="B325" s="3"/>
      <c r="C325" s="37"/>
      <c r="D325" s="37"/>
      <c r="E325" s="37"/>
      <c r="F325" s="37"/>
      <c r="G325" s="98"/>
      <c r="H325" s="98"/>
      <c r="I325" s="99"/>
      <c r="J325" s="98"/>
      <c r="K325" s="37"/>
      <c r="L325" s="37"/>
      <c r="M325" s="37"/>
      <c r="N325" s="37"/>
      <c r="O325" s="37"/>
      <c r="P325" s="37"/>
      <c r="Q325" s="37"/>
      <c r="R325" s="37"/>
      <c r="S325" s="37"/>
      <c r="T325" s="37"/>
      <c r="U325" s="3"/>
    </row>
    <row r="326" spans="1:21" ht="15.75" customHeight="1" x14ac:dyDescent="0.3">
      <c r="A326" s="3"/>
      <c r="B326" s="3"/>
      <c r="C326" s="37"/>
      <c r="D326" s="37"/>
      <c r="E326" s="37"/>
      <c r="F326" s="37"/>
      <c r="G326" s="98"/>
      <c r="H326" s="98"/>
      <c r="I326" s="99"/>
      <c r="J326" s="98"/>
      <c r="K326" s="37"/>
      <c r="L326" s="37"/>
      <c r="M326" s="37"/>
      <c r="N326" s="37"/>
      <c r="O326" s="37"/>
      <c r="P326" s="37"/>
      <c r="Q326" s="37"/>
      <c r="R326" s="37"/>
      <c r="S326" s="37"/>
      <c r="T326" s="37"/>
      <c r="U326" s="3"/>
    </row>
    <row r="327" spans="1:21" ht="15.75" customHeight="1" x14ac:dyDescent="0.3">
      <c r="A327" s="3"/>
      <c r="B327" s="3"/>
      <c r="C327" s="37"/>
      <c r="D327" s="37"/>
      <c r="E327" s="37"/>
      <c r="F327" s="37"/>
      <c r="G327" s="98"/>
      <c r="H327" s="98"/>
      <c r="I327" s="99"/>
      <c r="J327" s="98"/>
      <c r="K327" s="37"/>
      <c r="L327" s="37"/>
      <c r="M327" s="37"/>
      <c r="N327" s="37"/>
      <c r="O327" s="37"/>
      <c r="P327" s="37"/>
      <c r="Q327" s="37"/>
      <c r="R327" s="37"/>
      <c r="S327" s="37"/>
      <c r="T327" s="37"/>
      <c r="U327" s="3"/>
    </row>
    <row r="328" spans="1:21" ht="15.75" customHeight="1" x14ac:dyDescent="0.3">
      <c r="A328" s="3"/>
      <c r="B328" s="3"/>
      <c r="C328" s="37"/>
      <c r="D328" s="37"/>
      <c r="E328" s="37"/>
      <c r="F328" s="37"/>
      <c r="G328" s="98"/>
      <c r="H328" s="98"/>
      <c r="I328" s="99"/>
      <c r="J328" s="98"/>
      <c r="K328" s="37"/>
      <c r="L328" s="37"/>
      <c r="M328" s="37"/>
      <c r="N328" s="37"/>
      <c r="O328" s="37"/>
      <c r="P328" s="37"/>
      <c r="Q328" s="37"/>
      <c r="R328" s="37"/>
      <c r="S328" s="37"/>
      <c r="T328" s="37"/>
      <c r="U328" s="3"/>
    </row>
    <row r="329" spans="1:21" ht="15.75" customHeight="1" x14ac:dyDescent="0.3">
      <c r="A329" s="3"/>
      <c r="B329" s="3"/>
      <c r="C329" s="37"/>
      <c r="D329" s="37"/>
      <c r="E329" s="37"/>
      <c r="F329" s="37"/>
      <c r="G329" s="98"/>
      <c r="H329" s="98"/>
      <c r="I329" s="99"/>
      <c r="J329" s="98"/>
      <c r="K329" s="37"/>
      <c r="L329" s="37"/>
      <c r="M329" s="37"/>
      <c r="N329" s="37"/>
      <c r="O329" s="37"/>
      <c r="P329" s="37"/>
      <c r="Q329" s="37"/>
      <c r="R329" s="37"/>
      <c r="S329" s="37"/>
      <c r="T329" s="37"/>
      <c r="U329" s="3"/>
    </row>
    <row r="330" spans="1:21" ht="15.75" customHeight="1" x14ac:dyDescent="0.3">
      <c r="A330" s="3"/>
      <c r="B330" s="3"/>
      <c r="C330" s="37"/>
      <c r="D330" s="37"/>
      <c r="E330" s="37"/>
      <c r="F330" s="37"/>
      <c r="G330" s="98"/>
      <c r="H330" s="98"/>
      <c r="I330" s="99"/>
      <c r="J330" s="98"/>
      <c r="K330" s="37"/>
      <c r="L330" s="37"/>
      <c r="M330" s="37"/>
      <c r="N330" s="37"/>
      <c r="O330" s="37"/>
      <c r="P330" s="37"/>
      <c r="Q330" s="37"/>
      <c r="R330" s="37"/>
      <c r="S330" s="37"/>
      <c r="T330" s="37"/>
      <c r="U330" s="3"/>
    </row>
    <row r="331" spans="1:21" ht="15.75" customHeight="1" x14ac:dyDescent="0.3">
      <c r="A331" s="3"/>
      <c r="B331" s="3"/>
      <c r="C331" s="37"/>
      <c r="D331" s="37"/>
      <c r="E331" s="37"/>
      <c r="F331" s="37"/>
      <c r="G331" s="98"/>
      <c r="H331" s="98"/>
      <c r="I331" s="99"/>
      <c r="J331" s="98"/>
      <c r="K331" s="37"/>
      <c r="L331" s="37"/>
      <c r="M331" s="37"/>
      <c r="N331" s="37"/>
      <c r="O331" s="37"/>
      <c r="P331" s="37"/>
      <c r="Q331" s="37"/>
      <c r="R331" s="37"/>
      <c r="S331" s="37"/>
      <c r="T331" s="37"/>
      <c r="U331" s="3"/>
    </row>
    <row r="332" spans="1:21" ht="15.75" customHeight="1" x14ac:dyDescent="0.3">
      <c r="A332" s="3"/>
      <c r="B332" s="3"/>
      <c r="C332" s="37"/>
      <c r="D332" s="37"/>
      <c r="E332" s="37"/>
      <c r="F332" s="37"/>
      <c r="G332" s="98"/>
      <c r="H332" s="98"/>
      <c r="I332" s="99"/>
      <c r="J332" s="98"/>
      <c r="K332" s="37"/>
      <c r="L332" s="37"/>
      <c r="M332" s="37"/>
      <c r="N332" s="37"/>
      <c r="O332" s="37"/>
      <c r="P332" s="37"/>
      <c r="Q332" s="37"/>
      <c r="R332" s="37"/>
      <c r="S332" s="37"/>
      <c r="T332" s="37"/>
      <c r="U332" s="3"/>
    </row>
    <row r="333" spans="1:21" ht="15.75" customHeight="1" x14ac:dyDescent="0.3">
      <c r="A333" s="3"/>
      <c r="B333" s="3"/>
      <c r="C333" s="37"/>
      <c r="D333" s="37"/>
      <c r="E333" s="37"/>
      <c r="F333" s="37"/>
      <c r="G333" s="98"/>
      <c r="H333" s="98"/>
      <c r="I333" s="99"/>
      <c r="J333" s="98"/>
      <c r="K333" s="37"/>
      <c r="L333" s="37"/>
      <c r="M333" s="37"/>
      <c r="N333" s="37"/>
      <c r="O333" s="37"/>
      <c r="P333" s="37"/>
      <c r="Q333" s="37"/>
      <c r="R333" s="37"/>
      <c r="S333" s="37"/>
      <c r="T333" s="37"/>
      <c r="U333" s="3"/>
    </row>
    <row r="334" spans="1:21" ht="15.75" customHeight="1" x14ac:dyDescent="0.3">
      <c r="A334" s="3"/>
      <c r="B334" s="3"/>
      <c r="C334" s="37"/>
      <c r="D334" s="37"/>
      <c r="E334" s="37"/>
      <c r="F334" s="37"/>
      <c r="G334" s="98"/>
      <c r="H334" s="98"/>
      <c r="I334" s="99"/>
      <c r="J334" s="98"/>
      <c r="K334" s="37"/>
      <c r="L334" s="37"/>
      <c r="M334" s="37"/>
      <c r="N334" s="37"/>
      <c r="O334" s="37"/>
      <c r="P334" s="37"/>
      <c r="Q334" s="37"/>
      <c r="R334" s="37"/>
      <c r="S334" s="37"/>
      <c r="T334" s="37"/>
      <c r="U334" s="3"/>
    </row>
    <row r="335" spans="1:21" ht="15.75" customHeight="1" x14ac:dyDescent="0.3">
      <c r="A335" s="3"/>
      <c r="B335" s="3"/>
      <c r="C335" s="37"/>
      <c r="D335" s="37"/>
      <c r="E335" s="37"/>
      <c r="F335" s="37"/>
      <c r="G335" s="98"/>
      <c r="H335" s="98"/>
      <c r="I335" s="99"/>
      <c r="J335" s="98"/>
      <c r="K335" s="37"/>
      <c r="L335" s="37"/>
      <c r="M335" s="37"/>
      <c r="N335" s="37"/>
      <c r="O335" s="37"/>
      <c r="P335" s="37"/>
      <c r="Q335" s="37"/>
      <c r="R335" s="37"/>
      <c r="S335" s="37"/>
      <c r="T335" s="37"/>
      <c r="U335" s="3"/>
    </row>
    <row r="336" spans="1:21" ht="15.75" customHeight="1" x14ac:dyDescent="0.3">
      <c r="A336" s="3"/>
      <c r="B336" s="3"/>
      <c r="C336" s="37"/>
      <c r="D336" s="37"/>
      <c r="E336" s="37"/>
      <c r="F336" s="37"/>
      <c r="G336" s="98"/>
      <c r="H336" s="98"/>
      <c r="I336" s="99"/>
      <c r="J336" s="98"/>
      <c r="K336" s="37"/>
      <c r="L336" s="37"/>
      <c r="M336" s="37"/>
      <c r="N336" s="37"/>
      <c r="O336" s="37"/>
      <c r="P336" s="37"/>
      <c r="Q336" s="37"/>
      <c r="R336" s="37"/>
      <c r="S336" s="37"/>
      <c r="T336" s="37"/>
      <c r="U336" s="3"/>
    </row>
    <row r="337" spans="1:21" ht="15.75" customHeight="1" x14ac:dyDescent="0.3">
      <c r="A337" s="3"/>
      <c r="B337" s="3"/>
      <c r="C337" s="37"/>
      <c r="D337" s="37"/>
      <c r="E337" s="37"/>
      <c r="F337" s="37"/>
      <c r="G337" s="98"/>
      <c r="H337" s="98"/>
      <c r="I337" s="99"/>
      <c r="J337" s="98"/>
      <c r="K337" s="37"/>
      <c r="L337" s="37"/>
      <c r="M337" s="37"/>
      <c r="N337" s="37"/>
      <c r="O337" s="37"/>
      <c r="P337" s="37"/>
      <c r="Q337" s="37"/>
      <c r="R337" s="37"/>
      <c r="S337" s="37"/>
      <c r="T337" s="37"/>
      <c r="U337" s="3"/>
    </row>
    <row r="338" spans="1:21" ht="15.75" customHeight="1" x14ac:dyDescent="0.3">
      <c r="A338" s="3"/>
      <c r="B338" s="3"/>
      <c r="C338" s="37"/>
      <c r="D338" s="37"/>
      <c r="E338" s="37"/>
      <c r="F338" s="37"/>
      <c r="G338" s="98"/>
      <c r="H338" s="98"/>
      <c r="I338" s="99"/>
      <c r="J338" s="98"/>
      <c r="K338" s="37"/>
      <c r="L338" s="37"/>
      <c r="M338" s="37"/>
      <c r="N338" s="37"/>
      <c r="O338" s="37"/>
      <c r="P338" s="37"/>
      <c r="Q338" s="37"/>
      <c r="R338" s="37"/>
      <c r="S338" s="37"/>
      <c r="T338" s="37"/>
      <c r="U338" s="3"/>
    </row>
    <row r="339" spans="1:21" ht="15.75" customHeight="1" x14ac:dyDescent="0.3">
      <c r="A339" s="3"/>
      <c r="B339" s="3"/>
      <c r="C339" s="37"/>
      <c r="D339" s="37"/>
      <c r="E339" s="37"/>
      <c r="F339" s="37"/>
      <c r="G339" s="98"/>
      <c r="H339" s="98"/>
      <c r="I339" s="99"/>
      <c r="J339" s="98"/>
      <c r="K339" s="37"/>
      <c r="L339" s="37"/>
      <c r="M339" s="37"/>
      <c r="N339" s="37"/>
      <c r="O339" s="37"/>
      <c r="P339" s="37"/>
      <c r="Q339" s="37"/>
      <c r="R339" s="37"/>
      <c r="S339" s="37"/>
      <c r="T339" s="37"/>
      <c r="U339" s="3"/>
    </row>
    <row r="340" spans="1:21" ht="15.75" customHeight="1" x14ac:dyDescent="0.3">
      <c r="A340" s="3"/>
      <c r="B340" s="3"/>
      <c r="C340" s="37"/>
      <c r="D340" s="37"/>
      <c r="E340" s="37"/>
      <c r="F340" s="37"/>
      <c r="G340" s="98"/>
      <c r="H340" s="98"/>
      <c r="I340" s="99"/>
      <c r="J340" s="98"/>
      <c r="K340" s="37"/>
      <c r="L340" s="37"/>
      <c r="M340" s="37"/>
      <c r="N340" s="37"/>
      <c r="O340" s="37"/>
      <c r="P340" s="37"/>
      <c r="Q340" s="37"/>
      <c r="R340" s="37"/>
      <c r="S340" s="37"/>
      <c r="T340" s="37"/>
      <c r="U340" s="3"/>
    </row>
    <row r="341" spans="1:21" ht="15.75" customHeight="1" x14ac:dyDescent="0.3">
      <c r="A341" s="3"/>
      <c r="B341" s="3"/>
      <c r="C341" s="37"/>
      <c r="D341" s="37"/>
      <c r="E341" s="37"/>
      <c r="F341" s="37"/>
      <c r="G341" s="98"/>
      <c r="H341" s="98"/>
      <c r="I341" s="99"/>
      <c r="J341" s="98"/>
      <c r="K341" s="37"/>
      <c r="L341" s="37"/>
      <c r="M341" s="37"/>
      <c r="N341" s="37"/>
      <c r="O341" s="37"/>
      <c r="P341" s="37"/>
      <c r="Q341" s="37"/>
      <c r="R341" s="37"/>
      <c r="S341" s="37"/>
      <c r="T341" s="37"/>
      <c r="U341" s="3"/>
    </row>
    <row r="342" spans="1:21" ht="15.75" customHeight="1" x14ac:dyDescent="0.3">
      <c r="A342" s="3"/>
      <c r="B342" s="3"/>
      <c r="C342" s="37"/>
      <c r="D342" s="37"/>
      <c r="E342" s="37"/>
      <c r="F342" s="37"/>
      <c r="G342" s="98"/>
      <c r="H342" s="98"/>
      <c r="I342" s="99"/>
      <c r="J342" s="98"/>
      <c r="K342" s="37"/>
      <c r="L342" s="37"/>
      <c r="M342" s="37"/>
      <c r="N342" s="37"/>
      <c r="O342" s="37"/>
      <c r="P342" s="37"/>
      <c r="Q342" s="37"/>
      <c r="R342" s="37"/>
      <c r="S342" s="37"/>
      <c r="T342" s="37"/>
      <c r="U342" s="3"/>
    </row>
    <row r="343" spans="1:21" ht="15.75" customHeight="1" x14ac:dyDescent="0.3">
      <c r="A343" s="3"/>
      <c r="B343" s="3"/>
      <c r="C343" s="37"/>
      <c r="D343" s="37"/>
      <c r="E343" s="37"/>
      <c r="F343" s="37"/>
      <c r="G343" s="98"/>
      <c r="H343" s="98"/>
      <c r="I343" s="99"/>
      <c r="J343" s="98"/>
      <c r="K343" s="37"/>
      <c r="L343" s="37"/>
      <c r="M343" s="37"/>
      <c r="N343" s="37"/>
      <c r="O343" s="37"/>
      <c r="P343" s="37"/>
      <c r="Q343" s="37"/>
      <c r="R343" s="37"/>
      <c r="S343" s="37"/>
      <c r="T343" s="37"/>
      <c r="U343" s="3"/>
    </row>
    <row r="344" spans="1:21" ht="15.75" customHeight="1" x14ac:dyDescent="0.3">
      <c r="A344" s="3"/>
      <c r="B344" s="3"/>
      <c r="C344" s="37"/>
      <c r="D344" s="37"/>
      <c r="E344" s="37"/>
      <c r="F344" s="37"/>
      <c r="G344" s="98"/>
      <c r="H344" s="98"/>
      <c r="I344" s="99"/>
      <c r="J344" s="98"/>
      <c r="K344" s="37"/>
      <c r="L344" s="37"/>
      <c r="M344" s="37"/>
      <c r="N344" s="37"/>
      <c r="O344" s="37"/>
      <c r="P344" s="37"/>
      <c r="Q344" s="37"/>
      <c r="R344" s="37"/>
      <c r="S344" s="37"/>
      <c r="T344" s="37"/>
      <c r="U344" s="3"/>
    </row>
    <row r="345" spans="1:21" ht="15.75" customHeight="1" x14ac:dyDescent="0.3">
      <c r="A345" s="3"/>
      <c r="B345" s="3"/>
      <c r="C345" s="37"/>
      <c r="D345" s="37"/>
      <c r="E345" s="37"/>
      <c r="F345" s="37"/>
      <c r="G345" s="98"/>
      <c r="H345" s="98"/>
      <c r="I345" s="99"/>
      <c r="J345" s="98"/>
      <c r="K345" s="37"/>
      <c r="L345" s="37"/>
      <c r="M345" s="37"/>
      <c r="N345" s="37"/>
      <c r="O345" s="37"/>
      <c r="P345" s="37"/>
      <c r="Q345" s="37"/>
      <c r="R345" s="37"/>
      <c r="S345" s="37"/>
      <c r="T345" s="37"/>
      <c r="U345" s="3"/>
    </row>
    <row r="346" spans="1:21" ht="15.75" customHeight="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1" ht="15.7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1" ht="15.7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1" ht="15.7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1" ht="15.7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1" ht="15.7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1" ht="15.7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5.7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5.7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5.7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5.7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5.7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5.7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5.7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5.7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5.7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5.7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5.7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5.7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5.7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5.7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5.7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5.7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5.7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5.7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5.7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5.7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5.7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5.7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5.7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5.7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5.7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5.7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5.7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5.7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5.7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5.7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5.7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5.7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5.7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5.7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5.7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5.7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5.7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5.7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5.7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5.7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5.7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5.7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5.7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5.7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5.7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5.7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5.7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5.7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5.7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5.7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5.7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5.7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5.7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5.7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5.7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5.7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5.7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5.7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5.7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5.7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5.7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5.7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5.7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5.7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5.7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5.7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5.7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5.7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5.7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5.7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5.7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5.7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5.7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5.7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5.7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5.7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5.7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5.7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5.7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5.7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5.7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5.7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5.7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5.7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5.7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5.7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5.7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5.7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5.7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5.7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5.7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5.7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5.7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5.7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5.7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5.7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5.7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5.7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5.7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5.7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5.7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5.7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5.7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5.7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5.7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5.7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5.7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5.7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5.7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5.7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5.7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5.7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5.7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5.7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5.7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5.7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5.7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5.7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5.7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5.7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5.7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5.7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5.7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5.7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5.7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5.7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5.7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5.7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5.7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5.7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5.75" customHeight="1" x14ac:dyDescent="0.3"/>
    <row r="484" spans="1:21" ht="15.75" customHeight="1" x14ac:dyDescent="0.3"/>
    <row r="485" spans="1:21" ht="15.75" customHeight="1" x14ac:dyDescent="0.3"/>
    <row r="486" spans="1:21" ht="15.75" customHeight="1" x14ac:dyDescent="0.3"/>
    <row r="487" spans="1:21" ht="15.75" customHeight="1" x14ac:dyDescent="0.3"/>
    <row r="488" spans="1:21" ht="15.75" customHeight="1" x14ac:dyDescent="0.3"/>
    <row r="489" spans="1:21" ht="15.75" customHeight="1" x14ac:dyDescent="0.3"/>
    <row r="490" spans="1:21" ht="15.75" customHeight="1" x14ac:dyDescent="0.3"/>
    <row r="491" spans="1:21" ht="15.75" customHeight="1" x14ac:dyDescent="0.3"/>
    <row r="492" spans="1:21" ht="15.75" customHeight="1" x14ac:dyDescent="0.3"/>
    <row r="493" spans="1:21" ht="15.75" customHeight="1" x14ac:dyDescent="0.3"/>
    <row r="494" spans="1:21" ht="15.75" customHeight="1" x14ac:dyDescent="0.3"/>
    <row r="495" spans="1:21" ht="15.75" customHeight="1" x14ac:dyDescent="0.3"/>
    <row r="496" spans="1:21"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282" xr:uid="{00000000-0009-0000-0000-000008000000}"/>
  <mergeCells count="11">
    <mergeCell ref="J4:J5"/>
    <mergeCell ref="I17:I21"/>
    <mergeCell ref="B284:J285"/>
    <mergeCell ref="G17:G21"/>
    <mergeCell ref="G22:G28"/>
    <mergeCell ref="I22:I28"/>
    <mergeCell ref="B2:B3"/>
    <mergeCell ref="C2:F3"/>
    <mergeCell ref="B4:B5"/>
    <mergeCell ref="H4:H5"/>
    <mergeCell ref="I4:I5"/>
  </mergeCells>
  <dataValidations count="1">
    <dataValidation type="list" allowBlank="1" showErrorMessage="1" sqref="D7:D37 D39:D62 D64:D124 D126:D134 D137:D141 D143:D147 D149:D153 D155:D159 D161:D165 D167:D221 D224:D232 D234:D242 D244:D260 D262:D270 D272:D282" xr:uid="{00000000-0002-0000-0800-000000000000}">
      <formula1>"OK,Parcial,Pendente"</formula1>
    </dataValidation>
  </dataValidations>
  <hyperlinks>
    <hyperlink ref="I7" r:id="rId1" xr:uid="{00000000-0004-0000-0800-000000000000}"/>
    <hyperlink ref="I9" r:id="rId2" xr:uid="{00000000-0004-0000-0800-000001000000}"/>
    <hyperlink ref="I10" r:id="rId3" xr:uid="{00000000-0004-0000-0800-000002000000}"/>
    <hyperlink ref="I11" r:id="rId4" xr:uid="{00000000-0004-0000-0800-000003000000}"/>
    <hyperlink ref="I12" r:id="rId5" xr:uid="{00000000-0004-0000-0800-000004000000}"/>
    <hyperlink ref="I14" r:id="rId6" xr:uid="{00000000-0004-0000-0800-000005000000}"/>
    <hyperlink ref="I17" r:id="rId7" xr:uid="{00000000-0004-0000-0800-000006000000}"/>
    <hyperlink ref="I22" r:id="rId8" xr:uid="{00000000-0004-0000-0800-000007000000}"/>
    <hyperlink ref="I29" r:id="rId9" xr:uid="{00000000-0004-0000-0800-000008000000}"/>
    <hyperlink ref="I30" r:id="rId10" xr:uid="{00000000-0004-0000-0800-000009000000}"/>
    <hyperlink ref="I32" r:id="rId11" xr:uid="{00000000-0004-0000-0800-00000A000000}"/>
    <hyperlink ref="I35" r:id="rId12" xr:uid="{00000000-0004-0000-0800-00000B000000}"/>
    <hyperlink ref="I39" r:id="rId13" xr:uid="{00000000-0004-0000-0800-00000C000000}"/>
    <hyperlink ref="I40" r:id="rId14" xr:uid="{00000000-0004-0000-0800-00000D000000}"/>
    <hyperlink ref="I41" r:id="rId15" xr:uid="{00000000-0004-0000-0800-00000E000000}"/>
    <hyperlink ref="I43" r:id="rId16" xr:uid="{00000000-0004-0000-0800-00000F000000}"/>
    <hyperlink ref="I44" r:id="rId17" xr:uid="{00000000-0004-0000-0800-000010000000}"/>
    <hyperlink ref="I45" r:id="rId18" xr:uid="{00000000-0004-0000-0800-000011000000}"/>
    <hyperlink ref="I46" r:id="rId19" xr:uid="{00000000-0004-0000-0800-000012000000}"/>
    <hyperlink ref="I47" r:id="rId20" xr:uid="{00000000-0004-0000-0800-000013000000}"/>
    <hyperlink ref="I64" r:id="rId21" xr:uid="{00000000-0004-0000-0800-000014000000}"/>
    <hyperlink ref="I65" r:id="rId22" xr:uid="{00000000-0004-0000-0800-000015000000}"/>
    <hyperlink ref="I66" r:id="rId23" xr:uid="{00000000-0004-0000-0800-000016000000}"/>
    <hyperlink ref="I67" r:id="rId24" xr:uid="{00000000-0004-0000-0800-000017000000}"/>
    <hyperlink ref="I68" r:id="rId25" xr:uid="{00000000-0004-0000-0800-000018000000}"/>
    <hyperlink ref="I69" r:id="rId26" xr:uid="{00000000-0004-0000-0800-000019000000}"/>
    <hyperlink ref="I70" r:id="rId27" xr:uid="{00000000-0004-0000-0800-00001A000000}"/>
    <hyperlink ref="I71" r:id="rId28" xr:uid="{00000000-0004-0000-0800-00001B000000}"/>
    <hyperlink ref="I72" r:id="rId29" xr:uid="{00000000-0004-0000-0800-00001C000000}"/>
    <hyperlink ref="I73" r:id="rId30" xr:uid="{00000000-0004-0000-0800-00001D000000}"/>
    <hyperlink ref="I74" r:id="rId31" xr:uid="{00000000-0004-0000-0800-00001E000000}"/>
    <hyperlink ref="I75" r:id="rId32" xr:uid="{00000000-0004-0000-0800-00001F000000}"/>
    <hyperlink ref="I76" r:id="rId33" xr:uid="{00000000-0004-0000-0800-000020000000}"/>
    <hyperlink ref="I77" r:id="rId34" xr:uid="{00000000-0004-0000-0800-000021000000}"/>
    <hyperlink ref="I80" r:id="rId35" xr:uid="{00000000-0004-0000-0800-000022000000}"/>
    <hyperlink ref="I81" r:id="rId36" xr:uid="{00000000-0004-0000-0800-000023000000}"/>
    <hyperlink ref="I82" r:id="rId37" xr:uid="{00000000-0004-0000-0800-000024000000}"/>
    <hyperlink ref="I83" r:id="rId38" xr:uid="{00000000-0004-0000-0800-000025000000}"/>
    <hyperlink ref="I84" r:id="rId39" xr:uid="{00000000-0004-0000-0800-000026000000}"/>
    <hyperlink ref="I85" r:id="rId40" xr:uid="{00000000-0004-0000-0800-000027000000}"/>
    <hyperlink ref="I87" r:id="rId41" xr:uid="{00000000-0004-0000-0800-000028000000}"/>
    <hyperlink ref="I88" r:id="rId42" xr:uid="{00000000-0004-0000-0800-000029000000}"/>
    <hyperlink ref="I116" r:id="rId43" xr:uid="{00000000-0004-0000-0800-00002A000000}"/>
    <hyperlink ref="I117" r:id="rId44" xr:uid="{00000000-0004-0000-0800-00002B000000}"/>
    <hyperlink ref="I118" r:id="rId45" xr:uid="{00000000-0004-0000-0800-00002C000000}"/>
    <hyperlink ref="I119" r:id="rId46" xr:uid="{00000000-0004-0000-0800-00002D000000}"/>
    <hyperlink ref="I120" r:id="rId47" xr:uid="{00000000-0004-0000-0800-00002E000000}"/>
    <hyperlink ref="I137" r:id="rId48" xr:uid="{00000000-0004-0000-0800-00002F000000}"/>
    <hyperlink ref="I138" r:id="rId49" xr:uid="{00000000-0004-0000-0800-000030000000}"/>
    <hyperlink ref="I193" r:id="rId50" xr:uid="{00000000-0004-0000-0800-000031000000}"/>
    <hyperlink ref="I203" r:id="rId51" xr:uid="{00000000-0004-0000-0800-000032000000}"/>
    <hyperlink ref="I204" r:id="rId52" xr:uid="{00000000-0004-0000-0800-000033000000}"/>
    <hyperlink ref="I224" r:id="rId53" xr:uid="{00000000-0004-0000-0800-000034000000}"/>
    <hyperlink ref="I244" r:id="rId54" xr:uid="{00000000-0004-0000-0800-000035000000}"/>
    <hyperlink ref="I245" r:id="rId55" xr:uid="{00000000-0004-0000-0800-000036000000}"/>
    <hyperlink ref="I246" r:id="rId56" xr:uid="{00000000-0004-0000-0800-000037000000}"/>
    <hyperlink ref="I247" r:id="rId57" xr:uid="{00000000-0004-0000-0800-000038000000}"/>
    <hyperlink ref="I248" r:id="rId58" xr:uid="{00000000-0004-0000-0800-000039000000}"/>
    <hyperlink ref="I249" r:id="rId59" xr:uid="{00000000-0004-0000-0800-00003A000000}"/>
    <hyperlink ref="I250" r:id="rId60" xr:uid="{00000000-0004-0000-0800-00003B000000}"/>
    <hyperlink ref="I251" r:id="rId61" xr:uid="{00000000-0004-0000-0800-00003C000000}"/>
    <hyperlink ref="I252" r:id="rId62" xr:uid="{00000000-0004-0000-0800-00003D000000}"/>
    <hyperlink ref="I253" r:id="rId63" xr:uid="{00000000-0004-0000-0800-00003E000000}"/>
    <hyperlink ref="I254" r:id="rId64" xr:uid="{00000000-0004-0000-0800-00003F000000}"/>
    <hyperlink ref="I255" r:id="rId65" xr:uid="{00000000-0004-0000-0800-000040000000}"/>
    <hyperlink ref="I256" r:id="rId66" xr:uid="{00000000-0004-0000-0800-000041000000}"/>
    <hyperlink ref="I257" r:id="rId67" xr:uid="{00000000-0004-0000-0800-000042000000}"/>
    <hyperlink ref="I258" r:id="rId68" xr:uid="{00000000-0004-0000-0800-000043000000}"/>
    <hyperlink ref="I259" r:id="rId69" xr:uid="{00000000-0004-0000-0800-000044000000}"/>
    <hyperlink ref="I260" r:id="rId70" xr:uid="{00000000-0004-0000-0800-000045000000}"/>
    <hyperlink ref="I262" r:id="rId71" xr:uid="{00000000-0004-0000-0800-000046000000}"/>
    <hyperlink ref="I263" r:id="rId72" xr:uid="{00000000-0004-0000-0800-000047000000}"/>
    <hyperlink ref="I264" r:id="rId73" xr:uid="{00000000-0004-0000-0800-000048000000}"/>
    <hyperlink ref="I273" r:id="rId74" xr:uid="{00000000-0004-0000-0800-000049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800-000001000000}">
          <x14:formula1>
            <xm:f>'Plano de contas DG'!$C$43:$C$145</xm:f>
          </x14:formula1>
          <xm:sqref>J204</xm:sqref>
        </x14:dataValidation>
        <x14:dataValidation type="list" allowBlank="1" showErrorMessage="1" xr:uid="{00000000-0002-0000-0800-000002000000}">
          <x14:formula1>
            <xm:f>'Plano de contas DG'!$C$5:$C$145</xm:f>
          </x14:formula1>
          <xm:sqref>J6:J203 J205:J282</xm:sqref>
        </x14:dataValidation>
        <x14:dataValidation type="list" allowBlank="1" showErrorMessage="1" xr:uid="{00000000-0002-0000-0800-000003000000}">
          <x14:formula1>
            <xm:f>Caixa!$B$5:$B$7</xm:f>
          </x14:formula1>
          <xm:sqref>H7:H37 H39:H62 H64:H124 H126:H134 H137:H141 H143:H147 H149:H153 H155:H159 H161:H165 H167:H221 H224:H232 H234:H242 H244:H260 H262:H270 H272:H282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customWidth="1"/>
    <col min="10" max="21" width="14.109375" customWidth="1"/>
    <col min="22" max="22" width="34" customWidth="1"/>
    <col min="23" max="23" width="9" customWidth="1"/>
    <col min="24" max="24" width="12.6640625" customWidth="1"/>
    <col min="25" max="26" width="8.6640625" customWidth="1"/>
  </cols>
  <sheetData>
    <row r="1" spans="1:26" ht="14.4"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SUM(E6,E127,E147,E169,E173)</f>
        <v>16476.430000000004</v>
      </c>
      <c r="F4" s="26">
        <f t="shared" si="0"/>
        <v>22658.549999999996</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SUM(E7:E126)</f>
        <v>16476.430000000004</v>
      </c>
      <c r="F6" s="57">
        <f>SUMIF(D7:D126,"OK",F7:F126)+SUMIF(D7:D126,"Parcial",F7:F126)</f>
        <v>15875.149999999998</v>
      </c>
      <c r="G6" s="118" t="s">
        <v>43</v>
      </c>
      <c r="H6" s="59"/>
      <c r="I6" s="59"/>
      <c r="J6" s="60">
        <f>(COUNTIF(D7:D126,"Pendente")+COUNTIF(D7:D126,"Parcial"))/COUNTA(B7:B126)</f>
        <v>6.25E-2</v>
      </c>
      <c r="K6" s="60">
        <f>IFERROR(-(X6/E6),"Pendente info")</f>
        <v>0.14081812625671941</v>
      </c>
      <c r="L6" s="100">
        <f>SUM(L7:L105)/COUNTA(B7:B105)</f>
        <v>0.11458333333333333</v>
      </c>
      <c r="M6" s="57">
        <f t="shared" ref="M6:U6" si="1">SUMIF($D$7:$D$126,"OK",M7:M126)+SUMIF($D$7:$D$126,"Parcial",M7:M126)</f>
        <v>8734.3000000000029</v>
      </c>
      <c r="N6" s="57">
        <f t="shared" si="1"/>
        <v>2137.5899999999997</v>
      </c>
      <c r="O6" s="57">
        <f t="shared" si="1"/>
        <v>1044</v>
      </c>
      <c r="P6" s="57">
        <f t="shared" si="1"/>
        <v>223.25999999999996</v>
      </c>
      <c r="Q6" s="57">
        <f t="shared" si="1"/>
        <v>215</v>
      </c>
      <c r="R6" s="57">
        <f t="shared" si="1"/>
        <v>260</v>
      </c>
      <c r="S6" s="57">
        <f t="shared" si="1"/>
        <v>297</v>
      </c>
      <c r="T6" s="57">
        <f t="shared" si="1"/>
        <v>610</v>
      </c>
      <c r="U6" s="57">
        <f t="shared" si="1"/>
        <v>2354</v>
      </c>
      <c r="V6" s="56" t="s">
        <v>43</v>
      </c>
      <c r="W6" s="44" t="str">
        <f t="shared" ref="W6:W126" si="2">IF(F6=SUM(M6:U6),"OK","Diferente")</f>
        <v>OK</v>
      </c>
      <c r="X6" s="47">
        <f>SUM(X7:X126)</f>
        <v>-2320.1799999999998</v>
      </c>
      <c r="Z6" s="3"/>
    </row>
    <row r="7" spans="1:26" ht="14.4" hidden="1" outlineLevel="1" x14ac:dyDescent="0.3">
      <c r="A7" s="3"/>
      <c r="B7" s="61" t="s">
        <v>422</v>
      </c>
      <c r="C7" s="62"/>
      <c r="D7" s="62" t="s">
        <v>94</v>
      </c>
      <c r="E7" s="12">
        <v>0</v>
      </c>
      <c r="F7" s="101"/>
      <c r="G7" s="250"/>
      <c r="H7" s="103"/>
      <c r="I7" s="63"/>
      <c r="J7" s="64"/>
      <c r="K7" s="62"/>
      <c r="L7" s="62" t="str">
        <f t="shared" ref="L7:L125" si="3">IF(C7&gt;=13,1,"")</f>
        <v/>
      </c>
      <c r="M7" s="12"/>
      <c r="N7" s="12"/>
      <c r="O7" s="12"/>
      <c r="P7" s="12"/>
      <c r="Q7" s="12"/>
      <c r="R7" s="12"/>
      <c r="S7" s="12"/>
      <c r="T7" s="12"/>
      <c r="U7" s="12"/>
      <c r="V7" s="65"/>
      <c r="W7" s="44" t="str">
        <f t="shared" si="2"/>
        <v>OK</v>
      </c>
      <c r="X7" s="47" t="str">
        <f t="shared" ref="X7:X126" si="4">IF(W7="Diferente",F7-SUM(M7:U7),"")</f>
        <v/>
      </c>
      <c r="Y7" s="3"/>
      <c r="Z7" s="3"/>
    </row>
    <row r="8" spans="1:26" ht="14.4" hidden="1" outlineLevel="1" x14ac:dyDescent="0.3">
      <c r="A8" s="3"/>
      <c r="B8" s="61" t="s">
        <v>424</v>
      </c>
      <c r="C8" s="62"/>
      <c r="D8" s="62" t="s">
        <v>94</v>
      </c>
      <c r="E8" s="12">
        <v>0</v>
      </c>
      <c r="F8" s="101"/>
      <c r="G8" s="251"/>
      <c r="H8" s="103"/>
      <c r="I8" s="63"/>
      <c r="J8" s="64"/>
      <c r="K8" s="62"/>
      <c r="L8" s="62" t="str">
        <f t="shared" si="3"/>
        <v/>
      </c>
      <c r="M8" s="12"/>
      <c r="N8" s="12"/>
      <c r="O8" s="12"/>
      <c r="P8" s="12"/>
      <c r="Q8" s="12"/>
      <c r="R8" s="12"/>
      <c r="S8" s="12"/>
      <c r="T8" s="12"/>
      <c r="U8" s="12"/>
      <c r="V8" s="65"/>
      <c r="W8" s="44" t="str">
        <f t="shared" si="2"/>
        <v>OK</v>
      </c>
      <c r="X8" s="47" t="str">
        <f t="shared" si="4"/>
        <v/>
      </c>
      <c r="Y8" s="3"/>
      <c r="Z8" s="3"/>
    </row>
    <row r="9" spans="1:26" ht="14.4" hidden="1" outlineLevel="1" x14ac:dyDescent="0.3">
      <c r="A9" s="3"/>
      <c r="B9" s="61" t="s">
        <v>425</v>
      </c>
      <c r="C9" s="62"/>
      <c r="D9" s="62" t="s">
        <v>94</v>
      </c>
      <c r="E9" s="12">
        <v>0</v>
      </c>
      <c r="F9" s="101"/>
      <c r="G9" s="251"/>
      <c r="H9" s="103"/>
      <c r="I9" s="63"/>
      <c r="J9" s="64"/>
      <c r="K9" s="62"/>
      <c r="L9" s="62" t="str">
        <f t="shared" si="3"/>
        <v/>
      </c>
      <c r="M9" s="12"/>
      <c r="N9" s="12"/>
      <c r="O9" s="12"/>
      <c r="P9" s="12"/>
      <c r="Q9" s="12"/>
      <c r="R9" s="12"/>
      <c r="S9" s="12"/>
      <c r="T9" s="12"/>
      <c r="U9" s="12"/>
      <c r="V9" s="65"/>
      <c r="W9" s="44" t="str">
        <f t="shared" si="2"/>
        <v>OK</v>
      </c>
      <c r="X9" s="47" t="str">
        <f t="shared" si="4"/>
        <v/>
      </c>
      <c r="Y9" s="3"/>
      <c r="Z9" s="3"/>
    </row>
    <row r="10" spans="1:26" ht="14.4" hidden="1" outlineLevel="1" x14ac:dyDescent="0.3">
      <c r="A10" s="3"/>
      <c r="B10" s="61" t="s">
        <v>426</v>
      </c>
      <c r="C10" s="62"/>
      <c r="D10" s="62" t="s">
        <v>94</v>
      </c>
      <c r="E10" s="12">
        <v>0</v>
      </c>
      <c r="F10" s="101"/>
      <c r="G10" s="252"/>
      <c r="H10" s="103"/>
      <c r="I10" s="63"/>
      <c r="J10" s="64"/>
      <c r="K10" s="62"/>
      <c r="L10" s="62" t="str">
        <f t="shared" si="3"/>
        <v/>
      </c>
      <c r="M10" s="12"/>
      <c r="N10" s="12"/>
      <c r="O10" s="12"/>
      <c r="P10" s="12"/>
      <c r="Q10" s="12"/>
      <c r="R10" s="12"/>
      <c r="S10" s="12"/>
      <c r="T10" s="12"/>
      <c r="U10" s="12"/>
      <c r="V10" s="65"/>
      <c r="W10" s="44" t="str">
        <f t="shared" si="2"/>
        <v>OK</v>
      </c>
      <c r="X10" s="47" t="str">
        <f t="shared" si="4"/>
        <v/>
      </c>
      <c r="Y10" s="3"/>
      <c r="Z10" s="3"/>
    </row>
    <row r="11" spans="1:26" ht="14.4" hidden="1" outlineLevel="1" x14ac:dyDescent="0.3">
      <c r="A11" s="3"/>
      <c r="B11" s="10" t="s">
        <v>427</v>
      </c>
      <c r="C11" s="62">
        <v>7</v>
      </c>
      <c r="D11" s="62" t="s">
        <v>94</v>
      </c>
      <c r="E11" s="12">
        <f t="shared" ref="E11:E14" si="5">SUM(M11:U11)</f>
        <v>188.43</v>
      </c>
      <c r="F11" s="101">
        <f t="shared" ref="F11:F12" si="6">E11</f>
        <v>188.43</v>
      </c>
      <c r="G11" s="250"/>
      <c r="H11" s="103" t="s">
        <v>37</v>
      </c>
      <c r="I11" s="63"/>
      <c r="J11" s="64"/>
      <c r="K11" s="62"/>
      <c r="L11" s="62" t="str">
        <f t="shared" si="3"/>
        <v/>
      </c>
      <c r="M11" s="12">
        <v>130</v>
      </c>
      <c r="N11" s="12">
        <v>24.57</v>
      </c>
      <c r="O11" s="12">
        <v>12</v>
      </c>
      <c r="P11" s="12">
        <v>3.86</v>
      </c>
      <c r="Q11" s="12">
        <v>5</v>
      </c>
      <c r="R11" s="12"/>
      <c r="S11" s="12"/>
      <c r="T11" s="12"/>
      <c r="U11" s="12">
        <v>13</v>
      </c>
      <c r="V11" s="65" t="s">
        <v>697</v>
      </c>
      <c r="W11" s="44" t="str">
        <f t="shared" si="2"/>
        <v>OK</v>
      </c>
      <c r="X11" s="47" t="str">
        <f t="shared" si="4"/>
        <v/>
      </c>
      <c r="Y11" s="3"/>
      <c r="Z11" s="3"/>
    </row>
    <row r="12" spans="1:26" ht="14.4" hidden="1" outlineLevel="1" x14ac:dyDescent="0.3">
      <c r="A12" s="3"/>
      <c r="B12" s="10" t="s">
        <v>428</v>
      </c>
      <c r="C12" s="62">
        <v>7</v>
      </c>
      <c r="D12" s="62" t="s">
        <v>94</v>
      </c>
      <c r="E12" s="12">
        <f t="shared" si="5"/>
        <v>181.57</v>
      </c>
      <c r="F12" s="101">
        <f t="shared" si="6"/>
        <v>181.57</v>
      </c>
      <c r="G12" s="252"/>
      <c r="H12" s="103" t="s">
        <v>37</v>
      </c>
      <c r="I12" s="63"/>
      <c r="J12" s="64"/>
      <c r="K12" s="62"/>
      <c r="L12" s="62" t="str">
        <f t="shared" si="3"/>
        <v/>
      </c>
      <c r="M12" s="12">
        <v>130</v>
      </c>
      <c r="N12" s="12">
        <v>24.57</v>
      </c>
      <c r="O12" s="12">
        <v>12</v>
      </c>
      <c r="P12" s="12">
        <v>2</v>
      </c>
      <c r="Q12" s="12"/>
      <c r="R12" s="12"/>
      <c r="S12" s="12"/>
      <c r="T12" s="12"/>
      <c r="U12" s="12">
        <v>13</v>
      </c>
      <c r="V12" s="65" t="s">
        <v>697</v>
      </c>
      <c r="W12" s="44" t="str">
        <f t="shared" si="2"/>
        <v>OK</v>
      </c>
      <c r="X12" s="47" t="str">
        <f t="shared" si="4"/>
        <v/>
      </c>
      <c r="Y12" s="3"/>
      <c r="Z12" s="3"/>
    </row>
    <row r="13" spans="1:26" ht="14.4" hidden="1" outlineLevel="1" x14ac:dyDescent="0.3">
      <c r="A13" s="3"/>
      <c r="B13" s="61" t="s">
        <v>429</v>
      </c>
      <c r="C13" s="62"/>
      <c r="D13" s="62"/>
      <c r="E13" s="12">
        <f t="shared" si="5"/>
        <v>361.49</v>
      </c>
      <c r="F13" s="101"/>
      <c r="G13" s="250"/>
      <c r="H13" s="103"/>
      <c r="I13" s="63"/>
      <c r="J13" s="64"/>
      <c r="K13" s="62"/>
      <c r="L13" s="62" t="str">
        <f t="shared" si="3"/>
        <v/>
      </c>
      <c r="M13" s="12">
        <v>130.47999999999999</v>
      </c>
      <c r="N13" s="12">
        <v>24.57</v>
      </c>
      <c r="O13" s="12">
        <v>12</v>
      </c>
      <c r="P13" s="12">
        <v>1.44</v>
      </c>
      <c r="Q13" s="12">
        <v>10</v>
      </c>
      <c r="R13" s="12">
        <v>20</v>
      </c>
      <c r="S13" s="12">
        <v>50</v>
      </c>
      <c r="T13" s="12">
        <v>50</v>
      </c>
      <c r="U13" s="12">
        <v>63</v>
      </c>
      <c r="V13" s="65" t="s">
        <v>698</v>
      </c>
      <c r="W13" s="44" t="str">
        <f t="shared" si="2"/>
        <v>Diferente</v>
      </c>
      <c r="X13" s="47">
        <f t="shared" si="4"/>
        <v>-361.49</v>
      </c>
      <c r="Y13" s="3"/>
      <c r="Z13" s="3"/>
    </row>
    <row r="14" spans="1:26" ht="14.4" hidden="1" outlineLevel="1" x14ac:dyDescent="0.3">
      <c r="A14" s="3"/>
      <c r="B14" s="61" t="s">
        <v>431</v>
      </c>
      <c r="C14" s="62"/>
      <c r="D14" s="62"/>
      <c r="E14" s="12">
        <f t="shared" si="5"/>
        <v>204.29</v>
      </c>
      <c r="F14" s="101"/>
      <c r="G14" s="252"/>
      <c r="H14" s="103"/>
      <c r="I14" s="63"/>
      <c r="J14" s="64"/>
      <c r="K14" s="62"/>
      <c r="L14" s="62" t="str">
        <f t="shared" si="3"/>
        <v/>
      </c>
      <c r="M14" s="12">
        <v>98.28</v>
      </c>
      <c r="N14" s="12">
        <v>24.57</v>
      </c>
      <c r="O14" s="12">
        <v>12</v>
      </c>
      <c r="P14" s="12">
        <v>1.44</v>
      </c>
      <c r="Q14" s="12">
        <v>5</v>
      </c>
      <c r="R14" s="12"/>
      <c r="S14" s="12"/>
      <c r="T14" s="12">
        <v>50</v>
      </c>
      <c r="U14" s="12">
        <v>13</v>
      </c>
      <c r="V14" s="65" t="s">
        <v>697</v>
      </c>
      <c r="W14" s="44" t="str">
        <f t="shared" si="2"/>
        <v>Diferente</v>
      </c>
      <c r="X14" s="47">
        <f t="shared" si="4"/>
        <v>-204.29</v>
      </c>
      <c r="Y14" s="3"/>
      <c r="Z14" s="3"/>
    </row>
    <row r="15" spans="1:26" ht="14.4" hidden="1" outlineLevel="1" x14ac:dyDescent="0.3">
      <c r="A15" s="3"/>
      <c r="B15" s="10" t="s">
        <v>432</v>
      </c>
      <c r="C15" s="62">
        <v>1</v>
      </c>
      <c r="D15" s="62" t="s">
        <v>129</v>
      </c>
      <c r="E15" s="12">
        <v>311.14</v>
      </c>
      <c r="F15" s="101">
        <f t="shared" ref="F15:F16" si="7">SUM(M15:U15)</f>
        <v>311.14</v>
      </c>
      <c r="G15" s="253" t="s">
        <v>699</v>
      </c>
      <c r="H15" s="103" t="s">
        <v>37</v>
      </c>
      <c r="I15" s="63"/>
      <c r="J15" s="64"/>
      <c r="K15" s="62"/>
      <c r="L15" s="62" t="str">
        <f t="shared" si="3"/>
        <v/>
      </c>
      <c r="M15" s="12">
        <v>180.13</v>
      </c>
      <c r="N15" s="12">
        <v>24.57</v>
      </c>
      <c r="O15" s="12">
        <v>12</v>
      </c>
      <c r="P15" s="12">
        <v>1.44</v>
      </c>
      <c r="Q15" s="12">
        <v>5</v>
      </c>
      <c r="R15" s="12">
        <v>5</v>
      </c>
      <c r="S15" s="12">
        <v>20</v>
      </c>
      <c r="T15" s="12"/>
      <c r="U15" s="12">
        <v>63</v>
      </c>
      <c r="V15" s="65" t="s">
        <v>698</v>
      </c>
      <c r="W15" s="44" t="str">
        <f t="shared" si="2"/>
        <v>OK</v>
      </c>
      <c r="X15" s="47" t="str">
        <f t="shared" si="4"/>
        <v/>
      </c>
      <c r="Y15" s="3"/>
      <c r="Z15" s="3"/>
    </row>
    <row r="16" spans="1:26" ht="14.4" hidden="1" outlineLevel="1" x14ac:dyDescent="0.3">
      <c r="A16" s="3"/>
      <c r="B16" s="10" t="s">
        <v>433</v>
      </c>
      <c r="C16" s="62">
        <v>1</v>
      </c>
      <c r="D16" s="62" t="s">
        <v>129</v>
      </c>
      <c r="E16" s="12">
        <v>150.99</v>
      </c>
      <c r="F16" s="101">
        <f t="shared" si="7"/>
        <v>138.27000000000001</v>
      </c>
      <c r="G16" s="252"/>
      <c r="H16" s="103" t="s">
        <v>37</v>
      </c>
      <c r="I16" s="63"/>
      <c r="J16" s="64"/>
      <c r="K16" s="62"/>
      <c r="L16" s="62" t="str">
        <f t="shared" si="3"/>
        <v/>
      </c>
      <c r="M16" s="12">
        <f>89.98-22.72+10</f>
        <v>77.260000000000005</v>
      </c>
      <c r="N16" s="12">
        <v>24.57</v>
      </c>
      <c r="O16" s="12">
        <v>12</v>
      </c>
      <c r="P16" s="12">
        <v>1.44</v>
      </c>
      <c r="Q16" s="12">
        <v>5</v>
      </c>
      <c r="R16" s="12">
        <v>5</v>
      </c>
      <c r="S16" s="12"/>
      <c r="T16" s="12"/>
      <c r="U16" s="12">
        <v>13</v>
      </c>
      <c r="V16" s="65" t="s">
        <v>697</v>
      </c>
      <c r="W16" s="44" t="str">
        <f t="shared" si="2"/>
        <v>OK</v>
      </c>
      <c r="X16" s="47" t="str">
        <f t="shared" si="4"/>
        <v/>
      </c>
      <c r="Y16" s="3"/>
      <c r="Z16" s="3"/>
    </row>
    <row r="17" spans="1:26" ht="14.4" hidden="1" outlineLevel="1" x14ac:dyDescent="0.3">
      <c r="A17" s="3"/>
      <c r="B17" s="61" t="s">
        <v>434</v>
      </c>
      <c r="C17" s="62">
        <v>4</v>
      </c>
      <c r="D17" s="62" t="s">
        <v>94</v>
      </c>
      <c r="E17" s="12">
        <f t="shared" ref="E17:E30" si="8">SUM(M17:U17)</f>
        <v>247.19</v>
      </c>
      <c r="F17" s="101">
        <f t="shared" ref="F17:F22" si="9">E17</f>
        <v>247.19</v>
      </c>
      <c r="G17" s="250"/>
      <c r="H17" s="103" t="s">
        <v>37</v>
      </c>
      <c r="I17" s="63"/>
      <c r="J17" s="64"/>
      <c r="K17" s="62"/>
      <c r="L17" s="62" t="str">
        <f t="shared" si="3"/>
        <v/>
      </c>
      <c r="M17" s="12">
        <v>191.18</v>
      </c>
      <c r="N17" s="12">
        <v>24.57</v>
      </c>
      <c r="O17" s="12">
        <v>12</v>
      </c>
      <c r="P17" s="12">
        <v>1.44</v>
      </c>
      <c r="Q17" s="12">
        <v>5</v>
      </c>
      <c r="R17" s="12"/>
      <c r="S17" s="12"/>
      <c r="T17" s="12"/>
      <c r="U17" s="12">
        <v>13</v>
      </c>
      <c r="V17" s="65" t="s">
        <v>697</v>
      </c>
      <c r="W17" s="44" t="str">
        <f t="shared" si="2"/>
        <v>OK</v>
      </c>
      <c r="X17" s="47" t="str">
        <f t="shared" si="4"/>
        <v/>
      </c>
      <c r="Y17" s="3"/>
      <c r="Z17" s="3"/>
    </row>
    <row r="18" spans="1:26" ht="14.4" hidden="1" outlineLevel="1" x14ac:dyDescent="0.3">
      <c r="A18" s="3"/>
      <c r="B18" s="61" t="s">
        <v>435</v>
      </c>
      <c r="C18" s="62">
        <v>4</v>
      </c>
      <c r="D18" s="62" t="s">
        <v>94</v>
      </c>
      <c r="E18" s="12">
        <f t="shared" si="8"/>
        <v>186.98999999999998</v>
      </c>
      <c r="F18" s="101">
        <f t="shared" si="9"/>
        <v>186.98999999999998</v>
      </c>
      <c r="G18" s="252"/>
      <c r="H18" s="103" t="s">
        <v>37</v>
      </c>
      <c r="I18" s="63"/>
      <c r="J18" s="64"/>
      <c r="K18" s="62"/>
      <c r="L18" s="62" t="str">
        <f t="shared" si="3"/>
        <v/>
      </c>
      <c r="M18" s="12">
        <v>135.97999999999999</v>
      </c>
      <c r="N18" s="12">
        <v>24.57</v>
      </c>
      <c r="O18" s="12">
        <v>12</v>
      </c>
      <c r="P18" s="12">
        <v>1.44</v>
      </c>
      <c r="Q18" s="12"/>
      <c r="R18" s="12"/>
      <c r="S18" s="12"/>
      <c r="T18" s="12"/>
      <c r="U18" s="12">
        <v>13</v>
      </c>
      <c r="V18" s="65" t="s">
        <v>697</v>
      </c>
      <c r="W18" s="44" t="str">
        <f t="shared" si="2"/>
        <v>OK</v>
      </c>
      <c r="X18" s="47" t="str">
        <f t="shared" si="4"/>
        <v/>
      </c>
      <c r="Y18" s="3"/>
      <c r="Z18" s="3"/>
    </row>
    <row r="19" spans="1:26" ht="14.4" hidden="1" outlineLevel="1" x14ac:dyDescent="0.3">
      <c r="A19" s="3"/>
      <c r="B19" s="10" t="s">
        <v>436</v>
      </c>
      <c r="C19" s="62">
        <v>4</v>
      </c>
      <c r="D19" s="62" t="s">
        <v>94</v>
      </c>
      <c r="E19" s="12">
        <f t="shared" si="8"/>
        <v>454.28999999999996</v>
      </c>
      <c r="F19" s="101">
        <f t="shared" si="9"/>
        <v>454.28999999999996</v>
      </c>
      <c r="G19" s="250"/>
      <c r="H19" s="103" t="s">
        <v>37</v>
      </c>
      <c r="I19" s="63"/>
      <c r="J19" s="64"/>
      <c r="K19" s="62"/>
      <c r="L19" s="62" t="str">
        <f t="shared" si="3"/>
        <v/>
      </c>
      <c r="M19" s="12">
        <v>328.28</v>
      </c>
      <c r="N19" s="12">
        <v>24.57</v>
      </c>
      <c r="O19" s="12">
        <v>12</v>
      </c>
      <c r="P19" s="12">
        <v>11.44</v>
      </c>
      <c r="Q19" s="12">
        <v>5</v>
      </c>
      <c r="R19" s="12">
        <v>10</v>
      </c>
      <c r="S19" s="12"/>
      <c r="T19" s="12">
        <v>50</v>
      </c>
      <c r="U19" s="12">
        <v>13</v>
      </c>
      <c r="V19" s="65" t="s">
        <v>697</v>
      </c>
      <c r="W19" s="44" t="str">
        <f t="shared" si="2"/>
        <v>OK</v>
      </c>
      <c r="X19" s="47" t="str">
        <f t="shared" si="4"/>
        <v/>
      </c>
      <c r="Y19" s="3"/>
      <c r="Z19" s="3"/>
    </row>
    <row r="20" spans="1:26" ht="14.4" hidden="1" outlineLevel="1" x14ac:dyDescent="0.3">
      <c r="A20" s="3"/>
      <c r="B20" s="10" t="s">
        <v>437</v>
      </c>
      <c r="C20" s="62">
        <v>4</v>
      </c>
      <c r="D20" s="62" t="s">
        <v>94</v>
      </c>
      <c r="E20" s="12">
        <f t="shared" si="8"/>
        <v>444.28999999999996</v>
      </c>
      <c r="F20" s="101">
        <f t="shared" si="9"/>
        <v>444.28999999999996</v>
      </c>
      <c r="G20" s="252"/>
      <c r="H20" s="103" t="s">
        <v>37</v>
      </c>
      <c r="I20" s="63"/>
      <c r="J20" s="64"/>
      <c r="K20" s="62"/>
      <c r="L20" s="62" t="str">
        <f t="shared" si="3"/>
        <v/>
      </c>
      <c r="M20" s="12">
        <v>328.28</v>
      </c>
      <c r="N20" s="12">
        <v>24.57</v>
      </c>
      <c r="O20" s="12">
        <v>12</v>
      </c>
      <c r="P20" s="12">
        <v>1.44</v>
      </c>
      <c r="Q20" s="12">
        <v>5</v>
      </c>
      <c r="R20" s="12">
        <v>10</v>
      </c>
      <c r="S20" s="12"/>
      <c r="T20" s="12">
        <v>50</v>
      </c>
      <c r="U20" s="12">
        <v>13</v>
      </c>
      <c r="V20" s="65" t="s">
        <v>697</v>
      </c>
      <c r="W20" s="44" t="str">
        <f t="shared" si="2"/>
        <v>OK</v>
      </c>
      <c r="X20" s="47" t="str">
        <f t="shared" si="4"/>
        <v/>
      </c>
      <c r="Y20" s="3"/>
      <c r="Z20" s="3"/>
    </row>
    <row r="21" spans="1:26" ht="14.4" hidden="1" outlineLevel="1" x14ac:dyDescent="0.3">
      <c r="A21" s="3"/>
      <c r="B21" s="61" t="s">
        <v>438</v>
      </c>
      <c r="C21" s="62">
        <v>14</v>
      </c>
      <c r="D21" s="62" t="s">
        <v>94</v>
      </c>
      <c r="E21" s="12">
        <f t="shared" si="8"/>
        <v>261.99</v>
      </c>
      <c r="F21" s="101">
        <f t="shared" si="9"/>
        <v>261.99</v>
      </c>
      <c r="G21" s="250"/>
      <c r="H21" s="103" t="s">
        <v>37</v>
      </c>
      <c r="I21" s="63"/>
      <c r="J21" s="64"/>
      <c r="K21" s="62"/>
      <c r="L21" s="62">
        <f t="shared" si="3"/>
        <v>1</v>
      </c>
      <c r="M21" s="12">
        <v>120.98</v>
      </c>
      <c r="N21" s="12">
        <v>24.57</v>
      </c>
      <c r="O21" s="12">
        <v>12</v>
      </c>
      <c r="P21" s="12">
        <v>1.44</v>
      </c>
      <c r="Q21" s="12">
        <v>5</v>
      </c>
      <c r="R21" s="12">
        <v>5</v>
      </c>
      <c r="S21" s="12"/>
      <c r="T21" s="12">
        <v>30</v>
      </c>
      <c r="U21" s="12">
        <v>63</v>
      </c>
      <c r="V21" s="65" t="s">
        <v>698</v>
      </c>
      <c r="W21" s="44" t="str">
        <f t="shared" si="2"/>
        <v>OK</v>
      </c>
      <c r="X21" s="47" t="str">
        <f t="shared" si="4"/>
        <v/>
      </c>
      <c r="Y21" s="3"/>
      <c r="Z21" s="3"/>
    </row>
    <row r="22" spans="1:26" ht="14.4" hidden="1" outlineLevel="1" x14ac:dyDescent="0.3">
      <c r="A22" s="3"/>
      <c r="B22" s="61" t="s">
        <v>439</v>
      </c>
      <c r="C22" s="62">
        <v>14</v>
      </c>
      <c r="D22" s="62" t="s">
        <v>94</v>
      </c>
      <c r="E22" s="12">
        <f t="shared" si="8"/>
        <v>188.59</v>
      </c>
      <c r="F22" s="101">
        <f t="shared" si="9"/>
        <v>188.59</v>
      </c>
      <c r="G22" s="252"/>
      <c r="H22" s="103" t="s">
        <v>37</v>
      </c>
      <c r="I22" s="63"/>
      <c r="J22" s="64"/>
      <c r="K22" s="62"/>
      <c r="L22" s="62">
        <f t="shared" si="3"/>
        <v>1</v>
      </c>
      <c r="M22" s="12">
        <v>102.58</v>
      </c>
      <c r="N22" s="12">
        <v>24.57</v>
      </c>
      <c r="O22" s="12">
        <v>12</v>
      </c>
      <c r="P22" s="12">
        <v>1.44</v>
      </c>
      <c r="Q22" s="12">
        <v>5</v>
      </c>
      <c r="R22" s="12"/>
      <c r="S22" s="12"/>
      <c r="T22" s="12">
        <v>30</v>
      </c>
      <c r="U22" s="12">
        <v>13</v>
      </c>
      <c r="V22" s="65" t="s">
        <v>697</v>
      </c>
      <c r="W22" s="44" t="str">
        <f t="shared" si="2"/>
        <v>OK</v>
      </c>
      <c r="X22" s="47" t="str">
        <f t="shared" si="4"/>
        <v/>
      </c>
      <c r="Y22" s="3"/>
      <c r="Z22" s="3"/>
    </row>
    <row r="23" spans="1:26" ht="14.4" hidden="1" outlineLevel="1" x14ac:dyDescent="0.3">
      <c r="A23" s="3"/>
      <c r="B23" s="10" t="s">
        <v>440</v>
      </c>
      <c r="C23" s="62"/>
      <c r="D23" s="62"/>
      <c r="E23" s="12">
        <f t="shared" si="8"/>
        <v>148.34</v>
      </c>
      <c r="F23" s="101"/>
      <c r="G23" s="253"/>
      <c r="H23" s="103"/>
      <c r="I23" s="63"/>
      <c r="J23" s="64"/>
      <c r="K23" s="12"/>
      <c r="L23" s="62" t="str">
        <f t="shared" si="3"/>
        <v/>
      </c>
      <c r="M23" s="12">
        <v>37.33</v>
      </c>
      <c r="N23" s="12">
        <v>24.57</v>
      </c>
      <c r="O23" s="12">
        <v>12</v>
      </c>
      <c r="P23" s="12">
        <v>1.44</v>
      </c>
      <c r="Q23" s="12">
        <v>5</v>
      </c>
      <c r="R23" s="12">
        <v>5</v>
      </c>
      <c r="S23" s="12"/>
      <c r="T23" s="12"/>
      <c r="U23" s="12">
        <v>63</v>
      </c>
      <c r="V23" s="65" t="s">
        <v>698</v>
      </c>
      <c r="W23" s="44" t="str">
        <f t="shared" si="2"/>
        <v>Diferente</v>
      </c>
      <c r="X23" s="47">
        <f t="shared" si="4"/>
        <v>-148.34</v>
      </c>
      <c r="Y23" s="3"/>
      <c r="Z23" s="3"/>
    </row>
    <row r="24" spans="1:26" ht="14.4" hidden="1" outlineLevel="1" x14ac:dyDescent="0.3">
      <c r="A24" s="3"/>
      <c r="B24" s="10" t="s">
        <v>441</v>
      </c>
      <c r="C24" s="62"/>
      <c r="D24" s="62"/>
      <c r="E24" s="12">
        <f t="shared" si="8"/>
        <v>129.44</v>
      </c>
      <c r="F24" s="101"/>
      <c r="G24" s="252"/>
      <c r="H24" s="103"/>
      <c r="I24" s="63"/>
      <c r="J24" s="64"/>
      <c r="K24" s="12"/>
      <c r="L24" s="62" t="str">
        <f t="shared" si="3"/>
        <v/>
      </c>
      <c r="M24" s="12">
        <v>53.43</v>
      </c>
      <c r="N24" s="12">
        <v>24.57</v>
      </c>
      <c r="O24" s="12">
        <v>12</v>
      </c>
      <c r="P24" s="12">
        <v>1.44</v>
      </c>
      <c r="Q24" s="12">
        <v>5</v>
      </c>
      <c r="R24" s="12">
        <v>5</v>
      </c>
      <c r="S24" s="12"/>
      <c r="T24" s="12">
        <v>15</v>
      </c>
      <c r="U24" s="12">
        <v>13</v>
      </c>
      <c r="V24" s="65" t="s">
        <v>697</v>
      </c>
      <c r="W24" s="44" t="str">
        <f t="shared" si="2"/>
        <v>Diferente</v>
      </c>
      <c r="X24" s="47">
        <f t="shared" si="4"/>
        <v>-129.44</v>
      </c>
      <c r="Y24" s="3"/>
      <c r="Z24" s="3"/>
    </row>
    <row r="25" spans="1:26" ht="14.4" hidden="1" outlineLevel="1" x14ac:dyDescent="0.3">
      <c r="A25" s="3"/>
      <c r="B25" s="61" t="s">
        <v>442</v>
      </c>
      <c r="C25" s="62">
        <v>7</v>
      </c>
      <c r="D25" s="62" t="s">
        <v>94</v>
      </c>
      <c r="E25" s="12">
        <f t="shared" si="8"/>
        <v>198</v>
      </c>
      <c r="F25" s="101">
        <f>E25</f>
        <v>198</v>
      </c>
      <c r="G25" s="119"/>
      <c r="H25" s="103" t="s">
        <v>37</v>
      </c>
      <c r="I25" s="63"/>
      <c r="J25" s="64"/>
      <c r="K25" s="12"/>
      <c r="L25" s="62" t="str">
        <f t="shared" si="3"/>
        <v/>
      </c>
      <c r="M25" s="12">
        <v>131.99</v>
      </c>
      <c r="N25" s="12">
        <v>24.57</v>
      </c>
      <c r="O25" s="12">
        <v>12</v>
      </c>
      <c r="P25" s="12">
        <v>6.44</v>
      </c>
      <c r="Q25" s="12"/>
      <c r="R25" s="12">
        <v>10</v>
      </c>
      <c r="S25" s="12"/>
      <c r="T25" s="12"/>
      <c r="U25" s="12">
        <v>13</v>
      </c>
      <c r="V25" s="65" t="s">
        <v>697</v>
      </c>
      <c r="W25" s="44" t="str">
        <f t="shared" si="2"/>
        <v>OK</v>
      </c>
      <c r="X25" s="47" t="str">
        <f t="shared" si="4"/>
        <v/>
      </c>
      <c r="Y25" s="3"/>
      <c r="Z25" s="3"/>
    </row>
    <row r="26" spans="1:26" ht="14.4" hidden="1" outlineLevel="1" x14ac:dyDescent="0.3">
      <c r="A26" s="3"/>
      <c r="B26" s="10" t="s">
        <v>443</v>
      </c>
      <c r="C26" s="62"/>
      <c r="D26" s="62"/>
      <c r="E26" s="12">
        <f t="shared" si="8"/>
        <v>123</v>
      </c>
      <c r="F26" s="101"/>
      <c r="G26" s="119"/>
      <c r="H26" s="103"/>
      <c r="I26" s="63"/>
      <c r="J26" s="64"/>
      <c r="K26" s="12"/>
      <c r="L26" s="62" t="str">
        <f t="shared" si="3"/>
        <v/>
      </c>
      <c r="M26" s="12">
        <v>71.430000000000007</v>
      </c>
      <c r="N26" s="12">
        <v>24.57</v>
      </c>
      <c r="O26" s="12">
        <v>12</v>
      </c>
      <c r="P26" s="12">
        <v>2</v>
      </c>
      <c r="Q26" s="12"/>
      <c r="R26" s="12"/>
      <c r="S26" s="12"/>
      <c r="T26" s="12"/>
      <c r="U26" s="12">
        <v>13</v>
      </c>
      <c r="V26" s="65" t="s">
        <v>697</v>
      </c>
      <c r="W26" s="44" t="str">
        <f t="shared" si="2"/>
        <v>Diferente</v>
      </c>
      <c r="X26" s="47">
        <f t="shared" si="4"/>
        <v>-123</v>
      </c>
      <c r="Y26" s="3"/>
      <c r="Z26" s="3"/>
    </row>
    <row r="27" spans="1:26" ht="14.4" hidden="1" outlineLevel="1" x14ac:dyDescent="0.3">
      <c r="A27" s="3"/>
      <c r="B27" s="61" t="s">
        <v>444</v>
      </c>
      <c r="C27" s="62">
        <v>11</v>
      </c>
      <c r="D27" s="62" t="s">
        <v>94</v>
      </c>
      <c r="E27" s="12">
        <f t="shared" si="8"/>
        <v>393</v>
      </c>
      <c r="F27" s="101">
        <f t="shared" ref="F27:F30" si="10">E27</f>
        <v>393</v>
      </c>
      <c r="G27" s="253"/>
      <c r="H27" s="103" t="s">
        <v>37</v>
      </c>
      <c r="I27" s="63"/>
      <c r="J27" s="64"/>
      <c r="K27" s="12"/>
      <c r="L27" s="62" t="str">
        <f t="shared" si="3"/>
        <v/>
      </c>
      <c r="M27" s="12">
        <v>131.99</v>
      </c>
      <c r="N27" s="12">
        <v>24.57</v>
      </c>
      <c r="O27" s="12">
        <v>12</v>
      </c>
      <c r="P27" s="12">
        <v>11.44</v>
      </c>
      <c r="Q27" s="12">
        <v>5</v>
      </c>
      <c r="R27" s="12">
        <v>5</v>
      </c>
      <c r="S27" s="12">
        <v>10</v>
      </c>
      <c r="T27" s="12">
        <v>30</v>
      </c>
      <c r="U27" s="12">
        <v>163</v>
      </c>
      <c r="V27" s="65" t="s">
        <v>700</v>
      </c>
      <c r="W27" s="44" t="str">
        <f t="shared" si="2"/>
        <v>OK</v>
      </c>
      <c r="X27" s="47" t="str">
        <f t="shared" si="4"/>
        <v/>
      </c>
      <c r="Y27" s="3"/>
      <c r="Z27" s="3"/>
    </row>
    <row r="28" spans="1:26" ht="14.4" hidden="1" outlineLevel="1" x14ac:dyDescent="0.3">
      <c r="A28" s="3"/>
      <c r="B28" s="61" t="s">
        <v>446</v>
      </c>
      <c r="C28" s="62">
        <v>11</v>
      </c>
      <c r="D28" s="62" t="s">
        <v>94</v>
      </c>
      <c r="E28" s="12">
        <f t="shared" si="8"/>
        <v>233</v>
      </c>
      <c r="F28" s="101">
        <f t="shared" si="10"/>
        <v>233</v>
      </c>
      <c r="G28" s="252"/>
      <c r="H28" s="103" t="s">
        <v>37</v>
      </c>
      <c r="I28" s="63"/>
      <c r="J28" s="64"/>
      <c r="K28" s="12"/>
      <c r="L28" s="62" t="str">
        <f t="shared" si="3"/>
        <v/>
      </c>
      <c r="M28" s="12">
        <v>131.99</v>
      </c>
      <c r="N28" s="12">
        <v>24.57</v>
      </c>
      <c r="O28" s="12">
        <v>12</v>
      </c>
      <c r="P28" s="12">
        <v>1.44</v>
      </c>
      <c r="Q28" s="12">
        <v>5</v>
      </c>
      <c r="R28" s="12">
        <v>5</v>
      </c>
      <c r="S28" s="12">
        <v>10</v>
      </c>
      <c r="T28" s="12">
        <v>30</v>
      </c>
      <c r="U28" s="12">
        <v>13</v>
      </c>
      <c r="V28" s="65" t="s">
        <v>697</v>
      </c>
      <c r="W28" s="44" t="str">
        <f t="shared" si="2"/>
        <v>OK</v>
      </c>
      <c r="X28" s="47" t="str">
        <f t="shared" si="4"/>
        <v/>
      </c>
      <c r="Y28" s="3"/>
      <c r="Z28" s="3"/>
    </row>
    <row r="29" spans="1:26" ht="14.4" hidden="1" outlineLevel="1" x14ac:dyDescent="0.3">
      <c r="A29" s="3"/>
      <c r="B29" s="10" t="s">
        <v>447</v>
      </c>
      <c r="C29" s="62">
        <v>11</v>
      </c>
      <c r="D29" s="62" t="s">
        <v>94</v>
      </c>
      <c r="E29" s="12">
        <f t="shared" si="8"/>
        <v>272.69</v>
      </c>
      <c r="F29" s="101">
        <f t="shared" si="10"/>
        <v>272.69</v>
      </c>
      <c r="G29" s="253"/>
      <c r="H29" s="103" t="s">
        <v>37</v>
      </c>
      <c r="I29" s="63"/>
      <c r="J29" s="64"/>
      <c r="K29" s="12"/>
      <c r="L29" s="62" t="str">
        <f t="shared" si="3"/>
        <v/>
      </c>
      <c r="M29" s="12">
        <v>116.68</v>
      </c>
      <c r="N29" s="12">
        <v>24.57</v>
      </c>
      <c r="O29" s="12">
        <v>12</v>
      </c>
      <c r="P29" s="12">
        <v>1.44</v>
      </c>
      <c r="Q29" s="12">
        <v>5</v>
      </c>
      <c r="R29" s="12">
        <v>10</v>
      </c>
      <c r="S29" s="12">
        <v>10</v>
      </c>
      <c r="T29" s="12">
        <v>30</v>
      </c>
      <c r="U29" s="12">
        <v>63</v>
      </c>
      <c r="V29" s="65" t="s">
        <v>698</v>
      </c>
      <c r="W29" s="44" t="str">
        <f t="shared" si="2"/>
        <v>OK</v>
      </c>
      <c r="X29" s="47" t="str">
        <f t="shared" si="4"/>
        <v/>
      </c>
      <c r="Y29" s="3"/>
      <c r="Z29" s="3"/>
    </row>
    <row r="30" spans="1:26" ht="14.4" hidden="1" outlineLevel="1" x14ac:dyDescent="0.3">
      <c r="A30" s="3"/>
      <c r="B30" s="10" t="s">
        <v>448</v>
      </c>
      <c r="C30" s="62">
        <v>11</v>
      </c>
      <c r="D30" s="62" t="s">
        <v>94</v>
      </c>
      <c r="E30" s="12">
        <f t="shared" si="8"/>
        <v>171.69</v>
      </c>
      <c r="F30" s="101">
        <f t="shared" si="10"/>
        <v>171.69</v>
      </c>
      <c r="G30" s="252"/>
      <c r="H30" s="103" t="s">
        <v>37</v>
      </c>
      <c r="I30" s="63"/>
      <c r="J30" s="64"/>
      <c r="K30" s="12"/>
      <c r="L30" s="62" t="str">
        <f t="shared" si="3"/>
        <v/>
      </c>
      <c r="M30" s="12">
        <v>70.680000000000007</v>
      </c>
      <c r="N30" s="12">
        <v>24.57</v>
      </c>
      <c r="O30" s="12">
        <v>12</v>
      </c>
      <c r="P30" s="12">
        <v>1.44</v>
      </c>
      <c r="Q30" s="12"/>
      <c r="R30" s="12">
        <v>10</v>
      </c>
      <c r="S30" s="12">
        <v>10</v>
      </c>
      <c r="T30" s="12">
        <v>30</v>
      </c>
      <c r="U30" s="12">
        <v>13</v>
      </c>
      <c r="V30" s="65" t="s">
        <v>697</v>
      </c>
      <c r="W30" s="44" t="str">
        <f t="shared" si="2"/>
        <v>OK</v>
      </c>
      <c r="X30" s="47" t="str">
        <f t="shared" si="4"/>
        <v/>
      </c>
      <c r="Y30" s="3"/>
      <c r="Z30" s="3"/>
    </row>
    <row r="31" spans="1:26" ht="14.4" hidden="1" outlineLevel="1" x14ac:dyDescent="0.3">
      <c r="A31" s="3"/>
      <c r="B31" s="61" t="s">
        <v>449</v>
      </c>
      <c r="C31" s="62">
        <v>4</v>
      </c>
      <c r="D31" s="62" t="s">
        <v>129</v>
      </c>
      <c r="E31" s="12">
        <v>180.44</v>
      </c>
      <c r="F31" s="101">
        <f t="shared" ref="F31:F32" si="11">SUM(M31:U31)</f>
        <v>350.88</v>
      </c>
      <c r="G31" s="253" t="s">
        <v>701</v>
      </c>
      <c r="H31" s="103" t="s">
        <v>37</v>
      </c>
      <c r="I31" s="63"/>
      <c r="J31" s="64"/>
      <c r="K31" s="12"/>
      <c r="L31" s="62" t="str">
        <f t="shared" si="3"/>
        <v/>
      </c>
      <c r="M31" s="12">
        <f t="shared" ref="M31:M32" si="12">104.43*2</f>
        <v>208.86</v>
      </c>
      <c r="N31" s="12">
        <f t="shared" ref="N31:N32" si="13">24.57*2</f>
        <v>49.14</v>
      </c>
      <c r="O31" s="12">
        <f t="shared" ref="O31:O32" si="14">12*2</f>
        <v>24</v>
      </c>
      <c r="P31" s="12">
        <f t="shared" ref="P31:P32" si="15">1.44*2</f>
        <v>2.88</v>
      </c>
      <c r="Q31" s="12">
        <f t="shared" ref="Q31:Q32" si="16">5*2</f>
        <v>10</v>
      </c>
      <c r="R31" s="12"/>
      <c r="S31" s="12">
        <f t="shared" ref="S31:T31" si="17">10*2</f>
        <v>20</v>
      </c>
      <c r="T31" s="12">
        <f t="shared" si="17"/>
        <v>20</v>
      </c>
      <c r="U31" s="12">
        <v>16</v>
      </c>
      <c r="V31" s="65" t="s">
        <v>697</v>
      </c>
      <c r="W31" s="44" t="str">
        <f t="shared" si="2"/>
        <v>OK</v>
      </c>
      <c r="X31" s="47" t="str">
        <f t="shared" si="4"/>
        <v/>
      </c>
      <c r="Y31" s="3"/>
      <c r="Z31" s="3"/>
    </row>
    <row r="32" spans="1:26" ht="14.4" hidden="1" outlineLevel="1" x14ac:dyDescent="0.3">
      <c r="A32" s="3"/>
      <c r="B32" s="61" t="s">
        <v>450</v>
      </c>
      <c r="C32" s="62">
        <v>4</v>
      </c>
      <c r="D32" s="62" t="s">
        <v>129</v>
      </c>
      <c r="E32" s="12">
        <v>180.44</v>
      </c>
      <c r="F32" s="101">
        <f t="shared" si="11"/>
        <v>334.88</v>
      </c>
      <c r="G32" s="252"/>
      <c r="H32" s="103" t="s">
        <v>37</v>
      </c>
      <c r="I32" s="63"/>
      <c r="J32" s="64"/>
      <c r="K32" s="12"/>
      <c r="L32" s="62" t="str">
        <f t="shared" si="3"/>
        <v/>
      </c>
      <c r="M32" s="12">
        <f t="shared" si="12"/>
        <v>208.86</v>
      </c>
      <c r="N32" s="12">
        <f t="shared" si="13"/>
        <v>49.14</v>
      </c>
      <c r="O32" s="12">
        <f t="shared" si="14"/>
        <v>24</v>
      </c>
      <c r="P32" s="12">
        <f t="shared" si="15"/>
        <v>2.88</v>
      </c>
      <c r="Q32" s="12">
        <f t="shared" si="16"/>
        <v>10</v>
      </c>
      <c r="R32" s="12"/>
      <c r="S32" s="12">
        <f t="shared" ref="S32:T32" si="18">10*2</f>
        <v>20</v>
      </c>
      <c r="T32" s="12">
        <f t="shared" si="18"/>
        <v>20</v>
      </c>
      <c r="U32" s="12"/>
      <c r="V32" s="65" t="s">
        <v>697</v>
      </c>
      <c r="W32" s="44" t="str">
        <f t="shared" si="2"/>
        <v>OK</v>
      </c>
      <c r="X32" s="47" t="str">
        <f t="shared" si="4"/>
        <v/>
      </c>
      <c r="Y32" s="3"/>
      <c r="Z32" s="3"/>
    </row>
    <row r="33" spans="1:26" ht="14.4" hidden="1" outlineLevel="1" x14ac:dyDescent="0.3">
      <c r="A33" s="3"/>
      <c r="B33" s="10" t="s">
        <v>451</v>
      </c>
      <c r="C33" s="62">
        <v>10</v>
      </c>
      <c r="D33" s="62" t="s">
        <v>94</v>
      </c>
      <c r="E33" s="12">
        <f t="shared" ref="E33:E34" si="19">SUM(M33:U33)</f>
        <v>212.01</v>
      </c>
      <c r="F33" s="101">
        <f t="shared" ref="F33:F34" si="20">E33</f>
        <v>212.01</v>
      </c>
      <c r="G33" s="253"/>
      <c r="H33" s="103" t="s">
        <v>37</v>
      </c>
      <c r="I33" s="63"/>
      <c r="J33" s="64"/>
      <c r="K33" s="12"/>
      <c r="L33" s="62" t="str">
        <f t="shared" si="3"/>
        <v/>
      </c>
      <c r="M33" s="12">
        <v>156</v>
      </c>
      <c r="N33" s="12">
        <v>24.57</v>
      </c>
      <c r="O33" s="12">
        <v>12</v>
      </c>
      <c r="P33" s="12">
        <v>1.44</v>
      </c>
      <c r="Q33" s="12">
        <v>5</v>
      </c>
      <c r="R33" s="12"/>
      <c r="S33" s="12"/>
      <c r="T33" s="12"/>
      <c r="U33" s="12">
        <v>13</v>
      </c>
      <c r="V33" s="65" t="s">
        <v>697</v>
      </c>
      <c r="W33" s="44" t="str">
        <f t="shared" si="2"/>
        <v>OK</v>
      </c>
      <c r="X33" s="47" t="str">
        <f t="shared" si="4"/>
        <v/>
      </c>
      <c r="Y33" s="3"/>
      <c r="Z33" s="3"/>
    </row>
    <row r="34" spans="1:26" ht="14.4" hidden="1" outlineLevel="1" x14ac:dyDescent="0.3">
      <c r="A34" s="3"/>
      <c r="B34" s="10" t="s">
        <v>452</v>
      </c>
      <c r="C34" s="62">
        <v>10</v>
      </c>
      <c r="D34" s="62" t="s">
        <v>94</v>
      </c>
      <c r="E34" s="12">
        <f t="shared" si="19"/>
        <v>282.01</v>
      </c>
      <c r="F34" s="101">
        <f t="shared" si="20"/>
        <v>282.01</v>
      </c>
      <c r="G34" s="252"/>
      <c r="H34" s="103" t="s">
        <v>37</v>
      </c>
      <c r="I34" s="63"/>
      <c r="J34" s="64"/>
      <c r="K34" s="12"/>
      <c r="L34" s="62" t="str">
        <f t="shared" si="3"/>
        <v/>
      </c>
      <c r="M34" s="12">
        <v>156</v>
      </c>
      <c r="N34" s="12">
        <v>24.57</v>
      </c>
      <c r="O34" s="12">
        <v>12</v>
      </c>
      <c r="P34" s="12">
        <v>11.44</v>
      </c>
      <c r="Q34" s="12">
        <v>5</v>
      </c>
      <c r="R34" s="12">
        <v>10</v>
      </c>
      <c r="S34" s="12"/>
      <c r="T34" s="12"/>
      <c r="U34" s="12">
        <v>63</v>
      </c>
      <c r="V34" s="65" t="s">
        <v>698</v>
      </c>
      <c r="W34" s="44" t="str">
        <f t="shared" si="2"/>
        <v>OK</v>
      </c>
      <c r="X34" s="47" t="str">
        <f t="shared" si="4"/>
        <v/>
      </c>
      <c r="Y34" s="3"/>
      <c r="Z34" s="3"/>
    </row>
    <row r="35" spans="1:26" ht="14.4" hidden="1" outlineLevel="1" x14ac:dyDescent="0.3">
      <c r="A35" s="3"/>
      <c r="B35" s="61" t="s">
        <v>453</v>
      </c>
      <c r="C35" s="62">
        <v>19</v>
      </c>
      <c r="D35" s="62" t="s">
        <v>94</v>
      </c>
      <c r="E35" s="12">
        <f>211.2-13</f>
        <v>198.2</v>
      </c>
      <c r="F35" s="101">
        <f>SUM(M35:U35)</f>
        <v>396.4</v>
      </c>
      <c r="G35" s="120"/>
      <c r="H35" s="103" t="s">
        <v>37</v>
      </c>
      <c r="I35" s="63"/>
      <c r="J35" s="64"/>
      <c r="K35" s="12"/>
      <c r="L35" s="62">
        <f t="shared" si="3"/>
        <v>1</v>
      </c>
      <c r="M35" s="12">
        <f>131.63*2</f>
        <v>263.26</v>
      </c>
      <c r="N35" s="12">
        <f>24.57*2</f>
        <v>49.14</v>
      </c>
      <c r="O35" s="12">
        <f>12*2</f>
        <v>24</v>
      </c>
      <c r="P35" s="12">
        <v>20</v>
      </c>
      <c r="Q35" s="12">
        <v>10</v>
      </c>
      <c r="R35" s="12">
        <v>30</v>
      </c>
      <c r="S35" s="12"/>
      <c r="T35" s="12"/>
      <c r="U35" s="12"/>
      <c r="V35" s="65" t="s">
        <v>697</v>
      </c>
      <c r="W35" s="44" t="str">
        <f t="shared" si="2"/>
        <v>OK</v>
      </c>
      <c r="X35" s="47" t="str">
        <f t="shared" si="4"/>
        <v/>
      </c>
      <c r="Y35" s="3"/>
      <c r="Z35" s="3"/>
    </row>
    <row r="36" spans="1:26" ht="14.4" hidden="1" outlineLevel="1" x14ac:dyDescent="0.3">
      <c r="A36" s="3"/>
      <c r="B36" s="10" t="s">
        <v>454</v>
      </c>
      <c r="C36" s="62">
        <v>5</v>
      </c>
      <c r="D36" s="62" t="s">
        <v>94</v>
      </c>
      <c r="E36" s="12">
        <f t="shared" ref="E36:E37" si="21">SUM(M36:U36)</f>
        <v>241.76</v>
      </c>
      <c r="F36" s="101">
        <f>E36</f>
        <v>241.76</v>
      </c>
      <c r="G36" s="119"/>
      <c r="H36" s="103" t="s">
        <v>37</v>
      </c>
      <c r="I36" s="63"/>
      <c r="J36" s="64"/>
      <c r="K36" s="12"/>
      <c r="L36" s="62" t="str">
        <f t="shared" si="3"/>
        <v/>
      </c>
      <c r="M36" s="12">
        <v>132.19</v>
      </c>
      <c r="N36" s="12">
        <v>24.57</v>
      </c>
      <c r="O36" s="12">
        <v>12</v>
      </c>
      <c r="P36" s="12">
        <v>5</v>
      </c>
      <c r="Q36" s="12">
        <v>5</v>
      </c>
      <c r="R36" s="12">
        <v>10</v>
      </c>
      <c r="S36" s="12">
        <v>10</v>
      </c>
      <c r="T36" s="12">
        <v>30</v>
      </c>
      <c r="U36" s="12">
        <v>13</v>
      </c>
      <c r="V36" s="65" t="s">
        <v>697</v>
      </c>
      <c r="W36" s="44" t="str">
        <f t="shared" si="2"/>
        <v>OK</v>
      </c>
      <c r="X36" s="47" t="str">
        <f t="shared" si="4"/>
        <v/>
      </c>
      <c r="Y36" s="3"/>
      <c r="Z36" s="3"/>
    </row>
    <row r="37" spans="1:26" ht="14.4" hidden="1" outlineLevel="1" x14ac:dyDescent="0.3">
      <c r="A37" s="3"/>
      <c r="B37" s="61" t="s">
        <v>455</v>
      </c>
      <c r="C37" s="62"/>
      <c r="D37" s="62"/>
      <c r="E37" s="12">
        <f t="shared" si="21"/>
        <v>125.81</v>
      </c>
      <c r="F37" s="101"/>
      <c r="G37" s="253"/>
      <c r="H37" s="103"/>
      <c r="I37" s="63"/>
      <c r="J37" s="64"/>
      <c r="K37" s="12"/>
      <c r="L37" s="62" t="str">
        <f t="shared" si="3"/>
        <v/>
      </c>
      <c r="M37" s="12">
        <v>74.739999999999995</v>
      </c>
      <c r="N37" s="12">
        <v>24.57</v>
      </c>
      <c r="O37" s="12">
        <v>12</v>
      </c>
      <c r="P37" s="12">
        <v>1.5</v>
      </c>
      <c r="Q37" s="12"/>
      <c r="R37" s="12"/>
      <c r="S37" s="12"/>
      <c r="T37" s="12"/>
      <c r="U37" s="12">
        <v>13</v>
      </c>
      <c r="V37" s="65" t="s">
        <v>697</v>
      </c>
      <c r="W37" s="44" t="str">
        <f t="shared" si="2"/>
        <v>Diferente</v>
      </c>
      <c r="X37" s="47">
        <f t="shared" si="4"/>
        <v>-125.81</v>
      </c>
      <c r="Y37" s="3"/>
      <c r="Z37" s="3"/>
    </row>
    <row r="38" spans="1:26" ht="14.4" hidden="1" outlineLevel="1" x14ac:dyDescent="0.3">
      <c r="A38" s="3"/>
      <c r="B38" s="61" t="s">
        <v>456</v>
      </c>
      <c r="C38" s="62">
        <v>15</v>
      </c>
      <c r="D38" s="62" t="s">
        <v>94</v>
      </c>
      <c r="E38" s="12">
        <v>125.81</v>
      </c>
      <c r="F38" s="101">
        <f>SUM(M38:U38)</f>
        <v>256.62</v>
      </c>
      <c r="G38" s="252"/>
      <c r="H38" s="103" t="s">
        <v>37</v>
      </c>
      <c r="I38" s="63"/>
      <c r="J38" s="64"/>
      <c r="K38" s="12"/>
      <c r="L38" s="62">
        <f t="shared" si="3"/>
        <v>1</v>
      </c>
      <c r="M38" s="12">
        <f>74.74*2</f>
        <v>149.47999999999999</v>
      </c>
      <c r="N38" s="12">
        <f>24.57*2</f>
        <v>49.14</v>
      </c>
      <c r="O38" s="12">
        <f>12*2</f>
        <v>24</v>
      </c>
      <c r="P38" s="12">
        <f>1.5*2</f>
        <v>3</v>
      </c>
      <c r="Q38" s="12"/>
      <c r="R38" s="12"/>
      <c r="S38" s="12"/>
      <c r="T38" s="12"/>
      <c r="U38" s="12">
        <f>26+5</f>
        <v>31</v>
      </c>
      <c r="V38" s="65" t="s">
        <v>697</v>
      </c>
      <c r="W38" s="44" t="str">
        <f t="shared" si="2"/>
        <v>OK</v>
      </c>
      <c r="X38" s="47" t="str">
        <f t="shared" si="4"/>
        <v/>
      </c>
      <c r="Y38" s="3"/>
      <c r="Z38" s="3"/>
    </row>
    <row r="39" spans="1:26" ht="14.4" hidden="1" outlineLevel="1" x14ac:dyDescent="0.3">
      <c r="A39" s="3"/>
      <c r="B39" s="10" t="s">
        <v>457</v>
      </c>
      <c r="C39" s="62">
        <v>10</v>
      </c>
      <c r="D39" s="62" t="s">
        <v>94</v>
      </c>
      <c r="E39" s="12">
        <f t="shared" ref="E39:E42" si="22">SUM(M39:U39)</f>
        <v>179.44</v>
      </c>
      <c r="F39" s="101">
        <f t="shared" ref="F39:F42" si="23">E39</f>
        <v>179.44</v>
      </c>
      <c r="G39" s="250"/>
      <c r="H39" s="103" t="s">
        <v>37</v>
      </c>
      <c r="I39" s="63"/>
      <c r="J39" s="64"/>
      <c r="K39" s="12"/>
      <c r="L39" s="62" t="str">
        <f t="shared" si="3"/>
        <v/>
      </c>
      <c r="M39" s="12">
        <v>103.43</v>
      </c>
      <c r="N39" s="12">
        <v>24.57</v>
      </c>
      <c r="O39" s="12">
        <v>12</v>
      </c>
      <c r="P39" s="12">
        <v>1.44</v>
      </c>
      <c r="Q39" s="12"/>
      <c r="R39" s="12">
        <v>5</v>
      </c>
      <c r="S39" s="12"/>
      <c r="T39" s="12"/>
      <c r="U39" s="12">
        <v>33</v>
      </c>
      <c r="V39" s="65" t="s">
        <v>702</v>
      </c>
      <c r="W39" s="44" t="str">
        <f t="shared" si="2"/>
        <v>OK</v>
      </c>
      <c r="X39" s="47" t="str">
        <f t="shared" si="4"/>
        <v/>
      </c>
      <c r="Y39" s="3"/>
      <c r="Z39" s="3"/>
    </row>
    <row r="40" spans="1:26" ht="14.4" hidden="1" outlineLevel="1" x14ac:dyDescent="0.3">
      <c r="A40" s="3"/>
      <c r="B40" s="10" t="s">
        <v>458</v>
      </c>
      <c r="C40" s="62">
        <v>10</v>
      </c>
      <c r="D40" s="62" t="s">
        <v>94</v>
      </c>
      <c r="E40" s="12">
        <f t="shared" si="22"/>
        <v>589.44000000000005</v>
      </c>
      <c r="F40" s="101">
        <f t="shared" si="23"/>
        <v>589.44000000000005</v>
      </c>
      <c r="G40" s="251"/>
      <c r="H40" s="103" t="s">
        <v>37</v>
      </c>
      <c r="I40" s="63"/>
      <c r="J40" s="64"/>
      <c r="K40" s="12"/>
      <c r="L40" s="62" t="str">
        <f t="shared" si="3"/>
        <v/>
      </c>
      <c r="M40" s="12">
        <v>103.43</v>
      </c>
      <c r="N40" s="12">
        <v>24.57</v>
      </c>
      <c r="O40" s="12">
        <v>12</v>
      </c>
      <c r="P40" s="12">
        <v>1.44</v>
      </c>
      <c r="Q40" s="12">
        <v>5</v>
      </c>
      <c r="R40" s="12">
        <v>5</v>
      </c>
      <c r="S40" s="12"/>
      <c r="T40" s="12"/>
      <c r="U40" s="12">
        <v>438</v>
      </c>
      <c r="V40" s="65" t="s">
        <v>703</v>
      </c>
      <c r="W40" s="44" t="str">
        <f t="shared" si="2"/>
        <v>OK</v>
      </c>
      <c r="X40" s="47" t="str">
        <f t="shared" si="4"/>
        <v/>
      </c>
      <c r="Y40" s="3"/>
      <c r="Z40" s="3"/>
    </row>
    <row r="41" spans="1:26" ht="14.4" hidden="1" outlineLevel="1" x14ac:dyDescent="0.3">
      <c r="A41" s="3"/>
      <c r="B41" s="10" t="s">
        <v>459</v>
      </c>
      <c r="C41" s="62">
        <v>10</v>
      </c>
      <c r="D41" s="62" t="s">
        <v>94</v>
      </c>
      <c r="E41" s="12">
        <f t="shared" si="22"/>
        <v>164.44</v>
      </c>
      <c r="F41" s="101">
        <f t="shared" si="23"/>
        <v>164.44</v>
      </c>
      <c r="G41" s="251"/>
      <c r="H41" s="103" t="s">
        <v>37</v>
      </c>
      <c r="I41" s="63"/>
      <c r="J41" s="64"/>
      <c r="K41" s="12"/>
      <c r="L41" s="62" t="str">
        <f t="shared" si="3"/>
        <v/>
      </c>
      <c r="M41" s="12">
        <v>103.43</v>
      </c>
      <c r="N41" s="12">
        <v>24.57</v>
      </c>
      <c r="O41" s="12">
        <v>12</v>
      </c>
      <c r="P41" s="12">
        <v>1.44</v>
      </c>
      <c r="Q41" s="12">
        <v>5</v>
      </c>
      <c r="R41" s="12">
        <v>5</v>
      </c>
      <c r="S41" s="12"/>
      <c r="T41" s="12"/>
      <c r="U41" s="12">
        <v>13</v>
      </c>
      <c r="V41" s="65" t="s">
        <v>697</v>
      </c>
      <c r="W41" s="44" t="str">
        <f t="shared" si="2"/>
        <v>OK</v>
      </c>
      <c r="X41" s="47" t="str">
        <f t="shared" si="4"/>
        <v/>
      </c>
      <c r="Y41" s="3"/>
      <c r="Z41" s="3"/>
    </row>
    <row r="42" spans="1:26" ht="14.4" hidden="1" outlineLevel="1" x14ac:dyDescent="0.3">
      <c r="A42" s="3"/>
      <c r="B42" s="10" t="s">
        <v>460</v>
      </c>
      <c r="C42" s="62">
        <v>10</v>
      </c>
      <c r="D42" s="62" t="s">
        <v>94</v>
      </c>
      <c r="E42" s="12">
        <f t="shared" si="22"/>
        <v>82.59</v>
      </c>
      <c r="F42" s="101">
        <f t="shared" si="23"/>
        <v>82.59</v>
      </c>
      <c r="G42" s="252"/>
      <c r="H42" s="103" t="s">
        <v>37</v>
      </c>
      <c r="I42" s="63"/>
      <c r="J42" s="64"/>
      <c r="K42" s="12"/>
      <c r="L42" s="62" t="str">
        <f t="shared" si="3"/>
        <v/>
      </c>
      <c r="M42" s="12">
        <v>31.58</v>
      </c>
      <c r="N42" s="12">
        <v>24.57</v>
      </c>
      <c r="O42" s="12">
        <v>12</v>
      </c>
      <c r="P42" s="12">
        <v>1.44</v>
      </c>
      <c r="Q42" s="12"/>
      <c r="R42" s="12"/>
      <c r="S42" s="12"/>
      <c r="T42" s="12"/>
      <c r="U42" s="12">
        <v>13</v>
      </c>
      <c r="V42" s="65" t="s">
        <v>697</v>
      </c>
      <c r="W42" s="44" t="str">
        <f t="shared" si="2"/>
        <v>OK</v>
      </c>
      <c r="X42" s="47" t="str">
        <f t="shared" si="4"/>
        <v/>
      </c>
      <c r="Y42" s="3"/>
      <c r="Z42" s="3"/>
    </row>
    <row r="43" spans="1:26" ht="24" hidden="1" outlineLevel="1" x14ac:dyDescent="0.3">
      <c r="A43" s="3"/>
      <c r="B43" s="61" t="s">
        <v>461</v>
      </c>
      <c r="C43" s="62">
        <v>1</v>
      </c>
      <c r="D43" s="62" t="s">
        <v>129</v>
      </c>
      <c r="E43" s="12">
        <v>233</v>
      </c>
      <c r="F43" s="101">
        <f>SUM(M43:U43)</f>
        <v>200</v>
      </c>
      <c r="G43" s="121" t="s">
        <v>704</v>
      </c>
      <c r="H43" s="103" t="s">
        <v>37</v>
      </c>
      <c r="I43" s="63"/>
      <c r="J43" s="64"/>
      <c r="K43" s="12"/>
      <c r="L43" s="62" t="str">
        <f t="shared" si="3"/>
        <v/>
      </c>
      <c r="M43" s="12">
        <v>151.99</v>
      </c>
      <c r="N43" s="12">
        <v>24.57</v>
      </c>
      <c r="O43" s="12">
        <v>12</v>
      </c>
      <c r="P43" s="12">
        <v>1.44</v>
      </c>
      <c r="Q43" s="12"/>
      <c r="R43" s="12">
        <v>5</v>
      </c>
      <c r="S43" s="12">
        <v>5</v>
      </c>
      <c r="T43" s="12"/>
      <c r="U43" s="12"/>
      <c r="V43" s="65" t="s">
        <v>702</v>
      </c>
      <c r="W43" s="44" t="str">
        <f t="shared" si="2"/>
        <v>OK</v>
      </c>
      <c r="X43" s="47" t="str">
        <f t="shared" si="4"/>
        <v/>
      </c>
      <c r="Y43" s="3"/>
      <c r="Z43" s="3"/>
    </row>
    <row r="44" spans="1:26" ht="14.4" hidden="1" outlineLevel="1" x14ac:dyDescent="0.3">
      <c r="A44" s="3"/>
      <c r="B44" s="10" t="s">
        <v>462</v>
      </c>
      <c r="C44" s="62">
        <v>11</v>
      </c>
      <c r="D44" s="62" t="s">
        <v>94</v>
      </c>
      <c r="E44" s="12">
        <f t="shared" ref="E44:E47" si="24">SUM(M44:U44)</f>
        <v>311.89</v>
      </c>
      <c r="F44" s="101">
        <f t="shared" ref="F44:F47" si="25">E44</f>
        <v>311.89</v>
      </c>
      <c r="G44" s="250"/>
      <c r="H44" s="103" t="s">
        <v>37</v>
      </c>
      <c r="I44" s="63"/>
      <c r="J44" s="64"/>
      <c r="K44" s="12"/>
      <c r="L44" s="62" t="str">
        <f t="shared" si="3"/>
        <v/>
      </c>
      <c r="M44" s="12">
        <v>125.88</v>
      </c>
      <c r="N44" s="12">
        <v>24.57</v>
      </c>
      <c r="O44" s="12">
        <v>12</v>
      </c>
      <c r="P44" s="12">
        <v>1.44</v>
      </c>
      <c r="Q44" s="12">
        <v>5</v>
      </c>
      <c r="R44" s="12">
        <v>10</v>
      </c>
      <c r="S44" s="12">
        <v>20</v>
      </c>
      <c r="T44" s="12">
        <v>100</v>
      </c>
      <c r="U44" s="12">
        <v>13</v>
      </c>
      <c r="V44" s="65" t="s">
        <v>697</v>
      </c>
      <c r="W44" s="44" t="str">
        <f t="shared" si="2"/>
        <v>OK</v>
      </c>
      <c r="X44" s="47" t="str">
        <f t="shared" si="4"/>
        <v/>
      </c>
      <c r="Y44" s="3"/>
      <c r="Z44" s="3"/>
    </row>
    <row r="45" spans="1:26" ht="14.4" hidden="1" outlineLevel="1" x14ac:dyDescent="0.3">
      <c r="A45" s="3"/>
      <c r="B45" s="10" t="s">
        <v>463</v>
      </c>
      <c r="C45" s="62">
        <v>11</v>
      </c>
      <c r="D45" s="62" t="s">
        <v>94</v>
      </c>
      <c r="E45" s="12">
        <f t="shared" si="24"/>
        <v>175.44</v>
      </c>
      <c r="F45" s="101">
        <f t="shared" si="25"/>
        <v>175.44</v>
      </c>
      <c r="G45" s="252"/>
      <c r="H45" s="103" t="s">
        <v>37</v>
      </c>
      <c r="I45" s="63"/>
      <c r="J45" s="64"/>
      <c r="K45" s="12"/>
      <c r="L45" s="62" t="str">
        <f t="shared" si="3"/>
        <v/>
      </c>
      <c r="M45" s="12">
        <v>99.43</v>
      </c>
      <c r="N45" s="12">
        <v>24.57</v>
      </c>
      <c r="O45" s="12">
        <v>12</v>
      </c>
      <c r="P45" s="12">
        <v>1.44</v>
      </c>
      <c r="Q45" s="12">
        <v>5</v>
      </c>
      <c r="R45" s="12"/>
      <c r="S45" s="12">
        <v>20</v>
      </c>
      <c r="T45" s="12"/>
      <c r="U45" s="12">
        <v>13</v>
      </c>
      <c r="V45" s="65" t="s">
        <v>697</v>
      </c>
      <c r="W45" s="44" t="str">
        <f t="shared" si="2"/>
        <v>OK</v>
      </c>
      <c r="X45" s="47" t="str">
        <f t="shared" si="4"/>
        <v/>
      </c>
      <c r="Y45" s="3"/>
      <c r="Z45" s="3"/>
    </row>
    <row r="46" spans="1:26" ht="14.4" hidden="1" outlineLevel="1" x14ac:dyDescent="0.3">
      <c r="A46" s="3"/>
      <c r="B46" s="61" t="s">
        <v>464</v>
      </c>
      <c r="C46" s="62">
        <v>4</v>
      </c>
      <c r="D46" s="62" t="s">
        <v>94</v>
      </c>
      <c r="E46" s="12">
        <f t="shared" si="24"/>
        <v>165</v>
      </c>
      <c r="F46" s="101">
        <f t="shared" si="25"/>
        <v>165</v>
      </c>
      <c r="G46" s="250"/>
      <c r="H46" s="103" t="s">
        <v>37</v>
      </c>
      <c r="I46" s="63"/>
      <c r="J46" s="64"/>
      <c r="K46" s="12"/>
      <c r="L46" s="62" t="str">
        <f t="shared" si="3"/>
        <v/>
      </c>
      <c r="M46" s="12">
        <v>93.43</v>
      </c>
      <c r="N46" s="12">
        <v>24.57</v>
      </c>
      <c r="O46" s="12">
        <v>12</v>
      </c>
      <c r="P46" s="12">
        <v>2</v>
      </c>
      <c r="Q46" s="12">
        <v>5</v>
      </c>
      <c r="R46" s="12">
        <v>5</v>
      </c>
      <c r="S46" s="12">
        <v>10</v>
      </c>
      <c r="T46" s="12"/>
      <c r="U46" s="12">
        <v>13</v>
      </c>
      <c r="V46" s="65" t="s">
        <v>697</v>
      </c>
      <c r="W46" s="44" t="str">
        <f t="shared" si="2"/>
        <v>OK</v>
      </c>
      <c r="X46" s="47" t="str">
        <f t="shared" si="4"/>
        <v/>
      </c>
      <c r="Y46" s="3"/>
      <c r="Z46" s="3"/>
    </row>
    <row r="47" spans="1:26" ht="14.4" hidden="1" outlineLevel="1" x14ac:dyDescent="0.3">
      <c r="A47" s="3"/>
      <c r="B47" s="61" t="s">
        <v>465</v>
      </c>
      <c r="C47" s="62">
        <v>4</v>
      </c>
      <c r="D47" s="62" t="s">
        <v>94</v>
      </c>
      <c r="E47" s="12">
        <f t="shared" si="24"/>
        <v>87</v>
      </c>
      <c r="F47" s="101">
        <f t="shared" si="25"/>
        <v>87</v>
      </c>
      <c r="G47" s="252"/>
      <c r="H47" s="103" t="s">
        <v>37</v>
      </c>
      <c r="I47" s="63"/>
      <c r="J47" s="64"/>
      <c r="K47" s="12"/>
      <c r="L47" s="62" t="str">
        <f t="shared" si="3"/>
        <v/>
      </c>
      <c r="M47" s="12">
        <v>43.93</v>
      </c>
      <c r="N47" s="12">
        <v>24.57</v>
      </c>
      <c r="O47" s="12">
        <v>12</v>
      </c>
      <c r="P47" s="12">
        <v>1.5</v>
      </c>
      <c r="Q47" s="12"/>
      <c r="R47" s="12"/>
      <c r="S47" s="12">
        <v>5</v>
      </c>
      <c r="T47" s="12"/>
      <c r="U47" s="12"/>
      <c r="V47" s="65"/>
      <c r="W47" s="44" t="str">
        <f t="shared" si="2"/>
        <v>OK</v>
      </c>
      <c r="X47" s="47" t="str">
        <f t="shared" si="4"/>
        <v/>
      </c>
      <c r="Y47" s="3"/>
      <c r="Z47" s="3"/>
    </row>
    <row r="48" spans="1:26" ht="14.4" hidden="1" outlineLevel="1" x14ac:dyDescent="0.3">
      <c r="A48" s="3"/>
      <c r="B48" s="10" t="s">
        <v>466</v>
      </c>
      <c r="C48" s="62">
        <v>1</v>
      </c>
      <c r="D48" s="62" t="s">
        <v>94</v>
      </c>
      <c r="E48" s="12">
        <v>244.99</v>
      </c>
      <c r="F48" s="101">
        <f t="shared" ref="F48:F51" si="26">SUM(M48:U48)</f>
        <v>507.98</v>
      </c>
      <c r="G48" s="253" t="s">
        <v>705</v>
      </c>
      <c r="H48" s="103" t="s">
        <v>37</v>
      </c>
      <c r="I48" s="63"/>
      <c r="J48" s="64"/>
      <c r="K48" s="12"/>
      <c r="L48" s="62" t="str">
        <f t="shared" si="3"/>
        <v/>
      </c>
      <c r="M48" s="12">
        <f>118.98*2</f>
        <v>237.96</v>
      </c>
      <c r="N48" s="12">
        <f t="shared" ref="N48:N49" si="27">24.57*2</f>
        <v>49.14</v>
      </c>
      <c r="O48" s="12">
        <f t="shared" ref="O48:O49" si="28">12*2</f>
        <v>24</v>
      </c>
      <c r="P48" s="12">
        <f>11.44*2</f>
        <v>22.88</v>
      </c>
      <c r="Q48" s="12">
        <f>5*2</f>
        <v>10</v>
      </c>
      <c r="R48" s="12">
        <f>10*2</f>
        <v>20</v>
      </c>
      <c r="S48" s="12"/>
      <c r="T48" s="12"/>
      <c r="U48" s="12">
        <f>68+10+66</f>
        <v>144</v>
      </c>
      <c r="V48" s="65" t="s">
        <v>698</v>
      </c>
      <c r="W48" s="44" t="str">
        <f t="shared" si="2"/>
        <v>OK</v>
      </c>
      <c r="X48" s="47" t="str">
        <f t="shared" si="4"/>
        <v/>
      </c>
      <c r="Y48" s="3"/>
      <c r="Z48" s="3"/>
    </row>
    <row r="49" spans="1:26" ht="14.4" hidden="1" outlineLevel="1" x14ac:dyDescent="0.3">
      <c r="A49" s="3"/>
      <c r="B49" s="10" t="s">
        <v>467</v>
      </c>
      <c r="C49" s="62">
        <v>1</v>
      </c>
      <c r="D49" s="62" t="s">
        <v>94</v>
      </c>
      <c r="E49" s="12">
        <v>106.74</v>
      </c>
      <c r="F49" s="101">
        <f t="shared" si="26"/>
        <v>205.48</v>
      </c>
      <c r="G49" s="252"/>
      <c r="H49" s="103" t="s">
        <v>37</v>
      </c>
      <c r="I49" s="63"/>
      <c r="J49" s="64"/>
      <c r="K49" s="12"/>
      <c r="L49" s="62" t="str">
        <f t="shared" si="3"/>
        <v/>
      </c>
      <c r="M49" s="12">
        <f>55.73*2</f>
        <v>111.46</v>
      </c>
      <c r="N49" s="12">
        <f t="shared" si="27"/>
        <v>49.14</v>
      </c>
      <c r="O49" s="12">
        <f t="shared" si="28"/>
        <v>24</v>
      </c>
      <c r="P49" s="12">
        <f>1.44*2</f>
        <v>2.88</v>
      </c>
      <c r="Q49" s="12"/>
      <c r="R49" s="12"/>
      <c r="S49" s="12"/>
      <c r="T49" s="12"/>
      <c r="U49" s="12">
        <v>18</v>
      </c>
      <c r="V49" s="65" t="s">
        <v>697</v>
      </c>
      <c r="W49" s="44" t="str">
        <f t="shared" si="2"/>
        <v>OK</v>
      </c>
      <c r="X49" s="47" t="str">
        <f t="shared" si="4"/>
        <v/>
      </c>
      <c r="Y49" s="3"/>
      <c r="Z49" s="3"/>
    </row>
    <row r="50" spans="1:26" ht="14.4" hidden="1" outlineLevel="1" x14ac:dyDescent="0.3">
      <c r="A50" s="3"/>
      <c r="B50" s="61" t="s">
        <v>468</v>
      </c>
      <c r="C50" s="62">
        <v>4</v>
      </c>
      <c r="D50" s="62" t="s">
        <v>94</v>
      </c>
      <c r="E50" s="12">
        <f t="shared" ref="E50:E56" si="29">SUM(M50:U50)</f>
        <v>107.75999999999999</v>
      </c>
      <c r="F50" s="101">
        <f t="shared" si="26"/>
        <v>107.75999999999999</v>
      </c>
      <c r="G50" s="119"/>
      <c r="H50" s="103" t="s">
        <v>37</v>
      </c>
      <c r="I50" s="63"/>
      <c r="J50" s="64"/>
      <c r="K50" s="12"/>
      <c r="L50" s="62" t="str">
        <f t="shared" si="3"/>
        <v/>
      </c>
      <c r="M50" s="12">
        <v>58.19</v>
      </c>
      <c r="N50" s="12">
        <v>24.57</v>
      </c>
      <c r="O50" s="12">
        <v>12</v>
      </c>
      <c r="P50" s="12" t="s">
        <v>43</v>
      </c>
      <c r="Q50" s="12" t="s">
        <v>43</v>
      </c>
      <c r="R50" s="12" t="s">
        <v>43</v>
      </c>
      <c r="S50" s="12" t="s">
        <v>43</v>
      </c>
      <c r="T50" s="12"/>
      <c r="U50" s="12">
        <v>13</v>
      </c>
      <c r="V50" s="65" t="s">
        <v>697</v>
      </c>
      <c r="W50" s="44" t="str">
        <f t="shared" si="2"/>
        <v>OK</v>
      </c>
      <c r="X50" s="47" t="str">
        <f t="shared" si="4"/>
        <v/>
      </c>
      <c r="Y50" s="3"/>
      <c r="Z50" s="3"/>
    </row>
    <row r="51" spans="1:26" ht="14.4" hidden="1" outlineLevel="1" x14ac:dyDescent="0.3">
      <c r="A51" s="3"/>
      <c r="B51" s="61" t="s">
        <v>469</v>
      </c>
      <c r="C51" s="62">
        <v>4</v>
      </c>
      <c r="D51" s="62" t="s">
        <v>94</v>
      </c>
      <c r="E51" s="12">
        <f t="shared" si="29"/>
        <v>83.45</v>
      </c>
      <c r="F51" s="101">
        <f t="shared" si="26"/>
        <v>83.45</v>
      </c>
      <c r="G51" s="119"/>
      <c r="H51" s="103" t="s">
        <v>37</v>
      </c>
      <c r="I51" s="63"/>
      <c r="J51" s="64"/>
      <c r="K51" s="12"/>
      <c r="L51" s="62" t="str">
        <f t="shared" si="3"/>
        <v/>
      </c>
      <c r="M51" s="12">
        <v>33.880000000000003</v>
      </c>
      <c r="N51" s="12">
        <v>24.57</v>
      </c>
      <c r="O51" s="12">
        <v>12</v>
      </c>
      <c r="P51" s="12" t="s">
        <v>43</v>
      </c>
      <c r="Q51" s="12"/>
      <c r="R51" s="12" t="s">
        <v>43</v>
      </c>
      <c r="S51" s="12"/>
      <c r="T51" s="12"/>
      <c r="U51" s="12">
        <v>13</v>
      </c>
      <c r="V51" s="65" t="s">
        <v>697</v>
      </c>
      <c r="W51" s="44" t="str">
        <f t="shared" si="2"/>
        <v>OK</v>
      </c>
      <c r="X51" s="47" t="str">
        <f t="shared" si="4"/>
        <v/>
      </c>
      <c r="Y51" s="3"/>
      <c r="Z51" s="3"/>
    </row>
    <row r="52" spans="1:26" ht="14.4" hidden="1" outlineLevel="1" x14ac:dyDescent="0.3">
      <c r="A52" s="3"/>
      <c r="B52" s="10" t="s">
        <v>470</v>
      </c>
      <c r="C52" s="62">
        <v>24</v>
      </c>
      <c r="D52" s="62" t="s">
        <v>94</v>
      </c>
      <c r="E52" s="12">
        <f t="shared" si="29"/>
        <v>204.69</v>
      </c>
      <c r="F52" s="101">
        <f t="shared" ref="F52:F56" si="30">E52</f>
        <v>204.69</v>
      </c>
      <c r="G52" s="119"/>
      <c r="H52" s="103" t="s">
        <v>37</v>
      </c>
      <c r="I52" s="63"/>
      <c r="J52" s="64"/>
      <c r="K52" s="12"/>
      <c r="L52" s="62">
        <f t="shared" si="3"/>
        <v>1</v>
      </c>
      <c r="M52" s="12">
        <v>93.62</v>
      </c>
      <c r="N52" s="12">
        <v>24.57</v>
      </c>
      <c r="O52" s="12">
        <v>12</v>
      </c>
      <c r="P52" s="12">
        <v>1.5</v>
      </c>
      <c r="Q52" s="12"/>
      <c r="R52" s="12"/>
      <c r="S52" s="12">
        <v>10</v>
      </c>
      <c r="T52" s="12"/>
      <c r="U52" s="12">
        <v>63</v>
      </c>
      <c r="V52" s="65" t="s">
        <v>698</v>
      </c>
      <c r="W52" s="44" t="str">
        <f t="shared" si="2"/>
        <v>OK</v>
      </c>
      <c r="X52" s="47" t="str">
        <f t="shared" si="4"/>
        <v/>
      </c>
      <c r="Y52" s="3"/>
      <c r="Z52" s="3"/>
    </row>
    <row r="53" spans="1:26" ht="14.4" hidden="1" outlineLevel="1" x14ac:dyDescent="0.3">
      <c r="A53" s="3"/>
      <c r="B53" s="10" t="s">
        <v>472</v>
      </c>
      <c r="C53" s="62">
        <v>24</v>
      </c>
      <c r="D53" s="62" t="s">
        <v>94</v>
      </c>
      <c r="E53" s="12">
        <f t="shared" si="29"/>
        <v>144.69</v>
      </c>
      <c r="F53" s="101">
        <f t="shared" si="30"/>
        <v>144.69</v>
      </c>
      <c r="G53" s="119"/>
      <c r="H53" s="103" t="s">
        <v>37</v>
      </c>
      <c r="I53" s="63"/>
      <c r="J53" s="64"/>
      <c r="K53" s="12"/>
      <c r="L53" s="62">
        <f t="shared" si="3"/>
        <v>1</v>
      </c>
      <c r="M53" s="12">
        <v>93.62</v>
      </c>
      <c r="N53" s="12">
        <v>24.57</v>
      </c>
      <c r="O53" s="12">
        <v>12</v>
      </c>
      <c r="P53" s="12">
        <v>1.5</v>
      </c>
      <c r="Q53" s="12"/>
      <c r="R53" s="12"/>
      <c r="S53" s="12"/>
      <c r="T53" s="12"/>
      <c r="U53" s="12">
        <v>13</v>
      </c>
      <c r="V53" s="65" t="s">
        <v>697</v>
      </c>
      <c r="W53" s="44" t="str">
        <f t="shared" si="2"/>
        <v>OK</v>
      </c>
      <c r="X53" s="47" t="str">
        <f t="shared" si="4"/>
        <v/>
      </c>
      <c r="Y53" s="3"/>
      <c r="Z53" s="3"/>
    </row>
    <row r="54" spans="1:26" ht="14.4" hidden="1" outlineLevel="1" x14ac:dyDescent="0.3">
      <c r="A54" s="3"/>
      <c r="B54" s="61" t="s">
        <v>473</v>
      </c>
      <c r="C54" s="62">
        <v>9</v>
      </c>
      <c r="D54" s="62" t="s">
        <v>94</v>
      </c>
      <c r="E54" s="12">
        <f t="shared" si="29"/>
        <v>195.44</v>
      </c>
      <c r="F54" s="101">
        <f t="shared" si="30"/>
        <v>195.44</v>
      </c>
      <c r="G54" s="119"/>
      <c r="H54" s="103" t="s">
        <v>37</v>
      </c>
      <c r="I54" s="63"/>
      <c r="J54" s="64"/>
      <c r="K54" s="12"/>
      <c r="L54" s="62" t="str">
        <f t="shared" si="3"/>
        <v/>
      </c>
      <c r="M54" s="12">
        <v>139.43</v>
      </c>
      <c r="N54" s="12">
        <v>24.57</v>
      </c>
      <c r="O54" s="12">
        <v>12</v>
      </c>
      <c r="P54" s="12">
        <v>1.44</v>
      </c>
      <c r="Q54" s="12">
        <v>5</v>
      </c>
      <c r="R54" s="12"/>
      <c r="S54" s="12"/>
      <c r="T54" s="12"/>
      <c r="U54" s="12">
        <v>13</v>
      </c>
      <c r="V54" s="65" t="s">
        <v>697</v>
      </c>
      <c r="W54" s="44" t="str">
        <f t="shared" si="2"/>
        <v>OK</v>
      </c>
      <c r="X54" s="47" t="str">
        <f t="shared" si="4"/>
        <v/>
      </c>
      <c r="Y54" s="3"/>
      <c r="Z54" s="3"/>
    </row>
    <row r="55" spans="1:26" ht="14.4" hidden="1" outlineLevel="1" x14ac:dyDescent="0.3">
      <c r="A55" s="3"/>
      <c r="B55" s="10" t="s">
        <v>474</v>
      </c>
      <c r="C55" s="62">
        <v>7</v>
      </c>
      <c r="D55" s="62" t="s">
        <v>94</v>
      </c>
      <c r="E55" s="12">
        <f t="shared" si="29"/>
        <v>259.28999999999996</v>
      </c>
      <c r="F55" s="101">
        <f t="shared" si="30"/>
        <v>259.28999999999996</v>
      </c>
      <c r="G55" s="119"/>
      <c r="H55" s="103" t="s">
        <v>37</v>
      </c>
      <c r="I55" s="63"/>
      <c r="J55" s="64"/>
      <c r="K55" s="12"/>
      <c r="L55" s="62" t="str">
        <f t="shared" si="3"/>
        <v/>
      </c>
      <c r="M55" s="12">
        <v>98.28</v>
      </c>
      <c r="N55" s="12">
        <v>24.57</v>
      </c>
      <c r="O55" s="12">
        <v>12</v>
      </c>
      <c r="P55" s="12">
        <v>1.44</v>
      </c>
      <c r="Q55" s="12"/>
      <c r="R55" s="12">
        <v>10</v>
      </c>
      <c r="S55" s="12"/>
      <c r="T55" s="12">
        <v>100</v>
      </c>
      <c r="U55" s="12">
        <v>13</v>
      </c>
      <c r="V55" s="65" t="s">
        <v>697</v>
      </c>
      <c r="W55" s="44" t="str">
        <f t="shared" si="2"/>
        <v>OK</v>
      </c>
      <c r="X55" s="47" t="str">
        <f t="shared" si="4"/>
        <v/>
      </c>
      <c r="Y55" s="3"/>
      <c r="Z55" s="3"/>
    </row>
    <row r="56" spans="1:26" ht="14.4" hidden="1" outlineLevel="1" x14ac:dyDescent="0.3">
      <c r="A56" s="3"/>
      <c r="B56" s="10" t="s">
        <v>476</v>
      </c>
      <c r="C56" s="62">
        <v>7</v>
      </c>
      <c r="D56" s="62" t="s">
        <v>94</v>
      </c>
      <c r="E56" s="12">
        <f t="shared" si="29"/>
        <v>159.29</v>
      </c>
      <c r="F56" s="101">
        <f t="shared" si="30"/>
        <v>159.29</v>
      </c>
      <c r="G56" s="119"/>
      <c r="H56" s="103" t="s">
        <v>37</v>
      </c>
      <c r="I56" s="63"/>
      <c r="J56" s="64"/>
      <c r="K56" s="12"/>
      <c r="L56" s="62" t="str">
        <f t="shared" si="3"/>
        <v/>
      </c>
      <c r="M56" s="12">
        <v>98.28</v>
      </c>
      <c r="N56" s="12">
        <v>24.57</v>
      </c>
      <c r="O56" s="12">
        <v>12</v>
      </c>
      <c r="P56" s="12">
        <v>1.44</v>
      </c>
      <c r="Q56" s="12"/>
      <c r="R56" s="12">
        <v>10</v>
      </c>
      <c r="S56" s="12"/>
      <c r="T56" s="12"/>
      <c r="U56" s="12">
        <v>13</v>
      </c>
      <c r="V56" s="65" t="s">
        <v>697</v>
      </c>
      <c r="W56" s="44" t="str">
        <f t="shared" si="2"/>
        <v>OK</v>
      </c>
      <c r="X56" s="47" t="str">
        <f t="shared" si="4"/>
        <v/>
      </c>
      <c r="Y56" s="3"/>
      <c r="Z56" s="3"/>
    </row>
    <row r="57" spans="1:26" ht="14.4" hidden="1" outlineLevel="1" x14ac:dyDescent="0.3">
      <c r="A57" s="3"/>
      <c r="B57" s="61" t="s">
        <v>477</v>
      </c>
      <c r="C57" s="62">
        <v>18</v>
      </c>
      <c r="D57" s="62" t="s">
        <v>94</v>
      </c>
      <c r="E57" s="12">
        <v>70</v>
      </c>
      <c r="F57" s="101">
        <f>SUM(M57:U57)</f>
        <v>170</v>
      </c>
      <c r="G57" s="119"/>
      <c r="H57" s="103" t="s">
        <v>37</v>
      </c>
      <c r="I57" s="63"/>
      <c r="J57" s="64"/>
      <c r="K57" s="12"/>
      <c r="L57" s="62">
        <f t="shared" si="3"/>
        <v>1</v>
      </c>
      <c r="M57" s="12">
        <f>13.93+100</f>
        <v>113.93</v>
      </c>
      <c r="N57" s="12">
        <v>24.57</v>
      </c>
      <c r="O57" s="12">
        <v>12</v>
      </c>
      <c r="P57" s="12">
        <v>1.5</v>
      </c>
      <c r="Q57" s="12">
        <v>5</v>
      </c>
      <c r="R57" s="12"/>
      <c r="S57" s="12"/>
      <c r="T57" s="12"/>
      <c r="U57" s="12">
        <v>13</v>
      </c>
      <c r="V57" s="65" t="s">
        <v>697</v>
      </c>
      <c r="W57" s="44" t="str">
        <f t="shared" si="2"/>
        <v>OK</v>
      </c>
      <c r="X57" s="47" t="str">
        <f t="shared" si="4"/>
        <v/>
      </c>
      <c r="Y57" s="3"/>
      <c r="Z57" s="3"/>
    </row>
    <row r="58" spans="1:26" ht="14.4" hidden="1" outlineLevel="1" x14ac:dyDescent="0.3">
      <c r="A58" s="3"/>
      <c r="B58" s="10" t="s">
        <v>478</v>
      </c>
      <c r="C58" s="62">
        <v>4</v>
      </c>
      <c r="D58" s="62" t="s">
        <v>94</v>
      </c>
      <c r="E58" s="12">
        <f t="shared" ref="E58:E76" si="31">SUM(M58:U58)</f>
        <v>163.5</v>
      </c>
      <c r="F58" s="101">
        <f t="shared" ref="F58:F60" si="32">E58</f>
        <v>163.5</v>
      </c>
      <c r="G58" s="119"/>
      <c r="H58" s="103" t="s">
        <v>37</v>
      </c>
      <c r="I58" s="63"/>
      <c r="J58" s="64"/>
      <c r="K58" s="12"/>
      <c r="L58" s="62" t="str">
        <f t="shared" si="3"/>
        <v/>
      </c>
      <c r="M58" s="12">
        <v>93.43</v>
      </c>
      <c r="N58" s="12">
        <v>24.57</v>
      </c>
      <c r="O58" s="12">
        <v>12</v>
      </c>
      <c r="P58" s="12">
        <v>1.5</v>
      </c>
      <c r="Q58" s="12"/>
      <c r="R58" s="12">
        <v>10</v>
      </c>
      <c r="S58" s="12">
        <v>4</v>
      </c>
      <c r="T58" s="12">
        <v>5</v>
      </c>
      <c r="U58" s="12">
        <v>13</v>
      </c>
      <c r="V58" s="65" t="s">
        <v>697</v>
      </c>
      <c r="W58" s="44" t="str">
        <f t="shared" si="2"/>
        <v>OK</v>
      </c>
      <c r="X58" s="47" t="str">
        <f t="shared" si="4"/>
        <v/>
      </c>
      <c r="Y58" s="3"/>
      <c r="Z58" s="3"/>
    </row>
    <row r="59" spans="1:26" ht="14.4" hidden="1" outlineLevel="1" x14ac:dyDescent="0.3">
      <c r="A59" s="3"/>
      <c r="B59" s="10" t="s">
        <v>479</v>
      </c>
      <c r="C59" s="62">
        <v>4</v>
      </c>
      <c r="D59" s="62" t="s">
        <v>94</v>
      </c>
      <c r="E59" s="12">
        <f t="shared" si="31"/>
        <v>162.5</v>
      </c>
      <c r="F59" s="101">
        <f t="shared" si="32"/>
        <v>162.5</v>
      </c>
      <c r="G59" s="119"/>
      <c r="H59" s="103" t="s">
        <v>37</v>
      </c>
      <c r="I59" s="63"/>
      <c r="J59" s="64"/>
      <c r="K59" s="12"/>
      <c r="L59" s="62" t="str">
        <f t="shared" si="3"/>
        <v/>
      </c>
      <c r="M59" s="12">
        <v>93.43</v>
      </c>
      <c r="N59" s="12">
        <v>24.57</v>
      </c>
      <c r="O59" s="12">
        <v>12</v>
      </c>
      <c r="P59" s="12">
        <v>1.5</v>
      </c>
      <c r="Q59" s="12"/>
      <c r="R59" s="12">
        <v>10</v>
      </c>
      <c r="S59" s="12">
        <v>3</v>
      </c>
      <c r="T59" s="12">
        <v>5</v>
      </c>
      <c r="U59" s="12">
        <v>13</v>
      </c>
      <c r="V59" s="65" t="s">
        <v>697</v>
      </c>
      <c r="W59" s="44" t="str">
        <f t="shared" si="2"/>
        <v>OK</v>
      </c>
      <c r="X59" s="47" t="str">
        <f t="shared" si="4"/>
        <v/>
      </c>
      <c r="Y59" s="3"/>
      <c r="Z59" s="3"/>
    </row>
    <row r="60" spans="1:26" ht="14.4" hidden="1" outlineLevel="1" x14ac:dyDescent="0.3">
      <c r="A60" s="3"/>
      <c r="B60" s="61" t="s">
        <v>480</v>
      </c>
      <c r="C60" s="62">
        <v>4</v>
      </c>
      <c r="D60" s="62" t="s">
        <v>94</v>
      </c>
      <c r="E60" s="12">
        <f t="shared" si="31"/>
        <v>100</v>
      </c>
      <c r="F60" s="101">
        <f t="shared" si="32"/>
        <v>100</v>
      </c>
      <c r="G60" s="119"/>
      <c r="H60" s="103" t="s">
        <v>37</v>
      </c>
      <c r="I60" s="63"/>
      <c r="J60" s="64"/>
      <c r="K60" s="12"/>
      <c r="L60" s="62" t="str">
        <f t="shared" si="3"/>
        <v/>
      </c>
      <c r="M60" s="12">
        <v>61.93</v>
      </c>
      <c r="N60" s="12">
        <v>24.57</v>
      </c>
      <c r="O60" s="12">
        <v>12</v>
      </c>
      <c r="P60" s="12">
        <v>1.5</v>
      </c>
      <c r="Q60" s="12"/>
      <c r="R60" s="12"/>
      <c r="S60" s="12"/>
      <c r="T60" s="12"/>
      <c r="U60" s="12"/>
      <c r="V60" s="65"/>
      <c r="W60" s="44" t="str">
        <f t="shared" si="2"/>
        <v>OK</v>
      </c>
      <c r="X60" s="47" t="str">
        <f t="shared" si="4"/>
        <v/>
      </c>
      <c r="Y60" s="3"/>
      <c r="Z60" s="3"/>
    </row>
    <row r="61" spans="1:26" ht="14.4" hidden="1" outlineLevel="1" x14ac:dyDescent="0.3">
      <c r="A61" s="3"/>
      <c r="B61" s="10" t="s">
        <v>481</v>
      </c>
      <c r="C61" s="62"/>
      <c r="D61" s="62"/>
      <c r="E61" s="12">
        <f t="shared" si="31"/>
        <v>75.37</v>
      </c>
      <c r="F61" s="101"/>
      <c r="G61" s="119"/>
      <c r="H61" s="103"/>
      <c r="I61" s="63"/>
      <c r="J61" s="64"/>
      <c r="K61" s="12"/>
      <c r="L61" s="62" t="str">
        <f t="shared" si="3"/>
        <v/>
      </c>
      <c r="M61" s="12">
        <v>19.36</v>
      </c>
      <c r="N61" s="12">
        <v>24.57</v>
      </c>
      <c r="O61" s="12">
        <v>12</v>
      </c>
      <c r="P61" s="12">
        <v>1.44</v>
      </c>
      <c r="Q61" s="12">
        <v>5</v>
      </c>
      <c r="R61" s="12"/>
      <c r="S61" s="12"/>
      <c r="T61" s="12"/>
      <c r="U61" s="12">
        <v>13</v>
      </c>
      <c r="V61" s="65" t="s">
        <v>697</v>
      </c>
      <c r="W61" s="44" t="str">
        <f t="shared" si="2"/>
        <v>Diferente</v>
      </c>
      <c r="X61" s="47">
        <f t="shared" si="4"/>
        <v>-75.37</v>
      </c>
      <c r="Y61" s="3"/>
      <c r="Z61" s="3"/>
    </row>
    <row r="62" spans="1:26" ht="14.4" hidden="1" outlineLevel="1" x14ac:dyDescent="0.3">
      <c r="A62" s="3"/>
      <c r="B62" s="61" t="s">
        <v>482</v>
      </c>
      <c r="C62" s="62"/>
      <c r="D62" s="62"/>
      <c r="E62" s="12">
        <f t="shared" si="31"/>
        <v>85.75</v>
      </c>
      <c r="F62" s="101"/>
      <c r="G62" s="119"/>
      <c r="H62" s="103"/>
      <c r="I62" s="63"/>
      <c r="J62" s="64"/>
      <c r="K62" s="12"/>
      <c r="L62" s="62" t="str">
        <f t="shared" si="3"/>
        <v/>
      </c>
      <c r="M62" s="12">
        <v>29.74</v>
      </c>
      <c r="N62" s="12">
        <v>24.57</v>
      </c>
      <c r="O62" s="12">
        <v>12</v>
      </c>
      <c r="P62" s="12">
        <v>1.44</v>
      </c>
      <c r="Q62" s="12">
        <v>5</v>
      </c>
      <c r="R62" s="12"/>
      <c r="S62" s="12"/>
      <c r="T62" s="12"/>
      <c r="U62" s="12">
        <v>13</v>
      </c>
      <c r="V62" s="65" t="s">
        <v>697</v>
      </c>
      <c r="W62" s="44" t="str">
        <f t="shared" si="2"/>
        <v>Diferente</v>
      </c>
      <c r="X62" s="47">
        <f t="shared" si="4"/>
        <v>-85.75</v>
      </c>
      <c r="Y62" s="3"/>
      <c r="Z62" s="3"/>
    </row>
    <row r="63" spans="1:26" ht="14.4" hidden="1" outlineLevel="1" x14ac:dyDescent="0.3">
      <c r="A63" s="3"/>
      <c r="B63" s="61" t="s">
        <v>483</v>
      </c>
      <c r="C63" s="62"/>
      <c r="D63" s="62"/>
      <c r="E63" s="12">
        <f t="shared" si="31"/>
        <v>86</v>
      </c>
      <c r="F63" s="101"/>
      <c r="G63" s="119"/>
      <c r="H63" s="103"/>
      <c r="I63" s="63"/>
      <c r="J63" s="64"/>
      <c r="K63" s="12"/>
      <c r="L63" s="62" t="str">
        <f t="shared" si="3"/>
        <v/>
      </c>
      <c r="M63" s="12">
        <v>29.93</v>
      </c>
      <c r="N63" s="12">
        <v>24.57</v>
      </c>
      <c r="O63" s="12">
        <v>12</v>
      </c>
      <c r="P63" s="12">
        <v>1.5</v>
      </c>
      <c r="Q63" s="12">
        <v>5</v>
      </c>
      <c r="R63" s="12"/>
      <c r="S63" s="12"/>
      <c r="T63" s="12"/>
      <c r="U63" s="12">
        <v>13</v>
      </c>
      <c r="V63" s="65" t="s">
        <v>697</v>
      </c>
      <c r="W63" s="44" t="str">
        <f t="shared" si="2"/>
        <v>Diferente</v>
      </c>
      <c r="X63" s="47">
        <f t="shared" si="4"/>
        <v>-86</v>
      </c>
      <c r="Y63" s="3"/>
      <c r="Z63" s="3"/>
    </row>
    <row r="64" spans="1:26" ht="14.4" hidden="1" outlineLevel="1" x14ac:dyDescent="0.3">
      <c r="A64" s="3"/>
      <c r="B64" s="10" t="s">
        <v>484</v>
      </c>
      <c r="C64" s="62"/>
      <c r="D64" s="62"/>
      <c r="E64" s="12">
        <f t="shared" si="31"/>
        <v>163</v>
      </c>
      <c r="F64" s="101"/>
      <c r="G64" s="119"/>
      <c r="H64" s="103"/>
      <c r="I64" s="63"/>
      <c r="J64" s="64"/>
      <c r="K64" s="12"/>
      <c r="L64" s="62" t="str">
        <f t="shared" si="3"/>
        <v/>
      </c>
      <c r="M64" s="12">
        <v>61.99</v>
      </c>
      <c r="N64" s="12">
        <v>24.57</v>
      </c>
      <c r="O64" s="12">
        <v>12</v>
      </c>
      <c r="P64" s="12">
        <v>1.44</v>
      </c>
      <c r="Q64" s="12"/>
      <c r="R64" s="12"/>
      <c r="S64" s="12"/>
      <c r="T64" s="12"/>
      <c r="U64" s="12">
        <v>63</v>
      </c>
      <c r="V64" s="65" t="s">
        <v>706</v>
      </c>
      <c r="W64" s="44" t="str">
        <f t="shared" si="2"/>
        <v>Diferente</v>
      </c>
      <c r="X64" s="47">
        <f t="shared" si="4"/>
        <v>-163</v>
      </c>
      <c r="Y64" s="3"/>
      <c r="Z64" s="3"/>
    </row>
    <row r="65" spans="1:26" ht="14.4" hidden="1" outlineLevel="1" x14ac:dyDescent="0.3">
      <c r="A65" s="3"/>
      <c r="B65" s="61" t="s">
        <v>488</v>
      </c>
      <c r="C65" s="62"/>
      <c r="D65" s="62"/>
      <c r="E65" s="12">
        <f t="shared" si="31"/>
        <v>151.07</v>
      </c>
      <c r="F65" s="101"/>
      <c r="G65" s="119"/>
      <c r="H65" s="103"/>
      <c r="I65" s="63"/>
      <c r="J65" s="64"/>
      <c r="K65" s="12"/>
      <c r="L65" s="62" t="str">
        <f t="shared" si="3"/>
        <v/>
      </c>
      <c r="M65" s="12">
        <v>100</v>
      </c>
      <c r="N65" s="12">
        <v>24.57</v>
      </c>
      <c r="O65" s="12">
        <v>12</v>
      </c>
      <c r="P65" s="12">
        <v>1.5</v>
      </c>
      <c r="Q65" s="12"/>
      <c r="R65" s="12"/>
      <c r="S65" s="12"/>
      <c r="T65" s="12"/>
      <c r="U65" s="12">
        <v>13</v>
      </c>
      <c r="V65" s="65" t="s">
        <v>697</v>
      </c>
      <c r="W65" s="44" t="str">
        <f t="shared" si="2"/>
        <v>Diferente</v>
      </c>
      <c r="X65" s="47">
        <f t="shared" si="4"/>
        <v>-151.07</v>
      </c>
      <c r="Y65" s="3"/>
      <c r="Z65" s="3"/>
    </row>
    <row r="66" spans="1:26" ht="14.4" hidden="1" outlineLevel="1" x14ac:dyDescent="0.3">
      <c r="A66" s="3"/>
      <c r="B66" s="10" t="s">
        <v>489</v>
      </c>
      <c r="C66" s="62">
        <v>4</v>
      </c>
      <c r="D66" s="62" t="s">
        <v>94</v>
      </c>
      <c r="E66" s="12">
        <f t="shared" si="31"/>
        <v>281.82</v>
      </c>
      <c r="F66" s="101">
        <f t="shared" ref="F66:F70" si="33">E66</f>
        <v>281.82</v>
      </c>
      <c r="G66" s="119"/>
      <c r="H66" s="103" t="s">
        <v>37</v>
      </c>
      <c r="I66" s="63"/>
      <c r="J66" s="64"/>
      <c r="K66" s="12"/>
      <c r="L66" s="62" t="str">
        <f t="shared" si="3"/>
        <v/>
      </c>
      <c r="M66" s="12">
        <v>122.25</v>
      </c>
      <c r="N66" s="12">
        <v>24.57</v>
      </c>
      <c r="O66" s="12">
        <v>12</v>
      </c>
      <c r="P66" s="12">
        <v>10</v>
      </c>
      <c r="Q66" s="12">
        <v>5</v>
      </c>
      <c r="R66" s="12">
        <v>5</v>
      </c>
      <c r="S66" s="12">
        <v>15</v>
      </c>
      <c r="T66" s="12">
        <v>25</v>
      </c>
      <c r="U66" s="12">
        <v>63</v>
      </c>
      <c r="V66" s="65" t="s">
        <v>698</v>
      </c>
      <c r="W66" s="44" t="str">
        <f t="shared" si="2"/>
        <v>OK</v>
      </c>
      <c r="X66" s="47" t="str">
        <f t="shared" si="4"/>
        <v/>
      </c>
      <c r="Y66" s="3"/>
      <c r="Z66" s="3"/>
    </row>
    <row r="67" spans="1:26" ht="14.4" hidden="1" outlineLevel="1" x14ac:dyDescent="0.3">
      <c r="A67" s="3"/>
      <c r="B67" s="10" t="s">
        <v>490</v>
      </c>
      <c r="C67" s="62">
        <v>4</v>
      </c>
      <c r="D67" s="62" t="s">
        <v>94</v>
      </c>
      <c r="E67" s="12">
        <f t="shared" si="31"/>
        <v>231.82</v>
      </c>
      <c r="F67" s="101">
        <f t="shared" si="33"/>
        <v>231.82</v>
      </c>
      <c r="G67" s="119"/>
      <c r="H67" s="103" t="s">
        <v>37</v>
      </c>
      <c r="I67" s="63"/>
      <c r="J67" s="64"/>
      <c r="K67" s="12"/>
      <c r="L67" s="62" t="str">
        <f t="shared" si="3"/>
        <v/>
      </c>
      <c r="M67" s="12">
        <v>122.25</v>
      </c>
      <c r="N67" s="12">
        <v>24.57</v>
      </c>
      <c r="O67" s="12">
        <v>12</v>
      </c>
      <c r="P67" s="12">
        <v>10</v>
      </c>
      <c r="Q67" s="12">
        <v>5</v>
      </c>
      <c r="R67" s="12">
        <v>5</v>
      </c>
      <c r="S67" s="12">
        <v>15</v>
      </c>
      <c r="T67" s="12">
        <v>25</v>
      </c>
      <c r="U67" s="12">
        <v>13</v>
      </c>
      <c r="V67" s="65" t="s">
        <v>697</v>
      </c>
      <c r="W67" s="44" t="str">
        <f t="shared" si="2"/>
        <v>OK</v>
      </c>
      <c r="X67" s="47" t="str">
        <f t="shared" si="4"/>
        <v/>
      </c>
      <c r="Y67" s="3"/>
      <c r="Z67" s="3"/>
    </row>
    <row r="68" spans="1:26" ht="14.4" hidden="1" outlineLevel="1" x14ac:dyDescent="0.3">
      <c r="A68" s="3"/>
      <c r="B68" s="61" t="s">
        <v>491</v>
      </c>
      <c r="C68" s="62">
        <v>14</v>
      </c>
      <c r="D68" s="62" t="s">
        <v>94</v>
      </c>
      <c r="E68" s="12">
        <f t="shared" si="31"/>
        <v>244.44</v>
      </c>
      <c r="F68" s="101">
        <f t="shared" si="33"/>
        <v>244.44</v>
      </c>
      <c r="G68" s="119"/>
      <c r="H68" s="103" t="s">
        <v>37</v>
      </c>
      <c r="I68" s="63"/>
      <c r="J68" s="64"/>
      <c r="K68" s="12"/>
      <c r="L68" s="62">
        <f t="shared" si="3"/>
        <v>1</v>
      </c>
      <c r="M68" s="12">
        <v>113.43</v>
      </c>
      <c r="N68" s="12">
        <v>24.57</v>
      </c>
      <c r="O68" s="12">
        <v>12</v>
      </c>
      <c r="P68" s="12">
        <v>1.44</v>
      </c>
      <c r="Q68" s="12">
        <v>5</v>
      </c>
      <c r="R68" s="12">
        <v>20</v>
      </c>
      <c r="S68" s="12">
        <v>5</v>
      </c>
      <c r="T68" s="12"/>
      <c r="U68" s="12">
        <v>63</v>
      </c>
      <c r="V68" s="65" t="s">
        <v>707</v>
      </c>
      <c r="W68" s="44" t="str">
        <f t="shared" si="2"/>
        <v>OK</v>
      </c>
      <c r="X68" s="47" t="str">
        <f t="shared" si="4"/>
        <v/>
      </c>
      <c r="Y68" s="3"/>
      <c r="Z68" s="3"/>
    </row>
    <row r="69" spans="1:26" ht="14.4" hidden="1" outlineLevel="1" x14ac:dyDescent="0.3">
      <c r="A69" s="3"/>
      <c r="B69" s="10" t="s">
        <v>492</v>
      </c>
      <c r="C69" s="62">
        <v>6</v>
      </c>
      <c r="D69" s="62" t="s">
        <v>94</v>
      </c>
      <c r="E69" s="12">
        <f t="shared" si="31"/>
        <v>78.67</v>
      </c>
      <c r="F69" s="101">
        <f t="shared" si="33"/>
        <v>78.67</v>
      </c>
      <c r="G69" s="119"/>
      <c r="H69" s="103" t="s">
        <v>37</v>
      </c>
      <c r="I69" s="63"/>
      <c r="J69" s="64"/>
      <c r="K69" s="12"/>
      <c r="L69" s="62" t="str">
        <f t="shared" si="3"/>
        <v/>
      </c>
      <c r="M69" s="12">
        <v>27.66</v>
      </c>
      <c r="N69" s="12">
        <v>24.57</v>
      </c>
      <c r="O69" s="12">
        <v>12</v>
      </c>
      <c r="P69" s="12">
        <v>1.44</v>
      </c>
      <c r="Q69" s="12"/>
      <c r="R69" s="12"/>
      <c r="S69" s="12"/>
      <c r="T69" s="12"/>
      <c r="U69" s="12">
        <v>13</v>
      </c>
      <c r="V69" s="65" t="s">
        <v>697</v>
      </c>
      <c r="W69" s="44" t="str">
        <f t="shared" si="2"/>
        <v>OK</v>
      </c>
      <c r="X69" s="47" t="str">
        <f t="shared" si="4"/>
        <v/>
      </c>
      <c r="Y69" s="3"/>
      <c r="Z69" s="3"/>
    </row>
    <row r="70" spans="1:26" ht="14.4" hidden="1" outlineLevel="1" x14ac:dyDescent="0.3">
      <c r="A70" s="3"/>
      <c r="B70" s="61" t="s">
        <v>493</v>
      </c>
      <c r="C70" s="62">
        <v>11</v>
      </c>
      <c r="D70" s="62" t="s">
        <v>94</v>
      </c>
      <c r="E70" s="12">
        <f t="shared" si="31"/>
        <v>133</v>
      </c>
      <c r="F70" s="101">
        <f t="shared" si="33"/>
        <v>133</v>
      </c>
      <c r="G70" s="119"/>
      <c r="H70" s="103" t="s">
        <v>37</v>
      </c>
      <c r="I70" s="63"/>
      <c r="J70" s="64"/>
      <c r="K70" s="12"/>
      <c r="L70" s="62" t="str">
        <f t="shared" si="3"/>
        <v/>
      </c>
      <c r="M70" s="12">
        <v>81.93</v>
      </c>
      <c r="N70" s="12">
        <v>24.57</v>
      </c>
      <c r="O70" s="12">
        <v>12</v>
      </c>
      <c r="P70" s="12">
        <v>1.5</v>
      </c>
      <c r="Q70" s="12"/>
      <c r="R70" s="12"/>
      <c r="S70" s="12"/>
      <c r="T70" s="12"/>
      <c r="U70" s="12">
        <v>13</v>
      </c>
      <c r="V70" s="65" t="s">
        <v>697</v>
      </c>
      <c r="W70" s="44" t="str">
        <f t="shared" si="2"/>
        <v>OK</v>
      </c>
      <c r="X70" s="47" t="str">
        <f t="shared" si="4"/>
        <v/>
      </c>
      <c r="Y70" s="3"/>
      <c r="Z70" s="3"/>
    </row>
    <row r="71" spans="1:26" ht="14.4" hidden="1" outlineLevel="1" x14ac:dyDescent="0.3">
      <c r="A71" s="3"/>
      <c r="B71" s="10" t="s">
        <v>494</v>
      </c>
      <c r="C71" s="62"/>
      <c r="D71" s="62"/>
      <c r="E71" s="12">
        <f t="shared" si="31"/>
        <v>65</v>
      </c>
      <c r="F71" s="101"/>
      <c r="G71" s="119"/>
      <c r="H71" s="103"/>
      <c r="I71" s="63"/>
      <c r="J71" s="64"/>
      <c r="K71" s="12"/>
      <c r="L71" s="62" t="str">
        <f t="shared" si="3"/>
        <v/>
      </c>
      <c r="M71" s="12">
        <v>13.93</v>
      </c>
      <c r="N71" s="12">
        <v>24.57</v>
      </c>
      <c r="O71" s="12">
        <v>12</v>
      </c>
      <c r="P71" s="12">
        <v>1.5</v>
      </c>
      <c r="Q71" s="12"/>
      <c r="R71" s="12"/>
      <c r="S71" s="12"/>
      <c r="T71" s="12"/>
      <c r="U71" s="12">
        <v>13</v>
      </c>
      <c r="V71" s="65" t="s">
        <v>697</v>
      </c>
      <c r="W71" s="44" t="str">
        <f t="shared" si="2"/>
        <v>Diferente</v>
      </c>
      <c r="X71" s="47">
        <f t="shared" si="4"/>
        <v>-65</v>
      </c>
      <c r="Y71" s="3"/>
      <c r="Z71" s="3"/>
    </row>
    <row r="72" spans="1:26" ht="14.4" hidden="1" outlineLevel="1" x14ac:dyDescent="0.3">
      <c r="A72" s="3"/>
      <c r="B72" s="10" t="s">
        <v>495</v>
      </c>
      <c r="C72" s="62"/>
      <c r="D72" s="62"/>
      <c r="E72" s="12">
        <f t="shared" si="31"/>
        <v>65</v>
      </c>
      <c r="F72" s="101"/>
      <c r="G72" s="119"/>
      <c r="H72" s="103"/>
      <c r="I72" s="63"/>
      <c r="J72" s="64"/>
      <c r="K72" s="12"/>
      <c r="L72" s="62" t="str">
        <f t="shared" si="3"/>
        <v/>
      </c>
      <c r="M72" s="12">
        <v>13.93</v>
      </c>
      <c r="N72" s="12">
        <v>24.57</v>
      </c>
      <c r="O72" s="12">
        <v>12</v>
      </c>
      <c r="P72" s="12">
        <v>1.5</v>
      </c>
      <c r="Q72" s="12"/>
      <c r="R72" s="12"/>
      <c r="S72" s="12"/>
      <c r="T72" s="12"/>
      <c r="U72" s="12">
        <v>13</v>
      </c>
      <c r="V72" s="65" t="s">
        <v>697</v>
      </c>
      <c r="W72" s="44" t="str">
        <f t="shared" si="2"/>
        <v>Diferente</v>
      </c>
      <c r="X72" s="47">
        <f t="shared" si="4"/>
        <v>-65</v>
      </c>
      <c r="Y72" s="3"/>
      <c r="Z72" s="3"/>
    </row>
    <row r="73" spans="1:26" ht="14.4" hidden="1" outlineLevel="1" x14ac:dyDescent="0.3">
      <c r="A73" s="3"/>
      <c r="B73" s="61" t="s">
        <v>496</v>
      </c>
      <c r="C73" s="62">
        <v>10</v>
      </c>
      <c r="D73" s="62" t="s">
        <v>94</v>
      </c>
      <c r="E73" s="12">
        <f t="shared" si="31"/>
        <v>113</v>
      </c>
      <c r="F73" s="101">
        <f t="shared" ref="F73:F74" si="34">E73</f>
        <v>113</v>
      </c>
      <c r="G73" s="119"/>
      <c r="H73" s="103" t="s">
        <v>37</v>
      </c>
      <c r="I73" s="63"/>
      <c r="J73" s="64"/>
      <c r="K73" s="12"/>
      <c r="L73" s="62" t="str">
        <f t="shared" si="3"/>
        <v/>
      </c>
      <c r="M73" s="12">
        <v>56.93</v>
      </c>
      <c r="N73" s="12">
        <v>24.57</v>
      </c>
      <c r="O73" s="12">
        <v>12</v>
      </c>
      <c r="P73" s="12">
        <v>1.5</v>
      </c>
      <c r="Q73" s="12">
        <v>5</v>
      </c>
      <c r="R73" s="12"/>
      <c r="S73" s="12"/>
      <c r="T73" s="12"/>
      <c r="U73" s="12">
        <v>13</v>
      </c>
      <c r="V73" s="65" t="s">
        <v>697</v>
      </c>
      <c r="W73" s="44" t="str">
        <f t="shared" si="2"/>
        <v>OK</v>
      </c>
      <c r="X73" s="47" t="str">
        <f t="shared" si="4"/>
        <v/>
      </c>
      <c r="Y73" s="3"/>
      <c r="Z73" s="3"/>
    </row>
    <row r="74" spans="1:26" ht="14.4" hidden="1" outlineLevel="1" x14ac:dyDescent="0.3">
      <c r="A74" s="3"/>
      <c r="B74" s="10" t="s">
        <v>497</v>
      </c>
      <c r="C74" s="62">
        <v>5</v>
      </c>
      <c r="D74" s="62" t="s">
        <v>94</v>
      </c>
      <c r="E74" s="12">
        <f t="shared" si="31"/>
        <v>213</v>
      </c>
      <c r="F74" s="101">
        <f t="shared" si="34"/>
        <v>213</v>
      </c>
      <c r="G74" s="119"/>
      <c r="H74" s="103" t="s">
        <v>37</v>
      </c>
      <c r="I74" s="63"/>
      <c r="J74" s="64"/>
      <c r="K74" s="12"/>
      <c r="L74" s="62" t="str">
        <f t="shared" si="3"/>
        <v/>
      </c>
      <c r="M74" s="12">
        <v>148.43</v>
      </c>
      <c r="N74" s="12">
        <v>24.57</v>
      </c>
      <c r="O74" s="12">
        <v>12</v>
      </c>
      <c r="P74" s="12">
        <v>5</v>
      </c>
      <c r="Q74" s="12">
        <v>10</v>
      </c>
      <c r="R74" s="12"/>
      <c r="S74" s="12"/>
      <c r="T74" s="12"/>
      <c r="U74" s="12">
        <v>13</v>
      </c>
      <c r="V74" s="65" t="s">
        <v>697</v>
      </c>
      <c r="W74" s="44" t="str">
        <f t="shared" si="2"/>
        <v>OK</v>
      </c>
      <c r="X74" s="47" t="str">
        <f t="shared" si="4"/>
        <v/>
      </c>
      <c r="Y74" s="3"/>
      <c r="Z74" s="3"/>
    </row>
    <row r="75" spans="1:26" ht="14.4" hidden="1" outlineLevel="1" x14ac:dyDescent="0.3">
      <c r="A75" s="3"/>
      <c r="B75" s="61" t="s">
        <v>498</v>
      </c>
      <c r="C75" s="62"/>
      <c r="D75" s="62"/>
      <c r="E75" s="12">
        <f t="shared" si="31"/>
        <v>70.39</v>
      </c>
      <c r="F75" s="101"/>
      <c r="G75" s="119"/>
      <c r="H75" s="103"/>
      <c r="I75" s="63"/>
      <c r="J75" s="64"/>
      <c r="K75" s="12"/>
      <c r="L75" s="62" t="str">
        <f t="shared" si="3"/>
        <v/>
      </c>
      <c r="M75" s="12">
        <v>19.32</v>
      </c>
      <c r="N75" s="12">
        <v>24.57</v>
      </c>
      <c r="O75" s="12">
        <v>12</v>
      </c>
      <c r="P75" s="12">
        <v>1.5</v>
      </c>
      <c r="Q75" s="12"/>
      <c r="R75" s="12"/>
      <c r="S75" s="12"/>
      <c r="T75" s="12"/>
      <c r="U75" s="12">
        <v>13</v>
      </c>
      <c r="V75" s="65" t="s">
        <v>697</v>
      </c>
      <c r="W75" s="44" t="str">
        <f t="shared" si="2"/>
        <v>Diferente</v>
      </c>
      <c r="X75" s="47">
        <f t="shared" si="4"/>
        <v>-70.39</v>
      </c>
      <c r="Y75" s="3"/>
      <c r="Z75" s="3"/>
    </row>
    <row r="76" spans="1:26" ht="14.4" hidden="1" outlineLevel="1" x14ac:dyDescent="0.3">
      <c r="A76" s="3"/>
      <c r="B76" s="10" t="s">
        <v>499</v>
      </c>
      <c r="C76" s="62">
        <v>11</v>
      </c>
      <c r="D76" s="62" t="s">
        <v>94</v>
      </c>
      <c r="E76" s="12">
        <f t="shared" si="31"/>
        <v>80.740000000000009</v>
      </c>
      <c r="F76" s="101">
        <f>E76</f>
        <v>80.740000000000009</v>
      </c>
      <c r="G76" s="119"/>
      <c r="H76" s="103" t="s">
        <v>37</v>
      </c>
      <c r="I76" s="63"/>
      <c r="J76" s="64"/>
      <c r="K76" s="12"/>
      <c r="L76" s="62" t="str">
        <f t="shared" si="3"/>
        <v/>
      </c>
      <c r="M76" s="12">
        <v>29.67</v>
      </c>
      <c r="N76" s="12">
        <v>24.57</v>
      </c>
      <c r="O76" s="12">
        <v>12</v>
      </c>
      <c r="P76" s="12">
        <v>1.5</v>
      </c>
      <c r="Q76" s="12"/>
      <c r="R76" s="12"/>
      <c r="S76" s="12"/>
      <c r="T76" s="12"/>
      <c r="U76" s="12">
        <v>13</v>
      </c>
      <c r="V76" s="65" t="s">
        <v>697</v>
      </c>
      <c r="W76" s="44" t="str">
        <f t="shared" si="2"/>
        <v>OK</v>
      </c>
      <c r="X76" s="47" t="str">
        <f t="shared" si="4"/>
        <v/>
      </c>
      <c r="Y76" s="3"/>
      <c r="Z76" s="3"/>
    </row>
    <row r="77" spans="1:26" ht="14.4" hidden="1" outlineLevel="1" x14ac:dyDescent="0.3">
      <c r="A77" s="3"/>
      <c r="B77" s="61" t="s">
        <v>500</v>
      </c>
      <c r="C77" s="62">
        <v>20</v>
      </c>
      <c r="D77" s="62" t="s">
        <v>94</v>
      </c>
      <c r="E77" s="12">
        <v>107.43</v>
      </c>
      <c r="F77" s="101">
        <f t="shared" ref="F77:F78" si="35">SUM(M77:U77)</f>
        <v>224.86</v>
      </c>
      <c r="G77" s="119" t="s">
        <v>708</v>
      </c>
      <c r="H77" s="103" t="s">
        <v>37</v>
      </c>
      <c r="I77" s="63"/>
      <c r="J77" s="64"/>
      <c r="K77" s="12"/>
      <c r="L77" s="62">
        <f t="shared" si="3"/>
        <v>1</v>
      </c>
      <c r="M77" s="12">
        <f>50.86*2</f>
        <v>101.72</v>
      </c>
      <c r="N77" s="12">
        <f t="shared" ref="N77:N78" si="36">24.57*2</f>
        <v>49.14</v>
      </c>
      <c r="O77" s="12">
        <f t="shared" ref="O77:O78" si="37">12*2</f>
        <v>24</v>
      </c>
      <c r="P77" s="12">
        <f t="shared" ref="P77:P78" si="38">2*2</f>
        <v>4</v>
      </c>
      <c r="Q77" s="12">
        <f t="shared" ref="Q77:Q78" si="39">5*2</f>
        <v>10</v>
      </c>
      <c r="R77" s="12"/>
      <c r="S77" s="12"/>
      <c r="T77" s="12"/>
      <c r="U77" s="12">
        <v>36</v>
      </c>
      <c r="V77" s="65" t="s">
        <v>697</v>
      </c>
      <c r="W77" s="44" t="str">
        <f t="shared" si="2"/>
        <v>OK</v>
      </c>
      <c r="X77" s="47" t="str">
        <f t="shared" si="4"/>
        <v/>
      </c>
      <c r="Y77" s="3"/>
      <c r="Z77" s="3"/>
    </row>
    <row r="78" spans="1:26" ht="14.4" hidden="1" outlineLevel="1" x14ac:dyDescent="0.3">
      <c r="A78" s="3"/>
      <c r="B78" s="61" t="s">
        <v>501</v>
      </c>
      <c r="C78" s="62">
        <v>20</v>
      </c>
      <c r="D78" s="62" t="s">
        <v>94</v>
      </c>
      <c r="E78" s="12">
        <v>106.57</v>
      </c>
      <c r="F78" s="101">
        <f t="shared" si="35"/>
        <v>213.14</v>
      </c>
      <c r="G78" s="119" t="s">
        <v>708</v>
      </c>
      <c r="H78" s="103" t="s">
        <v>37</v>
      </c>
      <c r="I78" s="63"/>
      <c r="J78" s="64"/>
      <c r="K78" s="12"/>
      <c r="L78" s="62">
        <f t="shared" si="3"/>
        <v>1</v>
      </c>
      <c r="M78" s="12">
        <f>50*2</f>
        <v>100</v>
      </c>
      <c r="N78" s="12">
        <f t="shared" si="36"/>
        <v>49.14</v>
      </c>
      <c r="O78" s="12">
        <f t="shared" si="37"/>
        <v>24</v>
      </c>
      <c r="P78" s="12">
        <f t="shared" si="38"/>
        <v>4</v>
      </c>
      <c r="Q78" s="12">
        <f t="shared" si="39"/>
        <v>10</v>
      </c>
      <c r="R78" s="12"/>
      <c r="S78" s="12"/>
      <c r="T78" s="12"/>
      <c r="U78" s="12">
        <v>26</v>
      </c>
      <c r="V78" s="65" t="s">
        <v>697</v>
      </c>
      <c r="W78" s="44" t="str">
        <f t="shared" si="2"/>
        <v>OK</v>
      </c>
      <c r="X78" s="47" t="str">
        <f t="shared" si="4"/>
        <v/>
      </c>
      <c r="Y78" s="3"/>
      <c r="Z78" s="3"/>
    </row>
    <row r="79" spans="1:26" ht="14.4" hidden="1" outlineLevel="1" x14ac:dyDescent="0.3">
      <c r="A79" s="3"/>
      <c r="B79" s="10" t="s">
        <v>502</v>
      </c>
      <c r="C79" s="62">
        <v>9</v>
      </c>
      <c r="D79" s="62" t="s">
        <v>94</v>
      </c>
      <c r="E79" s="12">
        <f t="shared" ref="E79:E91" si="40">SUM(M79:U79)</f>
        <v>144.69</v>
      </c>
      <c r="F79" s="101">
        <f t="shared" ref="F79:F82" si="41">E79</f>
        <v>144.69</v>
      </c>
      <c r="G79" s="119"/>
      <c r="H79" s="103" t="s">
        <v>37</v>
      </c>
      <c r="I79" s="63"/>
      <c r="J79" s="64"/>
      <c r="K79" s="12"/>
      <c r="L79" s="62" t="str">
        <f t="shared" si="3"/>
        <v/>
      </c>
      <c r="M79" s="12">
        <v>93.62</v>
      </c>
      <c r="N79" s="12">
        <v>24.57</v>
      </c>
      <c r="O79" s="12">
        <v>12</v>
      </c>
      <c r="P79" s="12">
        <v>1.5</v>
      </c>
      <c r="Q79" s="12"/>
      <c r="R79" s="12"/>
      <c r="S79" s="12"/>
      <c r="T79" s="12"/>
      <c r="U79" s="12">
        <v>13</v>
      </c>
      <c r="V79" s="65" t="s">
        <v>697</v>
      </c>
      <c r="W79" s="44" t="str">
        <f t="shared" si="2"/>
        <v>OK</v>
      </c>
      <c r="X79" s="47" t="str">
        <f t="shared" si="4"/>
        <v/>
      </c>
      <c r="Y79" s="3"/>
      <c r="Z79" s="3"/>
    </row>
    <row r="80" spans="1:26" ht="14.4" hidden="1" outlineLevel="1" x14ac:dyDescent="0.3">
      <c r="A80" s="3"/>
      <c r="B80" s="10" t="s">
        <v>503</v>
      </c>
      <c r="C80" s="62">
        <v>9</v>
      </c>
      <c r="D80" s="62" t="s">
        <v>94</v>
      </c>
      <c r="E80" s="12">
        <f t="shared" si="40"/>
        <v>144.69</v>
      </c>
      <c r="F80" s="101">
        <f t="shared" si="41"/>
        <v>144.69</v>
      </c>
      <c r="G80" s="119"/>
      <c r="H80" s="103" t="s">
        <v>37</v>
      </c>
      <c r="I80" s="63"/>
      <c r="J80" s="64"/>
      <c r="K80" s="12"/>
      <c r="L80" s="62" t="str">
        <f t="shared" si="3"/>
        <v/>
      </c>
      <c r="M80" s="12">
        <v>93.62</v>
      </c>
      <c r="N80" s="12">
        <v>24.57</v>
      </c>
      <c r="O80" s="12">
        <v>12</v>
      </c>
      <c r="P80" s="12">
        <v>1.5</v>
      </c>
      <c r="Q80" s="12"/>
      <c r="R80" s="12"/>
      <c r="S80" s="12"/>
      <c r="T80" s="12"/>
      <c r="U80" s="12">
        <v>13</v>
      </c>
      <c r="V80" s="65" t="s">
        <v>697</v>
      </c>
      <c r="W80" s="44" t="str">
        <f t="shared" si="2"/>
        <v>OK</v>
      </c>
      <c r="X80" s="47" t="str">
        <f t="shared" si="4"/>
        <v/>
      </c>
      <c r="Y80" s="3"/>
      <c r="Z80" s="3"/>
    </row>
    <row r="81" spans="1:26" ht="14.4" hidden="1" outlineLevel="1" x14ac:dyDescent="0.3">
      <c r="A81" s="3"/>
      <c r="B81" s="61" t="s">
        <v>504</v>
      </c>
      <c r="C81" s="62">
        <v>6</v>
      </c>
      <c r="D81" s="62" t="s">
        <v>94</v>
      </c>
      <c r="E81" s="12">
        <f t="shared" si="40"/>
        <v>306.57</v>
      </c>
      <c r="F81" s="101">
        <f t="shared" si="41"/>
        <v>306.57</v>
      </c>
      <c r="G81" s="119"/>
      <c r="H81" s="103" t="s">
        <v>37</v>
      </c>
      <c r="I81" s="63"/>
      <c r="J81" s="64"/>
      <c r="K81" s="12"/>
      <c r="L81" s="62" t="str">
        <f t="shared" si="3"/>
        <v/>
      </c>
      <c r="M81" s="12">
        <v>100</v>
      </c>
      <c r="N81" s="12">
        <v>24.57</v>
      </c>
      <c r="O81" s="12">
        <v>12</v>
      </c>
      <c r="P81" s="12">
        <v>2</v>
      </c>
      <c r="Q81" s="12"/>
      <c r="R81" s="12"/>
      <c r="S81" s="12">
        <v>5</v>
      </c>
      <c r="T81" s="12"/>
      <c r="U81" s="12">
        <v>163</v>
      </c>
      <c r="V81" s="65" t="s">
        <v>709</v>
      </c>
      <c r="W81" s="44" t="str">
        <f t="shared" si="2"/>
        <v>OK</v>
      </c>
      <c r="X81" s="47" t="str">
        <f t="shared" si="4"/>
        <v/>
      </c>
      <c r="Y81" s="3"/>
      <c r="Z81" s="3"/>
    </row>
    <row r="82" spans="1:26" ht="14.4" hidden="1" outlineLevel="1" x14ac:dyDescent="0.3">
      <c r="A82" s="3"/>
      <c r="B82" s="61" t="s">
        <v>506</v>
      </c>
      <c r="C82" s="62">
        <v>6</v>
      </c>
      <c r="D82" s="62" t="s">
        <v>94</v>
      </c>
      <c r="E82" s="12">
        <f t="shared" si="40"/>
        <v>156.57</v>
      </c>
      <c r="F82" s="101">
        <f t="shared" si="41"/>
        <v>156.57</v>
      </c>
      <c r="G82" s="119"/>
      <c r="H82" s="103" t="s">
        <v>37</v>
      </c>
      <c r="I82" s="63"/>
      <c r="J82" s="64"/>
      <c r="K82" s="12"/>
      <c r="L82" s="62" t="str">
        <f t="shared" si="3"/>
        <v/>
      </c>
      <c r="M82" s="12">
        <v>100</v>
      </c>
      <c r="N82" s="12">
        <v>24.57</v>
      </c>
      <c r="O82" s="12">
        <v>12</v>
      </c>
      <c r="P82" s="12">
        <v>2</v>
      </c>
      <c r="Q82" s="12"/>
      <c r="R82" s="12"/>
      <c r="S82" s="12">
        <v>5</v>
      </c>
      <c r="T82" s="12"/>
      <c r="U82" s="12">
        <v>13</v>
      </c>
      <c r="V82" s="65" t="s">
        <v>697</v>
      </c>
      <c r="W82" s="44" t="str">
        <f t="shared" si="2"/>
        <v>OK</v>
      </c>
      <c r="X82" s="47" t="str">
        <f t="shared" si="4"/>
        <v/>
      </c>
      <c r="Y82" s="3"/>
      <c r="Z82" s="3"/>
    </row>
    <row r="83" spans="1:26" ht="14.4" hidden="1" outlineLevel="1" x14ac:dyDescent="0.3">
      <c r="A83" s="3"/>
      <c r="B83" s="10" t="s">
        <v>507</v>
      </c>
      <c r="C83" s="62"/>
      <c r="D83" s="62"/>
      <c r="E83" s="12">
        <f t="shared" si="40"/>
        <v>263</v>
      </c>
      <c r="F83" s="101"/>
      <c r="G83" s="119"/>
      <c r="H83" s="103"/>
      <c r="I83" s="63"/>
      <c r="J83" s="64"/>
      <c r="K83" s="12"/>
      <c r="L83" s="62" t="str">
        <f t="shared" si="3"/>
        <v/>
      </c>
      <c r="M83" s="12">
        <v>196.43</v>
      </c>
      <c r="N83" s="12">
        <v>24.57</v>
      </c>
      <c r="O83" s="12">
        <v>12</v>
      </c>
      <c r="P83" s="12">
        <v>2</v>
      </c>
      <c r="Q83" s="12"/>
      <c r="R83" s="12"/>
      <c r="S83" s="12">
        <v>5</v>
      </c>
      <c r="T83" s="12">
        <v>10</v>
      </c>
      <c r="U83" s="12">
        <v>13</v>
      </c>
      <c r="V83" s="65" t="s">
        <v>697</v>
      </c>
      <c r="W83" s="44" t="str">
        <f t="shared" si="2"/>
        <v>Diferente</v>
      </c>
      <c r="X83" s="47">
        <f t="shared" si="4"/>
        <v>-263</v>
      </c>
      <c r="Y83" s="3"/>
      <c r="Z83" s="3"/>
    </row>
    <row r="84" spans="1:26" ht="14.4" hidden="1" outlineLevel="1" x14ac:dyDescent="0.3">
      <c r="A84" s="3"/>
      <c r="B84" s="61" t="s">
        <v>508</v>
      </c>
      <c r="C84" s="62">
        <v>4</v>
      </c>
      <c r="D84" s="62" t="s">
        <v>94</v>
      </c>
      <c r="E84" s="12">
        <f t="shared" si="40"/>
        <v>260</v>
      </c>
      <c r="F84" s="101">
        <f t="shared" ref="F84:F85" si="42">E84</f>
        <v>260</v>
      </c>
      <c r="G84" s="119"/>
      <c r="H84" s="103" t="s">
        <v>37</v>
      </c>
      <c r="I84" s="63"/>
      <c r="J84" s="64"/>
      <c r="K84" s="12"/>
      <c r="L84" s="62" t="str">
        <f t="shared" si="3"/>
        <v/>
      </c>
      <c r="M84" s="12">
        <v>138.43</v>
      </c>
      <c r="N84" s="12">
        <v>24.57</v>
      </c>
      <c r="O84" s="12">
        <v>12</v>
      </c>
      <c r="P84" s="12">
        <v>2</v>
      </c>
      <c r="Q84" s="12">
        <v>5</v>
      </c>
      <c r="R84" s="12">
        <v>5</v>
      </c>
      <c r="S84" s="12">
        <v>10</v>
      </c>
      <c r="T84" s="12"/>
      <c r="U84" s="12">
        <v>63</v>
      </c>
      <c r="V84" s="65" t="s">
        <v>698</v>
      </c>
      <c r="W84" s="44" t="str">
        <f t="shared" si="2"/>
        <v>OK</v>
      </c>
      <c r="X84" s="47" t="str">
        <f t="shared" si="4"/>
        <v/>
      </c>
      <c r="Y84" s="3"/>
      <c r="Z84" s="3"/>
    </row>
    <row r="85" spans="1:26" ht="14.4" hidden="1" outlineLevel="1" x14ac:dyDescent="0.3">
      <c r="A85" s="3"/>
      <c r="B85" s="61" t="s">
        <v>509</v>
      </c>
      <c r="C85" s="62">
        <v>4</v>
      </c>
      <c r="D85" s="62" t="s">
        <v>94</v>
      </c>
      <c r="E85" s="12">
        <f t="shared" si="40"/>
        <v>210</v>
      </c>
      <c r="F85" s="101">
        <f t="shared" si="42"/>
        <v>210</v>
      </c>
      <c r="G85" s="119"/>
      <c r="H85" s="103" t="s">
        <v>37</v>
      </c>
      <c r="I85" s="63"/>
      <c r="J85" s="64"/>
      <c r="K85" s="12"/>
      <c r="L85" s="62" t="str">
        <f t="shared" si="3"/>
        <v/>
      </c>
      <c r="M85" s="12">
        <v>138.43</v>
      </c>
      <c r="N85" s="12">
        <v>24.57</v>
      </c>
      <c r="O85" s="12">
        <v>12</v>
      </c>
      <c r="P85" s="12">
        <v>2</v>
      </c>
      <c r="Q85" s="12">
        <v>5</v>
      </c>
      <c r="R85" s="12">
        <v>5</v>
      </c>
      <c r="S85" s="12">
        <v>10</v>
      </c>
      <c r="T85" s="12"/>
      <c r="U85" s="12">
        <v>13</v>
      </c>
      <c r="V85" s="65" t="s">
        <v>697</v>
      </c>
      <c r="W85" s="44" t="str">
        <f t="shared" si="2"/>
        <v>OK</v>
      </c>
      <c r="X85" s="47" t="str">
        <f t="shared" si="4"/>
        <v/>
      </c>
      <c r="Y85" s="3"/>
      <c r="Z85" s="3"/>
    </row>
    <row r="86" spans="1:26" ht="14.4" hidden="1" outlineLevel="1" x14ac:dyDescent="0.3">
      <c r="A86" s="3"/>
      <c r="B86" s="10" t="s">
        <v>510</v>
      </c>
      <c r="C86" s="62"/>
      <c r="D86" s="62"/>
      <c r="E86" s="12">
        <f t="shared" si="40"/>
        <v>125.22999999999999</v>
      </c>
      <c r="F86" s="101"/>
      <c r="G86" s="119"/>
      <c r="H86" s="103"/>
      <c r="I86" s="63"/>
      <c r="J86" s="64"/>
      <c r="K86" s="12"/>
      <c r="L86" s="62" t="str">
        <f t="shared" si="3"/>
        <v/>
      </c>
      <c r="M86" s="12">
        <v>33.93</v>
      </c>
      <c r="N86" s="12">
        <v>24.57</v>
      </c>
      <c r="O86" s="12">
        <v>12</v>
      </c>
      <c r="P86" s="12">
        <v>1.5</v>
      </c>
      <c r="Q86" s="12"/>
      <c r="R86" s="12"/>
      <c r="S86" s="12"/>
      <c r="T86" s="12"/>
      <c r="U86" s="12">
        <v>53.23</v>
      </c>
      <c r="V86" s="65" t="s">
        <v>710</v>
      </c>
      <c r="W86" s="44" t="str">
        <f t="shared" si="2"/>
        <v>Diferente</v>
      </c>
      <c r="X86" s="47">
        <f t="shared" si="4"/>
        <v>-125.22999999999999</v>
      </c>
      <c r="Y86" s="3"/>
      <c r="Z86" s="3"/>
    </row>
    <row r="87" spans="1:26" ht="14.4" hidden="1" outlineLevel="1" x14ac:dyDescent="0.3">
      <c r="A87" s="3"/>
      <c r="B87" s="61" t="s">
        <v>512</v>
      </c>
      <c r="C87" s="62">
        <v>7</v>
      </c>
      <c r="D87" s="62" t="s">
        <v>94</v>
      </c>
      <c r="E87" s="12">
        <f t="shared" si="40"/>
        <v>176.57</v>
      </c>
      <c r="F87" s="101">
        <f t="shared" ref="F87:F91" si="43">E87</f>
        <v>176.57</v>
      </c>
      <c r="G87" s="119"/>
      <c r="H87" s="103" t="s">
        <v>37</v>
      </c>
      <c r="I87" s="63"/>
      <c r="J87" s="64"/>
      <c r="K87" s="12"/>
      <c r="L87" s="62" t="str">
        <f t="shared" si="3"/>
        <v/>
      </c>
      <c r="M87" s="12">
        <v>120</v>
      </c>
      <c r="N87" s="12">
        <v>24.57</v>
      </c>
      <c r="O87" s="12">
        <v>12</v>
      </c>
      <c r="P87" s="12">
        <v>2</v>
      </c>
      <c r="Q87" s="12"/>
      <c r="R87" s="12"/>
      <c r="S87" s="12">
        <v>5</v>
      </c>
      <c r="T87" s="12"/>
      <c r="U87" s="12">
        <v>13</v>
      </c>
      <c r="V87" s="65" t="s">
        <v>697</v>
      </c>
      <c r="W87" s="44" t="str">
        <f t="shared" si="2"/>
        <v>OK</v>
      </c>
      <c r="X87" s="47" t="str">
        <f t="shared" si="4"/>
        <v/>
      </c>
      <c r="Y87" s="3"/>
      <c r="Z87" s="3"/>
    </row>
    <row r="88" spans="1:26" ht="14.4" hidden="1" outlineLevel="1" x14ac:dyDescent="0.3">
      <c r="A88" s="3"/>
      <c r="B88" s="61" t="s">
        <v>513</v>
      </c>
      <c r="C88" s="62">
        <v>7</v>
      </c>
      <c r="D88" s="62" t="s">
        <v>94</v>
      </c>
      <c r="E88" s="12">
        <f t="shared" si="40"/>
        <v>176.57</v>
      </c>
      <c r="F88" s="101">
        <f t="shared" si="43"/>
        <v>176.57</v>
      </c>
      <c r="G88" s="119"/>
      <c r="H88" s="103" t="s">
        <v>37</v>
      </c>
      <c r="I88" s="63"/>
      <c r="J88" s="64"/>
      <c r="K88" s="12"/>
      <c r="L88" s="62" t="str">
        <f t="shared" si="3"/>
        <v/>
      </c>
      <c r="M88" s="12">
        <v>120</v>
      </c>
      <c r="N88" s="12">
        <v>24.57</v>
      </c>
      <c r="O88" s="12">
        <v>12</v>
      </c>
      <c r="P88" s="12">
        <v>2</v>
      </c>
      <c r="Q88" s="12"/>
      <c r="R88" s="12"/>
      <c r="S88" s="12">
        <v>5</v>
      </c>
      <c r="T88" s="12"/>
      <c r="U88" s="12">
        <v>13</v>
      </c>
      <c r="V88" s="65" t="s">
        <v>697</v>
      </c>
      <c r="W88" s="44" t="str">
        <f t="shared" si="2"/>
        <v>OK</v>
      </c>
      <c r="X88" s="47" t="str">
        <f t="shared" si="4"/>
        <v/>
      </c>
      <c r="Y88" s="3"/>
      <c r="Z88" s="3"/>
    </row>
    <row r="89" spans="1:26" ht="14.4" hidden="1" outlineLevel="1" x14ac:dyDescent="0.3">
      <c r="A89" s="3"/>
      <c r="B89" s="10" t="s">
        <v>514</v>
      </c>
      <c r="C89" s="62">
        <v>4</v>
      </c>
      <c r="D89" s="62" t="s">
        <v>94</v>
      </c>
      <c r="E89" s="12">
        <f t="shared" si="40"/>
        <v>165</v>
      </c>
      <c r="F89" s="101">
        <f t="shared" si="43"/>
        <v>165</v>
      </c>
      <c r="G89" s="119"/>
      <c r="H89" s="122" t="s">
        <v>37</v>
      </c>
      <c r="I89" s="63"/>
      <c r="J89" s="64"/>
      <c r="K89" s="12"/>
      <c r="L89" s="62" t="str">
        <f t="shared" si="3"/>
        <v/>
      </c>
      <c r="M89" s="12">
        <v>108.43</v>
      </c>
      <c r="N89" s="12">
        <v>24.57</v>
      </c>
      <c r="O89" s="12">
        <v>12</v>
      </c>
      <c r="P89" s="12">
        <v>2</v>
      </c>
      <c r="Q89" s="12"/>
      <c r="R89" s="12"/>
      <c r="S89" s="12">
        <v>5</v>
      </c>
      <c r="T89" s="12"/>
      <c r="U89" s="12">
        <v>13</v>
      </c>
      <c r="V89" s="65" t="s">
        <v>697</v>
      </c>
      <c r="W89" s="44" t="str">
        <f t="shared" si="2"/>
        <v>OK</v>
      </c>
      <c r="X89" s="47" t="str">
        <f t="shared" si="4"/>
        <v/>
      </c>
      <c r="Y89" s="3"/>
      <c r="Z89" s="3"/>
    </row>
    <row r="90" spans="1:26" ht="14.4" hidden="1" outlineLevel="1" x14ac:dyDescent="0.3">
      <c r="A90" s="3"/>
      <c r="B90" s="61" t="s">
        <v>515</v>
      </c>
      <c r="C90" s="62">
        <v>4</v>
      </c>
      <c r="D90" s="62" t="s">
        <v>94</v>
      </c>
      <c r="E90" s="12">
        <f t="shared" si="40"/>
        <v>114.5</v>
      </c>
      <c r="F90" s="101">
        <f t="shared" si="43"/>
        <v>114.5</v>
      </c>
      <c r="G90" s="119"/>
      <c r="H90" s="122" t="s">
        <v>37</v>
      </c>
      <c r="I90" s="63"/>
      <c r="J90" s="64"/>
      <c r="K90" s="12"/>
      <c r="L90" s="62" t="str">
        <f t="shared" si="3"/>
        <v/>
      </c>
      <c r="M90" s="12">
        <v>63.43</v>
      </c>
      <c r="N90" s="12">
        <v>24.57</v>
      </c>
      <c r="O90" s="12">
        <v>12</v>
      </c>
      <c r="P90" s="12">
        <v>1.5</v>
      </c>
      <c r="Q90" s="12"/>
      <c r="R90" s="12"/>
      <c r="S90" s="12"/>
      <c r="T90" s="12"/>
      <c r="U90" s="12">
        <v>13</v>
      </c>
      <c r="V90" s="65" t="s">
        <v>697</v>
      </c>
      <c r="W90" s="44" t="str">
        <f t="shared" si="2"/>
        <v>OK</v>
      </c>
      <c r="X90" s="47" t="str">
        <f t="shared" si="4"/>
        <v/>
      </c>
      <c r="Y90" s="3"/>
      <c r="Z90" s="3"/>
    </row>
    <row r="91" spans="1:26" ht="14.4" hidden="1" outlineLevel="1" x14ac:dyDescent="0.3">
      <c r="A91" s="3"/>
      <c r="B91" s="61" t="s">
        <v>516</v>
      </c>
      <c r="C91" s="62">
        <v>4</v>
      </c>
      <c r="D91" s="62" t="s">
        <v>94</v>
      </c>
      <c r="E91" s="12">
        <f t="shared" si="40"/>
        <v>164.5</v>
      </c>
      <c r="F91" s="101">
        <f t="shared" si="43"/>
        <v>164.5</v>
      </c>
      <c r="G91" s="119"/>
      <c r="H91" s="122" t="s">
        <v>37</v>
      </c>
      <c r="I91" s="63"/>
      <c r="J91" s="64"/>
      <c r="K91" s="12"/>
      <c r="L91" s="62" t="str">
        <f t="shared" si="3"/>
        <v/>
      </c>
      <c r="M91" s="12">
        <v>63.43</v>
      </c>
      <c r="N91" s="12">
        <v>24.57</v>
      </c>
      <c r="O91" s="12">
        <v>12</v>
      </c>
      <c r="P91" s="12">
        <v>1.5</v>
      </c>
      <c r="Q91" s="12"/>
      <c r="R91" s="12"/>
      <c r="S91" s="12"/>
      <c r="T91" s="12"/>
      <c r="U91" s="12">
        <v>63</v>
      </c>
      <c r="V91" s="65" t="s">
        <v>698</v>
      </c>
      <c r="W91" s="44" t="str">
        <f t="shared" si="2"/>
        <v>OK</v>
      </c>
      <c r="X91" s="47" t="str">
        <f t="shared" si="4"/>
        <v/>
      </c>
      <c r="Y91" s="3"/>
      <c r="Z91" s="3"/>
    </row>
    <row r="92" spans="1:26" ht="14.4" hidden="1" outlineLevel="1" x14ac:dyDescent="0.3">
      <c r="A92" s="3"/>
      <c r="B92" s="10" t="s">
        <v>517</v>
      </c>
      <c r="C92" s="62">
        <v>10</v>
      </c>
      <c r="D92" s="62" t="s">
        <v>94</v>
      </c>
      <c r="E92" s="12">
        <v>160</v>
      </c>
      <c r="F92" s="101">
        <f>SUM(M92:U92)</f>
        <v>325</v>
      </c>
      <c r="G92" s="119"/>
      <c r="H92" s="103" t="s">
        <v>37</v>
      </c>
      <c r="I92" s="63"/>
      <c r="J92" s="64"/>
      <c r="K92" s="12"/>
      <c r="L92" s="62" t="str">
        <f t="shared" si="3"/>
        <v/>
      </c>
      <c r="M92" s="12">
        <f>93.93*2</f>
        <v>187.86</v>
      </c>
      <c r="N92" s="12">
        <f t="shared" ref="N92:N93" si="44">24.57*2</f>
        <v>49.14</v>
      </c>
      <c r="O92" s="12">
        <f t="shared" ref="O92:O93" si="45">12*2</f>
        <v>24</v>
      </c>
      <c r="P92" s="12">
        <f>1.5*2</f>
        <v>3</v>
      </c>
      <c r="Q92" s="12">
        <f>5*2</f>
        <v>10</v>
      </c>
      <c r="R92" s="12"/>
      <c r="S92" s="12">
        <f>10*2</f>
        <v>20</v>
      </c>
      <c r="T92" s="12"/>
      <c r="U92" s="12">
        <f>13*2+5</f>
        <v>31</v>
      </c>
      <c r="V92" s="65" t="s">
        <v>697</v>
      </c>
      <c r="W92" s="44" t="str">
        <f t="shared" si="2"/>
        <v>OK</v>
      </c>
      <c r="X92" s="47" t="str">
        <f t="shared" si="4"/>
        <v/>
      </c>
      <c r="Y92" s="3"/>
      <c r="Z92" s="3"/>
    </row>
    <row r="93" spans="1:26" ht="14.4" hidden="1" outlineLevel="1" x14ac:dyDescent="0.3">
      <c r="A93" s="3"/>
      <c r="B93" s="61" t="s">
        <v>518</v>
      </c>
      <c r="C93" s="62">
        <v>11</v>
      </c>
      <c r="D93" s="62" t="s">
        <v>94</v>
      </c>
      <c r="E93" s="12">
        <v>195</v>
      </c>
      <c r="F93" s="101">
        <f>195+170-2</f>
        <v>363</v>
      </c>
      <c r="G93" s="119"/>
      <c r="H93" s="103" t="s">
        <v>37</v>
      </c>
      <c r="I93" s="63"/>
      <c r="J93" s="64"/>
      <c r="K93" s="12"/>
      <c r="L93" s="62" t="str">
        <f t="shared" si="3"/>
        <v/>
      </c>
      <c r="M93" s="12">
        <f>108.43*2</f>
        <v>216.86</v>
      </c>
      <c r="N93" s="12">
        <f t="shared" si="44"/>
        <v>49.14</v>
      </c>
      <c r="O93" s="12">
        <f t="shared" si="45"/>
        <v>24</v>
      </c>
      <c r="P93" s="12">
        <v>4</v>
      </c>
      <c r="Q93" s="12"/>
      <c r="R93" s="12"/>
      <c r="S93" s="12">
        <v>10</v>
      </c>
      <c r="T93" s="12"/>
      <c r="U93" s="12">
        <f>43+18-2</f>
        <v>59</v>
      </c>
      <c r="V93" s="65" t="s">
        <v>711</v>
      </c>
      <c r="W93" s="44" t="str">
        <f t="shared" si="2"/>
        <v>OK</v>
      </c>
      <c r="X93" s="47" t="str">
        <f t="shared" si="4"/>
        <v/>
      </c>
      <c r="Y93" s="3"/>
      <c r="Z93" s="3"/>
    </row>
    <row r="94" spans="1:26" ht="14.4" hidden="1" outlineLevel="1" x14ac:dyDescent="0.3">
      <c r="A94" s="3"/>
      <c r="B94" s="10" t="s">
        <v>519</v>
      </c>
      <c r="C94" s="62">
        <v>10</v>
      </c>
      <c r="D94" s="62" t="s">
        <v>94</v>
      </c>
      <c r="E94" s="12">
        <f>SUM(M94:U94)</f>
        <v>163</v>
      </c>
      <c r="F94" s="101">
        <f>E94</f>
        <v>163</v>
      </c>
      <c r="G94" s="119"/>
      <c r="H94" s="103" t="s">
        <v>37</v>
      </c>
      <c r="I94" s="63"/>
      <c r="J94" s="64"/>
      <c r="K94" s="12"/>
      <c r="L94" s="62" t="str">
        <f t="shared" si="3"/>
        <v/>
      </c>
      <c r="M94" s="12">
        <v>113.43</v>
      </c>
      <c r="N94" s="12">
        <v>24.57</v>
      </c>
      <c r="O94" s="12">
        <v>12</v>
      </c>
      <c r="P94" s="12"/>
      <c r="Q94" s="12"/>
      <c r="R94" s="12"/>
      <c r="S94" s="12"/>
      <c r="T94" s="12"/>
      <c r="U94" s="12">
        <v>13</v>
      </c>
      <c r="V94" s="65" t="s">
        <v>697</v>
      </c>
      <c r="W94" s="44" t="str">
        <f t="shared" si="2"/>
        <v>OK</v>
      </c>
      <c r="X94" s="47" t="str">
        <f t="shared" si="4"/>
        <v/>
      </c>
      <c r="Y94" s="3"/>
      <c r="Z94" s="3"/>
    </row>
    <row r="95" spans="1:26" ht="14.4" hidden="1" outlineLevel="1" x14ac:dyDescent="0.3">
      <c r="A95" s="3"/>
      <c r="B95" s="61" t="s">
        <v>520</v>
      </c>
      <c r="C95" s="62">
        <v>5</v>
      </c>
      <c r="D95" s="62" t="s">
        <v>129</v>
      </c>
      <c r="E95" s="12">
        <v>24</v>
      </c>
      <c r="F95" s="101">
        <f>SUM(M95:U95)</f>
        <v>48</v>
      </c>
      <c r="G95" s="119"/>
      <c r="H95" s="103" t="s">
        <v>37</v>
      </c>
      <c r="I95" s="63"/>
      <c r="J95" s="64"/>
      <c r="K95" s="12"/>
      <c r="L95" s="62" t="str">
        <f t="shared" si="3"/>
        <v/>
      </c>
      <c r="M95" s="12">
        <f>-12.57*2</f>
        <v>-25.14</v>
      </c>
      <c r="N95" s="12">
        <f>24.57*2</f>
        <v>49.14</v>
      </c>
      <c r="O95" s="12">
        <f>12*2</f>
        <v>24</v>
      </c>
      <c r="P95" s="12"/>
      <c r="Q95" s="12"/>
      <c r="R95" s="12"/>
      <c r="S95" s="12"/>
      <c r="T95" s="12"/>
      <c r="U95" s="12"/>
      <c r="V95" s="65"/>
      <c r="W95" s="44" t="str">
        <f t="shared" si="2"/>
        <v>OK</v>
      </c>
      <c r="X95" s="47" t="str">
        <f t="shared" si="4"/>
        <v/>
      </c>
      <c r="Y95" s="3"/>
      <c r="Z95" s="3"/>
    </row>
    <row r="96" spans="1:26" ht="14.4" hidden="1" outlineLevel="1" x14ac:dyDescent="0.3">
      <c r="A96" s="3"/>
      <c r="B96" s="10" t="s">
        <v>522</v>
      </c>
      <c r="C96" s="62">
        <v>7</v>
      </c>
      <c r="D96" s="62" t="s">
        <v>94</v>
      </c>
      <c r="E96" s="12">
        <f>SUM(M96:U96)</f>
        <v>138</v>
      </c>
      <c r="F96" s="101">
        <f>E96</f>
        <v>138</v>
      </c>
      <c r="G96" s="119"/>
      <c r="H96" s="103" t="s">
        <v>37</v>
      </c>
      <c r="I96" s="63"/>
      <c r="J96" s="64"/>
      <c r="K96" s="12"/>
      <c r="L96" s="62" t="str">
        <f t="shared" si="3"/>
        <v/>
      </c>
      <c r="M96" s="12">
        <v>88.43</v>
      </c>
      <c r="N96" s="12">
        <v>24.57</v>
      </c>
      <c r="O96" s="12">
        <v>12</v>
      </c>
      <c r="P96" s="12"/>
      <c r="Q96" s="12"/>
      <c r="R96" s="12"/>
      <c r="S96" s="12"/>
      <c r="T96" s="12"/>
      <c r="U96" s="12">
        <v>13</v>
      </c>
      <c r="V96" s="65" t="s">
        <v>697</v>
      </c>
      <c r="W96" s="44" t="str">
        <f t="shared" si="2"/>
        <v>OK</v>
      </c>
      <c r="X96" s="47" t="str">
        <f t="shared" si="4"/>
        <v/>
      </c>
      <c r="Y96" s="3"/>
      <c r="Z96" s="3"/>
    </row>
    <row r="97" spans="1:26" ht="14.4" hidden="1" outlineLevel="1" x14ac:dyDescent="0.3">
      <c r="A97" s="3"/>
      <c r="B97" s="61" t="s">
        <v>523</v>
      </c>
      <c r="C97" s="80">
        <v>11</v>
      </c>
      <c r="D97" s="62" t="s">
        <v>94</v>
      </c>
      <c r="E97" s="12">
        <v>63</v>
      </c>
      <c r="F97" s="101">
        <f>63+68</f>
        <v>131</v>
      </c>
      <c r="G97" s="119"/>
      <c r="H97" s="103" t="s">
        <v>37</v>
      </c>
      <c r="I97" s="63"/>
      <c r="J97" s="64"/>
      <c r="K97" s="12"/>
      <c r="L97" s="62" t="str">
        <f t="shared" si="3"/>
        <v/>
      </c>
      <c r="M97" s="12">
        <f>13.43*2</f>
        <v>26.86</v>
      </c>
      <c r="N97" s="12">
        <f>24.57*2</f>
        <v>49.14</v>
      </c>
      <c r="O97" s="12">
        <f>12*2</f>
        <v>24</v>
      </c>
      <c r="P97" s="12"/>
      <c r="Q97" s="12"/>
      <c r="R97" s="12"/>
      <c r="S97" s="12"/>
      <c r="T97" s="12"/>
      <c r="U97" s="12">
        <f>26+5</f>
        <v>31</v>
      </c>
      <c r="V97" s="65" t="s">
        <v>697</v>
      </c>
      <c r="W97" s="44" t="str">
        <f t="shared" si="2"/>
        <v>OK</v>
      </c>
      <c r="X97" s="47" t="str">
        <f t="shared" si="4"/>
        <v/>
      </c>
      <c r="Y97" s="3"/>
      <c r="Z97" s="3"/>
    </row>
    <row r="98" spans="1:26" ht="14.4" hidden="1" outlineLevel="1" x14ac:dyDescent="0.3">
      <c r="A98" s="3"/>
      <c r="B98" s="10" t="s">
        <v>524</v>
      </c>
      <c r="C98" s="62">
        <v>10</v>
      </c>
      <c r="D98" s="62" t="s">
        <v>94</v>
      </c>
      <c r="E98" s="12">
        <f t="shared" ref="E98:E102" si="46">SUM(M98:U98)</f>
        <v>143</v>
      </c>
      <c r="F98" s="101">
        <f t="shared" ref="F98:F99" si="47">E98</f>
        <v>143</v>
      </c>
      <c r="G98" s="119"/>
      <c r="H98" s="103" t="s">
        <v>37</v>
      </c>
      <c r="I98" s="63"/>
      <c r="J98" s="64"/>
      <c r="K98" s="12"/>
      <c r="L98" s="62" t="str">
        <f t="shared" si="3"/>
        <v/>
      </c>
      <c r="M98" s="12">
        <v>91.93</v>
      </c>
      <c r="N98" s="12">
        <v>24.57</v>
      </c>
      <c r="O98" s="12">
        <v>12</v>
      </c>
      <c r="P98" s="12">
        <v>1.5</v>
      </c>
      <c r="Q98" s="12"/>
      <c r="R98" s="12"/>
      <c r="S98" s="12"/>
      <c r="T98" s="12"/>
      <c r="U98" s="12">
        <v>13</v>
      </c>
      <c r="V98" s="65" t="s">
        <v>697</v>
      </c>
      <c r="W98" s="44" t="str">
        <f t="shared" si="2"/>
        <v>OK</v>
      </c>
      <c r="X98" s="47" t="str">
        <f t="shared" si="4"/>
        <v/>
      </c>
      <c r="Y98" s="3"/>
      <c r="Z98" s="3"/>
    </row>
    <row r="99" spans="1:26" ht="14.4" hidden="1" outlineLevel="1" x14ac:dyDescent="0.3">
      <c r="A99" s="3"/>
      <c r="B99" s="10" t="s">
        <v>525</v>
      </c>
      <c r="C99" s="62">
        <v>10</v>
      </c>
      <c r="D99" s="62" t="s">
        <v>94</v>
      </c>
      <c r="E99" s="12">
        <f t="shared" si="46"/>
        <v>143</v>
      </c>
      <c r="F99" s="101">
        <f t="shared" si="47"/>
        <v>143</v>
      </c>
      <c r="G99" s="119"/>
      <c r="H99" s="103" t="s">
        <v>37</v>
      </c>
      <c r="I99" s="63"/>
      <c r="J99" s="64"/>
      <c r="K99" s="12"/>
      <c r="L99" s="62" t="str">
        <f t="shared" si="3"/>
        <v/>
      </c>
      <c r="M99" s="12">
        <v>91.93</v>
      </c>
      <c r="N99" s="12">
        <v>24.57</v>
      </c>
      <c r="O99" s="12">
        <v>12</v>
      </c>
      <c r="P99" s="12">
        <v>1.5</v>
      </c>
      <c r="Q99" s="12"/>
      <c r="R99" s="12"/>
      <c r="S99" s="12"/>
      <c r="T99" s="12"/>
      <c r="U99" s="12">
        <v>13</v>
      </c>
      <c r="V99" s="65" t="s">
        <v>697</v>
      </c>
      <c r="W99" s="44" t="str">
        <f t="shared" si="2"/>
        <v>OK</v>
      </c>
      <c r="X99" s="47" t="str">
        <f t="shared" si="4"/>
        <v/>
      </c>
      <c r="Y99" s="3"/>
      <c r="Z99" s="3"/>
    </row>
    <row r="100" spans="1:26" ht="14.4" hidden="1" outlineLevel="1" x14ac:dyDescent="0.3">
      <c r="A100" s="3"/>
      <c r="B100" s="61" t="s">
        <v>526</v>
      </c>
      <c r="C100" s="62"/>
      <c r="D100" s="62"/>
      <c r="E100" s="12">
        <f t="shared" si="46"/>
        <v>78</v>
      </c>
      <c r="F100" s="101"/>
      <c r="G100" s="119"/>
      <c r="H100" s="103"/>
      <c r="I100" s="63"/>
      <c r="J100" s="64"/>
      <c r="K100" s="12"/>
      <c r="L100" s="62" t="str">
        <f t="shared" si="3"/>
        <v/>
      </c>
      <c r="M100" s="12">
        <v>26.43</v>
      </c>
      <c r="N100" s="12">
        <v>24.57</v>
      </c>
      <c r="O100" s="12">
        <v>12</v>
      </c>
      <c r="P100" s="12">
        <v>2</v>
      </c>
      <c r="Q100" s="12"/>
      <c r="R100" s="12"/>
      <c r="S100" s="12"/>
      <c r="T100" s="12"/>
      <c r="U100" s="12">
        <v>13</v>
      </c>
      <c r="V100" s="65" t="s">
        <v>697</v>
      </c>
      <c r="W100" s="44" t="str">
        <f t="shared" si="2"/>
        <v>Diferente</v>
      </c>
      <c r="X100" s="47">
        <f t="shared" si="4"/>
        <v>-78</v>
      </c>
      <c r="Y100" s="3"/>
      <c r="Z100" s="3"/>
    </row>
    <row r="101" spans="1:26" ht="14.4" hidden="1" outlineLevel="1" x14ac:dyDescent="0.3">
      <c r="A101" s="3"/>
      <c r="B101" s="10" t="s">
        <v>527</v>
      </c>
      <c r="C101" s="62">
        <v>24</v>
      </c>
      <c r="D101" s="62" t="s">
        <v>94</v>
      </c>
      <c r="E101" s="12">
        <f t="shared" si="46"/>
        <v>152</v>
      </c>
      <c r="F101" s="101">
        <f t="shared" ref="F101:F102" si="48">E101</f>
        <v>152</v>
      </c>
      <c r="G101" s="119"/>
      <c r="H101" s="103" t="s">
        <v>37</v>
      </c>
      <c r="I101" s="63"/>
      <c r="J101" s="64"/>
      <c r="K101" s="62"/>
      <c r="L101" s="62">
        <f t="shared" si="3"/>
        <v>1</v>
      </c>
      <c r="M101" s="12">
        <v>100.43</v>
      </c>
      <c r="N101" s="12">
        <v>24.57</v>
      </c>
      <c r="O101" s="12">
        <v>12</v>
      </c>
      <c r="P101" s="12">
        <v>2</v>
      </c>
      <c r="Q101" s="12"/>
      <c r="R101" s="12"/>
      <c r="S101" s="12"/>
      <c r="T101" s="12"/>
      <c r="U101" s="12">
        <v>13</v>
      </c>
      <c r="V101" s="65" t="s">
        <v>697</v>
      </c>
      <c r="W101" s="44" t="str">
        <f t="shared" si="2"/>
        <v>OK</v>
      </c>
      <c r="X101" s="47" t="str">
        <f t="shared" si="4"/>
        <v/>
      </c>
      <c r="Y101" s="3"/>
      <c r="Z101" s="3"/>
    </row>
    <row r="102" spans="1:26" ht="14.4" hidden="1" outlineLevel="1" x14ac:dyDescent="0.3">
      <c r="A102" s="3"/>
      <c r="B102" s="61" t="s">
        <v>712</v>
      </c>
      <c r="C102" s="62">
        <v>5</v>
      </c>
      <c r="D102" s="62" t="s">
        <v>94</v>
      </c>
      <c r="E102" s="12">
        <f t="shared" si="46"/>
        <v>70</v>
      </c>
      <c r="F102" s="101">
        <f t="shared" si="48"/>
        <v>70</v>
      </c>
      <c r="G102" s="119"/>
      <c r="H102" s="103" t="s">
        <v>37</v>
      </c>
      <c r="I102" s="63"/>
      <c r="J102" s="64"/>
      <c r="K102" s="62"/>
      <c r="L102" s="62" t="str">
        <f t="shared" si="3"/>
        <v/>
      </c>
      <c r="M102" s="12">
        <v>31.43</v>
      </c>
      <c r="N102" s="12">
        <v>24.57</v>
      </c>
      <c r="O102" s="12">
        <v>12</v>
      </c>
      <c r="P102" s="12">
        <v>2</v>
      </c>
      <c r="Q102" s="12"/>
      <c r="R102" s="12"/>
      <c r="S102" s="12"/>
      <c r="T102" s="12"/>
      <c r="U102" s="12"/>
      <c r="V102" s="65"/>
      <c r="W102" s="44" t="str">
        <f t="shared" si="2"/>
        <v>OK</v>
      </c>
      <c r="X102" s="47" t="str">
        <f t="shared" si="4"/>
        <v/>
      </c>
      <c r="Y102" s="3"/>
      <c r="Z102" s="3"/>
    </row>
    <row r="103" spans="1:26" ht="14.4" hidden="1" outlineLevel="1" x14ac:dyDescent="0.3">
      <c r="A103" s="3"/>
      <c r="B103" s="10"/>
      <c r="C103" s="62"/>
      <c r="D103" s="62"/>
      <c r="E103" s="12"/>
      <c r="F103" s="12"/>
      <c r="G103" s="119"/>
      <c r="H103" s="63"/>
      <c r="I103" s="63"/>
      <c r="J103" s="64"/>
      <c r="K103" s="62"/>
      <c r="L103" s="62" t="str">
        <f t="shared" si="3"/>
        <v/>
      </c>
      <c r="M103" s="12"/>
      <c r="N103" s="12"/>
      <c r="O103" s="12"/>
      <c r="P103" s="12"/>
      <c r="Q103" s="12"/>
      <c r="R103" s="12"/>
      <c r="S103" s="12"/>
      <c r="T103" s="12"/>
      <c r="U103" s="12"/>
      <c r="V103" s="65"/>
      <c r="W103" s="44" t="str">
        <f t="shared" si="2"/>
        <v>OK</v>
      </c>
      <c r="X103" s="47" t="str">
        <f t="shared" si="4"/>
        <v/>
      </c>
      <c r="Y103" s="3"/>
      <c r="Z103" s="3"/>
    </row>
    <row r="104" spans="1:26" ht="14.4" hidden="1" outlineLevel="1" x14ac:dyDescent="0.3">
      <c r="A104" s="3"/>
      <c r="B104" s="10"/>
      <c r="C104" s="62"/>
      <c r="D104" s="62"/>
      <c r="E104" s="12"/>
      <c r="F104" s="12"/>
      <c r="G104" s="67"/>
      <c r="H104" s="63"/>
      <c r="I104" s="63"/>
      <c r="J104" s="64"/>
      <c r="K104" s="62"/>
      <c r="L104" s="62" t="str">
        <f t="shared" si="3"/>
        <v/>
      </c>
      <c r="M104" s="12"/>
      <c r="N104" s="12"/>
      <c r="O104" s="12"/>
      <c r="P104" s="12"/>
      <c r="Q104" s="12"/>
      <c r="R104" s="12"/>
      <c r="S104" s="12"/>
      <c r="T104" s="12"/>
      <c r="U104" s="12"/>
      <c r="V104" s="65"/>
      <c r="W104" s="44" t="str">
        <f t="shared" si="2"/>
        <v>OK</v>
      </c>
      <c r="X104" s="47" t="str">
        <f t="shared" si="4"/>
        <v/>
      </c>
      <c r="Y104" s="3"/>
      <c r="Z104" s="3"/>
    </row>
    <row r="105" spans="1:26" ht="14.4" hidden="1" outlineLevel="1" x14ac:dyDescent="0.3">
      <c r="A105" s="3"/>
      <c r="B105" s="10"/>
      <c r="C105" s="62"/>
      <c r="D105" s="62"/>
      <c r="E105" s="12"/>
      <c r="F105" s="12"/>
      <c r="G105" s="67"/>
      <c r="H105" s="63"/>
      <c r="I105" s="63"/>
      <c r="J105" s="64"/>
      <c r="K105" s="62"/>
      <c r="L105" s="62" t="str">
        <f t="shared" si="3"/>
        <v/>
      </c>
      <c r="M105" s="12"/>
      <c r="N105" s="12"/>
      <c r="O105" s="12"/>
      <c r="P105" s="12"/>
      <c r="Q105" s="12"/>
      <c r="R105" s="12"/>
      <c r="S105" s="12"/>
      <c r="T105" s="12"/>
      <c r="U105" s="12"/>
      <c r="V105" s="62"/>
      <c r="W105" s="44" t="str">
        <f t="shared" si="2"/>
        <v>OK</v>
      </c>
      <c r="X105" s="47" t="str">
        <f t="shared" si="4"/>
        <v/>
      </c>
      <c r="Y105" s="3"/>
      <c r="Z105" s="3"/>
    </row>
    <row r="106" spans="1:26" ht="14.4" hidden="1" outlineLevel="1" x14ac:dyDescent="0.3">
      <c r="A106" s="3"/>
      <c r="B106" s="10"/>
      <c r="C106" s="62"/>
      <c r="D106" s="62"/>
      <c r="E106" s="12"/>
      <c r="F106" s="12"/>
      <c r="G106" s="67"/>
      <c r="H106" s="63"/>
      <c r="I106" s="63"/>
      <c r="J106" s="64"/>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4.4" hidden="1" outlineLevel="1" x14ac:dyDescent="0.3">
      <c r="A107" s="3"/>
      <c r="B107" s="10"/>
      <c r="C107" s="62"/>
      <c r="D107" s="62"/>
      <c r="E107" s="12"/>
      <c r="F107" s="12"/>
      <c r="G107" s="67"/>
      <c r="H107" s="63"/>
      <c r="I107" s="63"/>
      <c r="J107" s="64"/>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4.4" hidden="1" outlineLevel="1" x14ac:dyDescent="0.3">
      <c r="A108" s="3"/>
      <c r="B108" s="10"/>
      <c r="C108" s="62"/>
      <c r="D108" s="62"/>
      <c r="E108" s="12"/>
      <c r="F108" s="12"/>
      <c r="G108" s="67"/>
      <c r="H108" s="63"/>
      <c r="I108" s="63"/>
      <c r="J108" s="64"/>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4.4" hidden="1" outlineLevel="1" x14ac:dyDescent="0.3">
      <c r="A109" s="3"/>
      <c r="B109" s="10"/>
      <c r="C109" s="62"/>
      <c r="D109" s="62"/>
      <c r="E109" s="12"/>
      <c r="F109" s="12"/>
      <c r="G109" s="67"/>
      <c r="H109" s="63"/>
      <c r="I109" s="63"/>
      <c r="J109" s="64"/>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4.4" hidden="1" outlineLevel="1" x14ac:dyDescent="0.3">
      <c r="A110" s="3"/>
      <c r="B110" s="10"/>
      <c r="C110" s="62"/>
      <c r="D110" s="62"/>
      <c r="E110" s="12"/>
      <c r="F110" s="12"/>
      <c r="G110" s="67"/>
      <c r="H110" s="63"/>
      <c r="I110" s="63"/>
      <c r="J110" s="64"/>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4.4" hidden="1" outlineLevel="1" x14ac:dyDescent="0.3">
      <c r="A111" s="3"/>
      <c r="B111" s="10"/>
      <c r="C111" s="62"/>
      <c r="D111" s="62"/>
      <c r="E111" s="12"/>
      <c r="F111" s="12"/>
      <c r="G111" s="67"/>
      <c r="H111" s="63"/>
      <c r="I111" s="63"/>
      <c r="J111" s="64"/>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4.4" hidden="1" outlineLevel="1" x14ac:dyDescent="0.3">
      <c r="A112" s="3"/>
      <c r="B112" s="10"/>
      <c r="C112" s="62"/>
      <c r="D112" s="62"/>
      <c r="E112" s="12"/>
      <c r="F112" s="12"/>
      <c r="G112" s="67"/>
      <c r="H112" s="63"/>
      <c r="I112" s="63"/>
      <c r="J112" s="64"/>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4.4" hidden="1" outlineLevel="1" x14ac:dyDescent="0.3">
      <c r="A113" s="3"/>
      <c r="B113" s="10"/>
      <c r="C113" s="62"/>
      <c r="D113" s="62"/>
      <c r="E113" s="12"/>
      <c r="F113" s="12"/>
      <c r="G113" s="67"/>
      <c r="H113" s="63"/>
      <c r="I113" s="63"/>
      <c r="J113" s="64"/>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4.4" hidden="1" outlineLevel="1" x14ac:dyDescent="0.3">
      <c r="A114" s="3"/>
      <c r="B114" s="10"/>
      <c r="C114" s="62"/>
      <c r="D114" s="62"/>
      <c r="E114" s="12"/>
      <c r="F114" s="12"/>
      <c r="G114" s="67"/>
      <c r="H114" s="63"/>
      <c r="I114" s="63"/>
      <c r="J114" s="64"/>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4.4" hidden="1" outlineLevel="1" x14ac:dyDescent="0.3">
      <c r="A115" s="3"/>
      <c r="B115" s="10"/>
      <c r="C115" s="62"/>
      <c r="D115" s="62"/>
      <c r="E115" s="12"/>
      <c r="F115" s="12"/>
      <c r="G115" s="67"/>
      <c r="H115" s="63"/>
      <c r="I115" s="63"/>
      <c r="J115" s="64"/>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4.4" hidden="1" outlineLevel="1" x14ac:dyDescent="0.3">
      <c r="A116" s="3"/>
      <c r="B116" s="10"/>
      <c r="C116" s="62"/>
      <c r="D116" s="62"/>
      <c r="E116" s="12"/>
      <c r="F116" s="12"/>
      <c r="G116" s="67"/>
      <c r="H116" s="63"/>
      <c r="I116" s="63"/>
      <c r="J116" s="64"/>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4.4" hidden="1" outlineLevel="1" x14ac:dyDescent="0.3">
      <c r="A117" s="3"/>
      <c r="B117" s="10"/>
      <c r="C117" s="62"/>
      <c r="D117" s="62"/>
      <c r="E117" s="12"/>
      <c r="F117" s="12"/>
      <c r="G117" s="67"/>
      <c r="H117" s="63"/>
      <c r="I117" s="63"/>
      <c r="J117" s="64"/>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4.4" hidden="1" outlineLevel="1" x14ac:dyDescent="0.3">
      <c r="A118" s="3"/>
      <c r="B118" s="10"/>
      <c r="C118" s="62"/>
      <c r="D118" s="62"/>
      <c r="E118" s="12"/>
      <c r="F118" s="12"/>
      <c r="G118" s="67"/>
      <c r="H118" s="63"/>
      <c r="I118" s="63"/>
      <c r="J118" s="64"/>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4.4" hidden="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4.4" hidden="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4.4" hidden="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4.4" hidden="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4.4" hidden="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4.4" hidden="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row>
    <row r="125" spans="1:26" ht="14.4" hidden="1" outlineLevel="1" x14ac:dyDescent="0.3">
      <c r="A125" s="3"/>
      <c r="B125" s="10"/>
      <c r="C125" s="62"/>
      <c r="D125" s="62"/>
      <c r="E125" s="12"/>
      <c r="F125" s="12"/>
      <c r="G125" s="67"/>
      <c r="H125" s="63"/>
      <c r="I125" s="63"/>
      <c r="J125" s="64"/>
      <c r="K125" s="62"/>
      <c r="L125" s="62" t="str">
        <f t="shared" si="3"/>
        <v/>
      </c>
      <c r="M125" s="12"/>
      <c r="N125" s="12"/>
      <c r="O125" s="12"/>
      <c r="P125" s="12"/>
      <c r="Q125" s="12"/>
      <c r="R125" s="12"/>
      <c r="S125" s="12"/>
      <c r="T125" s="12"/>
      <c r="U125" s="12"/>
      <c r="V125" s="62"/>
      <c r="W125" s="44" t="str">
        <f t="shared" si="2"/>
        <v>OK</v>
      </c>
      <c r="X125" s="47" t="str">
        <f t="shared" si="4"/>
        <v/>
      </c>
      <c r="Y125" s="3"/>
      <c r="Z125" s="3"/>
    </row>
    <row r="126" spans="1:26" ht="14.4" hidden="1" outlineLevel="1" x14ac:dyDescent="0.3">
      <c r="A126" s="3"/>
      <c r="B126" s="10"/>
      <c r="C126" s="62"/>
      <c r="D126" s="62"/>
      <c r="E126" s="12"/>
      <c r="F126" s="12"/>
      <c r="G126" s="67"/>
      <c r="H126" s="63"/>
      <c r="I126" s="63"/>
      <c r="J126" s="64"/>
      <c r="K126" s="62"/>
      <c r="L126" s="62"/>
      <c r="M126" s="12"/>
      <c r="N126" s="12"/>
      <c r="O126" s="12"/>
      <c r="P126" s="12"/>
      <c r="Q126" s="12"/>
      <c r="R126" s="12"/>
      <c r="S126" s="12"/>
      <c r="T126" s="12"/>
      <c r="U126" s="12"/>
      <c r="V126" s="62"/>
      <c r="W126" s="44" t="str">
        <f t="shared" si="2"/>
        <v>OK</v>
      </c>
      <c r="X126" s="47" t="str">
        <f t="shared" si="4"/>
        <v/>
      </c>
      <c r="Y126" s="3"/>
      <c r="Z126" s="3"/>
    </row>
    <row r="127" spans="1:26" ht="20.399999999999999" collapsed="1" x14ac:dyDescent="0.3">
      <c r="A127" s="3"/>
      <c r="B127" s="73" t="s">
        <v>62</v>
      </c>
      <c r="C127" s="56" t="s">
        <v>43</v>
      </c>
      <c r="D127" s="56" t="s">
        <v>43</v>
      </c>
      <c r="E127" s="57">
        <f t="shared" ref="E127:F127" si="49">SUM(E128,E131,,E135,E139,E143)</f>
        <v>0</v>
      </c>
      <c r="F127" s="57">
        <f t="shared" si="49"/>
        <v>4018.3199999999997</v>
      </c>
      <c r="G127" s="58" t="s">
        <v>43</v>
      </c>
      <c r="H127" s="74"/>
      <c r="I127" s="74"/>
      <c r="J127" s="3"/>
      <c r="K127" s="3"/>
      <c r="L127" s="3"/>
      <c r="M127" s="3"/>
      <c r="N127" s="3"/>
      <c r="O127" s="3"/>
      <c r="P127" s="3"/>
      <c r="Q127" s="3"/>
      <c r="R127" s="3"/>
      <c r="S127" s="3"/>
      <c r="T127" s="3"/>
      <c r="U127" s="3"/>
      <c r="V127" s="3"/>
      <c r="W127" s="44"/>
      <c r="X127" s="41"/>
      <c r="Y127" s="3"/>
      <c r="Z127" s="3"/>
    </row>
    <row r="128" spans="1:26" outlineLevel="1" x14ac:dyDescent="0.3">
      <c r="A128" s="3"/>
      <c r="B128" s="75" t="s">
        <v>230</v>
      </c>
      <c r="C128" s="76" t="s">
        <v>43</v>
      </c>
      <c r="D128" s="76" t="s">
        <v>43</v>
      </c>
      <c r="E128" s="77">
        <f>SUM(E129:E130)</f>
        <v>0</v>
      </c>
      <c r="F128" s="77">
        <f>SUMIF(D129:D130,"OK",F129:F130)</f>
        <v>0</v>
      </c>
      <c r="G128" s="78" t="s">
        <v>43</v>
      </c>
      <c r="H128" s="79"/>
      <c r="I128" s="79"/>
      <c r="J128" s="3"/>
      <c r="K128" s="3"/>
      <c r="L128" s="3"/>
      <c r="M128" s="3"/>
      <c r="N128" s="3"/>
      <c r="O128" s="3"/>
      <c r="P128" s="3"/>
      <c r="Q128" s="3"/>
      <c r="R128" s="3"/>
      <c r="S128" s="3"/>
      <c r="T128" s="3"/>
      <c r="U128" s="3"/>
      <c r="V128" s="3"/>
      <c r="W128" s="44"/>
      <c r="X128" s="41"/>
      <c r="Y128" s="3"/>
      <c r="Z128" s="3"/>
    </row>
    <row r="129" spans="1:26" ht="14.4" outlineLevel="1" x14ac:dyDescent="0.3">
      <c r="A129" s="3"/>
      <c r="B129" s="10" t="s">
        <v>231</v>
      </c>
      <c r="C129" s="62"/>
      <c r="D129" s="62"/>
      <c r="E129" s="12">
        <v>0</v>
      </c>
      <c r="F129" s="12">
        <v>0</v>
      </c>
      <c r="G129" s="67"/>
      <c r="H129" s="63" t="s">
        <v>37</v>
      </c>
      <c r="I129" s="63"/>
      <c r="J129" s="3"/>
      <c r="K129" s="3"/>
      <c r="L129" s="3"/>
      <c r="M129" s="3"/>
      <c r="N129" s="3"/>
      <c r="O129" s="3"/>
      <c r="P129" s="3"/>
      <c r="Q129" s="3"/>
      <c r="R129" s="3"/>
      <c r="S129" s="3"/>
      <c r="T129" s="3"/>
      <c r="U129" s="3"/>
      <c r="V129" s="3"/>
      <c r="W129" s="44"/>
      <c r="X129" s="41"/>
      <c r="Y129" s="3"/>
      <c r="Z129" s="3"/>
    </row>
    <row r="130" spans="1:26" ht="14.4" outlineLevel="1" x14ac:dyDescent="0.3">
      <c r="A130" s="3"/>
      <c r="B130" s="10" t="s">
        <v>61</v>
      </c>
      <c r="C130" s="62"/>
      <c r="D130" s="62"/>
      <c r="E130" s="12">
        <v>0</v>
      </c>
      <c r="F130" s="12">
        <v>0</v>
      </c>
      <c r="G130" s="67"/>
      <c r="H130" s="63"/>
      <c r="I130" s="63"/>
      <c r="J130" s="3"/>
      <c r="K130" s="3"/>
      <c r="L130" s="3"/>
      <c r="M130" s="3"/>
      <c r="N130" s="3"/>
      <c r="O130" s="3"/>
      <c r="P130" s="3"/>
      <c r="Q130" s="3"/>
      <c r="R130" s="3"/>
      <c r="S130" s="3"/>
      <c r="T130" s="3"/>
      <c r="U130" s="3"/>
      <c r="V130" s="3"/>
      <c r="W130" s="44"/>
      <c r="X130" s="41"/>
      <c r="Y130" s="3"/>
      <c r="Z130" s="3"/>
    </row>
    <row r="131" spans="1:26" outlineLevel="1" x14ac:dyDescent="0.3">
      <c r="A131" s="3"/>
      <c r="B131" s="75" t="s">
        <v>232</v>
      </c>
      <c r="C131" s="76" t="s">
        <v>43</v>
      </c>
      <c r="D131" s="76" t="s">
        <v>43</v>
      </c>
      <c r="E131" s="77">
        <f>SUM(E132:E134)</f>
        <v>0</v>
      </c>
      <c r="F131" s="77">
        <f>SUMIF(D132:D134,"OK",F132:F134)</f>
        <v>1297.32</v>
      </c>
      <c r="G131" s="78" t="s">
        <v>43</v>
      </c>
      <c r="H131" s="79"/>
      <c r="I131" s="79"/>
      <c r="J131" s="3"/>
      <c r="K131" s="3"/>
      <c r="L131" s="3"/>
      <c r="M131" s="3"/>
      <c r="N131" s="3"/>
      <c r="O131" s="3"/>
      <c r="P131" s="3"/>
      <c r="Q131" s="3"/>
      <c r="R131" s="3"/>
      <c r="S131" s="3"/>
      <c r="T131" s="3"/>
      <c r="U131" s="3"/>
      <c r="V131" s="3"/>
      <c r="W131" s="44"/>
      <c r="X131" s="41"/>
      <c r="Y131" s="3"/>
      <c r="Z131" s="3"/>
    </row>
    <row r="132" spans="1:26" ht="14.4" outlineLevel="1" x14ac:dyDescent="0.3">
      <c r="A132" s="3"/>
      <c r="B132" s="10" t="s">
        <v>529</v>
      </c>
      <c r="C132" s="62" t="s">
        <v>713</v>
      </c>
      <c r="D132" s="62" t="s">
        <v>94</v>
      </c>
      <c r="E132" s="12">
        <v>0</v>
      </c>
      <c r="F132" s="12">
        <v>1204</v>
      </c>
      <c r="G132" s="69"/>
      <c r="H132" s="63" t="s">
        <v>39</v>
      </c>
      <c r="I132" s="63"/>
      <c r="J132" s="3"/>
      <c r="K132" s="3"/>
      <c r="L132" s="3"/>
      <c r="M132" s="3"/>
      <c r="N132" s="3"/>
      <c r="O132" s="3"/>
      <c r="P132" s="3"/>
      <c r="Q132" s="3"/>
      <c r="R132" s="3"/>
      <c r="S132" s="3"/>
      <c r="T132" s="3"/>
      <c r="U132" s="3"/>
      <c r="V132" s="3"/>
      <c r="W132" s="44"/>
      <c r="X132" s="41"/>
      <c r="Y132" s="3"/>
      <c r="Z132" s="3"/>
    </row>
    <row r="133" spans="1:26" ht="14.4" outlineLevel="1" x14ac:dyDescent="0.3">
      <c r="A133" s="3"/>
      <c r="B133" s="10" t="s">
        <v>531</v>
      </c>
      <c r="C133" s="62">
        <v>15</v>
      </c>
      <c r="D133" s="62" t="s">
        <v>94</v>
      </c>
      <c r="E133" s="12">
        <v>0</v>
      </c>
      <c r="F133" s="12">
        <v>40</v>
      </c>
      <c r="G133" s="70" t="s">
        <v>714</v>
      </c>
      <c r="H133" s="63" t="s">
        <v>37</v>
      </c>
      <c r="I133" s="63"/>
      <c r="J133" s="3"/>
      <c r="K133" s="3"/>
      <c r="L133" s="3"/>
      <c r="M133" s="3"/>
      <c r="N133" s="3"/>
      <c r="O133" s="3"/>
      <c r="P133" s="3"/>
      <c r="Q133" s="3"/>
      <c r="R133" s="3"/>
      <c r="S133" s="3"/>
      <c r="T133" s="3"/>
      <c r="U133" s="3"/>
      <c r="V133" s="3"/>
      <c r="W133" s="44"/>
      <c r="X133" s="41"/>
      <c r="Y133" s="3"/>
      <c r="Z133" s="3"/>
    </row>
    <row r="134" spans="1:26" ht="14.4" outlineLevel="1" x14ac:dyDescent="0.3">
      <c r="A134" s="3"/>
      <c r="B134" s="10" t="s">
        <v>532</v>
      </c>
      <c r="C134" s="80">
        <v>1</v>
      </c>
      <c r="D134" s="62" t="s">
        <v>94</v>
      </c>
      <c r="E134" s="12">
        <v>0</v>
      </c>
      <c r="F134" s="12">
        <f>3+3+3+6+38.32</f>
        <v>53.32</v>
      </c>
      <c r="G134" s="69"/>
      <c r="H134" s="63" t="s">
        <v>38</v>
      </c>
      <c r="I134" s="63"/>
      <c r="J134" s="3"/>
      <c r="K134" s="3"/>
      <c r="L134" s="3"/>
      <c r="M134" s="3"/>
      <c r="N134" s="3"/>
      <c r="O134" s="3"/>
      <c r="P134" s="3"/>
      <c r="Q134" s="3"/>
      <c r="R134" s="3"/>
      <c r="S134" s="3"/>
      <c r="T134" s="3"/>
      <c r="U134" s="3"/>
      <c r="V134" s="3"/>
      <c r="W134" s="44"/>
      <c r="X134" s="41"/>
      <c r="Y134" s="3"/>
      <c r="Z134" s="3"/>
    </row>
    <row r="135" spans="1:26" outlineLevel="1" x14ac:dyDescent="0.3">
      <c r="A135" s="3"/>
      <c r="B135" s="75" t="s">
        <v>651</v>
      </c>
      <c r="C135" s="76" t="s">
        <v>43</v>
      </c>
      <c r="D135" s="76" t="s">
        <v>43</v>
      </c>
      <c r="E135" s="77">
        <f>SUM(E136:E138)</f>
        <v>0</v>
      </c>
      <c r="F135" s="77">
        <f>SUMIF(D136:D138,"OK",F136:F138)</f>
        <v>0</v>
      </c>
      <c r="G135" s="78" t="s">
        <v>43</v>
      </c>
      <c r="H135" s="79"/>
      <c r="I135" s="79"/>
      <c r="J135" s="3"/>
      <c r="K135" s="3"/>
      <c r="L135" s="3"/>
      <c r="M135" s="3"/>
      <c r="N135" s="3"/>
      <c r="O135" s="3"/>
      <c r="P135" s="3"/>
      <c r="Q135" s="3"/>
      <c r="R135" s="3"/>
      <c r="S135" s="3"/>
      <c r="T135" s="3"/>
      <c r="U135" s="3"/>
      <c r="V135" s="3"/>
      <c r="W135" s="44"/>
      <c r="X135" s="41"/>
      <c r="Y135" s="3"/>
      <c r="Z135" s="3"/>
    </row>
    <row r="136" spans="1:26" ht="14.4" outlineLevel="1" x14ac:dyDescent="0.3">
      <c r="A136" s="3"/>
      <c r="B136" s="10" t="s">
        <v>63</v>
      </c>
      <c r="C136" s="62"/>
      <c r="D136" s="62"/>
      <c r="E136" s="12">
        <v>0</v>
      </c>
      <c r="F136" s="12">
        <v>0</v>
      </c>
      <c r="G136" s="69"/>
      <c r="H136" s="63"/>
      <c r="I136" s="63"/>
      <c r="J136" s="3"/>
      <c r="K136" s="3"/>
      <c r="L136" s="3"/>
      <c r="M136" s="3"/>
      <c r="N136" s="3"/>
      <c r="O136" s="3"/>
      <c r="P136" s="3"/>
      <c r="Q136" s="3"/>
      <c r="R136" s="3"/>
      <c r="S136" s="3"/>
      <c r="T136" s="3"/>
      <c r="U136" s="3"/>
      <c r="V136" s="3"/>
      <c r="W136" s="44"/>
      <c r="X136" s="41"/>
      <c r="Y136" s="3"/>
      <c r="Z136" s="3"/>
    </row>
    <row r="137" spans="1:26" ht="14.4" outlineLevel="1" x14ac:dyDescent="0.3">
      <c r="A137" s="3"/>
      <c r="B137" s="10" t="s">
        <v>532</v>
      </c>
      <c r="C137" s="62"/>
      <c r="D137" s="62"/>
      <c r="E137" s="12">
        <v>0</v>
      </c>
      <c r="F137" s="12">
        <v>0</v>
      </c>
      <c r="G137" s="67"/>
      <c r="H137" s="63"/>
      <c r="I137" s="63"/>
      <c r="J137" s="3"/>
      <c r="K137" s="3"/>
      <c r="L137" s="3"/>
      <c r="M137" s="3"/>
      <c r="N137" s="3"/>
      <c r="O137" s="3"/>
      <c r="P137" s="3"/>
      <c r="Q137" s="3"/>
      <c r="R137" s="3"/>
      <c r="S137" s="3"/>
      <c r="T137" s="3"/>
      <c r="U137" s="3"/>
      <c r="V137" s="3"/>
      <c r="W137" s="44"/>
      <c r="X137" s="41"/>
      <c r="Y137" s="3"/>
      <c r="Z137" s="3"/>
    </row>
    <row r="138" spans="1:26" ht="14.4" outlineLevel="1" x14ac:dyDescent="0.3">
      <c r="A138" s="3"/>
      <c r="B138" s="10" t="s">
        <v>715</v>
      </c>
      <c r="C138" s="62"/>
      <c r="D138" s="62"/>
      <c r="E138" s="12">
        <v>0</v>
      </c>
      <c r="F138" s="12">
        <v>0</v>
      </c>
      <c r="G138" s="67"/>
      <c r="H138" s="63"/>
      <c r="I138" s="63"/>
      <c r="J138" s="3"/>
      <c r="K138" s="3"/>
      <c r="L138" s="3"/>
      <c r="M138" s="3"/>
      <c r="N138" s="3"/>
      <c r="O138" s="3"/>
      <c r="P138" s="3"/>
      <c r="Q138" s="3"/>
      <c r="R138" s="3"/>
      <c r="S138" s="3"/>
      <c r="T138" s="3"/>
      <c r="U138" s="3"/>
      <c r="V138" s="3"/>
      <c r="W138" s="44"/>
      <c r="X138" s="41"/>
      <c r="Y138" s="3"/>
      <c r="Z138" s="3"/>
    </row>
    <row r="139" spans="1:26" outlineLevel="1" x14ac:dyDescent="0.3">
      <c r="A139" s="3"/>
      <c r="B139" s="75" t="s">
        <v>64</v>
      </c>
      <c r="C139" s="76" t="s">
        <v>43</v>
      </c>
      <c r="D139" s="76" t="s">
        <v>43</v>
      </c>
      <c r="E139" s="77">
        <f>SUM(E140:E142)</f>
        <v>0</v>
      </c>
      <c r="F139" s="77">
        <f>SUMIF(D140:D142,"OK",F140:F142)</f>
        <v>46</v>
      </c>
      <c r="G139" s="78" t="s">
        <v>43</v>
      </c>
      <c r="H139" s="79"/>
      <c r="I139" s="79"/>
      <c r="J139" s="3"/>
      <c r="K139" s="3"/>
      <c r="L139" s="3"/>
      <c r="M139" s="3"/>
      <c r="N139" s="3"/>
      <c r="O139" s="3"/>
      <c r="P139" s="3"/>
      <c r="Q139" s="3"/>
      <c r="R139" s="3"/>
      <c r="S139" s="3"/>
      <c r="T139" s="3"/>
      <c r="U139" s="3"/>
      <c r="V139" s="3"/>
      <c r="W139" s="44"/>
      <c r="X139" s="41"/>
      <c r="Y139" s="3"/>
      <c r="Z139" s="3"/>
    </row>
    <row r="140" spans="1:26" ht="14.4" outlineLevel="1" x14ac:dyDescent="0.3">
      <c r="A140" s="3"/>
      <c r="B140" s="10" t="s">
        <v>716</v>
      </c>
      <c r="C140" s="62">
        <v>6</v>
      </c>
      <c r="D140" s="62" t="s">
        <v>94</v>
      </c>
      <c r="E140" s="12">
        <v>0</v>
      </c>
      <c r="F140" s="12">
        <f>46</f>
        <v>46</v>
      </c>
      <c r="G140" s="70" t="s">
        <v>717</v>
      </c>
      <c r="H140" s="63" t="s">
        <v>37</v>
      </c>
      <c r="I140" s="63"/>
      <c r="J140" s="3"/>
      <c r="K140" s="3"/>
      <c r="L140" s="3"/>
      <c r="M140" s="3"/>
      <c r="N140" s="3"/>
      <c r="O140" s="3"/>
      <c r="P140" s="3"/>
      <c r="Q140" s="3"/>
      <c r="R140" s="3"/>
      <c r="S140" s="3"/>
      <c r="T140" s="3"/>
      <c r="U140" s="3"/>
      <c r="V140" s="3"/>
      <c r="W140" s="44"/>
      <c r="X140" s="41"/>
      <c r="Y140" s="3"/>
      <c r="Z140" s="3"/>
    </row>
    <row r="141" spans="1:26" ht="14.4" outlineLevel="1" x14ac:dyDescent="0.3">
      <c r="A141" s="3"/>
      <c r="B141" s="10" t="s">
        <v>63</v>
      </c>
      <c r="C141" s="62"/>
      <c r="D141" s="62"/>
      <c r="E141" s="12">
        <v>0</v>
      </c>
      <c r="F141" s="12">
        <v>0</v>
      </c>
      <c r="G141" s="67"/>
      <c r="H141" s="63"/>
      <c r="I141" s="63"/>
      <c r="J141" s="3"/>
      <c r="K141" s="3"/>
      <c r="L141" s="3"/>
      <c r="M141" s="3"/>
      <c r="N141" s="3"/>
      <c r="O141" s="3"/>
      <c r="P141" s="3"/>
      <c r="Q141" s="3"/>
      <c r="R141" s="3"/>
      <c r="S141" s="3"/>
      <c r="T141" s="3"/>
      <c r="U141" s="3"/>
      <c r="V141" s="3"/>
      <c r="W141" s="44"/>
      <c r="X141" s="41"/>
      <c r="Y141" s="3"/>
      <c r="Z141" s="3"/>
    </row>
    <row r="142" spans="1:26" ht="14.4" outlineLevel="1" x14ac:dyDescent="0.3">
      <c r="A142" s="3"/>
      <c r="B142" s="10" t="s">
        <v>61</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row>
    <row r="143" spans="1:26" outlineLevel="1" x14ac:dyDescent="0.3">
      <c r="A143" s="3"/>
      <c r="B143" s="75" t="s">
        <v>62</v>
      </c>
      <c r="C143" s="76" t="s">
        <v>43</v>
      </c>
      <c r="D143" s="76" t="s">
        <v>43</v>
      </c>
      <c r="E143" s="77">
        <f>SUM(E144:E146)</f>
        <v>0</v>
      </c>
      <c r="F143" s="77">
        <f>SUMIF(D144:D146,"OK",F144:F146)</f>
        <v>2675</v>
      </c>
      <c r="G143" s="78" t="s">
        <v>43</v>
      </c>
      <c r="H143" s="79"/>
      <c r="I143" s="79"/>
      <c r="J143" s="3"/>
      <c r="K143" s="3"/>
      <c r="L143" s="3"/>
      <c r="M143" s="3"/>
      <c r="N143" s="3"/>
      <c r="O143" s="3"/>
      <c r="P143" s="3"/>
      <c r="Q143" s="3"/>
      <c r="R143" s="3"/>
      <c r="S143" s="3"/>
      <c r="T143" s="3"/>
      <c r="U143" s="3"/>
      <c r="V143" s="3"/>
      <c r="W143" s="44"/>
      <c r="X143" s="41"/>
      <c r="Y143" s="3"/>
      <c r="Z143" s="3"/>
    </row>
    <row r="144" spans="1:26" ht="14.4" outlineLevel="1" x14ac:dyDescent="0.3">
      <c r="A144" s="3"/>
      <c r="B144" s="10" t="s">
        <v>537</v>
      </c>
      <c r="C144" s="62">
        <v>10</v>
      </c>
      <c r="D144" s="62" t="s">
        <v>94</v>
      </c>
      <c r="E144" s="12">
        <v>0</v>
      </c>
      <c r="F144" s="12">
        <f>65+130</f>
        <v>195</v>
      </c>
      <c r="G144" s="70" t="s">
        <v>718</v>
      </c>
      <c r="H144" s="63" t="s">
        <v>37</v>
      </c>
      <c r="I144" s="63"/>
      <c r="J144" s="3"/>
      <c r="K144" s="3"/>
      <c r="L144" s="3"/>
      <c r="M144" s="3"/>
      <c r="N144" s="3"/>
      <c r="O144" s="3"/>
      <c r="P144" s="3"/>
      <c r="Q144" s="3"/>
      <c r="R144" s="3"/>
      <c r="S144" s="3"/>
      <c r="T144" s="3"/>
      <c r="U144" s="3"/>
      <c r="V144" s="3"/>
      <c r="W144" s="44"/>
      <c r="X144" s="41"/>
      <c r="Y144" s="3"/>
      <c r="Z144" s="3"/>
    </row>
    <row r="145" spans="1:26" ht="14.4" outlineLevel="1" x14ac:dyDescent="0.3">
      <c r="A145" s="3"/>
      <c r="B145" s="10" t="s">
        <v>537</v>
      </c>
      <c r="C145" s="62" t="s">
        <v>713</v>
      </c>
      <c r="D145" s="62" t="s">
        <v>94</v>
      </c>
      <c r="E145" s="12">
        <v>0</v>
      </c>
      <c r="F145" s="12">
        <f>65+65+200+65+220+130+175+65+65+65+65+65+260+65+150+65+65+65+130+65+65+110+130+65</f>
        <v>2480</v>
      </c>
      <c r="G145" s="67"/>
      <c r="H145" s="63" t="s">
        <v>38</v>
      </c>
      <c r="I145" s="63"/>
      <c r="J145" s="3"/>
      <c r="K145" s="3"/>
      <c r="L145" s="3"/>
      <c r="M145" s="3"/>
      <c r="N145" s="3"/>
      <c r="O145" s="3"/>
      <c r="P145" s="3"/>
      <c r="Q145" s="3"/>
      <c r="R145" s="3"/>
      <c r="S145" s="3"/>
      <c r="T145" s="3"/>
      <c r="U145" s="3"/>
      <c r="V145" s="3"/>
      <c r="W145" s="44"/>
      <c r="X145" s="41"/>
      <c r="Y145" s="3"/>
      <c r="Z145" s="3"/>
    </row>
    <row r="146" spans="1:26" ht="14.4" outlineLevel="1" x14ac:dyDescent="0.3">
      <c r="A146" s="3"/>
      <c r="B146" s="10" t="s">
        <v>61</v>
      </c>
      <c r="C146" s="62"/>
      <c r="D146" s="62"/>
      <c r="E146" s="12">
        <v>0</v>
      </c>
      <c r="F146" s="12">
        <v>0</v>
      </c>
      <c r="G146" s="67"/>
      <c r="H146" s="63"/>
      <c r="I146" s="63"/>
      <c r="J146" s="3"/>
      <c r="K146" s="3"/>
      <c r="L146" s="3"/>
      <c r="M146" s="3"/>
      <c r="N146" s="3"/>
      <c r="O146" s="3"/>
      <c r="P146" s="3"/>
      <c r="Q146" s="3"/>
      <c r="R146" s="3"/>
      <c r="S146" s="3"/>
      <c r="T146" s="3"/>
      <c r="U146" s="3"/>
      <c r="V146" s="3"/>
      <c r="W146" s="44"/>
      <c r="X146" s="41"/>
      <c r="Y146" s="3"/>
      <c r="Z146" s="3"/>
    </row>
    <row r="147" spans="1:26" ht="20.399999999999999" x14ac:dyDescent="0.3">
      <c r="A147" s="3"/>
      <c r="B147" s="73" t="s">
        <v>239</v>
      </c>
      <c r="C147" s="56" t="s">
        <v>43</v>
      </c>
      <c r="D147" s="56" t="s">
        <v>43</v>
      </c>
      <c r="E147" s="57">
        <f t="shared" ref="E147:F147" si="50">SUM(E148,E153,E158,E162)</f>
        <v>0</v>
      </c>
      <c r="F147" s="57">
        <f t="shared" si="50"/>
        <v>2762.8</v>
      </c>
      <c r="G147" s="58" t="s">
        <v>43</v>
      </c>
      <c r="H147" s="74"/>
      <c r="I147" s="74"/>
      <c r="J147" s="3"/>
      <c r="K147" s="3"/>
      <c r="L147" s="3"/>
      <c r="M147" s="3"/>
      <c r="N147" s="3"/>
      <c r="O147" s="3"/>
      <c r="P147" s="3"/>
      <c r="Q147" s="3"/>
      <c r="R147" s="3"/>
      <c r="S147" s="3"/>
      <c r="T147" s="3"/>
      <c r="U147" s="3"/>
      <c r="V147" s="3"/>
      <c r="W147" s="44"/>
      <c r="X147" s="41"/>
      <c r="Y147" s="3"/>
      <c r="Z147" s="3"/>
    </row>
    <row r="148" spans="1:26" outlineLevel="1" x14ac:dyDescent="0.3">
      <c r="A148" s="3"/>
      <c r="B148" s="75" t="s">
        <v>240</v>
      </c>
      <c r="C148" s="76" t="s">
        <v>43</v>
      </c>
      <c r="D148" s="76" t="s">
        <v>43</v>
      </c>
      <c r="E148" s="77">
        <f>SUM(E149:E152)</f>
        <v>0</v>
      </c>
      <c r="F148" s="77">
        <f>SUMIF(D149:D152,"OK",F149:F152)</f>
        <v>633</v>
      </c>
      <c r="G148" s="78" t="s">
        <v>43</v>
      </c>
      <c r="H148" s="79"/>
      <c r="I148" s="79"/>
      <c r="J148" s="3"/>
      <c r="K148" s="3"/>
      <c r="L148" s="3"/>
      <c r="M148" s="3"/>
      <c r="N148" s="3"/>
      <c r="O148" s="3"/>
      <c r="P148" s="3"/>
      <c r="Q148" s="3"/>
      <c r="R148" s="3"/>
      <c r="S148" s="3"/>
      <c r="T148" s="3"/>
      <c r="U148" s="3"/>
      <c r="V148" s="3"/>
      <c r="W148" s="44"/>
      <c r="X148" s="41"/>
      <c r="Y148" s="3"/>
      <c r="Z148" s="3"/>
    </row>
    <row r="149" spans="1:26" ht="14.4" outlineLevel="1" x14ac:dyDescent="0.3">
      <c r="A149" s="3"/>
      <c r="B149" s="10" t="s">
        <v>241</v>
      </c>
      <c r="C149" s="62">
        <v>1</v>
      </c>
      <c r="D149" s="62" t="s">
        <v>94</v>
      </c>
      <c r="E149" s="12">
        <v>0</v>
      </c>
      <c r="F149" s="12">
        <f>5+10+20+20+30+10+5+50+9+15+30+10+10+10+5+30+1</f>
        <v>270</v>
      </c>
      <c r="G149" s="67"/>
      <c r="H149" s="63" t="s">
        <v>37</v>
      </c>
      <c r="I149" s="63"/>
      <c r="J149" s="3"/>
      <c r="K149" s="3"/>
      <c r="L149" s="3"/>
      <c r="M149" s="3"/>
      <c r="N149" s="3"/>
      <c r="O149" s="3"/>
      <c r="P149" s="3"/>
      <c r="Q149" s="3"/>
      <c r="R149" s="3"/>
      <c r="S149" s="3"/>
      <c r="T149" s="3"/>
      <c r="U149" s="3"/>
      <c r="V149" s="3"/>
      <c r="W149" s="44"/>
      <c r="X149" s="41"/>
      <c r="Y149" s="3"/>
      <c r="Z149" s="3"/>
    </row>
    <row r="150" spans="1:26" ht="14.4" outlineLevel="1" x14ac:dyDescent="0.3">
      <c r="A150" s="3"/>
      <c r="B150" s="10" t="s">
        <v>242</v>
      </c>
      <c r="C150" s="62">
        <v>1</v>
      </c>
      <c r="D150" s="62" t="s">
        <v>94</v>
      </c>
      <c r="E150" s="12">
        <v>0</v>
      </c>
      <c r="F150" s="12">
        <v>0</v>
      </c>
      <c r="G150" s="67"/>
      <c r="H150" s="63" t="s">
        <v>36</v>
      </c>
      <c r="I150" s="63"/>
      <c r="J150" s="3"/>
      <c r="K150" s="3"/>
      <c r="L150" s="3"/>
      <c r="M150" s="3"/>
      <c r="N150" s="3"/>
      <c r="O150" s="3"/>
      <c r="P150" s="3"/>
      <c r="Q150" s="3"/>
      <c r="R150" s="3"/>
      <c r="S150" s="3"/>
      <c r="T150" s="3"/>
      <c r="U150" s="3"/>
      <c r="V150" s="3"/>
      <c r="W150" s="44"/>
      <c r="X150" s="41"/>
      <c r="Y150" s="3"/>
      <c r="Z150" s="3"/>
    </row>
    <row r="151" spans="1:26" ht="14.4" outlineLevel="1" x14ac:dyDescent="0.3">
      <c r="A151" s="3"/>
      <c r="B151" s="10" t="s">
        <v>243</v>
      </c>
      <c r="C151" s="62">
        <v>15</v>
      </c>
      <c r="D151" s="62" t="s">
        <v>94</v>
      </c>
      <c r="E151" s="12">
        <v>0</v>
      </c>
      <c r="F151" s="12">
        <f>30+20+10+5+50+10+30+3+5+30+10+20+20+30</f>
        <v>273</v>
      </c>
      <c r="G151" s="67"/>
      <c r="H151" s="63" t="s">
        <v>37</v>
      </c>
      <c r="I151" s="63"/>
      <c r="J151" s="3"/>
      <c r="K151" s="3"/>
      <c r="L151" s="3"/>
      <c r="M151" s="3"/>
      <c r="N151" s="3"/>
      <c r="O151" s="3"/>
      <c r="P151" s="3"/>
      <c r="Q151" s="3"/>
      <c r="R151" s="3"/>
      <c r="S151" s="3"/>
      <c r="T151" s="3"/>
      <c r="U151" s="3"/>
      <c r="V151" s="3"/>
      <c r="W151" s="44"/>
      <c r="X151" s="41"/>
      <c r="Y151" s="3"/>
      <c r="Z151" s="3"/>
    </row>
    <row r="152" spans="1:26" ht="14.4" outlineLevel="1" x14ac:dyDescent="0.3">
      <c r="A152" s="3"/>
      <c r="B152" s="10" t="s">
        <v>244</v>
      </c>
      <c r="C152" s="62">
        <v>15</v>
      </c>
      <c r="D152" s="62" t="s">
        <v>94</v>
      </c>
      <c r="E152" s="12">
        <v>0</v>
      </c>
      <c r="F152" s="12">
        <v>90</v>
      </c>
      <c r="G152" s="67"/>
      <c r="H152" s="63" t="s">
        <v>36</v>
      </c>
      <c r="I152" s="63"/>
      <c r="J152" s="3"/>
      <c r="K152" s="3"/>
      <c r="L152" s="3"/>
      <c r="M152" s="3"/>
      <c r="N152" s="3"/>
      <c r="O152" s="3"/>
      <c r="P152" s="3"/>
      <c r="Q152" s="3"/>
      <c r="R152" s="3"/>
      <c r="S152" s="3"/>
      <c r="T152" s="3"/>
      <c r="U152" s="3"/>
      <c r="V152" s="3"/>
      <c r="W152" s="44"/>
      <c r="X152" s="41"/>
      <c r="Y152" s="3"/>
      <c r="Z152" s="3"/>
    </row>
    <row r="153" spans="1:26" outlineLevel="1" x14ac:dyDescent="0.3">
      <c r="A153" s="3"/>
      <c r="B153" s="75" t="s">
        <v>245</v>
      </c>
      <c r="C153" s="76" t="s">
        <v>43</v>
      </c>
      <c r="D153" s="76" t="s">
        <v>43</v>
      </c>
      <c r="E153" s="77">
        <f>SUM(E154:E157)</f>
        <v>0</v>
      </c>
      <c r="F153" s="77">
        <f>SUMIF(D154:D157,"OK",F154:F157)</f>
        <v>1104.01</v>
      </c>
      <c r="G153" s="78" t="s">
        <v>43</v>
      </c>
      <c r="H153" s="79"/>
      <c r="I153" s="79"/>
      <c r="J153" s="3"/>
      <c r="K153" s="3"/>
      <c r="L153" s="3"/>
      <c r="M153" s="3"/>
      <c r="N153" s="3"/>
      <c r="O153" s="3"/>
      <c r="P153" s="3"/>
      <c r="Q153" s="3"/>
      <c r="R153" s="3"/>
      <c r="S153" s="3"/>
      <c r="T153" s="3"/>
      <c r="U153" s="3"/>
      <c r="V153" s="3"/>
      <c r="W153" s="44"/>
      <c r="X153" s="41"/>
      <c r="Y153" s="3"/>
      <c r="Z153" s="3"/>
    </row>
    <row r="154" spans="1:26" ht="14.4" outlineLevel="1" x14ac:dyDescent="0.3">
      <c r="A154" s="3"/>
      <c r="B154" s="10" t="s">
        <v>241</v>
      </c>
      <c r="C154" s="62">
        <v>1</v>
      </c>
      <c r="D154" s="62" t="s">
        <v>94</v>
      </c>
      <c r="E154" s="12">
        <v>0</v>
      </c>
      <c r="F154" s="12">
        <f>20+10+10+20+10+30+20+10+30+10+10+20+10+20+30+30+20+10.01+20+20+10+50+20+20+30+30+20</f>
        <v>540.01</v>
      </c>
      <c r="G154" s="69"/>
      <c r="H154" s="63" t="s">
        <v>37</v>
      </c>
      <c r="I154" s="63"/>
      <c r="J154" s="3"/>
      <c r="K154" s="3"/>
      <c r="L154" s="3"/>
      <c r="M154" s="3"/>
      <c r="N154" s="3"/>
      <c r="O154" s="3"/>
      <c r="P154" s="3"/>
      <c r="Q154" s="3"/>
      <c r="R154" s="3"/>
      <c r="S154" s="3"/>
      <c r="T154" s="3"/>
      <c r="U154" s="3"/>
      <c r="V154" s="3"/>
      <c r="W154" s="44"/>
      <c r="X154" s="41"/>
      <c r="Y154" s="3"/>
      <c r="Z154" s="3"/>
    </row>
    <row r="155" spans="1:26" ht="14.4" outlineLevel="1" x14ac:dyDescent="0.3">
      <c r="A155" s="3"/>
      <c r="B155" s="10" t="s">
        <v>242</v>
      </c>
      <c r="C155" s="62">
        <v>1</v>
      </c>
      <c r="D155" s="62" t="s">
        <v>94</v>
      </c>
      <c r="E155" s="12">
        <v>0</v>
      </c>
      <c r="F155" s="12">
        <v>40</v>
      </c>
      <c r="G155" s="67"/>
      <c r="H155" s="63" t="s">
        <v>36</v>
      </c>
      <c r="I155" s="63"/>
      <c r="J155" s="3"/>
      <c r="K155" s="3"/>
      <c r="L155" s="3"/>
      <c r="M155" s="3"/>
      <c r="N155" s="3"/>
      <c r="O155" s="3"/>
      <c r="P155" s="3"/>
      <c r="Q155" s="3"/>
      <c r="R155" s="3"/>
      <c r="S155" s="3"/>
      <c r="T155" s="3"/>
      <c r="U155" s="3"/>
      <c r="V155" s="3"/>
      <c r="W155" s="44"/>
      <c r="X155" s="41"/>
      <c r="Y155" s="3"/>
      <c r="Z155" s="3"/>
    </row>
    <row r="156" spans="1:26" ht="14.4" outlineLevel="1" x14ac:dyDescent="0.3">
      <c r="A156" s="3"/>
      <c r="B156" s="10" t="s">
        <v>243</v>
      </c>
      <c r="C156" s="62" t="s">
        <v>719</v>
      </c>
      <c r="D156" s="62" t="s">
        <v>94</v>
      </c>
      <c r="E156" s="12">
        <v>0</v>
      </c>
      <c r="F156" s="12">
        <f>10+10+30+10+20+50+20+20+20+10+20+30+30+10+10+10+30+10+10+40+34+10+20+10+30</f>
        <v>504</v>
      </c>
      <c r="G156" s="67"/>
      <c r="H156" s="63" t="s">
        <v>37</v>
      </c>
      <c r="I156" s="63"/>
      <c r="J156" s="3"/>
      <c r="K156" s="3"/>
      <c r="L156" s="3"/>
      <c r="M156" s="3"/>
      <c r="N156" s="3"/>
      <c r="O156" s="3"/>
      <c r="P156" s="3"/>
      <c r="Q156" s="3"/>
      <c r="R156" s="3"/>
      <c r="S156" s="3"/>
      <c r="T156" s="3"/>
      <c r="U156" s="3"/>
      <c r="V156" s="3"/>
      <c r="W156" s="44"/>
      <c r="X156" s="41"/>
      <c r="Y156" s="3"/>
      <c r="Z156" s="3"/>
    </row>
    <row r="157" spans="1:26" ht="14.4" outlineLevel="1" x14ac:dyDescent="0.3">
      <c r="A157" s="3"/>
      <c r="B157" s="10" t="s">
        <v>244</v>
      </c>
      <c r="C157" s="62">
        <v>15</v>
      </c>
      <c r="D157" s="62" t="s">
        <v>94</v>
      </c>
      <c r="E157" s="12">
        <v>0</v>
      </c>
      <c r="F157" s="12">
        <v>20</v>
      </c>
      <c r="G157" s="67"/>
      <c r="H157" s="63" t="s">
        <v>36</v>
      </c>
      <c r="I157" s="63"/>
      <c r="J157" s="3"/>
      <c r="K157" s="3"/>
      <c r="L157" s="3"/>
      <c r="M157" s="3"/>
      <c r="N157" s="3"/>
      <c r="O157" s="3"/>
      <c r="P157" s="3"/>
      <c r="Q157" s="3"/>
      <c r="R157" s="3"/>
      <c r="S157" s="3"/>
      <c r="T157" s="3"/>
      <c r="U157" s="3"/>
      <c r="V157" s="3"/>
      <c r="W157" s="44"/>
      <c r="X157" s="41"/>
      <c r="Y157" s="3"/>
      <c r="Z157" s="3"/>
    </row>
    <row r="158" spans="1:26" outlineLevel="1" x14ac:dyDescent="0.3">
      <c r="A158" s="3"/>
      <c r="B158" s="75" t="s">
        <v>246</v>
      </c>
      <c r="C158" s="76" t="s">
        <v>43</v>
      </c>
      <c r="D158" s="76" t="s">
        <v>43</v>
      </c>
      <c r="E158" s="77">
        <f>SUM(E159:E161)</f>
        <v>0</v>
      </c>
      <c r="F158" s="77">
        <f>SUMIF(D159:D161,"OK",F159:F161)</f>
        <v>0</v>
      </c>
      <c r="G158" s="78" t="s">
        <v>43</v>
      </c>
      <c r="H158" s="79"/>
      <c r="I158" s="79"/>
      <c r="J158" s="3"/>
      <c r="K158" s="3"/>
      <c r="L158" s="3"/>
      <c r="M158" s="3"/>
      <c r="N158" s="3"/>
      <c r="O158" s="3"/>
      <c r="P158" s="3"/>
      <c r="Q158" s="3"/>
      <c r="R158" s="3"/>
      <c r="S158" s="3"/>
      <c r="T158" s="3"/>
      <c r="U158" s="3"/>
      <c r="V158" s="3"/>
      <c r="W158" s="44"/>
      <c r="X158" s="41"/>
      <c r="Y158" s="3"/>
      <c r="Z158" s="3"/>
    </row>
    <row r="159" spans="1:26" ht="14.4" outlineLevel="1" x14ac:dyDescent="0.3">
      <c r="A159" s="3"/>
      <c r="B159" s="10" t="s">
        <v>42</v>
      </c>
      <c r="C159" s="80"/>
      <c r="D159" s="62"/>
      <c r="E159" s="12">
        <v>0</v>
      </c>
      <c r="F159" s="12">
        <v>0</v>
      </c>
      <c r="G159" s="69"/>
      <c r="H159" s="63"/>
      <c r="I159" s="63"/>
      <c r="J159" s="3"/>
      <c r="K159" s="3"/>
      <c r="L159" s="3"/>
      <c r="M159" s="3"/>
      <c r="N159" s="3"/>
      <c r="O159" s="3"/>
      <c r="P159" s="3"/>
      <c r="Q159" s="3"/>
      <c r="R159" s="3"/>
      <c r="S159" s="3"/>
      <c r="T159" s="3"/>
      <c r="U159" s="3"/>
      <c r="V159" s="3"/>
      <c r="W159" s="44"/>
      <c r="X159" s="41"/>
      <c r="Y159" s="3"/>
      <c r="Z159" s="3"/>
    </row>
    <row r="160" spans="1:26" ht="14.4" outlineLevel="1" x14ac:dyDescent="0.3">
      <c r="A160" s="3"/>
      <c r="B160" s="10" t="s">
        <v>42</v>
      </c>
      <c r="C160" s="80"/>
      <c r="D160" s="62"/>
      <c r="E160" s="12">
        <v>0</v>
      </c>
      <c r="F160" s="12">
        <v>0</v>
      </c>
      <c r="G160" s="69"/>
      <c r="H160" s="63"/>
      <c r="I160" s="63"/>
      <c r="J160" s="3"/>
      <c r="K160" s="3"/>
      <c r="L160" s="3"/>
      <c r="M160" s="3"/>
      <c r="N160" s="3"/>
      <c r="O160" s="3"/>
      <c r="P160" s="3"/>
      <c r="Q160" s="3"/>
      <c r="R160" s="3"/>
      <c r="S160" s="3"/>
      <c r="T160" s="3"/>
      <c r="U160" s="3"/>
      <c r="V160" s="3"/>
      <c r="W160" s="44"/>
      <c r="X160" s="41"/>
      <c r="Y160" s="3"/>
      <c r="Z160" s="3"/>
    </row>
    <row r="161" spans="1:26" ht="14.4" outlineLevel="1" x14ac:dyDescent="0.3">
      <c r="A161" s="3"/>
      <c r="B161" s="10" t="s">
        <v>42</v>
      </c>
      <c r="C161" s="62"/>
      <c r="D161" s="62"/>
      <c r="E161" s="12">
        <v>0</v>
      </c>
      <c r="F161" s="12">
        <v>0</v>
      </c>
      <c r="G161" s="70"/>
      <c r="H161" s="63"/>
      <c r="I161" s="63"/>
      <c r="J161" s="3"/>
      <c r="K161" s="3"/>
      <c r="L161" s="3"/>
      <c r="M161" s="3"/>
      <c r="N161" s="3"/>
      <c r="O161" s="3"/>
      <c r="P161" s="3"/>
      <c r="Q161" s="3"/>
      <c r="R161" s="3"/>
      <c r="S161" s="3"/>
      <c r="T161" s="3"/>
      <c r="U161" s="3"/>
      <c r="V161" s="3"/>
      <c r="W161" s="44"/>
      <c r="X161" s="41"/>
      <c r="Y161" s="3"/>
      <c r="Z161" s="3"/>
    </row>
    <row r="162" spans="1:26" outlineLevel="1" x14ac:dyDescent="0.3">
      <c r="A162" s="3"/>
      <c r="B162" s="75" t="s">
        <v>61</v>
      </c>
      <c r="C162" s="76" t="s">
        <v>43</v>
      </c>
      <c r="D162" s="76" t="s">
        <v>43</v>
      </c>
      <c r="E162" s="77">
        <f>SUM(E163:E168)</f>
        <v>0</v>
      </c>
      <c r="F162" s="77">
        <f>SUMIF(D163:D168,"OK",F163:F168)</f>
        <v>1025.79</v>
      </c>
      <c r="G162" s="78" t="s">
        <v>43</v>
      </c>
      <c r="H162" s="79"/>
      <c r="I162" s="79"/>
      <c r="J162" s="3"/>
      <c r="K162" s="3"/>
      <c r="L162" s="3"/>
      <c r="M162" s="3"/>
      <c r="N162" s="3"/>
      <c r="O162" s="3"/>
      <c r="P162" s="3"/>
      <c r="Q162" s="3"/>
      <c r="R162" s="3"/>
      <c r="S162" s="3"/>
      <c r="T162" s="3"/>
      <c r="U162" s="3"/>
      <c r="V162" s="3"/>
      <c r="W162" s="44"/>
      <c r="X162" s="41"/>
      <c r="Y162" s="3"/>
      <c r="Z162" s="3"/>
    </row>
    <row r="163" spans="1:26" ht="14.4" outlineLevel="1" x14ac:dyDescent="0.3">
      <c r="A163" s="3"/>
      <c r="B163" s="10" t="s">
        <v>720</v>
      </c>
      <c r="C163" s="80">
        <v>3</v>
      </c>
      <c r="D163" s="62" t="s">
        <v>94</v>
      </c>
      <c r="E163" s="12">
        <v>0</v>
      </c>
      <c r="F163" s="12">
        <f>60</f>
        <v>60</v>
      </c>
      <c r="G163" s="66" t="s">
        <v>721</v>
      </c>
      <c r="H163" s="63" t="s">
        <v>37</v>
      </c>
      <c r="I163" s="63"/>
      <c r="J163" s="3"/>
      <c r="K163" s="3"/>
      <c r="L163" s="3"/>
      <c r="M163" s="3"/>
      <c r="N163" s="3"/>
      <c r="O163" s="3"/>
      <c r="P163" s="3"/>
      <c r="Q163" s="3"/>
      <c r="R163" s="3"/>
      <c r="S163" s="3"/>
      <c r="T163" s="3"/>
      <c r="U163" s="3"/>
      <c r="V163" s="3"/>
      <c r="W163" s="44"/>
      <c r="X163" s="41"/>
      <c r="Y163" s="3"/>
      <c r="Z163" s="3"/>
    </row>
    <row r="164" spans="1:26" ht="14.4" outlineLevel="1" x14ac:dyDescent="0.3">
      <c r="A164" s="3"/>
      <c r="B164" s="10" t="s">
        <v>722</v>
      </c>
      <c r="C164" s="80">
        <v>8</v>
      </c>
      <c r="D164" s="62" t="s">
        <v>94</v>
      </c>
      <c r="E164" s="12">
        <v>0</v>
      </c>
      <c r="F164" s="12">
        <f>50</f>
        <v>50</v>
      </c>
      <c r="G164" s="70" t="s">
        <v>723</v>
      </c>
      <c r="H164" s="63" t="s">
        <v>37</v>
      </c>
      <c r="I164" s="63"/>
      <c r="J164" s="3"/>
      <c r="K164" s="3"/>
      <c r="L164" s="3"/>
      <c r="M164" s="3"/>
      <c r="N164" s="3"/>
      <c r="O164" s="3"/>
      <c r="P164" s="3"/>
      <c r="Q164" s="3"/>
      <c r="R164" s="3"/>
      <c r="S164" s="3"/>
      <c r="T164" s="3"/>
      <c r="U164" s="3"/>
      <c r="V164" s="3"/>
      <c r="W164" s="44"/>
      <c r="X164" s="41"/>
      <c r="Y164" s="3"/>
      <c r="Z164" s="3"/>
    </row>
    <row r="165" spans="1:26" ht="48" outlineLevel="1" x14ac:dyDescent="0.3">
      <c r="A165" s="3"/>
      <c r="B165" s="10" t="s">
        <v>724</v>
      </c>
      <c r="C165" s="62" t="s">
        <v>725</v>
      </c>
      <c r="D165" s="62" t="s">
        <v>94</v>
      </c>
      <c r="E165" s="12">
        <v>0</v>
      </c>
      <c r="F165" s="12">
        <f>60+40+50+10+30+10+40+10+10+30+10+20+30+30+10+30+10+20</f>
        <v>450</v>
      </c>
      <c r="G165" s="69" t="s">
        <v>726</v>
      </c>
      <c r="H165" s="63" t="s">
        <v>37</v>
      </c>
      <c r="I165" s="63"/>
      <c r="J165" s="3"/>
      <c r="K165" s="3"/>
      <c r="L165" s="3"/>
      <c r="M165" s="3"/>
      <c r="N165" s="3"/>
      <c r="O165" s="3"/>
      <c r="P165" s="3"/>
      <c r="Q165" s="3"/>
      <c r="R165" s="3"/>
      <c r="S165" s="3"/>
      <c r="T165" s="3"/>
      <c r="U165" s="3"/>
      <c r="V165" s="3"/>
      <c r="W165" s="44"/>
      <c r="X165" s="41"/>
      <c r="Y165" s="3"/>
      <c r="Z165" s="3"/>
    </row>
    <row r="166" spans="1:26" ht="36" outlineLevel="1" x14ac:dyDescent="0.3">
      <c r="A166" s="3"/>
      <c r="B166" s="10" t="s">
        <v>727</v>
      </c>
      <c r="C166" s="62" t="s">
        <v>728</v>
      </c>
      <c r="D166" s="62" t="s">
        <v>94</v>
      </c>
      <c r="E166" s="12">
        <v>0</v>
      </c>
      <c r="F166" s="12">
        <f>30+20+20+30+30+10+10+10+50+20+30</f>
        <v>260</v>
      </c>
      <c r="G166" s="69" t="s">
        <v>729</v>
      </c>
      <c r="H166" s="63" t="s">
        <v>37</v>
      </c>
      <c r="I166" s="63"/>
      <c r="J166" s="3"/>
      <c r="K166" s="3"/>
      <c r="L166" s="3"/>
      <c r="M166" s="3"/>
      <c r="N166" s="3"/>
      <c r="O166" s="3"/>
      <c r="P166" s="3"/>
      <c r="Q166" s="3"/>
      <c r="R166" s="3"/>
      <c r="S166" s="3"/>
      <c r="T166" s="3"/>
      <c r="U166" s="3"/>
      <c r="V166" s="3"/>
      <c r="W166" s="44"/>
      <c r="X166" s="41"/>
      <c r="Y166" s="3"/>
      <c r="Z166" s="3"/>
    </row>
    <row r="167" spans="1:26" ht="24" outlineLevel="1" x14ac:dyDescent="0.3">
      <c r="A167" s="3"/>
      <c r="B167" s="10" t="s">
        <v>730</v>
      </c>
      <c r="C167" s="62">
        <v>20</v>
      </c>
      <c r="D167" s="62" t="s">
        <v>94</v>
      </c>
      <c r="E167" s="12">
        <v>0</v>
      </c>
      <c r="F167" s="12">
        <v>15.79</v>
      </c>
      <c r="G167" s="69" t="s">
        <v>731</v>
      </c>
      <c r="H167" s="63" t="s">
        <v>37</v>
      </c>
      <c r="I167" s="63"/>
      <c r="J167" s="3"/>
      <c r="K167" s="3"/>
      <c r="L167" s="3"/>
      <c r="M167" s="3"/>
      <c r="N167" s="3"/>
      <c r="O167" s="3"/>
      <c r="P167" s="3"/>
      <c r="Q167" s="3"/>
      <c r="R167" s="3"/>
      <c r="S167" s="3"/>
      <c r="T167" s="3"/>
      <c r="U167" s="3"/>
      <c r="V167" s="3"/>
      <c r="W167" s="44"/>
      <c r="X167" s="41"/>
      <c r="Y167" s="3"/>
      <c r="Z167" s="3"/>
    </row>
    <row r="168" spans="1:26" ht="14.4" outlineLevel="1" x14ac:dyDescent="0.3">
      <c r="A168" s="3"/>
      <c r="B168" s="10" t="s">
        <v>732</v>
      </c>
      <c r="C168" s="62">
        <v>28</v>
      </c>
      <c r="D168" s="62" t="s">
        <v>94</v>
      </c>
      <c r="E168" s="12">
        <v>0</v>
      </c>
      <c r="F168" s="12">
        <v>190</v>
      </c>
      <c r="G168" s="69"/>
      <c r="H168" s="63" t="s">
        <v>37</v>
      </c>
      <c r="I168" s="63"/>
      <c r="J168" s="3"/>
      <c r="K168" s="3"/>
      <c r="L168" s="3"/>
      <c r="M168" s="3"/>
      <c r="N168" s="3"/>
      <c r="O168" s="3"/>
      <c r="P168" s="3"/>
      <c r="Q168" s="3"/>
      <c r="R168" s="3"/>
      <c r="S168" s="3"/>
      <c r="T168" s="3"/>
      <c r="U168" s="3"/>
      <c r="V168" s="3"/>
      <c r="W168" s="44"/>
      <c r="X168" s="41"/>
      <c r="Y168" s="3"/>
      <c r="Z168" s="3"/>
    </row>
    <row r="169" spans="1:26" ht="20.399999999999999" x14ac:dyDescent="0.3">
      <c r="A169" s="3"/>
      <c r="B169" s="73" t="s">
        <v>63</v>
      </c>
      <c r="C169" s="56" t="s">
        <v>43</v>
      </c>
      <c r="D169" s="56" t="s">
        <v>43</v>
      </c>
      <c r="E169" s="57">
        <f>SUM(E170:E172)</f>
        <v>0</v>
      </c>
      <c r="F169" s="57">
        <f>SUMIF(D170:D172,"OK",F170:F172)</f>
        <v>0</v>
      </c>
      <c r="G169" s="58" t="s">
        <v>43</v>
      </c>
      <c r="H169" s="74"/>
      <c r="I169" s="74"/>
      <c r="J169" s="3"/>
      <c r="K169" s="3"/>
      <c r="L169" s="3"/>
      <c r="M169" s="3"/>
      <c r="N169" s="3"/>
      <c r="O169" s="3"/>
      <c r="P169" s="3"/>
      <c r="Q169" s="3"/>
      <c r="R169" s="3"/>
      <c r="S169" s="3"/>
      <c r="T169" s="3"/>
      <c r="U169" s="3"/>
      <c r="V169" s="3"/>
      <c r="W169" s="44"/>
      <c r="X169" s="41"/>
      <c r="Y169" s="3"/>
      <c r="Z169" s="3"/>
    </row>
    <row r="170" spans="1:26" ht="14.4" outlineLevel="1" x14ac:dyDescent="0.3">
      <c r="A170" s="3"/>
      <c r="B170" s="10" t="s">
        <v>733</v>
      </c>
      <c r="C170" s="62"/>
      <c r="D170" s="62"/>
      <c r="E170" s="12">
        <v>0</v>
      </c>
      <c r="F170" s="12">
        <v>0</v>
      </c>
      <c r="G170" s="69"/>
      <c r="H170" s="63"/>
      <c r="I170" s="63"/>
      <c r="J170" s="3"/>
      <c r="K170" s="3"/>
      <c r="L170" s="3"/>
      <c r="M170" s="3"/>
      <c r="N170" s="3"/>
      <c r="O170" s="3"/>
      <c r="P170" s="3"/>
      <c r="Q170" s="3"/>
      <c r="R170" s="3"/>
      <c r="S170" s="3"/>
      <c r="T170" s="3"/>
      <c r="U170" s="3"/>
      <c r="V170" s="3"/>
      <c r="W170" s="44"/>
      <c r="X170" s="41"/>
      <c r="Y170" s="3"/>
      <c r="Z170" s="3"/>
    </row>
    <row r="171" spans="1:26" ht="14.4" outlineLevel="1" x14ac:dyDescent="0.3">
      <c r="A171" s="3"/>
      <c r="B171" s="10" t="s">
        <v>734</v>
      </c>
      <c r="C171" s="62"/>
      <c r="D171" s="62"/>
      <c r="E171" s="12">
        <v>0</v>
      </c>
      <c r="F171" s="12">
        <v>0</v>
      </c>
      <c r="G171" s="70"/>
      <c r="H171" s="63"/>
      <c r="I171" s="63"/>
      <c r="J171" s="3"/>
      <c r="K171" s="3"/>
      <c r="L171" s="3"/>
      <c r="M171" s="3"/>
      <c r="N171" s="3"/>
      <c r="O171" s="3"/>
      <c r="P171" s="3"/>
      <c r="Q171" s="3"/>
      <c r="R171" s="3"/>
      <c r="S171" s="3"/>
      <c r="T171" s="3"/>
      <c r="U171" s="3"/>
      <c r="V171" s="3"/>
      <c r="W171" s="44"/>
      <c r="X171" s="41"/>
      <c r="Y171" s="3"/>
      <c r="Z171" s="3"/>
    </row>
    <row r="172" spans="1:26" ht="14.4" outlineLevel="1" x14ac:dyDescent="0.3">
      <c r="A172" s="3"/>
      <c r="B172" s="10" t="s">
        <v>735</v>
      </c>
      <c r="C172" s="62"/>
      <c r="D172" s="62"/>
      <c r="E172" s="12">
        <v>0</v>
      </c>
      <c r="F172" s="12">
        <v>0</v>
      </c>
      <c r="G172" s="67"/>
      <c r="H172" s="63"/>
      <c r="I172" s="63"/>
      <c r="J172" s="3"/>
      <c r="K172" s="3"/>
      <c r="L172" s="3"/>
      <c r="M172" s="3"/>
      <c r="N172" s="3"/>
      <c r="O172" s="3"/>
      <c r="P172" s="3"/>
      <c r="Q172" s="3"/>
      <c r="R172" s="3"/>
      <c r="S172" s="3"/>
      <c r="T172" s="3"/>
      <c r="U172" s="3"/>
      <c r="V172" s="3"/>
      <c r="W172" s="44"/>
      <c r="X172" s="41"/>
      <c r="Y172" s="3"/>
      <c r="Z172" s="3"/>
    </row>
    <row r="173" spans="1:26" ht="20.399999999999999" x14ac:dyDescent="0.3">
      <c r="A173" s="3"/>
      <c r="B173" s="73" t="s">
        <v>259</v>
      </c>
      <c r="C173" s="56" t="s">
        <v>43</v>
      </c>
      <c r="D173" s="56" t="s">
        <v>43</v>
      </c>
      <c r="E173" s="57">
        <f>SUM(E174:E180)</f>
        <v>0</v>
      </c>
      <c r="F173" s="57">
        <f>SUMIF(D174:D180,"OK",F174:F180)</f>
        <v>2.2799999999999998</v>
      </c>
      <c r="G173" s="58" t="s">
        <v>43</v>
      </c>
      <c r="H173" s="74"/>
      <c r="I173" s="74"/>
      <c r="J173" s="3"/>
      <c r="K173" s="3"/>
      <c r="L173" s="3"/>
      <c r="M173" s="3"/>
      <c r="N173" s="3"/>
      <c r="O173" s="3"/>
      <c r="P173" s="3"/>
      <c r="Q173" s="3"/>
      <c r="R173" s="3"/>
      <c r="S173" s="3"/>
      <c r="T173" s="3"/>
      <c r="U173" s="3"/>
      <c r="V173" s="3"/>
      <c r="W173" s="44"/>
      <c r="X173" s="41"/>
      <c r="Y173" s="3"/>
      <c r="Z173" s="3"/>
    </row>
    <row r="174" spans="1:26" ht="15.75" hidden="1" customHeight="1" outlineLevel="1" x14ac:dyDescent="0.3">
      <c r="A174" s="3"/>
      <c r="B174" s="10" t="s">
        <v>260</v>
      </c>
      <c r="C174" s="62"/>
      <c r="D174" s="62"/>
      <c r="E174" s="12">
        <v>0</v>
      </c>
      <c r="F174" s="12">
        <v>0</v>
      </c>
      <c r="G174" s="67"/>
      <c r="H174" s="63" t="s">
        <v>37</v>
      </c>
      <c r="I174" s="63"/>
      <c r="J174" s="3"/>
      <c r="K174" s="3"/>
      <c r="L174" s="3"/>
      <c r="M174" s="3"/>
      <c r="N174" s="3"/>
      <c r="O174" s="3"/>
      <c r="P174" s="3"/>
      <c r="Q174" s="3"/>
      <c r="R174" s="3"/>
      <c r="S174" s="3"/>
      <c r="T174" s="3"/>
      <c r="U174" s="3"/>
      <c r="V174" s="3"/>
      <c r="W174" s="44"/>
      <c r="X174" s="41"/>
      <c r="Y174" s="3"/>
      <c r="Z174" s="3"/>
    </row>
    <row r="175" spans="1:26" ht="15.75" hidden="1" customHeight="1" outlineLevel="1" x14ac:dyDescent="0.3">
      <c r="A175" s="3"/>
      <c r="B175" s="10" t="s">
        <v>261</v>
      </c>
      <c r="C175" s="62">
        <v>24</v>
      </c>
      <c r="D175" s="62" t="s">
        <v>94</v>
      </c>
      <c r="E175" s="12">
        <v>0</v>
      </c>
      <c r="F175" s="12">
        <v>2.2799999999999998</v>
      </c>
      <c r="G175" s="69"/>
      <c r="H175" s="63" t="s">
        <v>38</v>
      </c>
      <c r="I175" s="63"/>
      <c r="J175" s="3"/>
      <c r="K175" s="3"/>
      <c r="L175" s="3"/>
      <c r="M175" s="3"/>
      <c r="N175" s="3"/>
      <c r="O175" s="3"/>
      <c r="P175" s="3"/>
      <c r="Q175" s="3"/>
      <c r="R175" s="3"/>
      <c r="S175" s="3"/>
      <c r="T175" s="3"/>
      <c r="U175" s="3"/>
      <c r="V175" s="3"/>
      <c r="W175" s="44"/>
      <c r="X175" s="41"/>
      <c r="Y175" s="3"/>
      <c r="Z175" s="3"/>
    </row>
    <row r="176" spans="1:26" ht="15.75" hidden="1" customHeight="1" outlineLevel="1" x14ac:dyDescent="0.3">
      <c r="A176" s="3"/>
      <c r="B176" s="10" t="s">
        <v>263</v>
      </c>
      <c r="C176" s="62"/>
      <c r="D176" s="62"/>
      <c r="E176" s="12">
        <v>0</v>
      </c>
      <c r="F176" s="12">
        <v>0</v>
      </c>
      <c r="G176" s="67"/>
      <c r="H176" s="63" t="s">
        <v>234</v>
      </c>
      <c r="I176" s="63"/>
      <c r="J176" s="3"/>
      <c r="K176" s="3"/>
      <c r="L176" s="3"/>
      <c r="M176" s="3"/>
      <c r="N176" s="3"/>
      <c r="O176" s="3"/>
      <c r="P176" s="3"/>
      <c r="Q176" s="3"/>
      <c r="R176" s="3"/>
      <c r="S176" s="3"/>
      <c r="T176" s="3"/>
      <c r="U176" s="3"/>
      <c r="V176" s="3"/>
      <c r="W176" s="44"/>
      <c r="X176" s="41"/>
      <c r="Y176" s="3"/>
      <c r="Z176" s="3"/>
    </row>
    <row r="177" spans="1:26" ht="15.75" hidden="1" customHeight="1" outlineLevel="1" x14ac:dyDescent="0.3">
      <c r="A177" s="3"/>
      <c r="B177" s="10" t="s">
        <v>264</v>
      </c>
      <c r="C177" s="62"/>
      <c r="D177" s="62"/>
      <c r="E177" s="12">
        <v>0</v>
      </c>
      <c r="F177" s="12">
        <v>0</v>
      </c>
      <c r="G177" s="67"/>
      <c r="H177" s="63" t="s">
        <v>265</v>
      </c>
      <c r="I177" s="63"/>
      <c r="J177" s="3"/>
      <c r="K177" s="3"/>
      <c r="L177" s="3"/>
      <c r="M177" s="3"/>
      <c r="N177" s="3"/>
      <c r="O177" s="3"/>
      <c r="P177" s="3"/>
      <c r="Q177" s="3"/>
      <c r="R177" s="3"/>
      <c r="S177" s="3"/>
      <c r="T177" s="3"/>
      <c r="U177" s="3"/>
      <c r="V177" s="3"/>
      <c r="W177" s="44"/>
      <c r="X177" s="41"/>
      <c r="Y177" s="3"/>
      <c r="Z177" s="3"/>
    </row>
    <row r="178" spans="1:26" ht="15.75" hidden="1" customHeight="1" outlineLevel="1" x14ac:dyDescent="0.3">
      <c r="A178" s="3"/>
      <c r="B178" s="10" t="s">
        <v>266</v>
      </c>
      <c r="C178" s="62"/>
      <c r="D178" s="62"/>
      <c r="E178" s="12">
        <v>0</v>
      </c>
      <c r="F178" s="12">
        <v>0</v>
      </c>
      <c r="G178" s="67"/>
      <c r="H178" s="63"/>
      <c r="I178" s="63"/>
      <c r="J178" s="3"/>
      <c r="K178" s="3"/>
      <c r="L178" s="3"/>
      <c r="M178" s="3"/>
      <c r="N178" s="3"/>
      <c r="O178" s="3"/>
      <c r="P178" s="3"/>
      <c r="Q178" s="3"/>
      <c r="R178" s="3"/>
      <c r="S178" s="3"/>
      <c r="T178" s="3"/>
      <c r="U178" s="3"/>
      <c r="V178" s="3"/>
      <c r="W178" s="44"/>
      <c r="X178" s="41"/>
      <c r="Y178" s="3"/>
      <c r="Z178" s="3"/>
    </row>
    <row r="179" spans="1:26" ht="15.75" hidden="1" customHeight="1" outlineLevel="1" x14ac:dyDescent="0.3">
      <c r="A179" s="3"/>
      <c r="B179" s="10" t="s">
        <v>267</v>
      </c>
      <c r="C179" s="62"/>
      <c r="D179" s="62"/>
      <c r="E179" s="12">
        <v>0</v>
      </c>
      <c r="F179" s="12">
        <v>0</v>
      </c>
      <c r="G179" s="67"/>
      <c r="H179" s="63"/>
      <c r="I179" s="63"/>
      <c r="J179" s="3"/>
      <c r="K179" s="3"/>
      <c r="L179" s="3"/>
      <c r="M179" s="3"/>
      <c r="N179" s="3"/>
      <c r="O179" s="3"/>
      <c r="P179" s="3"/>
      <c r="Q179" s="3"/>
      <c r="R179" s="3"/>
      <c r="S179" s="3"/>
      <c r="T179" s="3"/>
      <c r="U179" s="3"/>
      <c r="V179" s="3"/>
      <c r="W179" s="44"/>
      <c r="X179" s="41"/>
      <c r="Y179" s="3"/>
      <c r="Z179" s="3"/>
    </row>
    <row r="180" spans="1:26" ht="15.75" hidden="1" customHeight="1" outlineLevel="1" x14ac:dyDescent="0.3">
      <c r="A180" s="3"/>
      <c r="B180" s="10" t="s">
        <v>268</v>
      </c>
      <c r="C180" s="62"/>
      <c r="D180" s="62"/>
      <c r="E180" s="12">
        <v>0</v>
      </c>
      <c r="F180" s="12">
        <v>0</v>
      </c>
      <c r="G180" s="67"/>
      <c r="H180" s="63"/>
      <c r="I180" s="63"/>
      <c r="J180" s="3"/>
      <c r="K180" s="3"/>
      <c r="L180" s="3"/>
      <c r="M180" s="3"/>
      <c r="N180" s="3"/>
      <c r="O180" s="3"/>
      <c r="P180" s="3"/>
      <c r="Q180" s="3"/>
      <c r="R180" s="3"/>
      <c r="S180" s="3"/>
      <c r="T180" s="3"/>
      <c r="U180" s="3"/>
      <c r="V180" s="3"/>
      <c r="W180" s="44"/>
      <c r="X180" s="41"/>
      <c r="Y180" s="3"/>
      <c r="Z180" s="3"/>
    </row>
    <row r="181" spans="1:26" ht="15.75" customHeight="1" collapsed="1" x14ac:dyDescent="0.3">
      <c r="A181" s="3"/>
      <c r="B181" s="3"/>
      <c r="C181" s="37"/>
      <c r="D181" s="37"/>
      <c r="E181" s="37"/>
      <c r="F181" s="37"/>
      <c r="G181" s="123"/>
      <c r="H181" s="37"/>
      <c r="I181" s="37"/>
      <c r="J181" s="37"/>
      <c r="K181" s="37"/>
      <c r="L181" s="37"/>
      <c r="M181" s="37"/>
      <c r="N181" s="37"/>
      <c r="O181" s="37"/>
      <c r="P181" s="37"/>
      <c r="Q181" s="37"/>
      <c r="R181" s="37"/>
      <c r="S181" s="37"/>
      <c r="T181" s="37"/>
      <c r="U181" s="37"/>
      <c r="V181" s="37"/>
      <c r="W181" s="44"/>
      <c r="X181" s="41"/>
    </row>
    <row r="182" spans="1:26" ht="15.75" customHeight="1" x14ac:dyDescent="0.3">
      <c r="A182" s="3"/>
      <c r="B182" s="3"/>
      <c r="C182" s="37"/>
      <c r="D182" s="37"/>
      <c r="E182" s="37"/>
      <c r="F182" s="111"/>
      <c r="G182" s="123"/>
      <c r="H182" s="37"/>
      <c r="I182" s="37"/>
      <c r="J182" s="37"/>
      <c r="K182" s="37"/>
      <c r="L182" s="37"/>
      <c r="M182" s="37"/>
      <c r="N182" s="37"/>
      <c r="O182" s="37"/>
      <c r="P182" s="37"/>
      <c r="Q182" s="37"/>
      <c r="R182" s="37"/>
      <c r="S182" s="37"/>
      <c r="T182" s="37"/>
      <c r="U182" s="37"/>
      <c r="V182" s="37"/>
      <c r="W182" s="44"/>
      <c r="X182" s="41"/>
    </row>
    <row r="183" spans="1:26" ht="15.75" customHeight="1" x14ac:dyDescent="0.3">
      <c r="A183" s="3"/>
      <c r="B183" s="3"/>
      <c r="C183" s="37"/>
      <c r="D183" s="37"/>
      <c r="E183" s="37"/>
      <c r="F183" s="37"/>
      <c r="G183" s="123"/>
      <c r="H183" s="37"/>
      <c r="I183" s="37"/>
      <c r="J183" s="37"/>
      <c r="K183" s="37"/>
      <c r="L183" s="37"/>
      <c r="M183" s="37"/>
      <c r="N183" s="37"/>
      <c r="O183" s="37"/>
      <c r="P183" s="37"/>
      <c r="Q183" s="37"/>
      <c r="R183" s="37"/>
      <c r="S183" s="37"/>
      <c r="T183" s="37"/>
      <c r="U183" s="37"/>
      <c r="V183" s="37"/>
      <c r="W183" s="44"/>
      <c r="X183" s="41"/>
    </row>
    <row r="184" spans="1:26" ht="15.75" customHeight="1" x14ac:dyDescent="0.3">
      <c r="A184" s="3"/>
      <c r="B184" s="3"/>
      <c r="C184" s="37"/>
      <c r="D184" s="37"/>
      <c r="E184" s="37"/>
      <c r="F184" s="37"/>
      <c r="G184" s="123"/>
      <c r="H184" s="37"/>
      <c r="I184" s="37"/>
      <c r="J184" s="37"/>
      <c r="K184" s="37"/>
      <c r="L184" s="37"/>
      <c r="M184" s="37"/>
      <c r="N184" s="37"/>
      <c r="O184" s="37"/>
      <c r="P184" s="37"/>
      <c r="Q184" s="37"/>
      <c r="R184" s="37"/>
      <c r="S184" s="37"/>
      <c r="T184" s="37"/>
      <c r="U184" s="37"/>
      <c r="V184" s="37"/>
      <c r="W184" s="44"/>
      <c r="X184" s="41"/>
    </row>
    <row r="185" spans="1:26" ht="15.75" customHeight="1" x14ac:dyDescent="0.3">
      <c r="A185" s="3"/>
      <c r="B185" s="3"/>
      <c r="C185" s="37"/>
      <c r="D185" s="37"/>
      <c r="E185" s="37"/>
      <c r="F185" s="37"/>
      <c r="G185" s="123"/>
      <c r="H185" s="37"/>
      <c r="I185" s="37"/>
      <c r="J185" s="37"/>
      <c r="K185" s="37"/>
      <c r="L185" s="37"/>
      <c r="M185" s="37"/>
      <c r="N185" s="37"/>
      <c r="O185" s="37"/>
      <c r="P185" s="37"/>
      <c r="Q185" s="37"/>
      <c r="R185" s="37"/>
      <c r="S185" s="37"/>
      <c r="T185" s="37"/>
      <c r="U185" s="37"/>
      <c r="V185" s="37"/>
      <c r="W185" s="44"/>
      <c r="X185" s="41"/>
    </row>
    <row r="186" spans="1:26" ht="15.75" customHeight="1" x14ac:dyDescent="0.3">
      <c r="A186" s="3"/>
      <c r="B186" s="3"/>
      <c r="C186" s="37"/>
      <c r="D186" s="37"/>
      <c r="E186" s="37"/>
      <c r="F186" s="37"/>
      <c r="G186" s="123"/>
      <c r="H186" s="37"/>
      <c r="I186" s="37"/>
      <c r="J186" s="37"/>
      <c r="K186" s="37"/>
      <c r="L186" s="37"/>
      <c r="M186" s="37"/>
      <c r="N186" s="37"/>
      <c r="O186" s="37"/>
      <c r="P186" s="37"/>
      <c r="Q186" s="37"/>
      <c r="R186" s="37"/>
      <c r="S186" s="37"/>
      <c r="T186" s="37"/>
      <c r="U186" s="37"/>
      <c r="V186" s="37"/>
      <c r="W186" s="44"/>
      <c r="X186" s="41"/>
    </row>
    <row r="187" spans="1:26" ht="15.75" customHeight="1" x14ac:dyDescent="0.3">
      <c r="A187" s="3"/>
      <c r="B187" s="3"/>
      <c r="C187" s="37"/>
      <c r="D187" s="37"/>
      <c r="E187" s="37"/>
      <c r="F187" s="37"/>
      <c r="G187" s="123"/>
      <c r="H187" s="37"/>
      <c r="I187" s="37"/>
      <c r="J187" s="37"/>
      <c r="K187" s="37"/>
      <c r="L187" s="37"/>
      <c r="M187" s="37"/>
      <c r="N187" s="37"/>
      <c r="O187" s="37"/>
      <c r="P187" s="37"/>
      <c r="Q187" s="37"/>
      <c r="R187" s="37"/>
      <c r="S187" s="37"/>
      <c r="T187" s="37"/>
      <c r="U187" s="37"/>
      <c r="V187" s="37"/>
      <c r="W187" s="44"/>
      <c r="X187" s="41"/>
    </row>
    <row r="188" spans="1:26" ht="15.75" customHeight="1" x14ac:dyDescent="0.3">
      <c r="A188" s="3"/>
      <c r="B188" s="3"/>
      <c r="C188" s="37"/>
      <c r="D188" s="37"/>
      <c r="E188" s="37"/>
      <c r="F188" s="37"/>
      <c r="G188" s="123"/>
      <c r="H188" s="37"/>
      <c r="I188" s="37"/>
      <c r="J188" s="37"/>
      <c r="K188" s="37"/>
      <c r="L188" s="37"/>
      <c r="M188" s="37"/>
      <c r="N188" s="37"/>
      <c r="O188" s="37"/>
      <c r="P188" s="37"/>
      <c r="Q188" s="37"/>
      <c r="R188" s="37"/>
      <c r="S188" s="37"/>
      <c r="T188" s="37"/>
      <c r="U188" s="37"/>
      <c r="V188" s="37"/>
      <c r="W188" s="44"/>
      <c r="X188" s="41"/>
    </row>
    <row r="189" spans="1:26" ht="15.75" customHeight="1" x14ac:dyDescent="0.3">
      <c r="A189" s="3"/>
      <c r="B189" s="3"/>
      <c r="C189" s="37"/>
      <c r="D189" s="37"/>
      <c r="E189" s="37"/>
      <c r="F189" s="37"/>
      <c r="G189" s="123"/>
      <c r="H189" s="37"/>
      <c r="I189" s="37"/>
      <c r="J189" s="37"/>
      <c r="K189" s="37"/>
      <c r="L189" s="37"/>
      <c r="M189" s="37"/>
      <c r="N189" s="37"/>
      <c r="O189" s="37"/>
      <c r="P189" s="37"/>
      <c r="Q189" s="37"/>
      <c r="R189" s="37"/>
      <c r="S189" s="37"/>
      <c r="T189" s="37"/>
      <c r="U189" s="37"/>
      <c r="V189" s="37"/>
      <c r="W189" s="44"/>
      <c r="X189" s="41"/>
    </row>
    <row r="190" spans="1:26" ht="15.75" customHeight="1" x14ac:dyDescent="0.3">
      <c r="A190" s="3"/>
      <c r="B190" s="3"/>
      <c r="C190" s="37"/>
      <c r="D190" s="37"/>
      <c r="E190" s="37"/>
      <c r="F190" s="37"/>
      <c r="G190" s="123"/>
      <c r="H190" s="37"/>
      <c r="I190" s="37"/>
      <c r="J190" s="37"/>
      <c r="K190" s="37"/>
      <c r="L190" s="37"/>
      <c r="M190" s="37"/>
      <c r="N190" s="37"/>
      <c r="O190" s="37"/>
      <c r="P190" s="37"/>
      <c r="Q190" s="37"/>
      <c r="R190" s="37"/>
      <c r="S190" s="37"/>
      <c r="T190" s="37"/>
      <c r="U190" s="37"/>
      <c r="V190" s="37"/>
      <c r="W190" s="44"/>
      <c r="X190" s="41"/>
    </row>
    <row r="191" spans="1:26" ht="15.75" customHeight="1" x14ac:dyDescent="0.3">
      <c r="A191" s="3"/>
      <c r="B191" s="3"/>
      <c r="C191" s="37"/>
      <c r="D191" s="37"/>
      <c r="E191" s="37"/>
      <c r="F191" s="37"/>
      <c r="G191" s="123"/>
      <c r="H191" s="37"/>
      <c r="I191" s="37"/>
      <c r="J191" s="37"/>
      <c r="K191" s="37"/>
      <c r="L191" s="37"/>
      <c r="M191" s="37"/>
      <c r="N191" s="37"/>
      <c r="O191" s="37"/>
      <c r="P191" s="37"/>
      <c r="Q191" s="37"/>
      <c r="R191" s="37"/>
      <c r="S191" s="37"/>
      <c r="T191" s="37"/>
      <c r="U191" s="37"/>
      <c r="V191" s="37"/>
      <c r="W191" s="44"/>
      <c r="X191" s="41"/>
    </row>
    <row r="192" spans="1:26" ht="15.75" customHeight="1" x14ac:dyDescent="0.3">
      <c r="A192" s="3"/>
      <c r="B192" s="3"/>
      <c r="C192" s="37"/>
      <c r="D192" s="37"/>
      <c r="E192" s="37"/>
      <c r="F192" s="37"/>
      <c r="G192" s="123"/>
      <c r="H192" s="37"/>
      <c r="I192" s="37"/>
      <c r="J192" s="37"/>
      <c r="K192" s="37"/>
      <c r="L192" s="37"/>
      <c r="M192" s="37"/>
      <c r="N192" s="37"/>
      <c r="O192" s="37"/>
      <c r="P192" s="37"/>
      <c r="Q192" s="37"/>
      <c r="R192" s="37"/>
      <c r="S192" s="37"/>
      <c r="T192" s="37"/>
      <c r="U192" s="37"/>
      <c r="V192" s="37"/>
      <c r="W192" s="44"/>
      <c r="X192" s="41"/>
    </row>
    <row r="193" spans="1:24" ht="15.75" customHeight="1" x14ac:dyDescent="0.3">
      <c r="A193" s="3"/>
      <c r="B193" s="3"/>
      <c r="C193" s="37"/>
      <c r="D193" s="37"/>
      <c r="E193" s="37"/>
      <c r="F193" s="37"/>
      <c r="G193" s="123"/>
      <c r="H193" s="37"/>
      <c r="I193" s="37"/>
      <c r="J193" s="37"/>
      <c r="K193" s="37"/>
      <c r="L193" s="37"/>
      <c r="M193" s="37"/>
      <c r="N193" s="37"/>
      <c r="O193" s="37"/>
      <c r="P193" s="37"/>
      <c r="Q193" s="37"/>
      <c r="R193" s="37"/>
      <c r="S193" s="37"/>
      <c r="T193" s="37"/>
      <c r="U193" s="37"/>
      <c r="V193" s="37"/>
      <c r="W193" s="44"/>
      <c r="X193" s="41"/>
    </row>
    <row r="194" spans="1:24" ht="15.75" customHeight="1" x14ac:dyDescent="0.3">
      <c r="A194" s="3"/>
      <c r="B194" s="3"/>
      <c r="C194" s="37"/>
      <c r="D194" s="37"/>
      <c r="E194" s="37"/>
      <c r="F194" s="37"/>
      <c r="G194" s="123"/>
      <c r="H194" s="37"/>
      <c r="I194" s="37"/>
      <c r="J194" s="37"/>
      <c r="K194" s="37"/>
      <c r="L194" s="37"/>
      <c r="M194" s="37"/>
      <c r="N194" s="37"/>
      <c r="O194" s="37"/>
      <c r="P194" s="37"/>
      <c r="Q194" s="37"/>
      <c r="R194" s="37"/>
      <c r="S194" s="37"/>
      <c r="T194" s="37"/>
      <c r="U194" s="37"/>
      <c r="V194" s="37"/>
      <c r="W194" s="44"/>
      <c r="X194" s="41"/>
    </row>
    <row r="195" spans="1:24" ht="15.75" customHeight="1" x14ac:dyDescent="0.3">
      <c r="A195" s="3"/>
      <c r="B195" s="3"/>
      <c r="C195" s="37"/>
      <c r="D195" s="37"/>
      <c r="E195" s="37"/>
      <c r="F195" s="37"/>
      <c r="G195" s="123"/>
      <c r="H195" s="37"/>
      <c r="I195" s="37"/>
      <c r="J195" s="37"/>
      <c r="K195" s="37"/>
      <c r="L195" s="37"/>
      <c r="M195" s="37"/>
      <c r="N195" s="37"/>
      <c r="O195" s="37"/>
      <c r="P195" s="37"/>
      <c r="Q195" s="37"/>
      <c r="R195" s="37"/>
      <c r="S195" s="37"/>
      <c r="T195" s="37"/>
      <c r="U195" s="37"/>
      <c r="V195" s="37"/>
      <c r="W195" s="44"/>
      <c r="X195" s="41"/>
    </row>
    <row r="196" spans="1:24" ht="15.75" customHeight="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4" ht="15.75" customHeight="1" x14ac:dyDescent="0.3">
      <c r="A197" s="3"/>
      <c r="B197" s="3"/>
      <c r="C197" s="37"/>
      <c r="D197" s="37"/>
      <c r="E197" s="37"/>
      <c r="F197" s="37"/>
      <c r="G197" s="123"/>
      <c r="H197" s="37"/>
      <c r="I197" s="37"/>
      <c r="J197" s="37"/>
      <c r="K197" s="37"/>
      <c r="L197" s="37"/>
      <c r="M197" s="37"/>
      <c r="N197" s="37"/>
      <c r="O197" s="37"/>
      <c r="P197" s="37"/>
      <c r="Q197" s="37"/>
      <c r="R197" s="37"/>
      <c r="S197" s="37"/>
      <c r="T197" s="37"/>
      <c r="U197" s="37"/>
      <c r="V197" s="37"/>
      <c r="W197" s="44"/>
      <c r="X197" s="41"/>
    </row>
    <row r="198" spans="1:24"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4"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4"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4"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4"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4"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4"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4"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4"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4"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4"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row r="382" spans="1:24" ht="15.75" customHeight="1" x14ac:dyDescent="0.3"/>
    <row r="383" spans="1:24" ht="15.75" customHeight="1" x14ac:dyDescent="0.3"/>
    <row r="384" spans="1:2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80" xr:uid="{00000000-0009-0000-0000-000009000000}"/>
  <mergeCells count="21">
    <mergeCell ref="G39:G42"/>
    <mergeCell ref="G44:G45"/>
    <mergeCell ref="G46:G47"/>
    <mergeCell ref="G48:G49"/>
    <mergeCell ref="G15:G16"/>
    <mergeCell ref="G17:G18"/>
    <mergeCell ref="G19:G20"/>
    <mergeCell ref="G21:G22"/>
    <mergeCell ref="G23:G24"/>
    <mergeCell ref="G27:G28"/>
    <mergeCell ref="G29:G30"/>
    <mergeCell ref="G11:G12"/>
    <mergeCell ref="G13:G14"/>
    <mergeCell ref="G31:G32"/>
    <mergeCell ref="G33:G34"/>
    <mergeCell ref="G37:G38"/>
    <mergeCell ref="B2:B3"/>
    <mergeCell ref="B4:B5"/>
    <mergeCell ref="H4:H5"/>
    <mergeCell ref="I4:I5"/>
    <mergeCell ref="G7:G10"/>
  </mergeCells>
  <conditionalFormatting sqref="W6:W126">
    <cfRule type="cellIs" dxfId="29" priority="1" operator="equal">
      <formula>"Diferente"</formula>
    </cfRule>
    <cfRule type="cellIs" dxfId="28" priority="2" operator="equal">
      <formula>"OK"</formula>
    </cfRule>
  </conditionalFormatting>
  <dataValidations count="1">
    <dataValidation type="list" allowBlank="1" showErrorMessage="1" sqref="D7:D126 D129:D130 D132:D134 D136:D138 D140:D142 D144:D146 D149:D152 D154:D157 D159:D161 D163:D168 D170:D172 D174:D180" xr:uid="{00000000-0002-0000-09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'Plano de contas DG'!$C$5:$C$38</xm:f>
          </x14:formula1>
          <xm:sqref>I6:I180</xm:sqref>
        </x14:dataValidation>
        <x14:dataValidation type="list" allowBlank="1" showErrorMessage="1" xr:uid="{00000000-0002-0000-0900-000001000000}">
          <x14:formula1>
            <xm:f>Caixa!$B$5:$B$8</xm:f>
          </x14:formula1>
          <xm:sqref>H7:H126 H129:H130 H132:H134 H136:H138 H140:H142 H144:H146 H149:H152 H154:H157 H159:H161 H163:H168 H170:H172 H174:H180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Z1002"/>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2"/>
      <c r="H2" s="82"/>
      <c r="I2" s="83"/>
      <c r="J2" s="82"/>
      <c r="K2" s="37"/>
      <c r="L2" s="37"/>
      <c r="M2" s="37"/>
      <c r="N2" s="37"/>
      <c r="O2" s="37"/>
      <c r="P2" s="37"/>
      <c r="Q2" s="37"/>
      <c r="R2" s="37"/>
      <c r="S2" s="37"/>
      <c r="T2" s="37"/>
      <c r="U2" s="3"/>
    </row>
    <row r="3" spans="1:26" ht="14.4" x14ac:dyDescent="0.3">
      <c r="A3" s="3"/>
      <c r="B3" s="206"/>
      <c r="C3" s="240"/>
      <c r="D3" s="241"/>
      <c r="E3" s="241"/>
      <c r="F3" s="242"/>
      <c r="G3" s="82"/>
      <c r="H3" s="82"/>
      <c r="I3" s="83"/>
      <c r="J3" s="82"/>
      <c r="K3" s="37"/>
      <c r="L3" s="37"/>
      <c r="M3" s="37"/>
      <c r="N3" s="37"/>
      <c r="O3" s="37"/>
      <c r="P3" s="37"/>
      <c r="Q3" s="37"/>
      <c r="R3" s="37"/>
      <c r="S3" s="37"/>
      <c r="T3" s="37"/>
      <c r="U3" s="3"/>
    </row>
    <row r="4" spans="1:26" ht="14.4" x14ac:dyDescent="0.3">
      <c r="A4" s="3"/>
      <c r="B4" s="227" t="s">
        <v>73</v>
      </c>
      <c r="C4" s="48" t="s">
        <v>43</v>
      </c>
      <c r="D4" s="48" t="s">
        <v>43</v>
      </c>
      <c r="E4" s="26">
        <f>SUBTOTAL(9,E16,E63,E38,E147,E174,E180,E93,E6,E34,E236,E277,E186,E196,E206,E216,E226,E119)</f>
        <v>0</v>
      </c>
      <c r="F4" s="26">
        <f>SUBTOTAL(9,F16,F63,F38,F137,F147,F174,F180,F93,F6,F34,F236,F277,F186,F196,F206,F216,F226,F119)</f>
        <v>23123.13</v>
      </c>
      <c r="G4" s="48" t="s">
        <v>43</v>
      </c>
      <c r="H4" s="237" t="s">
        <v>1</v>
      </c>
      <c r="I4" s="243" t="s">
        <v>270</v>
      </c>
      <c r="J4" s="237" t="s">
        <v>74</v>
      </c>
      <c r="K4" s="37"/>
      <c r="L4" s="37"/>
      <c r="M4" s="37"/>
      <c r="N4" s="37"/>
      <c r="O4" s="37"/>
      <c r="P4" s="37"/>
      <c r="Q4" s="37"/>
      <c r="R4" s="37"/>
      <c r="S4" s="37"/>
      <c r="T4" s="37"/>
      <c r="U4" s="3"/>
      <c r="W4" s="3"/>
      <c r="X4" s="3"/>
      <c r="Y4" s="3"/>
      <c r="Z4" s="3"/>
    </row>
    <row r="5" spans="1:26" ht="14.4"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849.79000000000008</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v>1</v>
      </c>
      <c r="D7" s="62" t="s">
        <v>94</v>
      </c>
      <c r="E7" s="12">
        <v>0</v>
      </c>
      <c r="F7" s="12">
        <v>286.63</v>
      </c>
      <c r="G7" s="89"/>
      <c r="H7" s="65" t="s">
        <v>37</v>
      </c>
      <c r="I7" s="112" t="s">
        <v>736</v>
      </c>
      <c r="J7" s="65"/>
      <c r="K7" s="37"/>
      <c r="L7" s="37"/>
      <c r="M7" s="37"/>
      <c r="N7" s="37"/>
      <c r="O7" s="37"/>
      <c r="P7" s="37"/>
      <c r="Q7" s="37"/>
      <c r="R7" s="37"/>
      <c r="S7" s="37"/>
      <c r="T7" s="37"/>
      <c r="U7" s="3"/>
      <c r="W7" s="3"/>
      <c r="X7" s="3"/>
      <c r="Y7" s="3"/>
      <c r="Z7" s="3"/>
    </row>
    <row r="8" spans="1:26" ht="14.4" hidden="1" outlineLevel="1" x14ac:dyDescent="0.3">
      <c r="A8" s="3"/>
      <c r="B8" s="10" t="s">
        <v>277</v>
      </c>
      <c r="C8" s="62"/>
      <c r="D8" s="62"/>
      <c r="E8" s="12">
        <v>0</v>
      </c>
      <c r="F8" s="12">
        <v>0</v>
      </c>
      <c r="G8" s="65"/>
      <c r="H8" s="65"/>
      <c r="I8" s="89"/>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65"/>
      <c r="H9" s="65"/>
      <c r="I9" s="112"/>
      <c r="J9" s="65"/>
      <c r="K9" s="37"/>
      <c r="L9" s="37"/>
      <c r="M9" s="37"/>
      <c r="N9" s="37"/>
      <c r="O9" s="37"/>
      <c r="P9" s="37"/>
      <c r="Q9" s="37"/>
      <c r="R9" s="37"/>
      <c r="S9" s="37"/>
      <c r="T9" s="37"/>
      <c r="U9" s="3"/>
      <c r="W9" s="3"/>
      <c r="X9" s="3"/>
      <c r="Y9" s="3"/>
      <c r="Z9" s="3"/>
    </row>
    <row r="10" spans="1:26" ht="14.4" hidden="1" outlineLevel="1" x14ac:dyDescent="0.3">
      <c r="A10" s="3"/>
      <c r="B10" s="10" t="s">
        <v>281</v>
      </c>
      <c r="C10" s="62">
        <v>17</v>
      </c>
      <c r="D10" s="62" t="s">
        <v>94</v>
      </c>
      <c r="E10" s="12">
        <v>0</v>
      </c>
      <c r="F10" s="12">
        <v>84.82</v>
      </c>
      <c r="G10" s="89" t="s">
        <v>737</v>
      </c>
      <c r="H10" s="65" t="s">
        <v>37</v>
      </c>
      <c r="I10" s="112" t="s">
        <v>738</v>
      </c>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v>18</v>
      </c>
      <c r="D11" s="62" t="s">
        <v>94</v>
      </c>
      <c r="E11" s="12">
        <v>0</v>
      </c>
      <c r="F11" s="12">
        <v>374.25</v>
      </c>
      <c r="G11" s="89" t="s">
        <v>739</v>
      </c>
      <c r="H11" s="65" t="s">
        <v>37</v>
      </c>
      <c r="I11" s="112" t="s">
        <v>740</v>
      </c>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v>18</v>
      </c>
      <c r="D12" s="62" t="s">
        <v>94</v>
      </c>
      <c r="E12" s="12">
        <v>0</v>
      </c>
      <c r="F12" s="12">
        <v>49.1</v>
      </c>
      <c r="G12" s="89" t="s">
        <v>741</v>
      </c>
      <c r="H12" s="65" t="s">
        <v>37</v>
      </c>
      <c r="I12" s="112" t="s">
        <v>742</v>
      </c>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v>1</v>
      </c>
      <c r="D14" s="62" t="s">
        <v>94</v>
      </c>
      <c r="E14" s="12">
        <v>0</v>
      </c>
      <c r="F14" s="12">
        <v>54.99</v>
      </c>
      <c r="G14" s="65"/>
      <c r="H14" s="65" t="s">
        <v>37</v>
      </c>
      <c r="I14" s="112" t="s">
        <v>743</v>
      </c>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c r="D15" s="62"/>
      <c r="E15" s="12">
        <v>0</v>
      </c>
      <c r="F15" s="12">
        <v>0</v>
      </c>
      <c r="G15" s="89"/>
      <c r="H15" s="65"/>
      <c r="I15" s="112"/>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4132.9800000000005</v>
      </c>
      <c r="G16" s="87"/>
      <c r="H16" s="87"/>
      <c r="I16" s="88"/>
      <c r="J16" s="87"/>
      <c r="K16" s="37"/>
      <c r="L16" s="37"/>
      <c r="M16" s="37"/>
      <c r="N16" s="37"/>
      <c r="O16" s="37"/>
      <c r="P16" s="37"/>
      <c r="Q16" s="37"/>
      <c r="R16" s="37"/>
      <c r="S16" s="37"/>
      <c r="T16" s="37"/>
      <c r="U16" s="3"/>
    </row>
    <row r="17" spans="1:22" ht="14.4" hidden="1" outlineLevel="1" x14ac:dyDescent="0.3">
      <c r="A17" s="3"/>
      <c r="B17" s="10" t="s">
        <v>561</v>
      </c>
      <c r="C17" s="62">
        <v>27</v>
      </c>
      <c r="D17" s="62" t="s">
        <v>94</v>
      </c>
      <c r="E17" s="12">
        <v>0</v>
      </c>
      <c r="F17" s="12">
        <v>1380.48</v>
      </c>
      <c r="G17" s="249" t="s">
        <v>744</v>
      </c>
      <c r="H17" s="65" t="s">
        <v>37</v>
      </c>
      <c r="I17" s="246" t="s">
        <v>745</v>
      </c>
      <c r="J17" s="65"/>
      <c r="K17" s="37"/>
      <c r="L17" s="37"/>
      <c r="M17" s="37"/>
      <c r="N17" s="37"/>
      <c r="O17" s="37"/>
      <c r="P17" s="37"/>
      <c r="Q17" s="37"/>
      <c r="R17" s="37"/>
      <c r="S17" s="37"/>
      <c r="T17" s="37"/>
      <c r="U17" s="3"/>
    </row>
    <row r="18" spans="1:22" ht="14.4" hidden="1" outlineLevel="1" x14ac:dyDescent="0.3">
      <c r="A18" s="3"/>
      <c r="B18" s="10" t="s">
        <v>563</v>
      </c>
      <c r="C18" s="62">
        <v>27</v>
      </c>
      <c r="D18" s="62" t="s">
        <v>94</v>
      </c>
      <c r="E18" s="12">
        <v>0</v>
      </c>
      <c r="F18" s="12">
        <v>786.24</v>
      </c>
      <c r="G18" s="215"/>
      <c r="H18" s="65" t="s">
        <v>37</v>
      </c>
      <c r="I18" s="215"/>
      <c r="J18" s="65"/>
      <c r="K18" s="37"/>
      <c r="L18" s="37"/>
      <c r="M18" s="37"/>
      <c r="N18" s="37"/>
      <c r="O18" s="37"/>
      <c r="P18" s="37"/>
      <c r="Q18" s="37"/>
      <c r="R18" s="37"/>
      <c r="S18" s="37"/>
      <c r="T18" s="37"/>
      <c r="U18" s="3"/>
    </row>
    <row r="19" spans="1:22" ht="14.4" hidden="1" outlineLevel="1" x14ac:dyDescent="0.3">
      <c r="A19" s="3"/>
      <c r="B19" s="10" t="s">
        <v>564</v>
      </c>
      <c r="C19" s="62">
        <v>27</v>
      </c>
      <c r="D19" s="62" t="s">
        <v>94</v>
      </c>
      <c r="E19" s="12">
        <v>0</v>
      </c>
      <c r="F19" s="12">
        <v>96</v>
      </c>
      <c r="G19" s="215"/>
      <c r="H19" s="65" t="s">
        <v>37</v>
      </c>
      <c r="I19" s="215"/>
      <c r="J19" s="65"/>
      <c r="K19" s="37"/>
      <c r="L19" s="37"/>
      <c r="M19" s="37"/>
      <c r="N19" s="37"/>
      <c r="O19" s="37"/>
      <c r="P19" s="37"/>
      <c r="Q19" s="37"/>
      <c r="R19" s="37"/>
      <c r="S19" s="37"/>
      <c r="T19" s="37"/>
      <c r="U19" s="3"/>
    </row>
    <row r="20" spans="1:22" ht="14.4" hidden="1" outlineLevel="1" x14ac:dyDescent="0.3">
      <c r="A20" s="3"/>
      <c r="B20" s="10" t="s">
        <v>565</v>
      </c>
      <c r="C20" s="62">
        <v>27</v>
      </c>
      <c r="D20" s="62" t="s">
        <v>94</v>
      </c>
      <c r="E20" s="12">
        <v>0</v>
      </c>
      <c r="F20" s="12">
        <v>96</v>
      </c>
      <c r="G20" s="215"/>
      <c r="H20" s="65" t="s">
        <v>37</v>
      </c>
      <c r="I20" s="215"/>
      <c r="J20" s="65"/>
      <c r="K20" s="37"/>
      <c r="L20" s="37"/>
      <c r="M20" s="37"/>
      <c r="N20" s="37"/>
      <c r="O20" s="37"/>
      <c r="P20" s="37"/>
      <c r="Q20" s="37"/>
      <c r="R20" s="37"/>
      <c r="S20" s="37"/>
      <c r="T20" s="37"/>
      <c r="U20" s="3"/>
    </row>
    <row r="21" spans="1:22" ht="14.4" hidden="1" outlineLevel="1" x14ac:dyDescent="0.3">
      <c r="A21" s="3"/>
      <c r="B21" s="10" t="s">
        <v>566</v>
      </c>
      <c r="C21" s="62">
        <v>27</v>
      </c>
      <c r="D21" s="62" t="s">
        <v>94</v>
      </c>
      <c r="E21" s="12">
        <v>0</v>
      </c>
      <c r="F21" s="12">
        <v>384</v>
      </c>
      <c r="G21" s="216"/>
      <c r="H21" s="65" t="s">
        <v>37</v>
      </c>
      <c r="I21" s="216"/>
      <c r="J21" s="65"/>
      <c r="K21" s="37"/>
      <c r="L21" s="37"/>
      <c r="M21" s="37"/>
      <c r="N21" s="37"/>
      <c r="O21" s="37"/>
      <c r="P21" s="37"/>
      <c r="Q21" s="37"/>
      <c r="R21" s="37"/>
      <c r="S21" s="37"/>
      <c r="T21" s="37"/>
      <c r="U21" s="3"/>
    </row>
    <row r="22" spans="1:22" ht="14.4" hidden="1" outlineLevel="1" x14ac:dyDescent="0.3">
      <c r="A22" s="3"/>
      <c r="B22" s="10" t="s">
        <v>567</v>
      </c>
      <c r="C22" s="62">
        <v>14</v>
      </c>
      <c r="D22" s="62" t="s">
        <v>94</v>
      </c>
      <c r="E22" s="12">
        <v>0</v>
      </c>
      <c r="F22" s="12">
        <v>313.92</v>
      </c>
      <c r="G22" s="249" t="s">
        <v>746</v>
      </c>
      <c r="H22" s="65" t="s">
        <v>37</v>
      </c>
      <c r="I22" s="246" t="s">
        <v>747</v>
      </c>
      <c r="J22" s="65"/>
      <c r="K22" s="37"/>
      <c r="L22" s="37"/>
      <c r="M22" s="37"/>
      <c r="N22" s="37"/>
      <c r="O22" s="37"/>
      <c r="P22" s="37"/>
      <c r="Q22" s="37"/>
      <c r="R22" s="37"/>
      <c r="S22" s="37"/>
      <c r="T22" s="37"/>
      <c r="U22" s="3"/>
      <c r="V22" s="18"/>
    </row>
    <row r="23" spans="1:22" ht="14.4" hidden="1" outlineLevel="1" x14ac:dyDescent="0.3">
      <c r="A23" s="3"/>
      <c r="B23" s="10" t="s">
        <v>570</v>
      </c>
      <c r="C23" s="62">
        <v>14</v>
      </c>
      <c r="D23" s="62" t="s">
        <v>94</v>
      </c>
      <c r="E23" s="12">
        <v>0</v>
      </c>
      <c r="F23" s="12">
        <v>360</v>
      </c>
      <c r="G23" s="215"/>
      <c r="H23" s="65" t="s">
        <v>37</v>
      </c>
      <c r="I23" s="215"/>
      <c r="J23" s="65"/>
      <c r="K23" s="37"/>
      <c r="L23" s="37"/>
      <c r="M23" s="37"/>
      <c r="N23" s="37"/>
      <c r="O23" s="37"/>
      <c r="P23" s="37"/>
      <c r="Q23" s="37"/>
      <c r="R23" s="37"/>
      <c r="S23" s="37"/>
      <c r="T23" s="37"/>
      <c r="U23" s="3"/>
      <c r="V23" s="18"/>
    </row>
    <row r="24" spans="1:22" ht="14.4" hidden="1" outlineLevel="1" x14ac:dyDescent="0.3">
      <c r="A24" s="3"/>
      <c r="B24" s="10" t="s">
        <v>571</v>
      </c>
      <c r="C24" s="62">
        <v>14</v>
      </c>
      <c r="D24" s="62" t="s">
        <v>94</v>
      </c>
      <c r="E24" s="12">
        <v>0</v>
      </c>
      <c r="F24" s="12">
        <v>446.4</v>
      </c>
      <c r="G24" s="215"/>
      <c r="H24" s="65" t="s">
        <v>37</v>
      </c>
      <c r="I24" s="215"/>
      <c r="J24" s="65"/>
      <c r="K24" s="37"/>
      <c r="L24" s="37"/>
      <c r="M24" s="37"/>
      <c r="N24" s="37"/>
      <c r="O24" s="37"/>
      <c r="P24" s="37"/>
      <c r="Q24" s="37"/>
      <c r="R24" s="37"/>
      <c r="S24" s="37"/>
      <c r="T24" s="37"/>
      <c r="U24" s="3"/>
      <c r="V24" s="18"/>
    </row>
    <row r="25" spans="1:22" ht="14.4" hidden="1" outlineLevel="1" x14ac:dyDescent="0.3">
      <c r="A25" s="3"/>
      <c r="B25" s="10" t="s">
        <v>572</v>
      </c>
      <c r="C25" s="62">
        <v>14</v>
      </c>
      <c r="D25" s="62" t="s">
        <v>94</v>
      </c>
      <c r="E25" s="12">
        <v>0</v>
      </c>
      <c r="F25" s="12">
        <v>31.68</v>
      </c>
      <c r="G25" s="215"/>
      <c r="H25" s="65" t="s">
        <v>37</v>
      </c>
      <c r="I25" s="215"/>
      <c r="J25" s="65"/>
      <c r="K25" s="37"/>
      <c r="L25" s="37"/>
      <c r="M25" s="37"/>
      <c r="N25" s="37"/>
      <c r="O25" s="37"/>
      <c r="P25" s="37"/>
      <c r="Q25" s="37"/>
      <c r="R25" s="37"/>
      <c r="S25" s="37"/>
      <c r="T25" s="37"/>
      <c r="U25" s="3"/>
      <c r="V25" s="18"/>
    </row>
    <row r="26" spans="1:22" ht="14.4" hidden="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4.4" hidden="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4.4" hidden="1" outlineLevel="1" x14ac:dyDescent="0.3">
      <c r="A28" s="3"/>
      <c r="B28" s="10" t="s">
        <v>575</v>
      </c>
      <c r="C28" s="62"/>
      <c r="D28" s="62"/>
      <c r="E28" s="12">
        <v>0</v>
      </c>
      <c r="F28" s="12">
        <v>0</v>
      </c>
      <c r="G28" s="216"/>
      <c r="H28" s="65"/>
      <c r="I28" s="216"/>
      <c r="J28" s="65"/>
      <c r="K28" s="37"/>
      <c r="L28" s="37"/>
      <c r="M28" s="37"/>
      <c r="N28" s="37"/>
      <c r="O28" s="37"/>
      <c r="P28" s="37"/>
      <c r="Q28" s="37"/>
      <c r="R28" s="37"/>
      <c r="S28" s="37"/>
      <c r="T28" s="37"/>
      <c r="U28" s="3"/>
      <c r="V28" s="18"/>
    </row>
    <row r="29" spans="1:22" ht="14.4" hidden="1" outlineLevel="1" x14ac:dyDescent="0.3">
      <c r="A29" s="3"/>
      <c r="B29" s="10" t="s">
        <v>292</v>
      </c>
      <c r="C29" s="62">
        <v>14</v>
      </c>
      <c r="D29" s="62" t="s">
        <v>94</v>
      </c>
      <c r="E29" s="12">
        <v>0</v>
      </c>
      <c r="F29" s="12">
        <v>84</v>
      </c>
      <c r="G29" s="65"/>
      <c r="H29" s="65" t="s">
        <v>37</v>
      </c>
      <c r="I29" s="112" t="s">
        <v>748</v>
      </c>
      <c r="J29" s="65"/>
      <c r="K29" s="37"/>
      <c r="L29" s="37"/>
      <c r="M29" s="37"/>
      <c r="N29" s="37"/>
      <c r="O29" s="37"/>
      <c r="P29" s="37"/>
      <c r="Q29" s="37"/>
      <c r="R29" s="37"/>
      <c r="S29" s="37"/>
      <c r="T29" s="37"/>
      <c r="U29" s="3"/>
      <c r="V29" s="18"/>
    </row>
    <row r="30" spans="1:22" ht="14.4" hidden="1" outlineLevel="1" x14ac:dyDescent="0.3">
      <c r="A30" s="3"/>
      <c r="B30" s="10" t="s">
        <v>294</v>
      </c>
      <c r="C30" s="62"/>
      <c r="D30" s="62"/>
      <c r="E30" s="12">
        <v>0</v>
      </c>
      <c r="F30" s="12">
        <v>0</v>
      </c>
      <c r="G30" s="89"/>
      <c r="H30" s="65"/>
      <c r="I30" s="112"/>
      <c r="J30" s="65"/>
      <c r="K30" s="37"/>
      <c r="L30" s="37"/>
      <c r="M30" s="37"/>
      <c r="N30" s="37"/>
      <c r="O30" s="37"/>
      <c r="P30" s="37"/>
      <c r="Q30" s="37"/>
      <c r="R30" s="37"/>
      <c r="S30" s="37"/>
      <c r="T30" s="37"/>
      <c r="U30" s="3"/>
    </row>
    <row r="31" spans="1:22" ht="14.4" hidden="1" outlineLevel="1" x14ac:dyDescent="0.3">
      <c r="A31" s="3"/>
      <c r="B31" s="10" t="s">
        <v>579</v>
      </c>
      <c r="C31" s="62"/>
      <c r="D31" s="62"/>
      <c r="E31" s="12">
        <v>0</v>
      </c>
      <c r="F31" s="12">
        <v>0</v>
      </c>
      <c r="G31" s="65"/>
      <c r="H31" s="65"/>
      <c r="I31" s="112"/>
      <c r="J31" s="65"/>
      <c r="K31" s="37"/>
      <c r="L31" s="37"/>
      <c r="M31" s="37"/>
      <c r="N31" s="37"/>
      <c r="O31" s="37"/>
      <c r="P31" s="37"/>
      <c r="Q31" s="37"/>
      <c r="R31" s="37"/>
      <c r="S31" s="37"/>
      <c r="T31" s="37"/>
      <c r="U31" s="3"/>
    </row>
    <row r="32" spans="1:22" ht="14.4" hidden="1" outlineLevel="1" x14ac:dyDescent="0.3">
      <c r="A32" s="3"/>
      <c r="B32" s="10" t="s">
        <v>749</v>
      </c>
      <c r="C32" s="62">
        <v>14</v>
      </c>
      <c r="D32" s="62" t="s">
        <v>94</v>
      </c>
      <c r="E32" s="12">
        <v>0</v>
      </c>
      <c r="F32" s="12">
        <v>154.26</v>
      </c>
      <c r="G32" s="89" t="s">
        <v>750</v>
      </c>
      <c r="H32" s="65" t="s">
        <v>37</v>
      </c>
      <c r="I32" s="112" t="s">
        <v>751</v>
      </c>
      <c r="J32" s="65"/>
      <c r="K32" s="37"/>
      <c r="L32" s="37"/>
      <c r="M32" s="37"/>
      <c r="N32" s="37"/>
      <c r="O32" s="37"/>
      <c r="P32" s="37"/>
      <c r="Q32" s="37"/>
      <c r="R32" s="37"/>
      <c r="S32" s="37"/>
      <c r="T32" s="37"/>
      <c r="U32" s="3"/>
    </row>
    <row r="33" spans="1:26" ht="14.4" hidden="1" outlineLevel="1" x14ac:dyDescent="0.3">
      <c r="A33" s="3"/>
      <c r="B33" s="10" t="s">
        <v>582</v>
      </c>
      <c r="C33" s="62"/>
      <c r="D33" s="62"/>
      <c r="E33" s="12">
        <v>0</v>
      </c>
      <c r="F33" s="12">
        <v>0</v>
      </c>
      <c r="G33" s="65"/>
      <c r="H33" s="65"/>
      <c r="I33" s="89"/>
      <c r="J33" s="65"/>
      <c r="K33" s="37"/>
      <c r="L33" s="37"/>
      <c r="M33" s="37"/>
      <c r="N33" s="37"/>
      <c r="O33" s="37"/>
      <c r="P33" s="37"/>
      <c r="Q33" s="37"/>
      <c r="R33" s="37"/>
      <c r="S33" s="37"/>
      <c r="T33" s="37"/>
      <c r="U33" s="3"/>
    </row>
    <row r="34" spans="1:26" ht="20.399999999999999" collapsed="1" x14ac:dyDescent="0.3">
      <c r="A34" s="3"/>
      <c r="B34" s="84" t="s">
        <v>300</v>
      </c>
      <c r="C34" s="85" t="s">
        <v>43</v>
      </c>
      <c r="D34" s="85" t="s">
        <v>43</v>
      </c>
      <c r="E34" s="86">
        <f>SUM(E35:E37)</f>
        <v>0</v>
      </c>
      <c r="F34" s="86">
        <f>SUMIF(D35:D37,"OK",F35:F37)</f>
        <v>0.51</v>
      </c>
      <c r="G34" s="87"/>
      <c r="H34" s="87"/>
      <c r="I34" s="88"/>
      <c r="J34" s="87"/>
      <c r="K34" s="37"/>
      <c r="L34" s="37"/>
      <c r="M34" s="37"/>
      <c r="N34" s="37"/>
      <c r="O34" s="37"/>
      <c r="P34" s="37"/>
      <c r="Q34" s="37"/>
      <c r="R34" s="37"/>
      <c r="S34" s="37"/>
      <c r="T34" s="37"/>
      <c r="U34" s="3"/>
      <c r="W34" s="3"/>
      <c r="X34" s="3"/>
      <c r="Y34" s="3"/>
      <c r="Z34" s="3"/>
    </row>
    <row r="35" spans="1:26" ht="14.4" hidden="1" outlineLevel="1" x14ac:dyDescent="0.3">
      <c r="A35" s="3"/>
      <c r="B35" s="10" t="s">
        <v>583</v>
      </c>
      <c r="C35" s="62">
        <v>24</v>
      </c>
      <c r="D35" s="62" t="s">
        <v>94</v>
      </c>
      <c r="E35" s="12">
        <v>0</v>
      </c>
      <c r="F35" s="12">
        <v>0.51</v>
      </c>
      <c r="G35" s="65"/>
      <c r="H35" s="65" t="s">
        <v>38</v>
      </c>
      <c r="I35" s="112" t="s">
        <v>752</v>
      </c>
      <c r="J35" s="65"/>
      <c r="K35" s="37"/>
      <c r="L35" s="37"/>
      <c r="M35" s="37"/>
      <c r="N35" s="37"/>
      <c r="O35" s="37"/>
      <c r="P35" s="37"/>
      <c r="Q35" s="37"/>
      <c r="R35" s="37"/>
      <c r="S35" s="37"/>
      <c r="T35" s="37"/>
      <c r="U35" s="3"/>
      <c r="W35" s="3"/>
      <c r="X35" s="3"/>
      <c r="Y35" s="3"/>
      <c r="Z35" s="3"/>
    </row>
    <row r="36" spans="1:26" ht="14.4" hidden="1" outlineLevel="1" x14ac:dyDescent="0.3">
      <c r="A36" s="3"/>
      <c r="B36" s="10" t="s">
        <v>753</v>
      </c>
      <c r="C36" s="62"/>
      <c r="D36" s="62"/>
      <c r="E36" s="12">
        <v>0</v>
      </c>
      <c r="F36" s="12">
        <v>0</v>
      </c>
      <c r="G36" s="65"/>
      <c r="H36" s="65"/>
      <c r="I36" s="112"/>
      <c r="J36" s="65"/>
      <c r="K36" s="37"/>
      <c r="L36" s="37"/>
      <c r="M36" s="37"/>
      <c r="N36" s="37"/>
      <c r="O36" s="37"/>
      <c r="P36" s="37"/>
      <c r="Q36" s="37"/>
      <c r="R36" s="37"/>
      <c r="S36" s="37"/>
      <c r="T36" s="37"/>
      <c r="U36" s="3"/>
      <c r="W36" s="3"/>
      <c r="X36" s="3"/>
      <c r="Y36" s="3"/>
      <c r="Z36" s="3"/>
    </row>
    <row r="37" spans="1:26" ht="14.4" hidden="1" outlineLevel="1" x14ac:dyDescent="0.3">
      <c r="A37" s="3"/>
      <c r="B37" s="10" t="s">
        <v>305</v>
      </c>
      <c r="C37" s="62"/>
      <c r="D37" s="62"/>
      <c r="E37" s="12">
        <v>0</v>
      </c>
      <c r="F37" s="12">
        <v>0</v>
      </c>
      <c r="G37" s="65"/>
      <c r="H37" s="65"/>
      <c r="I37" s="112"/>
      <c r="J37" s="65"/>
      <c r="K37" s="37"/>
      <c r="L37" s="37"/>
      <c r="M37" s="37"/>
      <c r="N37" s="37"/>
      <c r="O37" s="37"/>
      <c r="P37" s="37"/>
      <c r="Q37" s="37"/>
      <c r="R37" s="37"/>
      <c r="S37" s="37"/>
      <c r="T37" s="37"/>
      <c r="U37" s="3"/>
      <c r="W37" s="3"/>
      <c r="X37" s="3"/>
      <c r="Y37" s="3"/>
      <c r="Z37" s="3"/>
    </row>
    <row r="38" spans="1:26" ht="20.399999999999999" collapsed="1" x14ac:dyDescent="0.3">
      <c r="A38" s="3"/>
      <c r="B38" s="84" t="s">
        <v>306</v>
      </c>
      <c r="C38" s="85" t="s">
        <v>43</v>
      </c>
      <c r="D38" s="85" t="s">
        <v>43</v>
      </c>
      <c r="E38" s="86">
        <f>SUM(E39:E62)</f>
        <v>0</v>
      </c>
      <c r="F38" s="86">
        <f>SUMIF(D39:D62,"OK",F39:F62)</f>
        <v>4759.87</v>
      </c>
      <c r="G38" s="87"/>
      <c r="H38" s="87"/>
      <c r="I38" s="88"/>
      <c r="J38" s="87"/>
      <c r="K38" s="37"/>
      <c r="L38" s="37"/>
      <c r="M38" s="37"/>
      <c r="N38" s="37"/>
      <c r="O38" s="37"/>
      <c r="P38" s="37"/>
      <c r="Q38" s="37"/>
      <c r="R38" s="37"/>
      <c r="S38" s="37"/>
      <c r="T38" s="37"/>
      <c r="U38" s="3"/>
      <c r="W38" s="3"/>
      <c r="X38" s="3"/>
      <c r="Y38" s="3"/>
      <c r="Z38" s="3"/>
    </row>
    <row r="39" spans="1:26" ht="14.4" hidden="1" outlineLevel="1" x14ac:dyDescent="0.3">
      <c r="A39" s="3"/>
      <c r="B39" s="10" t="s">
        <v>307</v>
      </c>
      <c r="C39" s="62">
        <v>26</v>
      </c>
      <c r="D39" s="62" t="s">
        <v>94</v>
      </c>
      <c r="E39" s="12">
        <v>0</v>
      </c>
      <c r="F39" s="12">
        <v>1366.01</v>
      </c>
      <c r="G39" s="65"/>
      <c r="H39" s="65" t="s">
        <v>37</v>
      </c>
      <c r="I39" s="112" t="s">
        <v>754</v>
      </c>
      <c r="J39" s="65"/>
      <c r="K39" s="37"/>
      <c r="L39" s="37"/>
      <c r="M39" s="37"/>
      <c r="N39" s="37"/>
      <c r="O39" s="37"/>
      <c r="P39" s="37"/>
      <c r="Q39" s="37"/>
      <c r="R39" s="37"/>
      <c r="S39" s="37"/>
      <c r="T39" s="37"/>
      <c r="U39" s="3"/>
      <c r="W39" s="3"/>
      <c r="X39" s="3"/>
      <c r="Y39" s="3"/>
      <c r="Z39" s="3"/>
    </row>
    <row r="40" spans="1:26" ht="14.4" hidden="1" outlineLevel="1" x14ac:dyDescent="0.3">
      <c r="A40" s="3"/>
      <c r="B40" s="10" t="s">
        <v>589</v>
      </c>
      <c r="C40" s="62">
        <v>16</v>
      </c>
      <c r="D40" s="62" t="s">
        <v>94</v>
      </c>
      <c r="E40" s="12">
        <v>0</v>
      </c>
      <c r="F40" s="12">
        <v>650</v>
      </c>
      <c r="G40" s="65"/>
      <c r="H40" s="65" t="s">
        <v>37</v>
      </c>
      <c r="I40" s="112" t="s">
        <v>755</v>
      </c>
      <c r="J40" s="65"/>
      <c r="K40" s="37"/>
      <c r="L40" s="37"/>
      <c r="M40" s="37"/>
      <c r="N40" s="37"/>
      <c r="O40" s="37"/>
      <c r="P40" s="37"/>
      <c r="Q40" s="37"/>
      <c r="R40" s="37"/>
      <c r="S40" s="37"/>
      <c r="T40" s="37"/>
      <c r="U40" s="3"/>
      <c r="W40" s="3"/>
      <c r="X40" s="3"/>
      <c r="Y40" s="3"/>
      <c r="Z40" s="3"/>
    </row>
    <row r="41" spans="1:26" ht="14.4" hidden="1" outlineLevel="1" x14ac:dyDescent="0.3">
      <c r="A41" s="3"/>
      <c r="B41" s="10" t="s">
        <v>756</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4.4" hidden="1" outlineLevel="1" x14ac:dyDescent="0.3">
      <c r="A42" s="3"/>
      <c r="B42" s="10" t="s">
        <v>312</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4.4" hidden="1" outlineLevel="1" x14ac:dyDescent="0.3">
      <c r="A43" s="3"/>
      <c r="B43" s="10" t="s">
        <v>314</v>
      </c>
      <c r="C43" s="62">
        <v>17</v>
      </c>
      <c r="D43" s="62" t="s">
        <v>94</v>
      </c>
      <c r="E43" s="12">
        <v>0</v>
      </c>
      <c r="F43" s="12">
        <v>84.9</v>
      </c>
      <c r="G43" s="65"/>
      <c r="H43" s="65" t="s">
        <v>37</v>
      </c>
      <c r="I43" s="112" t="s">
        <v>757</v>
      </c>
      <c r="J43" s="65"/>
      <c r="K43" s="37"/>
      <c r="L43" s="37"/>
      <c r="M43" s="37"/>
      <c r="N43" s="37"/>
      <c r="O43" s="37"/>
      <c r="P43" s="37"/>
      <c r="Q43" s="37"/>
      <c r="R43" s="37"/>
      <c r="S43" s="37"/>
      <c r="T43" s="37"/>
      <c r="U43" s="3"/>
      <c r="W43" s="3"/>
      <c r="X43" s="3"/>
      <c r="Y43" s="3"/>
      <c r="Z43" s="3"/>
    </row>
    <row r="44" spans="1:26" ht="14.4" hidden="1" outlineLevel="1" x14ac:dyDescent="0.3">
      <c r="A44" s="3"/>
      <c r="B44" s="10" t="s">
        <v>592</v>
      </c>
      <c r="C44" s="62">
        <v>28</v>
      </c>
      <c r="D44" s="62" t="s">
        <v>94</v>
      </c>
      <c r="E44" s="12">
        <v>0</v>
      </c>
      <c r="F44" s="12">
        <v>518</v>
      </c>
      <c r="G44" s="89" t="s">
        <v>758</v>
      </c>
      <c r="H44" s="65" t="s">
        <v>39</v>
      </c>
      <c r="I44" s="112" t="s">
        <v>759</v>
      </c>
      <c r="J44" s="65"/>
      <c r="K44" s="37"/>
      <c r="L44" s="37"/>
      <c r="M44" s="37"/>
      <c r="N44" s="37"/>
      <c r="O44" s="37"/>
      <c r="P44" s="37"/>
      <c r="Q44" s="37"/>
      <c r="R44" s="37"/>
      <c r="S44" s="37"/>
      <c r="T44" s="37"/>
      <c r="U44" s="3"/>
      <c r="W44" s="3"/>
      <c r="X44" s="3"/>
      <c r="Y44" s="3"/>
      <c r="Z44" s="3"/>
    </row>
    <row r="45" spans="1:26" ht="14.4" hidden="1" outlineLevel="1" x14ac:dyDescent="0.3">
      <c r="A45" s="3"/>
      <c r="B45" s="10" t="s">
        <v>595</v>
      </c>
      <c r="C45" s="62">
        <v>28</v>
      </c>
      <c r="D45" s="62" t="s">
        <v>94</v>
      </c>
      <c r="E45" s="12">
        <v>0</v>
      </c>
      <c r="F45" s="12">
        <v>212.9</v>
      </c>
      <c r="G45" s="89" t="s">
        <v>593</v>
      </c>
      <c r="H45" s="65" t="s">
        <v>37</v>
      </c>
      <c r="I45" s="112" t="s">
        <v>760</v>
      </c>
      <c r="J45" s="65"/>
      <c r="K45" s="37"/>
      <c r="L45" s="37"/>
      <c r="M45" s="37"/>
      <c r="N45" s="37"/>
      <c r="O45" s="37"/>
      <c r="P45" s="37"/>
      <c r="Q45" s="37"/>
      <c r="R45" s="37"/>
      <c r="S45" s="37"/>
      <c r="T45" s="37"/>
      <c r="U45" s="3"/>
      <c r="W45" s="3"/>
      <c r="X45" s="3"/>
      <c r="Y45" s="3"/>
      <c r="Z45" s="3"/>
    </row>
    <row r="46" spans="1:26" ht="14.4" hidden="1" outlineLevel="1" x14ac:dyDescent="0.3">
      <c r="A46" s="3"/>
      <c r="B46" s="10" t="s">
        <v>761</v>
      </c>
      <c r="C46" s="62">
        <v>1</v>
      </c>
      <c r="D46" s="62" t="s">
        <v>94</v>
      </c>
      <c r="E46" s="12">
        <v>0</v>
      </c>
      <c r="F46" s="12">
        <v>89.9</v>
      </c>
      <c r="G46" s="65"/>
      <c r="H46" s="65" t="s">
        <v>37</v>
      </c>
      <c r="I46" s="112" t="s">
        <v>762</v>
      </c>
      <c r="J46" s="65"/>
      <c r="K46" s="37"/>
      <c r="L46" s="37"/>
      <c r="M46" s="37"/>
      <c r="N46" s="37"/>
      <c r="O46" s="37"/>
      <c r="P46" s="37"/>
      <c r="Q46" s="37"/>
      <c r="R46" s="37"/>
      <c r="S46" s="37"/>
      <c r="T46" s="37"/>
      <c r="U46" s="3"/>
      <c r="W46" s="3"/>
      <c r="X46" s="3"/>
      <c r="Y46" s="3"/>
      <c r="Z46" s="3"/>
    </row>
    <row r="47" spans="1:26" ht="14.4" hidden="1" outlineLevel="1" x14ac:dyDescent="0.3">
      <c r="A47" s="3"/>
      <c r="B47" s="10" t="s">
        <v>763</v>
      </c>
      <c r="C47" s="62">
        <v>9</v>
      </c>
      <c r="D47" s="62" t="s">
        <v>94</v>
      </c>
      <c r="E47" s="12">
        <v>0</v>
      </c>
      <c r="F47" s="12">
        <v>340</v>
      </c>
      <c r="G47" s="65"/>
      <c r="H47" s="65" t="s">
        <v>37</v>
      </c>
      <c r="I47" s="112" t="s">
        <v>764</v>
      </c>
      <c r="J47" s="65"/>
      <c r="K47" s="37"/>
      <c r="L47" s="37"/>
      <c r="M47" s="37"/>
      <c r="N47" s="37"/>
      <c r="O47" s="37"/>
      <c r="P47" s="37"/>
      <c r="Q47" s="37"/>
      <c r="R47" s="37"/>
      <c r="S47" s="37"/>
      <c r="T47" s="37"/>
      <c r="U47" s="3"/>
      <c r="W47" s="3"/>
      <c r="X47" s="3"/>
      <c r="Y47" s="3"/>
      <c r="Z47" s="3"/>
    </row>
    <row r="48" spans="1:26" ht="14.4" hidden="1" outlineLevel="1" x14ac:dyDescent="0.3">
      <c r="A48" s="3"/>
      <c r="B48" s="10" t="s">
        <v>763</v>
      </c>
      <c r="C48" s="62">
        <v>9</v>
      </c>
      <c r="D48" s="62" t="s">
        <v>94</v>
      </c>
      <c r="E48" s="12">
        <v>0</v>
      </c>
      <c r="F48" s="12">
        <v>155.16</v>
      </c>
      <c r="G48" s="89"/>
      <c r="H48" s="65" t="s">
        <v>37</v>
      </c>
      <c r="I48" s="112" t="s">
        <v>765</v>
      </c>
      <c r="J48" s="65"/>
      <c r="K48" s="37"/>
      <c r="L48" s="37"/>
      <c r="M48" s="37"/>
      <c r="N48" s="37"/>
      <c r="O48" s="37"/>
      <c r="P48" s="37"/>
      <c r="Q48" s="37"/>
      <c r="R48" s="37"/>
      <c r="S48" s="37"/>
      <c r="T48" s="37"/>
      <c r="U48" s="3"/>
      <c r="W48" s="3"/>
      <c r="X48" s="3"/>
      <c r="Y48" s="3"/>
      <c r="Z48" s="3"/>
    </row>
    <row r="49" spans="1:26" ht="14.4" hidden="1" outlineLevel="1" x14ac:dyDescent="0.3">
      <c r="A49" s="3"/>
      <c r="B49" s="10" t="s">
        <v>766</v>
      </c>
      <c r="C49" s="62">
        <v>17</v>
      </c>
      <c r="D49" s="62" t="s">
        <v>94</v>
      </c>
      <c r="E49" s="12">
        <v>0</v>
      </c>
      <c r="F49" s="12">
        <f>175</f>
        <v>175</v>
      </c>
      <c r="G49" s="89" t="s">
        <v>767</v>
      </c>
      <c r="H49" s="65" t="s">
        <v>37</v>
      </c>
      <c r="I49" s="112" t="s">
        <v>768</v>
      </c>
      <c r="J49" s="65"/>
      <c r="K49" s="37"/>
      <c r="L49" s="37"/>
      <c r="M49" s="37"/>
      <c r="N49" s="37"/>
      <c r="O49" s="37"/>
      <c r="P49" s="37"/>
      <c r="Q49" s="37"/>
      <c r="R49" s="37"/>
      <c r="S49" s="37"/>
      <c r="T49" s="37"/>
      <c r="U49" s="3"/>
      <c r="W49" s="3"/>
      <c r="X49" s="3"/>
      <c r="Y49" s="3"/>
      <c r="Z49" s="3"/>
    </row>
    <row r="50" spans="1:26" ht="14.4" hidden="1" outlineLevel="1" x14ac:dyDescent="0.3">
      <c r="A50" s="3"/>
      <c r="B50" s="10" t="s">
        <v>727</v>
      </c>
      <c r="C50" s="62">
        <v>17</v>
      </c>
      <c r="D50" s="62" t="s">
        <v>94</v>
      </c>
      <c r="E50" s="12">
        <v>0</v>
      </c>
      <c r="F50" s="12">
        <v>499</v>
      </c>
      <c r="G50" s="65"/>
      <c r="H50" s="65" t="s">
        <v>37</v>
      </c>
      <c r="I50" s="112" t="s">
        <v>769</v>
      </c>
      <c r="J50" s="65"/>
      <c r="K50" s="37"/>
      <c r="L50" s="37"/>
      <c r="M50" s="37"/>
      <c r="N50" s="37"/>
      <c r="O50" s="37"/>
      <c r="P50" s="37"/>
      <c r="Q50" s="37"/>
      <c r="R50" s="37"/>
      <c r="S50" s="37"/>
      <c r="T50" s="37"/>
      <c r="U50" s="3"/>
      <c r="W50" s="3"/>
      <c r="X50" s="3"/>
      <c r="Y50" s="3"/>
      <c r="Z50" s="3"/>
    </row>
    <row r="51" spans="1:26" ht="14.4" hidden="1" outlineLevel="1" x14ac:dyDescent="0.3">
      <c r="A51" s="3"/>
      <c r="B51" s="10" t="s">
        <v>770</v>
      </c>
      <c r="C51" s="62">
        <v>13</v>
      </c>
      <c r="D51" s="62" t="s">
        <v>94</v>
      </c>
      <c r="E51" s="12">
        <v>0</v>
      </c>
      <c r="F51" s="12">
        <v>189</v>
      </c>
      <c r="G51" s="65" t="s">
        <v>771</v>
      </c>
      <c r="H51" s="65" t="s">
        <v>37</v>
      </c>
      <c r="I51" s="112" t="s">
        <v>772</v>
      </c>
      <c r="J51" s="65"/>
      <c r="K51" s="37"/>
      <c r="L51" s="37"/>
      <c r="M51" s="37"/>
      <c r="N51" s="37"/>
      <c r="O51" s="37"/>
      <c r="P51" s="37"/>
      <c r="Q51" s="37"/>
      <c r="R51" s="37"/>
      <c r="S51" s="37"/>
      <c r="T51" s="37"/>
      <c r="U51" s="3"/>
      <c r="W51" s="3"/>
      <c r="X51" s="3"/>
      <c r="Y51" s="3"/>
      <c r="Z51" s="3"/>
    </row>
    <row r="52" spans="1:26" ht="14.4" hidden="1" outlineLevel="1" x14ac:dyDescent="0.3">
      <c r="A52" s="3"/>
      <c r="B52" s="10" t="s">
        <v>773</v>
      </c>
      <c r="C52" s="62">
        <v>21</v>
      </c>
      <c r="D52" s="62" t="s">
        <v>94</v>
      </c>
      <c r="E52" s="12">
        <v>0</v>
      </c>
      <c r="F52" s="12">
        <v>100</v>
      </c>
      <c r="G52" s="89"/>
      <c r="H52" s="65" t="s">
        <v>37</v>
      </c>
      <c r="I52" s="112" t="s">
        <v>774</v>
      </c>
      <c r="J52" s="65"/>
      <c r="K52" s="37"/>
      <c r="L52" s="37"/>
      <c r="M52" s="37"/>
      <c r="N52" s="37"/>
      <c r="O52" s="37"/>
      <c r="P52" s="37"/>
      <c r="Q52" s="37"/>
      <c r="R52" s="37"/>
      <c r="S52" s="37"/>
      <c r="T52" s="37"/>
      <c r="U52" s="3"/>
      <c r="W52" s="3"/>
      <c r="X52" s="3"/>
      <c r="Y52" s="3"/>
      <c r="Z52" s="3"/>
    </row>
    <row r="53" spans="1:26" ht="14.4" hidden="1" outlineLevel="1" x14ac:dyDescent="0.3">
      <c r="A53" s="3"/>
      <c r="B53" s="10" t="s">
        <v>775</v>
      </c>
      <c r="C53" s="62">
        <v>21</v>
      </c>
      <c r="D53" s="62" t="s">
        <v>94</v>
      </c>
      <c r="E53" s="12">
        <v>0</v>
      </c>
      <c r="F53" s="12">
        <v>380</v>
      </c>
      <c r="G53" s="89" t="s">
        <v>767</v>
      </c>
      <c r="H53" s="65" t="s">
        <v>37</v>
      </c>
      <c r="I53" s="112" t="s">
        <v>776</v>
      </c>
      <c r="J53" s="65"/>
      <c r="K53" s="37"/>
      <c r="L53" s="37"/>
      <c r="M53" s="37"/>
      <c r="N53" s="37"/>
      <c r="O53" s="37"/>
      <c r="P53" s="37"/>
      <c r="Q53" s="37"/>
      <c r="R53" s="37"/>
      <c r="S53" s="37"/>
      <c r="T53" s="37"/>
      <c r="U53" s="3"/>
      <c r="W53" s="3"/>
      <c r="X53" s="3"/>
      <c r="Y53" s="3"/>
      <c r="Z53" s="3"/>
    </row>
    <row r="54" spans="1:26" ht="14.4" hidden="1" outlineLevel="1" x14ac:dyDescent="0.3">
      <c r="A54" s="3"/>
      <c r="B54" s="10" t="s">
        <v>50</v>
      </c>
      <c r="C54" s="62"/>
      <c r="D54" s="62"/>
      <c r="E54" s="12">
        <v>0</v>
      </c>
      <c r="F54" s="12">
        <v>0</v>
      </c>
      <c r="G54" s="65"/>
      <c r="H54" s="65"/>
      <c r="I54" s="112"/>
      <c r="J54" s="65"/>
      <c r="K54" s="37"/>
      <c r="L54" s="37"/>
      <c r="M54" s="37"/>
      <c r="N54" s="37"/>
      <c r="O54" s="37"/>
      <c r="P54" s="37"/>
      <c r="Q54" s="37"/>
      <c r="R54" s="37"/>
      <c r="S54" s="37"/>
      <c r="T54" s="37"/>
      <c r="U54" s="3"/>
      <c r="W54" s="3"/>
      <c r="X54" s="3"/>
      <c r="Y54" s="3"/>
      <c r="Z54" s="3"/>
    </row>
    <row r="55" spans="1:26" ht="14.4" hidden="1" outlineLevel="1" x14ac:dyDescent="0.3">
      <c r="A55" s="3"/>
      <c r="B55" s="10" t="s">
        <v>50</v>
      </c>
      <c r="C55" s="62"/>
      <c r="D55" s="62"/>
      <c r="E55" s="12">
        <v>0</v>
      </c>
      <c r="F55" s="12">
        <v>0</v>
      </c>
      <c r="G55" s="89"/>
      <c r="H55" s="65"/>
      <c r="I55" s="112"/>
      <c r="J55" s="65"/>
      <c r="K55" s="37"/>
      <c r="L55" s="37"/>
      <c r="M55" s="37"/>
      <c r="N55" s="37"/>
      <c r="O55" s="37"/>
      <c r="P55" s="37"/>
      <c r="Q55" s="37"/>
      <c r="R55" s="37"/>
      <c r="S55" s="37"/>
      <c r="T55" s="37"/>
      <c r="U55" s="3"/>
      <c r="W55" s="3"/>
      <c r="X55" s="3"/>
      <c r="Y55" s="3"/>
      <c r="Z55" s="3"/>
    </row>
    <row r="56" spans="1:26" ht="14.4" hidden="1" outlineLevel="1" x14ac:dyDescent="0.3">
      <c r="A56" s="3"/>
      <c r="B56" s="10" t="s">
        <v>50</v>
      </c>
      <c r="C56" s="62"/>
      <c r="D56" s="62"/>
      <c r="E56" s="12">
        <v>0</v>
      </c>
      <c r="F56" s="12">
        <v>0</v>
      </c>
      <c r="G56" s="89"/>
      <c r="H56" s="65"/>
      <c r="I56" s="112"/>
      <c r="J56" s="65"/>
      <c r="K56" s="37"/>
      <c r="L56" s="37"/>
      <c r="M56" s="37"/>
      <c r="N56" s="37"/>
      <c r="O56" s="37"/>
      <c r="P56" s="37"/>
      <c r="Q56" s="37"/>
      <c r="R56" s="37"/>
      <c r="S56" s="37"/>
      <c r="T56" s="37"/>
      <c r="U56" s="3"/>
      <c r="W56" s="3"/>
      <c r="X56" s="3"/>
      <c r="Y56" s="3"/>
      <c r="Z56" s="3"/>
    </row>
    <row r="57" spans="1:26" ht="14.4" hidden="1" outlineLevel="1" x14ac:dyDescent="0.3">
      <c r="A57" s="3"/>
      <c r="B57" s="10" t="s">
        <v>50</v>
      </c>
      <c r="C57" s="62"/>
      <c r="D57" s="62"/>
      <c r="E57" s="12">
        <v>0</v>
      </c>
      <c r="F57" s="12">
        <v>0</v>
      </c>
      <c r="G57" s="89"/>
      <c r="H57" s="65"/>
      <c r="I57" s="112"/>
      <c r="J57" s="65"/>
      <c r="K57" s="37"/>
      <c r="L57" s="37"/>
      <c r="M57" s="37"/>
      <c r="N57" s="37"/>
      <c r="O57" s="37"/>
      <c r="P57" s="37"/>
      <c r="Q57" s="37"/>
      <c r="R57" s="37"/>
      <c r="S57" s="37"/>
      <c r="T57" s="37"/>
      <c r="U57" s="3"/>
      <c r="W57" s="3"/>
      <c r="X57" s="3"/>
      <c r="Y57" s="3"/>
      <c r="Z57" s="3"/>
    </row>
    <row r="58" spans="1:26" ht="14.4" hidden="1" outlineLevel="1" x14ac:dyDescent="0.3">
      <c r="A58" s="3"/>
      <c r="B58" s="10" t="s">
        <v>50</v>
      </c>
      <c r="C58" s="62"/>
      <c r="D58" s="62"/>
      <c r="E58" s="12">
        <v>0</v>
      </c>
      <c r="F58" s="12">
        <v>0</v>
      </c>
      <c r="G58" s="89"/>
      <c r="H58" s="65"/>
      <c r="I58" s="112"/>
      <c r="J58" s="65"/>
      <c r="K58" s="37"/>
      <c r="L58" s="37"/>
      <c r="M58" s="37"/>
      <c r="N58" s="37"/>
      <c r="O58" s="37"/>
      <c r="P58" s="37"/>
      <c r="Q58" s="37"/>
      <c r="R58" s="37"/>
      <c r="S58" s="37"/>
      <c r="T58" s="37"/>
      <c r="U58" s="3"/>
      <c r="W58" s="3"/>
      <c r="X58" s="3"/>
      <c r="Y58" s="3"/>
      <c r="Z58" s="3"/>
    </row>
    <row r="59" spans="1:26" ht="14.4" hidden="1" outlineLevel="1" x14ac:dyDescent="0.3">
      <c r="A59" s="3"/>
      <c r="B59" s="10" t="s">
        <v>50</v>
      </c>
      <c r="C59" s="62"/>
      <c r="D59" s="62"/>
      <c r="E59" s="12">
        <v>0</v>
      </c>
      <c r="F59" s="12">
        <v>0</v>
      </c>
      <c r="G59" s="89"/>
      <c r="H59" s="65"/>
      <c r="I59" s="112"/>
      <c r="J59" s="65"/>
      <c r="K59" s="37"/>
      <c r="L59" s="37"/>
      <c r="M59" s="37"/>
      <c r="N59" s="37"/>
      <c r="O59" s="37"/>
      <c r="P59" s="37"/>
      <c r="Q59" s="37"/>
      <c r="R59" s="37"/>
      <c r="S59" s="37"/>
      <c r="T59" s="37"/>
      <c r="U59" s="3"/>
      <c r="W59" s="3"/>
      <c r="X59" s="3"/>
      <c r="Y59" s="3"/>
      <c r="Z59" s="3"/>
    </row>
    <row r="60" spans="1:26" ht="14.4" hidden="1" outlineLevel="1" x14ac:dyDescent="0.3">
      <c r="A60" s="3"/>
      <c r="B60" s="10" t="s">
        <v>50</v>
      </c>
      <c r="C60" s="62"/>
      <c r="D60" s="62"/>
      <c r="E60" s="12">
        <v>0</v>
      </c>
      <c r="F60" s="12">
        <v>0</v>
      </c>
      <c r="G60" s="89"/>
      <c r="H60" s="65"/>
      <c r="I60" s="112"/>
      <c r="J60" s="65"/>
      <c r="K60" s="37"/>
      <c r="L60" s="37"/>
      <c r="M60" s="37"/>
      <c r="N60" s="37"/>
      <c r="O60" s="37"/>
      <c r="P60" s="37"/>
      <c r="Q60" s="37"/>
      <c r="R60" s="37"/>
      <c r="S60" s="37"/>
      <c r="T60" s="37"/>
      <c r="U60" s="3"/>
      <c r="W60" s="3"/>
      <c r="X60" s="3"/>
      <c r="Y60" s="3"/>
      <c r="Z60" s="3"/>
    </row>
    <row r="61" spans="1:26" ht="14.4" hidden="1" outlineLevel="1" x14ac:dyDescent="0.3">
      <c r="A61" s="3"/>
      <c r="B61" s="10" t="s">
        <v>50</v>
      </c>
      <c r="C61" s="62"/>
      <c r="D61" s="62"/>
      <c r="E61" s="12">
        <v>0</v>
      </c>
      <c r="F61" s="12">
        <v>0</v>
      </c>
      <c r="G61" s="89"/>
      <c r="H61" s="65"/>
      <c r="I61" s="112"/>
      <c r="J61" s="65"/>
      <c r="K61" s="37"/>
      <c r="L61" s="37"/>
      <c r="M61" s="37"/>
      <c r="N61" s="37"/>
      <c r="O61" s="37"/>
      <c r="P61" s="37"/>
      <c r="Q61" s="37"/>
      <c r="R61" s="37"/>
      <c r="S61" s="37"/>
      <c r="T61" s="37"/>
      <c r="U61" s="3"/>
      <c r="W61" s="3"/>
      <c r="X61" s="3"/>
      <c r="Y61" s="3"/>
      <c r="Z61" s="3"/>
    </row>
    <row r="62" spans="1:26" ht="14.4" hidden="1" outlineLevel="1" x14ac:dyDescent="0.3">
      <c r="A62" s="3"/>
      <c r="B62" s="10" t="s">
        <v>50</v>
      </c>
      <c r="C62" s="62"/>
      <c r="D62" s="62"/>
      <c r="E62" s="12">
        <v>0</v>
      </c>
      <c r="F62" s="12">
        <v>0</v>
      </c>
      <c r="G62" s="65"/>
      <c r="H62" s="65"/>
      <c r="I62" s="112"/>
      <c r="J62" s="65"/>
      <c r="K62" s="37"/>
      <c r="L62" s="37"/>
      <c r="M62" s="37"/>
      <c r="N62" s="37"/>
      <c r="O62" s="37"/>
      <c r="P62" s="37"/>
      <c r="Q62" s="37"/>
      <c r="R62" s="37"/>
      <c r="S62" s="37"/>
      <c r="T62" s="37"/>
      <c r="U62" s="3"/>
      <c r="W62" s="3"/>
      <c r="X62" s="3"/>
      <c r="Y62" s="3"/>
      <c r="Z62" s="3"/>
    </row>
    <row r="63" spans="1:26" ht="20.399999999999999" collapsed="1" x14ac:dyDescent="0.3">
      <c r="A63" s="3"/>
      <c r="B63" s="84" t="s">
        <v>329</v>
      </c>
      <c r="C63" s="85" t="s">
        <v>43</v>
      </c>
      <c r="D63" s="85" t="s">
        <v>43</v>
      </c>
      <c r="E63" s="86">
        <f>SUM(E64:E92)</f>
        <v>0</v>
      </c>
      <c r="F63" s="86">
        <f>SUMIF(D64:D92,"OK",F64:F92)</f>
        <v>3437.6100000000006</v>
      </c>
      <c r="G63" s="87"/>
      <c r="H63" s="87"/>
      <c r="I63" s="88"/>
      <c r="J63" s="87"/>
      <c r="K63" s="37"/>
      <c r="L63" s="37"/>
      <c r="M63" s="37"/>
      <c r="N63" s="37"/>
      <c r="O63" s="37"/>
      <c r="P63" s="37"/>
      <c r="Q63" s="37"/>
      <c r="R63" s="37"/>
      <c r="S63" s="37"/>
      <c r="T63" s="37"/>
      <c r="U63" s="3"/>
    </row>
    <row r="64" spans="1:26" ht="14.4" hidden="1" outlineLevel="1" x14ac:dyDescent="0.3">
      <c r="A64" s="3"/>
      <c r="B64" s="10" t="s">
        <v>602</v>
      </c>
      <c r="C64" s="80">
        <v>3</v>
      </c>
      <c r="D64" s="62" t="s">
        <v>94</v>
      </c>
      <c r="E64" s="12">
        <v>0</v>
      </c>
      <c r="F64" s="12">
        <v>70</v>
      </c>
      <c r="G64" s="89" t="s">
        <v>613</v>
      </c>
      <c r="H64" s="65" t="s">
        <v>37</v>
      </c>
      <c r="I64" s="112" t="s">
        <v>777</v>
      </c>
      <c r="J64" s="89"/>
      <c r="K64" s="37"/>
      <c r="L64" s="37"/>
      <c r="M64" s="37"/>
      <c r="N64" s="37"/>
      <c r="O64" s="37"/>
      <c r="P64" s="37"/>
      <c r="Q64" s="37"/>
      <c r="R64" s="37"/>
      <c r="S64" s="37"/>
      <c r="T64" s="37"/>
      <c r="U64" s="3"/>
      <c r="V64" s="18"/>
    </row>
    <row r="65" spans="1:22" ht="14.4" hidden="1" outlineLevel="1" x14ac:dyDescent="0.3">
      <c r="A65" s="3"/>
      <c r="B65" s="10" t="s">
        <v>602</v>
      </c>
      <c r="C65" s="80">
        <v>3</v>
      </c>
      <c r="D65" s="62" t="s">
        <v>94</v>
      </c>
      <c r="E65" s="12">
        <v>0</v>
      </c>
      <c r="F65" s="12">
        <v>60.32</v>
      </c>
      <c r="G65" s="89" t="s">
        <v>778</v>
      </c>
      <c r="H65" s="65" t="s">
        <v>37</v>
      </c>
      <c r="I65" s="112" t="s">
        <v>779</v>
      </c>
      <c r="J65" s="89"/>
      <c r="K65" s="37"/>
      <c r="L65" s="37"/>
      <c r="M65" s="37"/>
      <c r="N65" s="37"/>
      <c r="O65" s="37"/>
      <c r="P65" s="37"/>
      <c r="Q65" s="37"/>
      <c r="R65" s="37"/>
      <c r="S65" s="37"/>
      <c r="T65" s="37"/>
      <c r="U65" s="3"/>
      <c r="V65" s="18"/>
    </row>
    <row r="66" spans="1:22" ht="14.4" hidden="1" outlineLevel="1" x14ac:dyDescent="0.3">
      <c r="A66" s="3"/>
      <c r="B66" s="10" t="s">
        <v>602</v>
      </c>
      <c r="C66" s="80">
        <v>4</v>
      </c>
      <c r="D66" s="62" t="s">
        <v>94</v>
      </c>
      <c r="E66" s="12">
        <v>0</v>
      </c>
      <c r="F66" s="12">
        <v>45</v>
      </c>
      <c r="G66" s="89" t="s">
        <v>605</v>
      </c>
      <c r="H66" s="65" t="s">
        <v>37</v>
      </c>
      <c r="I66" s="112" t="s">
        <v>780</v>
      </c>
      <c r="J66" s="89"/>
      <c r="K66" s="37"/>
      <c r="L66" s="37"/>
      <c r="M66" s="37"/>
      <c r="N66" s="37"/>
      <c r="O66" s="37"/>
      <c r="P66" s="37"/>
      <c r="Q66" s="37"/>
      <c r="R66" s="37"/>
      <c r="S66" s="37"/>
      <c r="T66" s="37"/>
      <c r="U66" s="3"/>
      <c r="V66" s="18"/>
    </row>
    <row r="67" spans="1:22" ht="48" hidden="1" outlineLevel="1" x14ac:dyDescent="0.3">
      <c r="A67" s="3"/>
      <c r="B67" s="10" t="s">
        <v>602</v>
      </c>
      <c r="C67" s="80">
        <v>1</v>
      </c>
      <c r="D67" s="62" t="s">
        <v>94</v>
      </c>
      <c r="E67" s="12">
        <v>0</v>
      </c>
      <c r="F67" s="12">
        <v>95.65</v>
      </c>
      <c r="G67" s="89" t="s">
        <v>781</v>
      </c>
      <c r="H67" s="65" t="s">
        <v>37</v>
      </c>
      <c r="I67" s="112" t="s">
        <v>782</v>
      </c>
      <c r="J67" s="89"/>
      <c r="K67" s="37"/>
      <c r="L67" s="37"/>
      <c r="M67" s="37"/>
      <c r="N67" s="37"/>
      <c r="O67" s="37"/>
      <c r="P67" s="37"/>
      <c r="Q67" s="37"/>
      <c r="R67" s="37"/>
      <c r="S67" s="37"/>
      <c r="T67" s="37"/>
      <c r="U67" s="3"/>
      <c r="V67" s="18"/>
    </row>
    <row r="68" spans="1:22" ht="48" hidden="1" outlineLevel="1" x14ac:dyDescent="0.3">
      <c r="A68" s="3"/>
      <c r="B68" s="10" t="s">
        <v>602</v>
      </c>
      <c r="C68" s="80">
        <v>1</v>
      </c>
      <c r="D68" s="62" t="s">
        <v>94</v>
      </c>
      <c r="E68" s="12">
        <v>0</v>
      </c>
      <c r="F68" s="12">
        <v>148.25</v>
      </c>
      <c r="G68" s="89" t="s">
        <v>781</v>
      </c>
      <c r="H68" s="65" t="s">
        <v>37</v>
      </c>
      <c r="I68" s="112" t="s">
        <v>783</v>
      </c>
      <c r="J68" s="89"/>
      <c r="K68" s="37"/>
      <c r="L68" s="37"/>
      <c r="M68" s="37"/>
      <c r="N68" s="37"/>
      <c r="O68" s="37"/>
      <c r="P68" s="37"/>
      <c r="Q68" s="37"/>
      <c r="R68" s="37"/>
      <c r="S68" s="37"/>
      <c r="T68" s="37"/>
      <c r="U68" s="3"/>
      <c r="V68" s="18"/>
    </row>
    <row r="69" spans="1:22" ht="14.4" hidden="1" outlineLevel="1" x14ac:dyDescent="0.3">
      <c r="A69" s="3"/>
      <c r="B69" s="10" t="s">
        <v>602</v>
      </c>
      <c r="C69" s="80"/>
      <c r="D69" s="62"/>
      <c r="E69" s="12">
        <v>0</v>
      </c>
      <c r="F69" s="12">
        <v>0</v>
      </c>
      <c r="G69" s="89"/>
      <c r="H69" s="65"/>
      <c r="I69" s="112"/>
      <c r="J69" s="89"/>
      <c r="K69" s="37"/>
      <c r="L69" s="37"/>
      <c r="M69" s="37"/>
      <c r="N69" s="37"/>
      <c r="O69" s="37"/>
      <c r="P69" s="37"/>
      <c r="Q69" s="37"/>
      <c r="R69" s="37"/>
      <c r="S69" s="37"/>
      <c r="T69" s="37"/>
      <c r="U69" s="3"/>
      <c r="V69" s="18"/>
    </row>
    <row r="70" spans="1:22" ht="14.4" hidden="1" outlineLevel="1" x14ac:dyDescent="0.3">
      <c r="A70" s="3"/>
      <c r="B70" s="10" t="s">
        <v>602</v>
      </c>
      <c r="C70" s="80"/>
      <c r="D70" s="62"/>
      <c r="E70" s="12">
        <v>0</v>
      </c>
      <c r="F70" s="12">
        <v>0</v>
      </c>
      <c r="G70" s="89"/>
      <c r="H70" s="65"/>
      <c r="I70" s="112"/>
      <c r="J70" s="89"/>
      <c r="K70" s="37"/>
      <c r="L70" s="37"/>
      <c r="M70" s="37"/>
      <c r="N70" s="37"/>
      <c r="O70" s="37"/>
      <c r="P70" s="37"/>
      <c r="Q70" s="37"/>
      <c r="R70" s="37"/>
      <c r="S70" s="37"/>
      <c r="T70" s="37"/>
      <c r="U70" s="3"/>
      <c r="V70" s="18"/>
    </row>
    <row r="71" spans="1:22" ht="14.4" hidden="1" outlineLevel="1" x14ac:dyDescent="0.3">
      <c r="A71" s="3"/>
      <c r="B71" s="10" t="s">
        <v>602</v>
      </c>
      <c r="C71" s="80"/>
      <c r="D71" s="62"/>
      <c r="E71" s="12">
        <v>0</v>
      </c>
      <c r="F71" s="12">
        <v>0</v>
      </c>
      <c r="G71" s="89"/>
      <c r="H71" s="65"/>
      <c r="I71" s="112"/>
      <c r="J71" s="89"/>
      <c r="K71" s="37"/>
      <c r="L71" s="37"/>
      <c r="M71" s="37"/>
      <c r="N71" s="37"/>
      <c r="O71" s="37"/>
      <c r="P71" s="37"/>
      <c r="Q71" s="37"/>
      <c r="R71" s="37"/>
      <c r="S71" s="37"/>
      <c r="T71" s="37"/>
      <c r="U71" s="3"/>
      <c r="V71" s="18"/>
    </row>
    <row r="72" spans="1:22" ht="14.4" hidden="1" outlineLevel="1" x14ac:dyDescent="0.3">
      <c r="A72" s="3"/>
      <c r="B72" s="10" t="s">
        <v>612</v>
      </c>
      <c r="C72" s="80">
        <v>15</v>
      </c>
      <c r="D72" s="62" t="s">
        <v>94</v>
      </c>
      <c r="E72" s="12">
        <v>0</v>
      </c>
      <c r="F72" s="12">
        <v>316.76</v>
      </c>
      <c r="G72" s="89"/>
      <c r="H72" s="65" t="s">
        <v>37</v>
      </c>
      <c r="I72" s="112" t="s">
        <v>784</v>
      </c>
      <c r="J72" s="89"/>
      <c r="K72" s="37"/>
      <c r="L72" s="37"/>
      <c r="M72" s="37"/>
      <c r="N72" s="37"/>
      <c r="O72" s="37"/>
      <c r="P72" s="37"/>
      <c r="Q72" s="37"/>
      <c r="R72" s="37"/>
      <c r="S72" s="37"/>
      <c r="T72" s="37"/>
      <c r="U72" s="3"/>
      <c r="V72" s="18"/>
    </row>
    <row r="73" spans="1:22" ht="14.4" hidden="1" outlineLevel="1" x14ac:dyDescent="0.3">
      <c r="A73" s="3"/>
      <c r="B73" s="10" t="s">
        <v>612</v>
      </c>
      <c r="C73" s="80">
        <v>15</v>
      </c>
      <c r="D73" s="62" t="s">
        <v>94</v>
      </c>
      <c r="E73" s="12">
        <v>0</v>
      </c>
      <c r="F73" s="12">
        <v>140</v>
      </c>
      <c r="G73" s="89" t="s">
        <v>613</v>
      </c>
      <c r="H73" s="65" t="s">
        <v>37</v>
      </c>
      <c r="I73" s="112" t="s">
        <v>785</v>
      </c>
      <c r="J73" s="89"/>
      <c r="K73" s="37"/>
      <c r="L73" s="37"/>
      <c r="M73" s="37"/>
      <c r="N73" s="37"/>
      <c r="O73" s="37"/>
      <c r="P73" s="37"/>
      <c r="Q73" s="37"/>
      <c r="R73" s="37"/>
      <c r="S73" s="37"/>
      <c r="T73" s="37"/>
      <c r="U73" s="3"/>
      <c r="V73" s="18"/>
    </row>
    <row r="74" spans="1:22" ht="14.4" hidden="1" outlineLevel="1" x14ac:dyDescent="0.3">
      <c r="A74" s="3"/>
      <c r="B74" s="10" t="s">
        <v>629</v>
      </c>
      <c r="C74" s="80">
        <v>15</v>
      </c>
      <c r="D74" s="62" t="s">
        <v>94</v>
      </c>
      <c r="E74" s="12">
        <v>0</v>
      </c>
      <c r="F74" s="12">
        <v>131.69</v>
      </c>
      <c r="G74" s="89"/>
      <c r="H74" s="65" t="s">
        <v>37</v>
      </c>
      <c r="I74" s="112" t="s">
        <v>786</v>
      </c>
      <c r="J74" s="89"/>
      <c r="K74" s="37"/>
      <c r="L74" s="37"/>
      <c r="M74" s="37"/>
      <c r="N74" s="37"/>
      <c r="O74" s="37"/>
      <c r="P74" s="37"/>
      <c r="Q74" s="37"/>
      <c r="R74" s="37"/>
      <c r="S74" s="37"/>
      <c r="T74" s="37"/>
      <c r="U74" s="3"/>
      <c r="V74" s="18"/>
    </row>
    <row r="75" spans="1:22" ht="14.4" hidden="1" outlineLevel="1" x14ac:dyDescent="0.3">
      <c r="A75" s="3"/>
      <c r="B75" s="10" t="s">
        <v>612</v>
      </c>
      <c r="C75" s="80">
        <v>20</v>
      </c>
      <c r="D75" s="62" t="s">
        <v>94</v>
      </c>
      <c r="E75" s="12">
        <v>0</v>
      </c>
      <c r="F75" s="12">
        <v>45</v>
      </c>
      <c r="G75" s="89" t="s">
        <v>787</v>
      </c>
      <c r="H75" s="65" t="s">
        <v>37</v>
      </c>
      <c r="I75" s="112" t="s">
        <v>780</v>
      </c>
      <c r="J75" s="89"/>
      <c r="K75" s="37"/>
      <c r="L75" s="37"/>
      <c r="M75" s="37"/>
      <c r="N75" s="37"/>
      <c r="O75" s="37"/>
      <c r="P75" s="37"/>
      <c r="Q75" s="37"/>
      <c r="R75" s="37"/>
      <c r="S75" s="37"/>
      <c r="T75" s="37"/>
      <c r="U75" s="3"/>
      <c r="V75" s="18"/>
    </row>
    <row r="76" spans="1:22" ht="14.4" hidden="1" outlineLevel="1" x14ac:dyDescent="0.3">
      <c r="A76" s="3"/>
      <c r="B76" s="10" t="s">
        <v>788</v>
      </c>
      <c r="C76" s="80">
        <v>28</v>
      </c>
      <c r="D76" s="62" t="s">
        <v>94</v>
      </c>
      <c r="E76" s="12">
        <v>0</v>
      </c>
      <c r="F76" s="12">
        <v>335</v>
      </c>
      <c r="G76" s="89" t="s">
        <v>789</v>
      </c>
      <c r="H76" s="65" t="s">
        <v>37</v>
      </c>
      <c r="I76" s="112" t="s">
        <v>790</v>
      </c>
      <c r="J76" s="89"/>
      <c r="K76" s="37"/>
      <c r="L76" s="37"/>
      <c r="M76" s="37"/>
      <c r="N76" s="37"/>
      <c r="O76" s="37"/>
      <c r="P76" s="37"/>
      <c r="Q76" s="37"/>
      <c r="R76" s="37"/>
      <c r="S76" s="37"/>
      <c r="T76" s="37"/>
      <c r="U76" s="3"/>
      <c r="V76" s="18"/>
    </row>
    <row r="77" spans="1:22" ht="14.4" hidden="1" outlineLevel="1" x14ac:dyDescent="0.3">
      <c r="A77" s="3"/>
      <c r="B77" s="10" t="s">
        <v>612</v>
      </c>
      <c r="C77" s="80"/>
      <c r="D77" s="62"/>
      <c r="E77" s="12">
        <v>0</v>
      </c>
      <c r="F77" s="12">
        <v>0</v>
      </c>
      <c r="G77" s="89"/>
      <c r="H77" s="65"/>
      <c r="I77" s="112"/>
      <c r="J77" s="89"/>
      <c r="K77" s="37"/>
      <c r="L77" s="37"/>
      <c r="M77" s="37"/>
      <c r="N77" s="37"/>
      <c r="O77" s="37"/>
      <c r="P77" s="37"/>
      <c r="Q77" s="37"/>
      <c r="R77" s="37"/>
      <c r="S77" s="37"/>
      <c r="T77" s="37"/>
      <c r="U77" s="3"/>
      <c r="V77" s="18"/>
    </row>
    <row r="78" spans="1:22" ht="14.4" hidden="1" outlineLevel="1" x14ac:dyDescent="0.3">
      <c r="A78" s="3"/>
      <c r="B78" s="10" t="s">
        <v>612</v>
      </c>
      <c r="C78" s="80"/>
      <c r="D78" s="62"/>
      <c r="E78" s="12">
        <v>0</v>
      </c>
      <c r="F78" s="12">
        <v>0</v>
      </c>
      <c r="G78" s="89"/>
      <c r="H78" s="65"/>
      <c r="I78" s="112"/>
      <c r="J78" s="89"/>
      <c r="K78" s="37"/>
      <c r="L78" s="37"/>
      <c r="M78" s="37"/>
      <c r="N78" s="37"/>
      <c r="O78" s="37"/>
      <c r="P78" s="37"/>
      <c r="Q78" s="37"/>
      <c r="R78" s="37"/>
      <c r="S78" s="37"/>
      <c r="T78" s="37"/>
      <c r="U78" s="3"/>
      <c r="V78" s="18"/>
    </row>
    <row r="79" spans="1:22" ht="14.4" hidden="1" outlineLevel="1" x14ac:dyDescent="0.3">
      <c r="A79" s="3"/>
      <c r="B79" s="10" t="s">
        <v>612</v>
      </c>
      <c r="C79" s="80"/>
      <c r="D79" s="62"/>
      <c r="E79" s="12">
        <v>0</v>
      </c>
      <c r="F79" s="12">
        <v>0</v>
      </c>
      <c r="G79" s="89"/>
      <c r="H79" s="65"/>
      <c r="I79" s="112"/>
      <c r="J79" s="89"/>
      <c r="K79" s="37"/>
      <c r="L79" s="37"/>
      <c r="M79" s="37"/>
      <c r="N79" s="37"/>
      <c r="O79" s="37"/>
      <c r="P79" s="37"/>
      <c r="Q79" s="37"/>
      <c r="R79" s="37"/>
      <c r="S79" s="37"/>
      <c r="T79" s="37"/>
      <c r="U79" s="3"/>
      <c r="V79" s="18"/>
    </row>
    <row r="80" spans="1:22" ht="48" hidden="1" outlineLevel="1" x14ac:dyDescent="0.3">
      <c r="A80" s="3"/>
      <c r="B80" s="10" t="s">
        <v>330</v>
      </c>
      <c r="C80" s="80">
        <v>1</v>
      </c>
      <c r="D80" s="62" t="s">
        <v>94</v>
      </c>
      <c r="E80" s="12">
        <v>0</v>
      </c>
      <c r="F80" s="12">
        <v>145.57</v>
      </c>
      <c r="G80" s="89" t="s">
        <v>781</v>
      </c>
      <c r="H80" s="65" t="s">
        <v>37</v>
      </c>
      <c r="I80" s="112" t="s">
        <v>791</v>
      </c>
      <c r="J80" s="65"/>
      <c r="K80" s="37"/>
      <c r="L80" s="37"/>
      <c r="M80" s="37"/>
      <c r="N80" s="37"/>
      <c r="O80" s="37"/>
      <c r="P80" s="37"/>
      <c r="Q80" s="37"/>
      <c r="R80" s="37"/>
      <c r="S80" s="37"/>
      <c r="T80" s="37"/>
      <c r="U80" s="3"/>
    </row>
    <row r="81" spans="1:26" ht="14.4" hidden="1" outlineLevel="1" x14ac:dyDescent="0.3">
      <c r="A81" s="3"/>
      <c r="B81" s="10" t="s">
        <v>330</v>
      </c>
      <c r="C81" s="62">
        <v>10</v>
      </c>
      <c r="D81" s="62" t="s">
        <v>94</v>
      </c>
      <c r="E81" s="12">
        <v>0</v>
      </c>
      <c r="F81" s="12">
        <v>267.7</v>
      </c>
      <c r="G81" s="65"/>
      <c r="H81" s="65" t="s">
        <v>37</v>
      </c>
      <c r="I81" s="112" t="s">
        <v>792</v>
      </c>
      <c r="J81" s="65"/>
      <c r="K81" s="37"/>
      <c r="L81" s="37"/>
      <c r="M81" s="37"/>
      <c r="N81" s="37"/>
      <c r="O81" s="37"/>
      <c r="P81" s="37"/>
      <c r="Q81" s="37"/>
      <c r="R81" s="37"/>
      <c r="S81" s="37"/>
      <c r="T81" s="37"/>
      <c r="U81" s="3"/>
    </row>
    <row r="82" spans="1:26" ht="14.4" hidden="1" outlineLevel="1" x14ac:dyDescent="0.3">
      <c r="A82" s="3"/>
      <c r="B82" s="10" t="s">
        <v>330</v>
      </c>
      <c r="C82" s="80">
        <v>15</v>
      </c>
      <c r="D82" s="62" t="s">
        <v>94</v>
      </c>
      <c r="E82" s="12">
        <v>0</v>
      </c>
      <c r="F82" s="12">
        <v>98.95</v>
      </c>
      <c r="G82" s="89" t="s">
        <v>793</v>
      </c>
      <c r="H82" s="65" t="s">
        <v>37</v>
      </c>
      <c r="I82" s="112" t="s">
        <v>794</v>
      </c>
      <c r="J82" s="89"/>
      <c r="K82" s="37"/>
      <c r="L82" s="37"/>
      <c r="M82" s="37"/>
      <c r="N82" s="37"/>
      <c r="O82" s="37"/>
      <c r="P82" s="37"/>
      <c r="Q82" s="37"/>
      <c r="R82" s="37"/>
      <c r="S82" s="37"/>
      <c r="T82" s="37"/>
      <c r="U82" s="3"/>
      <c r="V82" s="18"/>
    </row>
    <row r="83" spans="1:26" ht="14.4" hidden="1" outlineLevel="1" x14ac:dyDescent="0.3">
      <c r="A83" s="3"/>
      <c r="B83" s="10" t="s">
        <v>330</v>
      </c>
      <c r="C83" s="80">
        <v>14</v>
      </c>
      <c r="D83" s="62" t="s">
        <v>94</v>
      </c>
      <c r="E83" s="12">
        <v>0</v>
      </c>
      <c r="F83" s="12">
        <v>164.9</v>
      </c>
      <c r="G83" s="89" t="s">
        <v>795</v>
      </c>
      <c r="H83" s="65" t="s">
        <v>37</v>
      </c>
      <c r="I83" s="112" t="s">
        <v>796</v>
      </c>
      <c r="J83" s="89"/>
      <c r="K83" s="37"/>
      <c r="L83" s="37"/>
      <c r="M83" s="37"/>
      <c r="N83" s="37"/>
      <c r="O83" s="37"/>
      <c r="P83" s="37"/>
      <c r="Q83" s="37"/>
      <c r="R83" s="37"/>
      <c r="S83" s="37"/>
      <c r="T83" s="37"/>
      <c r="U83" s="3"/>
      <c r="V83" s="18"/>
    </row>
    <row r="84" spans="1:26" ht="14.4" hidden="1" outlineLevel="1" x14ac:dyDescent="0.3">
      <c r="A84" s="3"/>
      <c r="B84" s="10" t="s">
        <v>330</v>
      </c>
      <c r="C84" s="80"/>
      <c r="D84" s="62"/>
      <c r="E84" s="12">
        <v>0</v>
      </c>
      <c r="F84" s="12">
        <v>0</v>
      </c>
      <c r="G84" s="89"/>
      <c r="H84" s="65"/>
      <c r="I84" s="112"/>
      <c r="J84" s="89"/>
      <c r="K84" s="37"/>
      <c r="L84" s="37"/>
      <c r="M84" s="37"/>
      <c r="N84" s="37"/>
      <c r="O84" s="37"/>
      <c r="P84" s="37"/>
      <c r="Q84" s="37"/>
      <c r="R84" s="37"/>
      <c r="S84" s="37"/>
      <c r="T84" s="37"/>
      <c r="U84" s="3"/>
      <c r="V84" s="18"/>
    </row>
    <row r="85" spans="1:26" ht="14.4" hidden="1" outlineLevel="1" x14ac:dyDescent="0.3">
      <c r="A85" s="3"/>
      <c r="B85" s="10" t="s">
        <v>334</v>
      </c>
      <c r="C85" s="80">
        <v>28</v>
      </c>
      <c r="D85" s="62" t="s">
        <v>94</v>
      </c>
      <c r="E85" s="12">
        <v>0</v>
      </c>
      <c r="F85" s="12">
        <v>184</v>
      </c>
      <c r="G85" s="89"/>
      <c r="H85" s="65" t="s">
        <v>37</v>
      </c>
      <c r="I85" s="112" t="s">
        <v>797</v>
      </c>
      <c r="J85" s="89"/>
      <c r="K85" s="37"/>
      <c r="L85" s="37"/>
      <c r="M85" s="37"/>
      <c r="N85" s="37"/>
      <c r="O85" s="37"/>
      <c r="P85" s="37"/>
      <c r="Q85" s="37"/>
      <c r="R85" s="37"/>
      <c r="S85" s="37"/>
      <c r="T85" s="37"/>
      <c r="U85" s="3"/>
      <c r="V85" s="18"/>
    </row>
    <row r="86" spans="1:26" ht="14.4" hidden="1" outlineLevel="1" x14ac:dyDescent="0.3">
      <c r="A86" s="3"/>
      <c r="B86" s="10" t="s">
        <v>334</v>
      </c>
      <c r="C86" s="62"/>
      <c r="D86" s="62"/>
      <c r="E86" s="12">
        <v>0</v>
      </c>
      <c r="F86" s="12">
        <v>0</v>
      </c>
      <c r="G86" s="124"/>
      <c r="H86" s="65"/>
      <c r="I86" s="112"/>
      <c r="J86" s="65"/>
      <c r="K86" s="37"/>
      <c r="L86" s="37"/>
      <c r="M86" s="37"/>
      <c r="N86" s="37"/>
      <c r="O86" s="37"/>
      <c r="P86" s="37"/>
      <c r="Q86" s="37"/>
      <c r="R86" s="37"/>
      <c r="S86" s="37"/>
      <c r="T86" s="37"/>
      <c r="U86" s="3"/>
    </row>
    <row r="87" spans="1:26" ht="14.4" hidden="1" outlineLevel="1" x14ac:dyDescent="0.3">
      <c r="A87" s="3"/>
      <c r="B87" s="10" t="s">
        <v>627</v>
      </c>
      <c r="C87" s="62">
        <v>1</v>
      </c>
      <c r="D87" s="62" t="s">
        <v>94</v>
      </c>
      <c r="E87" s="12">
        <v>0</v>
      </c>
      <c r="F87" s="12">
        <v>331.4</v>
      </c>
      <c r="G87" s="65"/>
      <c r="H87" s="65" t="s">
        <v>37</v>
      </c>
      <c r="I87" s="112" t="s">
        <v>798</v>
      </c>
      <c r="J87" s="65"/>
      <c r="K87" s="37"/>
      <c r="L87" s="37"/>
      <c r="M87" s="37"/>
      <c r="N87" s="37"/>
      <c r="O87" s="37"/>
      <c r="P87" s="37"/>
      <c r="Q87" s="37"/>
      <c r="R87" s="37"/>
      <c r="S87" s="37"/>
      <c r="T87" s="37"/>
      <c r="U87" s="3"/>
    </row>
    <row r="88" spans="1:26" ht="14.4" hidden="1" outlineLevel="1" x14ac:dyDescent="0.3">
      <c r="A88" s="3"/>
      <c r="B88" s="10" t="s">
        <v>627</v>
      </c>
      <c r="C88" s="80">
        <v>5</v>
      </c>
      <c r="D88" s="62" t="s">
        <v>94</v>
      </c>
      <c r="E88" s="12">
        <v>0</v>
      </c>
      <c r="F88" s="12">
        <v>48.38</v>
      </c>
      <c r="G88" s="89"/>
      <c r="H88" s="65" t="s">
        <v>37</v>
      </c>
      <c r="I88" s="112" t="s">
        <v>799</v>
      </c>
      <c r="J88" s="89"/>
      <c r="K88" s="37"/>
      <c r="L88" s="37"/>
      <c r="M88" s="37"/>
      <c r="N88" s="37"/>
      <c r="O88" s="37"/>
      <c r="P88" s="37"/>
      <c r="Q88" s="37"/>
      <c r="R88" s="37"/>
      <c r="S88" s="37"/>
      <c r="T88" s="37"/>
      <c r="U88" s="3"/>
    </row>
    <row r="89" spans="1:26" ht="14.4" hidden="1" outlineLevel="1" x14ac:dyDescent="0.3">
      <c r="A89" s="3"/>
      <c r="B89" s="10" t="s">
        <v>627</v>
      </c>
      <c r="C89" s="80">
        <v>8</v>
      </c>
      <c r="D89" s="62" t="s">
        <v>94</v>
      </c>
      <c r="E89" s="12">
        <v>0</v>
      </c>
      <c r="F89" s="12">
        <v>225.49</v>
      </c>
      <c r="G89" s="89"/>
      <c r="H89" s="65" t="s">
        <v>37</v>
      </c>
      <c r="I89" s="112" t="s">
        <v>800</v>
      </c>
      <c r="J89" s="89"/>
      <c r="K89" s="37"/>
      <c r="L89" s="37"/>
      <c r="M89" s="37"/>
      <c r="N89" s="37"/>
      <c r="O89" s="37"/>
      <c r="P89" s="37"/>
      <c r="Q89" s="37"/>
      <c r="R89" s="37"/>
      <c r="S89" s="37"/>
      <c r="T89" s="37"/>
      <c r="U89" s="3"/>
    </row>
    <row r="90" spans="1:26" ht="14.4" hidden="1" outlineLevel="1" x14ac:dyDescent="0.3">
      <c r="A90" s="3"/>
      <c r="B90" s="10" t="s">
        <v>629</v>
      </c>
      <c r="C90" s="80">
        <v>15</v>
      </c>
      <c r="D90" s="62" t="s">
        <v>94</v>
      </c>
      <c r="E90" s="12">
        <v>0</v>
      </c>
      <c r="F90" s="12">
        <v>405.61</v>
      </c>
      <c r="G90" s="89"/>
      <c r="H90" s="65" t="s">
        <v>37</v>
      </c>
      <c r="I90" s="112" t="s">
        <v>801</v>
      </c>
      <c r="J90" s="65"/>
      <c r="K90" s="37"/>
      <c r="L90" s="37"/>
      <c r="M90" s="37"/>
      <c r="N90" s="37"/>
      <c r="O90" s="37"/>
      <c r="P90" s="37"/>
      <c r="Q90" s="37"/>
      <c r="R90" s="37"/>
      <c r="S90" s="37"/>
      <c r="T90" s="37"/>
      <c r="U90" s="3"/>
      <c r="W90" s="3"/>
      <c r="X90" s="3"/>
      <c r="Y90" s="3"/>
      <c r="Z90" s="3"/>
    </row>
    <row r="91" spans="1:26" ht="48" hidden="1" outlineLevel="1" x14ac:dyDescent="0.3">
      <c r="A91" s="3"/>
      <c r="B91" s="10" t="s">
        <v>631</v>
      </c>
      <c r="C91" s="80">
        <v>1</v>
      </c>
      <c r="D91" s="62" t="s">
        <v>94</v>
      </c>
      <c r="E91" s="12">
        <v>0</v>
      </c>
      <c r="F91" s="12">
        <v>59.94</v>
      </c>
      <c r="G91" s="89" t="s">
        <v>781</v>
      </c>
      <c r="H91" s="65" t="s">
        <v>37</v>
      </c>
      <c r="I91" s="112" t="s">
        <v>802</v>
      </c>
      <c r="J91" s="65"/>
      <c r="K91" s="37"/>
      <c r="L91" s="37"/>
      <c r="M91" s="37"/>
      <c r="N91" s="37"/>
      <c r="O91" s="37"/>
      <c r="P91" s="37"/>
      <c r="Q91" s="37"/>
      <c r="R91" s="37"/>
      <c r="S91" s="37"/>
      <c r="T91" s="37"/>
      <c r="U91" s="3"/>
      <c r="W91" s="3"/>
      <c r="X91" s="3"/>
      <c r="Y91" s="3"/>
      <c r="Z91" s="3"/>
    </row>
    <row r="92" spans="1:26" ht="14.4" hidden="1" outlineLevel="1" x14ac:dyDescent="0.3">
      <c r="A92" s="3"/>
      <c r="B92" s="10" t="s">
        <v>631</v>
      </c>
      <c r="C92" s="62">
        <v>9</v>
      </c>
      <c r="D92" s="62" t="s">
        <v>94</v>
      </c>
      <c r="E92" s="12">
        <v>0</v>
      </c>
      <c r="F92" s="12">
        <v>118</v>
      </c>
      <c r="G92" s="89" t="s">
        <v>803</v>
      </c>
      <c r="H92" s="65" t="s">
        <v>37</v>
      </c>
      <c r="I92" s="112" t="s">
        <v>804</v>
      </c>
      <c r="J92" s="65"/>
      <c r="K92" s="37"/>
      <c r="L92" s="37"/>
      <c r="M92" s="37"/>
      <c r="N92" s="37"/>
      <c r="O92" s="37"/>
      <c r="P92" s="37"/>
      <c r="Q92" s="37"/>
      <c r="R92" s="37"/>
      <c r="S92" s="37"/>
      <c r="T92" s="37"/>
      <c r="U92" s="3"/>
      <c r="W92" s="3"/>
      <c r="X92" s="3"/>
      <c r="Y92" s="3"/>
      <c r="Z92" s="3"/>
    </row>
    <row r="93" spans="1:26" ht="20.399999999999999" collapsed="1" x14ac:dyDescent="0.3">
      <c r="A93" s="3"/>
      <c r="B93" s="84" t="s">
        <v>348</v>
      </c>
      <c r="C93" s="85" t="s">
        <v>43</v>
      </c>
      <c r="D93" s="85" t="s">
        <v>43</v>
      </c>
      <c r="E93" s="86">
        <f t="shared" ref="E93:F93" si="0">SUM(E94,E110,E115)</f>
        <v>0</v>
      </c>
      <c r="F93" s="86">
        <f t="shared" si="0"/>
        <v>0</v>
      </c>
      <c r="G93" s="87"/>
      <c r="H93" s="87"/>
      <c r="I93" s="88"/>
      <c r="J93" s="87"/>
      <c r="K93" s="37"/>
      <c r="L93" s="37"/>
      <c r="M93" s="37"/>
      <c r="N93" s="37"/>
      <c r="O93" s="37"/>
      <c r="P93" s="37"/>
      <c r="Q93" s="37"/>
      <c r="R93" s="37"/>
      <c r="S93" s="37"/>
      <c r="T93" s="37"/>
      <c r="U93" s="3"/>
      <c r="W93" s="3"/>
      <c r="X93" s="3"/>
      <c r="Y93" s="3"/>
      <c r="Z93" s="3"/>
    </row>
    <row r="94" spans="1:26" hidden="1" outlineLevel="1" x14ac:dyDescent="0.3">
      <c r="A94" s="3"/>
      <c r="B94" s="91" t="s">
        <v>349</v>
      </c>
      <c r="C94" s="92"/>
      <c r="D94" s="92"/>
      <c r="E94" s="93">
        <f>SUM(E95:E108)</f>
        <v>0</v>
      </c>
      <c r="F94" s="93">
        <f>SUMIF(D95:D109,"OK",F95:F109)</f>
        <v>0</v>
      </c>
      <c r="G94" s="94"/>
      <c r="H94" s="94"/>
      <c r="I94" s="95"/>
      <c r="J94" s="94"/>
      <c r="K94" s="37"/>
      <c r="L94" s="37"/>
      <c r="M94" s="37"/>
      <c r="N94" s="37"/>
      <c r="O94" s="37"/>
      <c r="P94" s="37"/>
      <c r="Q94" s="37"/>
      <c r="R94" s="37"/>
      <c r="S94" s="37"/>
      <c r="T94" s="37"/>
      <c r="U94" s="3"/>
      <c r="W94" s="3"/>
      <c r="X94" s="3"/>
      <c r="Y94" s="3"/>
      <c r="Z94" s="3"/>
    </row>
    <row r="95" spans="1:26" ht="14.4" hidden="1" outlineLevel="1" x14ac:dyDescent="0.3">
      <c r="A95" s="3"/>
      <c r="B95" s="10" t="s">
        <v>805</v>
      </c>
      <c r="C95" s="62"/>
      <c r="D95" s="62"/>
      <c r="E95" s="12">
        <v>0</v>
      </c>
      <c r="F95" s="12">
        <v>0</v>
      </c>
      <c r="G95" s="65"/>
      <c r="H95" s="65"/>
      <c r="I95" s="112"/>
      <c r="J95" s="65"/>
      <c r="K95" s="37"/>
      <c r="L95" s="37"/>
      <c r="M95" s="37"/>
      <c r="N95" s="37"/>
      <c r="O95" s="37"/>
      <c r="P95" s="37"/>
      <c r="Q95" s="37"/>
      <c r="R95" s="37"/>
      <c r="S95" s="37"/>
      <c r="T95" s="37"/>
      <c r="U95" s="3"/>
      <c r="W95" s="3"/>
      <c r="X95" s="3"/>
      <c r="Y95" s="3"/>
      <c r="Z95" s="3"/>
    </row>
    <row r="96" spans="1:26" ht="14.4" hidden="1" outlineLevel="1" x14ac:dyDescent="0.3">
      <c r="A96" s="3"/>
      <c r="B96" s="10" t="s">
        <v>806</v>
      </c>
      <c r="C96" s="62"/>
      <c r="D96" s="62"/>
      <c r="E96" s="12">
        <v>0</v>
      </c>
      <c r="F96" s="12">
        <v>0</v>
      </c>
      <c r="G96" s="65"/>
      <c r="H96" s="65"/>
      <c r="I96" s="112"/>
      <c r="J96" s="65"/>
      <c r="K96" s="37"/>
      <c r="L96" s="37"/>
      <c r="M96" s="37"/>
      <c r="N96" s="37"/>
      <c r="O96" s="37"/>
      <c r="P96" s="37"/>
      <c r="Q96" s="37"/>
      <c r="R96" s="37"/>
      <c r="S96" s="37"/>
      <c r="T96" s="37"/>
      <c r="U96" s="3"/>
      <c r="W96" s="3"/>
      <c r="X96" s="3"/>
      <c r="Y96" s="3"/>
      <c r="Z96" s="3"/>
    </row>
    <row r="97" spans="1:26" ht="14.4" hidden="1" outlineLevel="1" x14ac:dyDescent="0.3">
      <c r="A97" s="3"/>
      <c r="B97" s="10" t="s">
        <v>807</v>
      </c>
      <c r="C97" s="62"/>
      <c r="D97" s="62"/>
      <c r="E97" s="12">
        <v>0</v>
      </c>
      <c r="F97" s="12">
        <v>0</v>
      </c>
      <c r="G97" s="65"/>
      <c r="H97" s="65"/>
      <c r="I97" s="112"/>
      <c r="J97" s="65"/>
      <c r="K97" s="37"/>
      <c r="L97" s="37"/>
      <c r="M97" s="37"/>
      <c r="N97" s="37"/>
      <c r="O97" s="37"/>
      <c r="P97" s="37"/>
      <c r="Q97" s="37"/>
      <c r="R97" s="37"/>
      <c r="S97" s="37"/>
      <c r="T97" s="37"/>
      <c r="U97" s="3"/>
      <c r="W97" s="3"/>
      <c r="X97" s="3"/>
      <c r="Y97" s="3"/>
      <c r="Z97" s="3"/>
    </row>
    <row r="98" spans="1:26" ht="14.4" hidden="1" outlineLevel="1" x14ac:dyDescent="0.3">
      <c r="A98" s="3"/>
      <c r="B98" s="10" t="s">
        <v>806</v>
      </c>
      <c r="C98" s="62"/>
      <c r="D98" s="62"/>
      <c r="E98" s="12">
        <v>0</v>
      </c>
      <c r="F98" s="12">
        <v>0</v>
      </c>
      <c r="G98" s="65"/>
      <c r="H98" s="65"/>
      <c r="I98" s="112"/>
      <c r="J98" s="65"/>
      <c r="K98" s="37"/>
      <c r="L98" s="37"/>
      <c r="M98" s="37"/>
      <c r="N98" s="37"/>
      <c r="O98" s="37"/>
      <c r="P98" s="37"/>
      <c r="Q98" s="37"/>
      <c r="R98" s="37"/>
      <c r="S98" s="37"/>
      <c r="T98" s="37"/>
      <c r="U98" s="3"/>
      <c r="W98" s="3"/>
      <c r="X98" s="3"/>
      <c r="Y98" s="3"/>
      <c r="Z98" s="3"/>
    </row>
    <row r="99" spans="1:26" ht="14.4" hidden="1" outlineLevel="1" x14ac:dyDescent="0.3">
      <c r="A99" s="3"/>
      <c r="B99" s="10" t="s">
        <v>806</v>
      </c>
      <c r="C99" s="62"/>
      <c r="D99" s="62"/>
      <c r="E99" s="12">
        <v>0</v>
      </c>
      <c r="F99" s="12">
        <v>0</v>
      </c>
      <c r="G99" s="65"/>
      <c r="H99" s="65"/>
      <c r="I99" s="112"/>
      <c r="J99" s="65"/>
      <c r="K99" s="37"/>
      <c r="L99" s="37"/>
      <c r="M99" s="37"/>
      <c r="N99" s="37"/>
      <c r="O99" s="37"/>
      <c r="P99" s="37"/>
      <c r="Q99" s="37"/>
      <c r="R99" s="37"/>
      <c r="S99" s="37"/>
      <c r="T99" s="37"/>
      <c r="U99" s="3"/>
      <c r="W99" s="3"/>
      <c r="X99" s="3"/>
      <c r="Y99" s="3"/>
      <c r="Z99" s="3"/>
    </row>
    <row r="100" spans="1:26" ht="14.4" hidden="1" outlineLevel="1" x14ac:dyDescent="0.3">
      <c r="A100" s="3"/>
      <c r="B100" s="10" t="s">
        <v>808</v>
      </c>
      <c r="C100" s="62"/>
      <c r="D100" s="62"/>
      <c r="E100" s="12">
        <v>0</v>
      </c>
      <c r="F100" s="12">
        <v>0</v>
      </c>
      <c r="G100" s="65"/>
      <c r="H100" s="65"/>
      <c r="I100" s="112"/>
      <c r="J100" s="65"/>
      <c r="K100" s="37"/>
      <c r="L100" s="37"/>
      <c r="M100" s="37"/>
      <c r="N100" s="37"/>
      <c r="O100" s="37"/>
      <c r="P100" s="37"/>
      <c r="Q100" s="37"/>
      <c r="R100" s="37"/>
      <c r="S100" s="37"/>
      <c r="T100" s="37"/>
      <c r="U100" s="3"/>
      <c r="W100" s="3"/>
      <c r="X100" s="3"/>
      <c r="Y100" s="3"/>
      <c r="Z100" s="3"/>
    </row>
    <row r="101" spans="1:26" ht="14.4" hidden="1" outlineLevel="1" x14ac:dyDescent="0.3">
      <c r="A101" s="3"/>
      <c r="B101" s="10" t="s">
        <v>809</v>
      </c>
      <c r="C101" s="62"/>
      <c r="D101" s="62"/>
      <c r="E101" s="12">
        <v>0</v>
      </c>
      <c r="F101" s="12">
        <v>0</v>
      </c>
      <c r="G101" s="65"/>
      <c r="H101" s="65"/>
      <c r="I101" s="112"/>
      <c r="J101" s="65"/>
      <c r="K101" s="37"/>
      <c r="L101" s="37"/>
      <c r="M101" s="37"/>
      <c r="N101" s="37"/>
      <c r="O101" s="37"/>
      <c r="P101" s="37"/>
      <c r="Q101" s="37"/>
      <c r="R101" s="37"/>
      <c r="S101" s="37"/>
      <c r="T101" s="37"/>
      <c r="U101" s="3"/>
      <c r="W101" s="3"/>
      <c r="X101" s="3"/>
      <c r="Y101" s="3"/>
      <c r="Z101" s="3"/>
    </row>
    <row r="102" spans="1:26" ht="14.4" hidden="1" outlineLevel="1" x14ac:dyDescent="0.3">
      <c r="A102" s="3"/>
      <c r="B102" s="10" t="s">
        <v>809</v>
      </c>
      <c r="C102" s="62"/>
      <c r="D102" s="62"/>
      <c r="E102" s="12">
        <v>0</v>
      </c>
      <c r="F102" s="12">
        <v>0</v>
      </c>
      <c r="G102" s="65"/>
      <c r="H102" s="65"/>
      <c r="I102" s="112"/>
      <c r="J102" s="65"/>
      <c r="K102" s="37"/>
      <c r="L102" s="37"/>
      <c r="M102" s="37"/>
      <c r="N102" s="37"/>
      <c r="O102" s="37"/>
      <c r="P102" s="37"/>
      <c r="Q102" s="37"/>
      <c r="R102" s="37"/>
      <c r="S102" s="37"/>
      <c r="T102" s="37"/>
      <c r="U102" s="3"/>
      <c r="W102" s="3"/>
      <c r="X102" s="3"/>
      <c r="Y102" s="3"/>
      <c r="Z102" s="3"/>
    </row>
    <row r="103" spans="1:26" ht="14.4" hidden="1" outlineLevel="1" x14ac:dyDescent="0.3">
      <c r="A103" s="3"/>
      <c r="B103" s="10" t="s">
        <v>810</v>
      </c>
      <c r="C103" s="62"/>
      <c r="D103" s="62"/>
      <c r="E103" s="12">
        <v>0</v>
      </c>
      <c r="F103" s="12">
        <v>0</v>
      </c>
      <c r="G103" s="65"/>
      <c r="H103" s="65"/>
      <c r="I103" s="112"/>
      <c r="J103" s="65"/>
      <c r="K103" s="37"/>
      <c r="L103" s="37"/>
      <c r="M103" s="37"/>
      <c r="N103" s="37"/>
      <c r="O103" s="37"/>
      <c r="P103" s="37"/>
      <c r="Q103" s="37"/>
      <c r="R103" s="37"/>
      <c r="S103" s="37"/>
      <c r="T103" s="37"/>
      <c r="U103" s="3"/>
      <c r="W103" s="3"/>
      <c r="X103" s="3"/>
      <c r="Y103" s="3"/>
      <c r="Z103" s="3"/>
    </row>
    <row r="104" spans="1:26" ht="14.4" hidden="1" outlineLevel="1" x14ac:dyDescent="0.3">
      <c r="A104" s="3"/>
      <c r="B104" s="10" t="s">
        <v>806</v>
      </c>
      <c r="C104" s="62"/>
      <c r="D104" s="62"/>
      <c r="E104" s="12">
        <v>0</v>
      </c>
      <c r="F104" s="12">
        <v>0</v>
      </c>
      <c r="G104" s="65"/>
      <c r="H104" s="65"/>
      <c r="I104" s="112"/>
      <c r="J104" s="65"/>
      <c r="K104" s="37"/>
      <c r="L104" s="37"/>
      <c r="M104" s="37"/>
      <c r="N104" s="37"/>
      <c r="O104" s="37"/>
      <c r="P104" s="37"/>
      <c r="Q104" s="37"/>
      <c r="R104" s="37"/>
      <c r="S104" s="37"/>
      <c r="T104" s="37"/>
      <c r="U104" s="3"/>
      <c r="W104" s="3"/>
      <c r="X104" s="3"/>
      <c r="Y104" s="3"/>
      <c r="Z104" s="3"/>
    </row>
    <row r="105" spans="1:26" ht="14.4" hidden="1" outlineLevel="1" x14ac:dyDescent="0.3">
      <c r="A105" s="3"/>
      <c r="B105" s="10" t="s">
        <v>806</v>
      </c>
      <c r="C105" s="62"/>
      <c r="D105" s="62"/>
      <c r="E105" s="12">
        <v>0</v>
      </c>
      <c r="F105" s="12">
        <v>0</v>
      </c>
      <c r="G105" s="65"/>
      <c r="H105" s="65"/>
      <c r="I105" s="112"/>
      <c r="J105" s="65"/>
      <c r="K105" s="37"/>
      <c r="L105" s="37"/>
      <c r="M105" s="37"/>
      <c r="N105" s="37"/>
      <c r="O105" s="37"/>
      <c r="P105" s="37"/>
      <c r="Q105" s="37"/>
      <c r="R105" s="37"/>
      <c r="S105" s="37"/>
      <c r="T105" s="37"/>
      <c r="U105" s="3"/>
      <c r="W105" s="3"/>
      <c r="X105" s="3"/>
      <c r="Y105" s="3"/>
      <c r="Z105" s="3"/>
    </row>
    <row r="106" spans="1:26" ht="14.4" hidden="1" outlineLevel="1" x14ac:dyDescent="0.3">
      <c r="A106" s="3"/>
      <c r="B106" s="10" t="s">
        <v>806</v>
      </c>
      <c r="C106" s="62"/>
      <c r="D106" s="62"/>
      <c r="E106" s="12">
        <v>0</v>
      </c>
      <c r="F106" s="12">
        <v>0</v>
      </c>
      <c r="G106" s="65"/>
      <c r="H106" s="65"/>
      <c r="I106" s="112"/>
      <c r="J106" s="65"/>
      <c r="K106" s="37"/>
      <c r="L106" s="37"/>
      <c r="M106" s="37"/>
      <c r="N106" s="37"/>
      <c r="O106" s="37"/>
      <c r="P106" s="37"/>
      <c r="Q106" s="37"/>
      <c r="R106" s="37"/>
      <c r="S106" s="37"/>
      <c r="T106" s="37"/>
      <c r="U106" s="3"/>
      <c r="W106" s="3"/>
      <c r="X106" s="3"/>
      <c r="Y106" s="3"/>
      <c r="Z106" s="3"/>
    </row>
    <row r="107" spans="1:26" ht="14.4" hidden="1" outlineLevel="1" x14ac:dyDescent="0.3">
      <c r="A107" s="3"/>
      <c r="B107" s="10" t="s">
        <v>334</v>
      </c>
      <c r="C107" s="62"/>
      <c r="D107" s="62"/>
      <c r="E107" s="12">
        <v>0</v>
      </c>
      <c r="F107" s="12">
        <v>0</v>
      </c>
      <c r="G107" s="65"/>
      <c r="H107" s="65"/>
      <c r="I107" s="112"/>
      <c r="J107" s="65"/>
      <c r="K107" s="37"/>
      <c r="L107" s="37"/>
      <c r="M107" s="37"/>
      <c r="N107" s="37"/>
      <c r="O107" s="37"/>
      <c r="P107" s="37"/>
      <c r="Q107" s="37"/>
      <c r="R107" s="37"/>
      <c r="S107" s="37"/>
      <c r="T107" s="37"/>
      <c r="U107" s="3"/>
      <c r="W107" s="3"/>
      <c r="X107" s="3"/>
      <c r="Y107" s="3"/>
      <c r="Z107" s="3"/>
    </row>
    <row r="108" spans="1:26" ht="14.4" hidden="1" outlineLevel="1" x14ac:dyDescent="0.3">
      <c r="A108" s="3"/>
      <c r="B108" s="10" t="s">
        <v>341</v>
      </c>
      <c r="C108" s="62"/>
      <c r="D108" s="62"/>
      <c r="E108" s="12">
        <v>0</v>
      </c>
      <c r="F108" s="12">
        <v>0</v>
      </c>
      <c r="G108" s="65"/>
      <c r="H108" s="65"/>
      <c r="I108" s="112"/>
      <c r="J108" s="65"/>
      <c r="K108" s="37"/>
      <c r="L108" s="37"/>
      <c r="M108" s="37"/>
      <c r="N108" s="37"/>
      <c r="O108" s="37"/>
      <c r="P108" s="37"/>
      <c r="Q108" s="37"/>
      <c r="R108" s="37"/>
      <c r="S108" s="37"/>
      <c r="T108" s="37"/>
      <c r="U108" s="3"/>
      <c r="W108" s="3"/>
      <c r="X108" s="3"/>
      <c r="Y108" s="3"/>
      <c r="Z108" s="3"/>
    </row>
    <row r="109" spans="1:26" ht="14.4" hidden="1" outlineLevel="1" x14ac:dyDescent="0.3">
      <c r="A109" s="3"/>
      <c r="B109" s="10" t="s">
        <v>811</v>
      </c>
      <c r="C109" s="62"/>
      <c r="D109" s="62"/>
      <c r="E109" s="12">
        <v>0</v>
      </c>
      <c r="F109" s="12">
        <v>0</v>
      </c>
      <c r="G109" s="65"/>
      <c r="H109" s="65"/>
      <c r="I109" s="112"/>
      <c r="J109" s="65"/>
      <c r="K109" s="37"/>
      <c r="L109" s="37"/>
      <c r="M109" s="37"/>
      <c r="N109" s="37"/>
      <c r="O109" s="37"/>
      <c r="P109" s="37"/>
      <c r="Q109" s="37"/>
      <c r="R109" s="37"/>
      <c r="S109" s="37"/>
      <c r="T109" s="37"/>
      <c r="U109" s="3"/>
      <c r="W109" s="3"/>
      <c r="X109" s="3"/>
      <c r="Y109" s="3"/>
      <c r="Z109" s="3"/>
    </row>
    <row r="110" spans="1:26" hidden="1" outlineLevel="1" x14ac:dyDescent="0.3">
      <c r="A110" s="3"/>
      <c r="B110" s="91" t="s">
        <v>352</v>
      </c>
      <c r="C110" s="92"/>
      <c r="D110" s="92"/>
      <c r="E110" s="93">
        <f>SUM(E111:E114)</f>
        <v>0</v>
      </c>
      <c r="F110" s="93">
        <f>SUMIF(D111:D114,"OK",F111:F114)</f>
        <v>0</v>
      </c>
      <c r="G110" s="94"/>
      <c r="H110" s="94"/>
      <c r="I110" s="95"/>
      <c r="J110" s="94"/>
      <c r="K110" s="37"/>
      <c r="L110" s="37"/>
      <c r="M110" s="37"/>
      <c r="N110" s="37"/>
      <c r="O110" s="37"/>
      <c r="P110" s="37"/>
      <c r="Q110" s="37"/>
      <c r="R110" s="37"/>
      <c r="S110" s="37"/>
      <c r="T110" s="37"/>
      <c r="U110" s="3"/>
      <c r="W110" s="3"/>
      <c r="X110" s="3"/>
      <c r="Y110" s="3"/>
      <c r="Z110" s="3"/>
    </row>
    <row r="111" spans="1:26" ht="14.4" hidden="1" outlineLevel="1" x14ac:dyDescent="0.3">
      <c r="A111" s="3"/>
      <c r="B111" s="10" t="s">
        <v>812</v>
      </c>
      <c r="C111" s="62"/>
      <c r="D111" s="62"/>
      <c r="E111" s="12">
        <v>0</v>
      </c>
      <c r="F111" s="12">
        <v>0</v>
      </c>
      <c r="G111" s="65"/>
      <c r="H111" s="65"/>
      <c r="I111" s="112"/>
      <c r="J111" s="65"/>
      <c r="K111" s="37"/>
      <c r="L111" s="37"/>
      <c r="M111" s="37"/>
      <c r="N111" s="37"/>
      <c r="O111" s="37"/>
      <c r="P111" s="37"/>
      <c r="Q111" s="37"/>
      <c r="R111" s="37"/>
      <c r="S111" s="37"/>
      <c r="T111" s="37"/>
      <c r="U111" s="3"/>
      <c r="W111" s="3"/>
      <c r="X111" s="3"/>
      <c r="Y111" s="3"/>
      <c r="Z111" s="3"/>
    </row>
    <row r="112" spans="1:26" ht="14.4" hidden="1" outlineLevel="1" x14ac:dyDescent="0.3">
      <c r="A112" s="3"/>
      <c r="B112" s="10" t="s">
        <v>813</v>
      </c>
      <c r="C112" s="62"/>
      <c r="D112" s="62"/>
      <c r="E112" s="12">
        <v>0</v>
      </c>
      <c r="F112" s="12">
        <v>0</v>
      </c>
      <c r="G112" s="65"/>
      <c r="H112" s="65"/>
      <c r="I112" s="112"/>
      <c r="J112" s="65"/>
      <c r="K112" s="37"/>
      <c r="L112" s="37"/>
      <c r="M112" s="37"/>
      <c r="N112" s="37"/>
      <c r="O112" s="37"/>
      <c r="P112" s="37"/>
      <c r="Q112" s="37"/>
      <c r="R112" s="37"/>
      <c r="S112" s="37"/>
      <c r="T112" s="37"/>
      <c r="U112" s="3"/>
      <c r="W112" s="3"/>
      <c r="X112" s="3"/>
      <c r="Y112" s="3"/>
      <c r="Z112" s="3"/>
    </row>
    <row r="113" spans="1:26" ht="14.4" hidden="1" outlineLevel="1" x14ac:dyDescent="0.3">
      <c r="A113" s="3"/>
      <c r="B113" s="10" t="s">
        <v>814</v>
      </c>
      <c r="C113" s="62"/>
      <c r="D113" s="62"/>
      <c r="E113" s="12">
        <v>0</v>
      </c>
      <c r="F113" s="12">
        <v>0</v>
      </c>
      <c r="G113" s="65"/>
      <c r="H113" s="65"/>
      <c r="I113" s="112"/>
      <c r="J113" s="65"/>
      <c r="K113" s="37"/>
      <c r="L113" s="37"/>
      <c r="M113" s="37"/>
      <c r="N113" s="37"/>
      <c r="O113" s="37"/>
      <c r="P113" s="37"/>
      <c r="Q113" s="37"/>
      <c r="R113" s="37"/>
      <c r="S113" s="37"/>
      <c r="T113" s="37"/>
      <c r="U113" s="3"/>
      <c r="W113" s="3"/>
      <c r="X113" s="3"/>
      <c r="Y113" s="3"/>
      <c r="Z113" s="3"/>
    </row>
    <row r="114" spans="1:26" ht="14.4" hidden="1" outlineLevel="1" x14ac:dyDescent="0.3">
      <c r="A114" s="3"/>
      <c r="B114" s="125" t="s">
        <v>815</v>
      </c>
      <c r="C114" s="62"/>
      <c r="D114" s="62"/>
      <c r="E114" s="12">
        <v>0</v>
      </c>
      <c r="F114" s="12">
        <v>0</v>
      </c>
      <c r="G114" s="89"/>
      <c r="H114" s="65"/>
      <c r="I114" s="112"/>
      <c r="J114" s="65"/>
      <c r="K114" s="37"/>
      <c r="L114" s="37"/>
      <c r="M114" s="37"/>
      <c r="N114" s="37"/>
      <c r="O114" s="37"/>
      <c r="P114" s="37"/>
      <c r="Q114" s="37"/>
      <c r="R114" s="37"/>
      <c r="S114" s="37"/>
      <c r="T114" s="37"/>
      <c r="U114" s="3"/>
      <c r="W114" s="3"/>
      <c r="X114" s="3"/>
      <c r="Y114" s="3"/>
      <c r="Z114" s="3"/>
    </row>
    <row r="115" spans="1:26" hidden="1" outlineLevel="1" x14ac:dyDescent="0.3">
      <c r="A115" s="3"/>
      <c r="B115" s="91" t="s">
        <v>356</v>
      </c>
      <c r="C115" s="92"/>
      <c r="D115" s="92"/>
      <c r="E115" s="93">
        <f>SUM(E116:E118)</f>
        <v>0</v>
      </c>
      <c r="F115" s="93">
        <f>SUMIF(D116:D118,"OK",F116:F118)</f>
        <v>0</v>
      </c>
      <c r="G115" s="94"/>
      <c r="H115" s="94"/>
      <c r="I115" s="95"/>
      <c r="J115" s="94"/>
      <c r="K115" s="37"/>
      <c r="L115" s="37"/>
      <c r="M115" s="37"/>
      <c r="N115" s="37"/>
      <c r="O115" s="37"/>
      <c r="P115" s="37"/>
      <c r="Q115" s="37"/>
      <c r="R115" s="37"/>
      <c r="S115" s="37"/>
      <c r="T115" s="37"/>
      <c r="U115" s="3"/>
      <c r="W115" s="3"/>
      <c r="X115" s="3"/>
      <c r="Y115" s="3"/>
      <c r="Z115" s="3"/>
    </row>
    <row r="116" spans="1:26" ht="14.4" hidden="1" outlineLevel="1" x14ac:dyDescent="0.3">
      <c r="A116" s="3"/>
      <c r="B116" s="10" t="s">
        <v>353</v>
      </c>
      <c r="C116" s="62"/>
      <c r="D116" s="62"/>
      <c r="E116" s="12">
        <v>0</v>
      </c>
      <c r="F116" s="12">
        <v>0</v>
      </c>
      <c r="G116" s="65"/>
      <c r="H116" s="65"/>
      <c r="I116" s="89"/>
      <c r="J116" s="65"/>
      <c r="K116" s="37"/>
      <c r="L116" s="37"/>
      <c r="M116" s="37"/>
      <c r="N116" s="37"/>
      <c r="O116" s="37"/>
      <c r="P116" s="37"/>
      <c r="Q116" s="37"/>
      <c r="R116" s="37"/>
      <c r="S116" s="37"/>
      <c r="T116" s="37"/>
      <c r="U116" s="3"/>
      <c r="W116" s="3"/>
      <c r="X116" s="3"/>
      <c r="Y116" s="3"/>
      <c r="Z116" s="3"/>
    </row>
    <row r="117" spans="1:26" ht="14.4" hidden="1" outlineLevel="1" x14ac:dyDescent="0.3">
      <c r="A117" s="3"/>
      <c r="B117" s="10" t="s">
        <v>354</v>
      </c>
      <c r="C117" s="62"/>
      <c r="D117" s="62"/>
      <c r="E117" s="12">
        <v>0</v>
      </c>
      <c r="F117" s="12">
        <v>0</v>
      </c>
      <c r="G117" s="65"/>
      <c r="H117" s="65"/>
      <c r="I117" s="89"/>
      <c r="J117" s="65"/>
      <c r="K117" s="37"/>
      <c r="L117" s="37"/>
      <c r="M117" s="37"/>
      <c r="N117" s="37"/>
      <c r="O117" s="37"/>
      <c r="P117" s="37"/>
      <c r="Q117" s="37"/>
      <c r="R117" s="37"/>
      <c r="S117" s="37"/>
      <c r="T117" s="37"/>
      <c r="U117" s="3"/>
      <c r="W117" s="3"/>
      <c r="X117" s="3"/>
      <c r="Y117" s="3"/>
      <c r="Z117" s="3"/>
    </row>
    <row r="118" spans="1:26" ht="14.4" hidden="1" outlineLevel="1" x14ac:dyDescent="0.3">
      <c r="A118" s="3"/>
      <c r="B118" s="10" t="s">
        <v>355</v>
      </c>
      <c r="C118" s="62"/>
      <c r="D118" s="62"/>
      <c r="E118" s="12">
        <v>0</v>
      </c>
      <c r="F118" s="12">
        <v>0</v>
      </c>
      <c r="G118" s="65"/>
      <c r="H118" s="65"/>
      <c r="I118" s="89"/>
      <c r="J118" s="65"/>
      <c r="K118" s="37"/>
      <c r="L118" s="37"/>
      <c r="M118" s="37"/>
      <c r="N118" s="37"/>
      <c r="O118" s="37"/>
      <c r="P118" s="37"/>
      <c r="Q118" s="37"/>
      <c r="R118" s="37"/>
      <c r="S118" s="37"/>
      <c r="T118" s="37"/>
      <c r="U118" s="3"/>
      <c r="W118" s="3"/>
      <c r="X118" s="3"/>
      <c r="Y118" s="3"/>
      <c r="Z118" s="3"/>
    </row>
    <row r="119" spans="1:26" ht="20.399999999999999" collapsed="1" x14ac:dyDescent="0.3">
      <c r="A119" s="3"/>
      <c r="B119" s="84" t="s">
        <v>357</v>
      </c>
      <c r="C119" s="85" t="s">
        <v>43</v>
      </c>
      <c r="D119" s="85" t="s">
        <v>43</v>
      </c>
      <c r="E119" s="86">
        <f t="shared" ref="E119:F119" si="1">SUM(E120,E126)</f>
        <v>0</v>
      </c>
      <c r="F119" s="86">
        <f t="shared" si="1"/>
        <v>1795.81</v>
      </c>
      <c r="G119" s="87"/>
      <c r="H119" s="87"/>
      <c r="I119" s="88"/>
      <c r="J119" s="87"/>
      <c r="K119" s="37"/>
      <c r="L119" s="37"/>
      <c r="M119" s="37"/>
      <c r="N119" s="37"/>
      <c r="O119" s="37"/>
      <c r="P119" s="37"/>
      <c r="Q119" s="37"/>
      <c r="R119" s="37"/>
      <c r="S119" s="37"/>
      <c r="T119" s="37"/>
      <c r="U119" s="3"/>
      <c r="W119" s="3"/>
      <c r="X119" s="3"/>
      <c r="Y119" s="3"/>
      <c r="Z119" s="3"/>
    </row>
    <row r="120" spans="1:26" hidden="1" outlineLevel="1" x14ac:dyDescent="0.3">
      <c r="A120" s="3"/>
      <c r="B120" s="91" t="s">
        <v>358</v>
      </c>
      <c r="C120" s="92"/>
      <c r="D120" s="92"/>
      <c r="E120" s="93">
        <f>SUM(E121:E125)</f>
        <v>0</v>
      </c>
      <c r="F120" s="93">
        <f>SUMIF(D121:D125,"OK",F121:F125)</f>
        <v>0</v>
      </c>
      <c r="G120" s="94"/>
      <c r="H120" s="94"/>
      <c r="I120" s="95"/>
      <c r="J120" s="94"/>
      <c r="K120" s="37"/>
      <c r="L120" s="37"/>
      <c r="M120" s="37"/>
      <c r="N120" s="37"/>
      <c r="O120" s="37"/>
      <c r="P120" s="37"/>
      <c r="Q120" s="37"/>
      <c r="R120" s="37"/>
      <c r="S120" s="37"/>
      <c r="T120" s="37"/>
      <c r="U120" s="3"/>
      <c r="W120" s="3"/>
      <c r="X120" s="3"/>
      <c r="Y120" s="3"/>
      <c r="Z120" s="3"/>
    </row>
    <row r="121" spans="1:26" ht="14.4" hidden="1" outlineLevel="1" x14ac:dyDescent="0.3">
      <c r="A121" s="3"/>
      <c r="B121" s="10" t="s">
        <v>337</v>
      </c>
      <c r="C121" s="62"/>
      <c r="D121" s="62"/>
      <c r="E121" s="12">
        <v>0</v>
      </c>
      <c r="F121" s="12">
        <v>0</v>
      </c>
      <c r="G121" s="65"/>
      <c r="H121" s="65"/>
      <c r="I121" s="89"/>
      <c r="J121" s="65"/>
      <c r="K121" s="37"/>
      <c r="L121" s="37"/>
      <c r="M121" s="37"/>
      <c r="N121" s="37"/>
      <c r="O121" s="37"/>
      <c r="P121" s="37"/>
      <c r="Q121" s="37"/>
      <c r="R121" s="37"/>
      <c r="S121" s="37"/>
      <c r="T121" s="37"/>
      <c r="U121" s="3"/>
      <c r="W121" s="3"/>
      <c r="X121" s="3"/>
      <c r="Y121" s="3"/>
      <c r="Z121" s="3"/>
    </row>
    <row r="122" spans="1:26" ht="14.4" hidden="1" outlineLevel="1" x14ac:dyDescent="0.3">
      <c r="A122" s="3"/>
      <c r="B122" s="10" t="s">
        <v>359</v>
      </c>
      <c r="C122" s="62"/>
      <c r="D122" s="62"/>
      <c r="E122" s="12">
        <v>0</v>
      </c>
      <c r="F122" s="12">
        <v>0</v>
      </c>
      <c r="G122" s="65"/>
      <c r="H122" s="65"/>
      <c r="I122" s="89"/>
      <c r="J122" s="65"/>
      <c r="K122" s="37"/>
      <c r="L122" s="37"/>
      <c r="M122" s="37"/>
      <c r="N122" s="37"/>
      <c r="O122" s="37"/>
      <c r="P122" s="37"/>
      <c r="Q122" s="37"/>
      <c r="R122" s="37"/>
      <c r="S122" s="37"/>
      <c r="T122" s="37"/>
      <c r="U122" s="3"/>
      <c r="W122" s="3"/>
      <c r="X122" s="3"/>
      <c r="Y122" s="3"/>
      <c r="Z122" s="3"/>
    </row>
    <row r="123" spans="1:26" ht="14.4" hidden="1" outlineLevel="1" x14ac:dyDescent="0.3">
      <c r="A123" s="3"/>
      <c r="B123" s="10" t="s">
        <v>353</v>
      </c>
      <c r="C123" s="62"/>
      <c r="D123" s="62"/>
      <c r="E123" s="12">
        <v>0</v>
      </c>
      <c r="F123" s="12">
        <v>0</v>
      </c>
      <c r="G123" s="65"/>
      <c r="H123" s="65"/>
      <c r="I123" s="89"/>
      <c r="J123" s="65"/>
      <c r="K123" s="37"/>
      <c r="L123" s="37"/>
      <c r="M123" s="37"/>
      <c r="N123" s="37"/>
      <c r="O123" s="37"/>
      <c r="P123" s="37"/>
      <c r="Q123" s="37"/>
      <c r="R123" s="37"/>
      <c r="S123" s="37"/>
      <c r="T123" s="37"/>
      <c r="U123" s="3"/>
      <c r="W123" s="3"/>
      <c r="X123" s="3"/>
      <c r="Y123" s="3"/>
      <c r="Z123" s="3"/>
    </row>
    <row r="124" spans="1:26" ht="14.4" hidden="1" outlineLevel="1" x14ac:dyDescent="0.3">
      <c r="A124" s="3"/>
      <c r="B124" s="10" t="s">
        <v>354</v>
      </c>
      <c r="C124" s="62"/>
      <c r="D124" s="62"/>
      <c r="E124" s="12">
        <v>0</v>
      </c>
      <c r="F124" s="12">
        <v>0</v>
      </c>
      <c r="G124" s="65"/>
      <c r="H124" s="65"/>
      <c r="I124" s="89"/>
      <c r="J124" s="65"/>
      <c r="K124" s="37"/>
      <c r="L124" s="37"/>
      <c r="M124" s="37"/>
      <c r="N124" s="37"/>
      <c r="O124" s="37"/>
      <c r="P124" s="37"/>
      <c r="Q124" s="37"/>
      <c r="R124" s="37"/>
      <c r="S124" s="37"/>
      <c r="T124" s="37"/>
      <c r="U124" s="3"/>
      <c r="W124" s="3"/>
      <c r="X124" s="3"/>
      <c r="Y124" s="3"/>
      <c r="Z124" s="3"/>
    </row>
    <row r="125" spans="1:26" ht="14.4" hidden="1" outlineLevel="1" x14ac:dyDescent="0.3">
      <c r="A125" s="3"/>
      <c r="B125" s="10" t="s">
        <v>355</v>
      </c>
      <c r="C125" s="62"/>
      <c r="D125" s="62"/>
      <c r="E125" s="12">
        <v>0</v>
      </c>
      <c r="F125" s="12">
        <v>0</v>
      </c>
      <c r="G125" s="65"/>
      <c r="H125" s="65"/>
      <c r="I125" s="89"/>
      <c r="J125" s="65"/>
      <c r="K125" s="37"/>
      <c r="L125" s="37"/>
      <c r="M125" s="37"/>
      <c r="N125" s="37"/>
      <c r="O125" s="37"/>
      <c r="P125" s="37"/>
      <c r="Q125" s="37"/>
      <c r="R125" s="37"/>
      <c r="S125" s="37"/>
      <c r="T125" s="37"/>
      <c r="U125" s="3"/>
      <c r="W125" s="3"/>
      <c r="X125" s="3"/>
      <c r="Y125" s="3"/>
      <c r="Z125" s="3"/>
    </row>
    <row r="126" spans="1:26" hidden="1" outlineLevel="1" x14ac:dyDescent="0.3">
      <c r="A126" s="3"/>
      <c r="B126" s="91" t="s">
        <v>816</v>
      </c>
      <c r="C126" s="92"/>
      <c r="D126" s="92"/>
      <c r="E126" s="93">
        <f>SUM(E127:E136)</f>
        <v>0</v>
      </c>
      <c r="F126" s="93">
        <f>SUMIF(D127:D136,"OK",F127:F136)</f>
        <v>1795.81</v>
      </c>
      <c r="G126" s="94"/>
      <c r="H126" s="94"/>
      <c r="I126" s="95"/>
      <c r="J126" s="94"/>
      <c r="K126" s="37"/>
      <c r="L126" s="37"/>
      <c r="M126" s="37"/>
      <c r="N126" s="37"/>
      <c r="O126" s="37"/>
      <c r="P126" s="37"/>
      <c r="Q126" s="37"/>
      <c r="R126" s="37"/>
      <c r="S126" s="37"/>
      <c r="T126" s="37"/>
      <c r="U126" s="3"/>
      <c r="W126" s="3"/>
      <c r="X126" s="3"/>
      <c r="Y126" s="3"/>
      <c r="Z126" s="3"/>
    </row>
    <row r="127" spans="1:26" ht="14.4" hidden="1" outlineLevel="1" x14ac:dyDescent="0.3">
      <c r="A127" s="3"/>
      <c r="B127" s="10" t="s">
        <v>817</v>
      </c>
      <c r="C127" s="62"/>
      <c r="D127" s="62"/>
      <c r="E127" s="12">
        <v>0</v>
      </c>
      <c r="F127" s="12">
        <v>0</v>
      </c>
      <c r="G127" s="89"/>
      <c r="H127" s="65"/>
      <c r="I127" s="112"/>
      <c r="J127" s="65"/>
      <c r="K127" s="37"/>
      <c r="L127" s="37"/>
      <c r="M127" s="37"/>
      <c r="N127" s="37"/>
      <c r="O127" s="37"/>
      <c r="P127" s="37"/>
      <c r="Q127" s="37"/>
      <c r="R127" s="37"/>
      <c r="S127" s="37"/>
      <c r="T127" s="37"/>
      <c r="U127" s="3"/>
      <c r="W127" s="3"/>
      <c r="X127" s="3"/>
      <c r="Y127" s="3"/>
      <c r="Z127" s="3"/>
    </row>
    <row r="128" spans="1:26" ht="14.4" hidden="1" outlineLevel="1" x14ac:dyDescent="0.3">
      <c r="A128" s="3"/>
      <c r="B128" s="10" t="s">
        <v>818</v>
      </c>
      <c r="C128" s="62">
        <v>8</v>
      </c>
      <c r="D128" s="62" t="s">
        <v>94</v>
      </c>
      <c r="E128" s="12">
        <v>0</v>
      </c>
      <c r="F128" s="12">
        <v>434.68</v>
      </c>
      <c r="G128" s="89" t="s">
        <v>819</v>
      </c>
      <c r="H128" s="65" t="s">
        <v>37</v>
      </c>
      <c r="I128" s="112" t="s">
        <v>820</v>
      </c>
      <c r="J128" s="65"/>
      <c r="K128" s="37"/>
      <c r="L128" s="37"/>
      <c r="M128" s="37"/>
      <c r="N128" s="37"/>
      <c r="O128" s="37"/>
      <c r="P128" s="37"/>
      <c r="Q128" s="37"/>
      <c r="R128" s="37"/>
      <c r="S128" s="37"/>
      <c r="T128" s="37"/>
      <c r="U128" s="3"/>
      <c r="W128" s="3"/>
      <c r="X128" s="3"/>
      <c r="Y128" s="3"/>
      <c r="Z128" s="3"/>
    </row>
    <row r="129" spans="1:26" ht="14.4" hidden="1" outlineLevel="1" x14ac:dyDescent="0.3">
      <c r="A129" s="3"/>
      <c r="B129" s="10" t="s">
        <v>821</v>
      </c>
      <c r="C129" s="62">
        <v>8</v>
      </c>
      <c r="D129" s="62" t="s">
        <v>94</v>
      </c>
      <c r="E129" s="12">
        <v>0</v>
      </c>
      <c r="F129" s="12">
        <v>390</v>
      </c>
      <c r="G129" s="65" t="s">
        <v>822</v>
      </c>
      <c r="H129" s="65" t="s">
        <v>37</v>
      </c>
      <c r="I129" s="112" t="s">
        <v>823</v>
      </c>
      <c r="J129" s="65"/>
      <c r="K129" s="37"/>
      <c r="L129" s="37"/>
      <c r="M129" s="37"/>
      <c r="N129" s="37"/>
      <c r="O129" s="37"/>
      <c r="P129" s="37"/>
      <c r="Q129" s="37"/>
      <c r="R129" s="37"/>
      <c r="S129" s="37"/>
      <c r="T129" s="37"/>
      <c r="U129" s="3"/>
      <c r="W129" s="3"/>
      <c r="X129" s="3"/>
      <c r="Y129" s="3"/>
      <c r="Z129" s="3"/>
    </row>
    <row r="130" spans="1:26" ht="24" hidden="1" outlineLevel="1" x14ac:dyDescent="0.3">
      <c r="A130" s="3"/>
      <c r="B130" s="10" t="s">
        <v>824</v>
      </c>
      <c r="C130" s="62">
        <v>8</v>
      </c>
      <c r="D130" s="62" t="s">
        <v>94</v>
      </c>
      <c r="E130" s="12">
        <v>0</v>
      </c>
      <c r="F130" s="12">
        <v>45.51</v>
      </c>
      <c r="G130" s="89" t="s">
        <v>825</v>
      </c>
      <c r="H130" s="65" t="s">
        <v>37</v>
      </c>
      <c r="I130" s="112" t="s">
        <v>826</v>
      </c>
      <c r="J130" s="65"/>
      <c r="K130" s="37"/>
      <c r="L130" s="37"/>
      <c r="M130" s="37"/>
      <c r="N130" s="37"/>
      <c r="O130" s="37"/>
      <c r="P130" s="37"/>
      <c r="Q130" s="37"/>
      <c r="R130" s="37"/>
      <c r="S130" s="37"/>
      <c r="T130" s="37"/>
      <c r="U130" s="3"/>
      <c r="W130" s="3"/>
      <c r="X130" s="3"/>
      <c r="Y130" s="3"/>
      <c r="Z130" s="3"/>
    </row>
    <row r="131" spans="1:26" ht="14.4" hidden="1" outlineLevel="1" x14ac:dyDescent="0.3">
      <c r="A131" s="3"/>
      <c r="B131" s="10" t="s">
        <v>827</v>
      </c>
      <c r="C131" s="62">
        <v>9</v>
      </c>
      <c r="D131" s="62" t="s">
        <v>94</v>
      </c>
      <c r="E131" s="12">
        <v>0</v>
      </c>
      <c r="F131" s="12">
        <v>265.02999999999997</v>
      </c>
      <c r="G131" s="65" t="s">
        <v>828</v>
      </c>
      <c r="H131" s="65" t="s">
        <v>37</v>
      </c>
      <c r="I131" s="112" t="s">
        <v>829</v>
      </c>
      <c r="J131" s="65"/>
      <c r="K131" s="37"/>
      <c r="L131" s="37"/>
      <c r="M131" s="37"/>
      <c r="N131" s="37"/>
      <c r="O131" s="37"/>
      <c r="P131" s="37"/>
      <c r="Q131" s="37"/>
      <c r="R131" s="37"/>
      <c r="S131" s="37"/>
      <c r="T131" s="37"/>
      <c r="U131" s="3"/>
      <c r="W131" s="3"/>
      <c r="X131" s="3"/>
      <c r="Y131" s="3"/>
      <c r="Z131" s="3"/>
    </row>
    <row r="132" spans="1:26" ht="14.4" hidden="1" outlineLevel="1" x14ac:dyDescent="0.3">
      <c r="A132" s="3"/>
      <c r="B132" s="10" t="s">
        <v>827</v>
      </c>
      <c r="C132" s="62">
        <v>9</v>
      </c>
      <c r="D132" s="62" t="s">
        <v>94</v>
      </c>
      <c r="E132" s="12">
        <v>0</v>
      </c>
      <c r="F132" s="12">
        <v>60.08</v>
      </c>
      <c r="G132" s="65" t="s">
        <v>828</v>
      </c>
      <c r="H132" s="65" t="s">
        <v>37</v>
      </c>
      <c r="I132" s="112" t="s">
        <v>830</v>
      </c>
      <c r="J132" s="65"/>
      <c r="K132" s="37"/>
      <c r="L132" s="37"/>
      <c r="M132" s="37"/>
      <c r="N132" s="37"/>
      <c r="O132" s="37"/>
      <c r="P132" s="37"/>
      <c r="Q132" s="37"/>
      <c r="R132" s="37"/>
      <c r="S132" s="37"/>
      <c r="T132" s="37"/>
      <c r="U132" s="3"/>
      <c r="W132" s="3"/>
      <c r="X132" s="3"/>
      <c r="Y132" s="3"/>
      <c r="Z132" s="3"/>
    </row>
    <row r="133" spans="1:26" ht="14.4" hidden="1" outlineLevel="1" x14ac:dyDescent="0.3">
      <c r="A133" s="3"/>
      <c r="B133" s="10" t="s">
        <v>831</v>
      </c>
      <c r="C133" s="62">
        <v>10</v>
      </c>
      <c r="D133" s="62" t="s">
        <v>94</v>
      </c>
      <c r="E133" s="12">
        <v>0</v>
      </c>
      <c r="F133" s="12">
        <v>150</v>
      </c>
      <c r="G133" s="65" t="s">
        <v>832</v>
      </c>
      <c r="H133" s="65" t="s">
        <v>37</v>
      </c>
      <c r="I133" s="112" t="s">
        <v>833</v>
      </c>
      <c r="J133" s="65"/>
      <c r="K133" s="37"/>
      <c r="L133" s="37"/>
      <c r="M133" s="37"/>
      <c r="N133" s="37"/>
      <c r="O133" s="37"/>
      <c r="P133" s="37"/>
      <c r="Q133" s="37"/>
      <c r="R133" s="37"/>
      <c r="S133" s="37"/>
      <c r="T133" s="37"/>
      <c r="U133" s="3"/>
      <c r="W133" s="3"/>
      <c r="X133" s="3"/>
      <c r="Y133" s="3"/>
      <c r="Z133" s="3"/>
    </row>
    <row r="134" spans="1:26" ht="14.4" hidden="1" outlineLevel="1" x14ac:dyDescent="0.3">
      <c r="A134" s="3"/>
      <c r="B134" s="10" t="s">
        <v>366</v>
      </c>
      <c r="C134" s="62">
        <v>10</v>
      </c>
      <c r="D134" s="62" t="s">
        <v>94</v>
      </c>
      <c r="E134" s="12">
        <v>0</v>
      </c>
      <c r="F134" s="12">
        <v>265</v>
      </c>
      <c r="G134" s="65" t="s">
        <v>828</v>
      </c>
      <c r="H134" s="65" t="s">
        <v>37</v>
      </c>
      <c r="I134" s="112" t="s">
        <v>834</v>
      </c>
      <c r="J134" s="65"/>
      <c r="K134" s="37"/>
      <c r="L134" s="37"/>
      <c r="M134" s="37"/>
      <c r="N134" s="37"/>
      <c r="O134" s="37"/>
      <c r="P134" s="37"/>
      <c r="Q134" s="37"/>
      <c r="R134" s="37"/>
      <c r="S134" s="37"/>
      <c r="T134" s="37"/>
      <c r="U134" s="3"/>
      <c r="W134" s="3"/>
      <c r="X134" s="3"/>
      <c r="Y134" s="3"/>
      <c r="Z134" s="3"/>
    </row>
    <row r="135" spans="1:26" ht="14.4" hidden="1" outlineLevel="1" x14ac:dyDescent="0.3">
      <c r="A135" s="3"/>
      <c r="B135" s="10" t="s">
        <v>835</v>
      </c>
      <c r="C135" s="62">
        <v>11</v>
      </c>
      <c r="D135" s="62" t="s">
        <v>94</v>
      </c>
      <c r="E135" s="12">
        <v>0</v>
      </c>
      <c r="F135" s="12">
        <v>70.510000000000005</v>
      </c>
      <c r="G135" s="65" t="s">
        <v>832</v>
      </c>
      <c r="H135" s="65" t="s">
        <v>37</v>
      </c>
      <c r="I135" s="112" t="s">
        <v>836</v>
      </c>
      <c r="J135" s="65"/>
      <c r="K135" s="37"/>
      <c r="L135" s="37"/>
      <c r="M135" s="37"/>
      <c r="N135" s="37"/>
      <c r="O135" s="37"/>
      <c r="P135" s="37"/>
      <c r="Q135" s="37"/>
      <c r="R135" s="37"/>
      <c r="S135" s="37"/>
      <c r="T135" s="37"/>
      <c r="U135" s="3"/>
      <c r="W135" s="3"/>
      <c r="X135" s="3"/>
      <c r="Y135" s="3"/>
      <c r="Z135" s="3"/>
    </row>
    <row r="136" spans="1:26" ht="14.4" hidden="1" outlineLevel="1" x14ac:dyDescent="0.3">
      <c r="A136" s="3"/>
      <c r="B136" s="10" t="s">
        <v>837</v>
      </c>
      <c r="C136" s="62">
        <v>12</v>
      </c>
      <c r="D136" s="62" t="s">
        <v>94</v>
      </c>
      <c r="E136" s="12">
        <v>0</v>
      </c>
      <c r="F136" s="12">
        <v>115</v>
      </c>
      <c r="G136" s="65" t="s">
        <v>838</v>
      </c>
      <c r="H136" s="65" t="s">
        <v>37</v>
      </c>
      <c r="I136" s="112" t="s">
        <v>780</v>
      </c>
      <c r="J136" s="65"/>
      <c r="K136" s="37"/>
      <c r="L136" s="37"/>
      <c r="M136" s="37"/>
      <c r="N136" s="37"/>
      <c r="O136" s="37"/>
      <c r="P136" s="37"/>
      <c r="Q136" s="37"/>
      <c r="R136" s="37"/>
      <c r="S136" s="37"/>
      <c r="T136" s="37"/>
      <c r="U136" s="3"/>
      <c r="W136" s="3"/>
      <c r="X136" s="3"/>
      <c r="Y136" s="3"/>
      <c r="Z136" s="3"/>
    </row>
    <row r="137" spans="1:26" ht="20.399999999999999" collapsed="1" x14ac:dyDescent="0.3">
      <c r="A137" s="3"/>
      <c r="B137" s="84" t="s">
        <v>87</v>
      </c>
      <c r="C137" s="85" t="s">
        <v>43</v>
      </c>
      <c r="D137" s="85" t="s">
        <v>43</v>
      </c>
      <c r="E137" s="86">
        <f>SUM(E138:E146)</f>
        <v>0</v>
      </c>
      <c r="F137" s="86">
        <f>SUMIF(D138:D146,"OK",F138:F146)</f>
        <v>513.21</v>
      </c>
      <c r="G137" s="87"/>
      <c r="H137" s="87"/>
      <c r="I137" s="88"/>
      <c r="J137" s="87"/>
      <c r="K137" s="37"/>
      <c r="L137" s="37"/>
      <c r="M137" s="37"/>
      <c r="N137" s="37"/>
      <c r="O137" s="37"/>
      <c r="P137" s="37"/>
      <c r="Q137" s="37"/>
      <c r="R137" s="37"/>
      <c r="S137" s="37"/>
      <c r="T137" s="37"/>
      <c r="U137" s="3"/>
      <c r="W137" s="3"/>
      <c r="X137" s="3"/>
      <c r="Y137" s="3"/>
      <c r="Z137" s="3"/>
    </row>
    <row r="138" spans="1:26" ht="14.4" hidden="1" outlineLevel="1" x14ac:dyDescent="0.3">
      <c r="A138" s="3"/>
      <c r="B138" s="10" t="s">
        <v>839</v>
      </c>
      <c r="C138" s="80">
        <v>14</v>
      </c>
      <c r="D138" s="62" t="s">
        <v>94</v>
      </c>
      <c r="E138" s="12">
        <v>0</v>
      </c>
      <c r="F138" s="12">
        <v>513.21</v>
      </c>
      <c r="G138" s="89" t="s">
        <v>840</v>
      </c>
      <c r="H138" s="65" t="s">
        <v>37</v>
      </c>
      <c r="I138" s="112" t="s">
        <v>841</v>
      </c>
      <c r="J138" s="89"/>
      <c r="K138" s="37"/>
      <c r="L138" s="37"/>
      <c r="M138" s="37"/>
      <c r="N138" s="37"/>
      <c r="O138" s="37"/>
      <c r="P138" s="37"/>
      <c r="Q138" s="37"/>
      <c r="R138" s="37"/>
      <c r="S138" s="37"/>
      <c r="T138" s="37"/>
      <c r="U138" s="3"/>
      <c r="W138" s="3"/>
      <c r="X138" s="3"/>
      <c r="Y138" s="3"/>
      <c r="Z138" s="3"/>
    </row>
    <row r="139" spans="1:26" ht="14.4" hidden="1" outlineLevel="1" x14ac:dyDescent="0.3">
      <c r="A139" s="3"/>
      <c r="B139" s="10" t="s">
        <v>354</v>
      </c>
      <c r="C139" s="62"/>
      <c r="D139" s="62"/>
      <c r="E139" s="12">
        <v>0</v>
      </c>
      <c r="F139" s="12">
        <v>0</v>
      </c>
      <c r="G139" s="89"/>
      <c r="H139" s="65"/>
      <c r="I139" s="112"/>
      <c r="J139" s="65"/>
      <c r="K139" s="37"/>
      <c r="L139" s="37"/>
      <c r="M139" s="37"/>
      <c r="N139" s="37"/>
      <c r="O139" s="37"/>
      <c r="P139" s="37"/>
      <c r="Q139" s="37"/>
      <c r="R139" s="37"/>
      <c r="S139" s="37"/>
      <c r="T139" s="37"/>
      <c r="U139" s="3"/>
      <c r="W139" s="3"/>
      <c r="X139" s="3"/>
      <c r="Y139" s="3"/>
      <c r="Z139" s="3"/>
    </row>
    <row r="140" spans="1:26" ht="14.4" hidden="1" outlineLevel="1" x14ac:dyDescent="0.3">
      <c r="A140" s="3"/>
      <c r="B140" s="10" t="s">
        <v>355</v>
      </c>
      <c r="C140" s="62"/>
      <c r="D140" s="62"/>
      <c r="E140" s="12">
        <v>0</v>
      </c>
      <c r="F140" s="12">
        <v>0</v>
      </c>
      <c r="G140" s="65"/>
      <c r="H140" s="65"/>
      <c r="I140" s="89"/>
      <c r="J140" s="65"/>
      <c r="K140" s="37"/>
      <c r="L140" s="37"/>
      <c r="M140" s="37"/>
      <c r="N140" s="37"/>
      <c r="O140" s="37"/>
      <c r="P140" s="37"/>
      <c r="Q140" s="37"/>
      <c r="R140" s="37"/>
      <c r="S140" s="37"/>
      <c r="T140" s="37"/>
      <c r="U140" s="3"/>
      <c r="W140" s="3"/>
      <c r="X140" s="3"/>
      <c r="Y140" s="3"/>
      <c r="Z140" s="3"/>
    </row>
    <row r="141" spans="1:26" ht="14.4" hidden="1" outlineLevel="1" x14ac:dyDescent="0.3">
      <c r="A141" s="3"/>
      <c r="B141" s="10" t="s">
        <v>369</v>
      </c>
      <c r="C141" s="62"/>
      <c r="D141" s="62"/>
      <c r="E141" s="12">
        <v>0</v>
      </c>
      <c r="F141" s="12">
        <v>0</v>
      </c>
      <c r="G141" s="65"/>
      <c r="H141" s="65"/>
      <c r="I141" s="89"/>
      <c r="J141" s="65"/>
      <c r="K141" s="37"/>
      <c r="L141" s="37"/>
      <c r="M141" s="37"/>
      <c r="N141" s="37"/>
      <c r="O141" s="37"/>
      <c r="P141" s="37"/>
      <c r="Q141" s="37"/>
      <c r="R141" s="37"/>
      <c r="S141" s="37"/>
      <c r="T141" s="37"/>
      <c r="U141" s="3"/>
      <c r="W141" s="3"/>
      <c r="X141" s="3"/>
      <c r="Y141" s="3"/>
      <c r="Z141" s="3"/>
    </row>
    <row r="142" spans="1:26" ht="14.4" hidden="1" outlineLevel="1" x14ac:dyDescent="0.3">
      <c r="A142" s="3"/>
      <c r="B142" s="10" t="s">
        <v>327</v>
      </c>
      <c r="C142" s="62"/>
      <c r="D142" s="62"/>
      <c r="E142" s="12">
        <v>0</v>
      </c>
      <c r="F142" s="12">
        <v>0</v>
      </c>
      <c r="G142" s="65"/>
      <c r="H142" s="65"/>
      <c r="I142" s="89"/>
      <c r="J142" s="65"/>
      <c r="K142" s="37"/>
      <c r="L142" s="37"/>
      <c r="M142" s="37"/>
      <c r="N142" s="37"/>
      <c r="O142" s="37"/>
      <c r="P142" s="37"/>
      <c r="Q142" s="37"/>
      <c r="R142" s="37"/>
      <c r="S142" s="37"/>
      <c r="T142" s="37"/>
      <c r="U142" s="3"/>
      <c r="W142" s="3"/>
      <c r="X142" s="3"/>
      <c r="Y142" s="3"/>
      <c r="Z142" s="3"/>
    </row>
    <row r="143" spans="1:26" ht="14.4" hidden="1" outlineLevel="1" x14ac:dyDescent="0.3">
      <c r="A143" s="3"/>
      <c r="B143" s="10" t="s">
        <v>328</v>
      </c>
      <c r="C143" s="62"/>
      <c r="D143" s="62"/>
      <c r="E143" s="12">
        <v>0</v>
      </c>
      <c r="F143" s="12">
        <v>0</v>
      </c>
      <c r="G143" s="65"/>
      <c r="H143" s="65"/>
      <c r="I143" s="89"/>
      <c r="J143" s="65"/>
      <c r="K143" s="37"/>
      <c r="L143" s="37"/>
      <c r="M143" s="37"/>
      <c r="N143" s="37"/>
      <c r="O143" s="37"/>
      <c r="P143" s="37"/>
      <c r="Q143" s="37"/>
      <c r="R143" s="37"/>
      <c r="S143" s="37"/>
      <c r="T143" s="37"/>
      <c r="U143" s="3"/>
      <c r="W143" s="3"/>
      <c r="X143" s="3"/>
      <c r="Y143" s="3"/>
      <c r="Z143" s="3"/>
    </row>
    <row r="144" spans="1:26" ht="14.4" hidden="1" outlineLevel="1" x14ac:dyDescent="0.3">
      <c r="A144" s="3"/>
      <c r="B144" s="10" t="s">
        <v>370</v>
      </c>
      <c r="C144" s="62"/>
      <c r="D144" s="62"/>
      <c r="E144" s="12">
        <v>0</v>
      </c>
      <c r="F144" s="12">
        <v>0</v>
      </c>
      <c r="G144" s="65"/>
      <c r="H144" s="65"/>
      <c r="I144" s="89"/>
      <c r="J144" s="65"/>
      <c r="K144" s="37"/>
      <c r="L144" s="37"/>
      <c r="M144" s="37"/>
      <c r="N144" s="37"/>
      <c r="O144" s="37"/>
      <c r="P144" s="37"/>
      <c r="Q144" s="37"/>
      <c r="R144" s="37"/>
      <c r="S144" s="37"/>
      <c r="T144" s="37"/>
      <c r="U144" s="3"/>
      <c r="W144" s="3"/>
      <c r="X144" s="3"/>
      <c r="Y144" s="3"/>
      <c r="Z144" s="3"/>
    </row>
    <row r="145" spans="1:26" ht="14.4" hidden="1" outlineLevel="1" x14ac:dyDescent="0.3">
      <c r="A145" s="3"/>
      <c r="B145" s="10" t="s">
        <v>371</v>
      </c>
      <c r="C145" s="62"/>
      <c r="D145" s="62"/>
      <c r="E145" s="12">
        <v>0</v>
      </c>
      <c r="F145" s="12">
        <v>0</v>
      </c>
      <c r="G145" s="65"/>
      <c r="H145" s="65"/>
      <c r="I145" s="89"/>
      <c r="J145" s="65"/>
      <c r="K145" s="37"/>
      <c r="L145" s="37"/>
      <c r="M145" s="37"/>
      <c r="N145" s="37"/>
      <c r="O145" s="37"/>
      <c r="P145" s="37"/>
      <c r="Q145" s="37"/>
      <c r="R145" s="37"/>
      <c r="S145" s="37"/>
      <c r="T145" s="37"/>
      <c r="U145" s="3"/>
      <c r="W145" s="3"/>
      <c r="X145" s="3"/>
      <c r="Y145" s="3"/>
      <c r="Z145" s="3"/>
    </row>
    <row r="146" spans="1:26" ht="14.4" hidden="1" outlineLevel="1" x14ac:dyDescent="0.3">
      <c r="A146" s="3"/>
      <c r="B146" s="10" t="s">
        <v>372</v>
      </c>
      <c r="C146" s="62"/>
      <c r="D146" s="62"/>
      <c r="E146" s="12">
        <v>0</v>
      </c>
      <c r="F146" s="12">
        <v>0</v>
      </c>
      <c r="G146" s="65"/>
      <c r="H146" s="65"/>
      <c r="I146" s="89"/>
      <c r="J146" s="65"/>
      <c r="K146" s="37"/>
      <c r="L146" s="37"/>
      <c r="M146" s="37"/>
      <c r="N146" s="37"/>
      <c r="O146" s="37"/>
      <c r="P146" s="37"/>
      <c r="Q146" s="37"/>
      <c r="R146" s="37"/>
      <c r="S146" s="37"/>
      <c r="T146" s="37"/>
      <c r="U146" s="3"/>
      <c r="W146" s="3"/>
      <c r="X146" s="3"/>
      <c r="Y146" s="3"/>
      <c r="Z146" s="3"/>
    </row>
    <row r="147" spans="1:26" ht="20.399999999999999" collapsed="1" x14ac:dyDescent="0.3">
      <c r="A147" s="3"/>
      <c r="B147" s="84" t="s">
        <v>88</v>
      </c>
      <c r="C147" s="85" t="s">
        <v>43</v>
      </c>
      <c r="D147" s="85" t="s">
        <v>43</v>
      </c>
      <c r="E147" s="86">
        <f t="shared" ref="E147:F147" si="2">SUM(E148,E156,E162,E168)</f>
        <v>0</v>
      </c>
      <c r="F147" s="86">
        <f t="shared" si="2"/>
        <v>5921.8499999999995</v>
      </c>
      <c r="G147" s="87"/>
      <c r="H147" s="87"/>
      <c r="I147" s="88"/>
      <c r="J147" s="87"/>
      <c r="K147" s="37"/>
      <c r="L147" s="37"/>
      <c r="M147" s="37"/>
      <c r="N147" s="37"/>
      <c r="O147" s="37"/>
      <c r="P147" s="37"/>
      <c r="Q147" s="37"/>
      <c r="R147" s="37"/>
      <c r="S147" s="37"/>
      <c r="T147" s="37"/>
      <c r="U147" s="3"/>
      <c r="W147" s="3"/>
      <c r="X147" s="3"/>
      <c r="Y147" s="3"/>
      <c r="Z147" s="3"/>
    </row>
    <row r="148" spans="1:26" hidden="1" outlineLevel="1" x14ac:dyDescent="0.3">
      <c r="A148" s="3"/>
      <c r="B148" s="91" t="s">
        <v>380</v>
      </c>
      <c r="C148" s="92"/>
      <c r="D148" s="92"/>
      <c r="E148" s="93">
        <f>SUM(E149:E154)</f>
        <v>0</v>
      </c>
      <c r="F148" s="93">
        <f>SUMIF(D149:D155,"OK",F149:F155)</f>
        <v>5921.8499999999995</v>
      </c>
      <c r="G148" s="94"/>
      <c r="H148" s="94"/>
      <c r="I148" s="95"/>
      <c r="J148" s="94"/>
      <c r="K148" s="37"/>
      <c r="L148" s="37"/>
      <c r="M148" s="37"/>
      <c r="N148" s="37"/>
      <c r="O148" s="37"/>
      <c r="P148" s="37"/>
      <c r="Q148" s="37"/>
      <c r="R148" s="37"/>
      <c r="S148" s="37"/>
      <c r="T148" s="37"/>
      <c r="U148" s="3"/>
      <c r="W148" s="3"/>
      <c r="X148" s="3"/>
      <c r="Y148" s="3"/>
      <c r="Z148" s="3"/>
    </row>
    <row r="149" spans="1:26" ht="14.4" hidden="1" outlineLevel="1" x14ac:dyDescent="0.3">
      <c r="A149" s="3"/>
      <c r="B149" s="10" t="s">
        <v>842</v>
      </c>
      <c r="C149" s="62">
        <v>1</v>
      </c>
      <c r="D149" s="62" t="s">
        <v>94</v>
      </c>
      <c r="E149" s="12">
        <v>0</v>
      </c>
      <c r="F149" s="12">
        <v>45</v>
      </c>
      <c r="G149" s="65"/>
      <c r="H149" s="65" t="s">
        <v>37</v>
      </c>
      <c r="I149" s="112" t="s">
        <v>843</v>
      </c>
      <c r="J149" s="65"/>
      <c r="K149" s="37"/>
      <c r="L149" s="37"/>
      <c r="M149" s="37"/>
      <c r="N149" s="37"/>
      <c r="O149" s="37"/>
      <c r="P149" s="37"/>
      <c r="Q149" s="37"/>
      <c r="R149" s="37"/>
      <c r="S149" s="37"/>
      <c r="T149" s="37"/>
      <c r="U149" s="3"/>
      <c r="W149" s="3"/>
      <c r="X149" s="3"/>
      <c r="Y149" s="3"/>
      <c r="Z149" s="3"/>
    </row>
    <row r="150" spans="1:26" ht="14.4" hidden="1" outlineLevel="1" x14ac:dyDescent="0.3">
      <c r="A150" s="3"/>
      <c r="B150" s="10" t="s">
        <v>844</v>
      </c>
      <c r="C150" s="62">
        <v>6</v>
      </c>
      <c r="D150" s="62" t="s">
        <v>94</v>
      </c>
      <c r="E150" s="12">
        <v>0</v>
      </c>
      <c r="F150" s="12">
        <v>537</v>
      </c>
      <c r="G150" s="65" t="s">
        <v>845</v>
      </c>
      <c r="H150" s="65" t="s">
        <v>37</v>
      </c>
      <c r="I150" s="112" t="s">
        <v>846</v>
      </c>
      <c r="J150" s="65"/>
      <c r="K150" s="37"/>
      <c r="L150" s="37"/>
      <c r="M150" s="37"/>
      <c r="N150" s="37"/>
      <c r="O150" s="37"/>
      <c r="P150" s="37"/>
      <c r="Q150" s="37"/>
      <c r="R150" s="37"/>
      <c r="S150" s="37"/>
      <c r="T150" s="37"/>
      <c r="U150" s="3"/>
      <c r="W150" s="3"/>
      <c r="X150" s="3"/>
      <c r="Y150" s="3"/>
      <c r="Z150" s="3"/>
    </row>
    <row r="151" spans="1:26" ht="14.4" hidden="1" outlineLevel="1" x14ac:dyDescent="0.3">
      <c r="A151" s="3"/>
      <c r="B151" s="10" t="s">
        <v>847</v>
      </c>
      <c r="C151" s="62">
        <v>6</v>
      </c>
      <c r="D151" s="62" t="s">
        <v>94</v>
      </c>
      <c r="E151" s="12">
        <v>0</v>
      </c>
      <c r="F151" s="12">
        <v>689.6</v>
      </c>
      <c r="G151" s="65" t="s">
        <v>848</v>
      </c>
      <c r="H151" s="65" t="s">
        <v>37</v>
      </c>
      <c r="I151" s="112" t="s">
        <v>849</v>
      </c>
      <c r="J151" s="65"/>
      <c r="K151" s="37"/>
      <c r="L151" s="37"/>
      <c r="M151" s="37"/>
      <c r="N151" s="37"/>
      <c r="O151" s="37"/>
      <c r="P151" s="37"/>
      <c r="Q151" s="37"/>
      <c r="R151" s="37"/>
      <c r="S151" s="37"/>
      <c r="T151" s="37"/>
      <c r="U151" s="3"/>
      <c r="W151" s="3"/>
      <c r="X151" s="3"/>
      <c r="Y151" s="3"/>
      <c r="Z151" s="3"/>
    </row>
    <row r="152" spans="1:26" ht="14.4" hidden="1" outlineLevel="1" x14ac:dyDescent="0.3">
      <c r="A152" s="3"/>
      <c r="B152" s="10" t="s">
        <v>850</v>
      </c>
      <c r="C152" s="62">
        <v>6</v>
      </c>
      <c r="D152" s="62" t="s">
        <v>94</v>
      </c>
      <c r="E152" s="12">
        <v>0</v>
      </c>
      <c r="F152" s="12">
        <v>665.08</v>
      </c>
      <c r="G152" s="65" t="s">
        <v>851</v>
      </c>
      <c r="H152" s="65" t="s">
        <v>37</v>
      </c>
      <c r="I152" s="112" t="s">
        <v>852</v>
      </c>
      <c r="J152" s="65"/>
      <c r="K152" s="37"/>
      <c r="L152" s="37"/>
      <c r="M152" s="37"/>
      <c r="N152" s="37"/>
      <c r="O152" s="37"/>
      <c r="P152" s="37"/>
      <c r="Q152" s="37"/>
      <c r="R152" s="37"/>
      <c r="S152" s="37"/>
      <c r="T152" s="37"/>
      <c r="U152" s="3"/>
      <c r="W152" s="3"/>
      <c r="X152" s="3"/>
      <c r="Y152" s="3"/>
      <c r="Z152" s="3"/>
    </row>
    <row r="153" spans="1:26" ht="14.4" hidden="1" outlineLevel="1" x14ac:dyDescent="0.3">
      <c r="A153" s="3"/>
      <c r="B153" s="10" t="s">
        <v>853</v>
      </c>
      <c r="C153" s="62">
        <v>14</v>
      </c>
      <c r="D153" s="62" t="s">
        <v>94</v>
      </c>
      <c r="E153" s="12">
        <v>0</v>
      </c>
      <c r="F153" s="12">
        <v>210.12</v>
      </c>
      <c r="G153" s="65" t="s">
        <v>854</v>
      </c>
      <c r="H153" s="65" t="s">
        <v>37</v>
      </c>
      <c r="I153" s="112" t="s">
        <v>855</v>
      </c>
      <c r="J153" s="65"/>
      <c r="K153" s="37"/>
      <c r="L153" s="37"/>
      <c r="M153" s="37"/>
      <c r="N153" s="37"/>
      <c r="O153" s="37"/>
      <c r="P153" s="37"/>
      <c r="Q153" s="37"/>
      <c r="R153" s="37"/>
      <c r="S153" s="37"/>
      <c r="T153" s="37"/>
      <c r="U153" s="3"/>
      <c r="W153" s="3"/>
      <c r="X153" s="3"/>
      <c r="Y153" s="3"/>
      <c r="Z153" s="3"/>
    </row>
    <row r="154" spans="1:26" ht="14.4" hidden="1" outlineLevel="1" x14ac:dyDescent="0.3">
      <c r="A154" s="3"/>
      <c r="B154" s="10" t="s">
        <v>856</v>
      </c>
      <c r="C154" s="62">
        <v>14</v>
      </c>
      <c r="D154" s="62" t="s">
        <v>94</v>
      </c>
      <c r="E154" s="12">
        <v>0</v>
      </c>
      <c r="F154" s="12">
        <v>2727</v>
      </c>
      <c r="G154" s="65" t="s">
        <v>857</v>
      </c>
      <c r="H154" s="65" t="s">
        <v>37</v>
      </c>
      <c r="I154" s="112" t="s">
        <v>858</v>
      </c>
      <c r="J154" s="65"/>
      <c r="K154" s="37"/>
      <c r="L154" s="37"/>
      <c r="M154" s="37"/>
      <c r="N154" s="37"/>
      <c r="O154" s="37"/>
      <c r="P154" s="37"/>
      <c r="Q154" s="37"/>
      <c r="R154" s="37"/>
      <c r="S154" s="37"/>
      <c r="T154" s="37"/>
      <c r="U154" s="3"/>
      <c r="W154" s="3"/>
      <c r="X154" s="3"/>
      <c r="Y154" s="3"/>
      <c r="Z154" s="3"/>
    </row>
    <row r="155" spans="1:26" ht="24" hidden="1" outlineLevel="1" x14ac:dyDescent="0.3">
      <c r="A155" s="3"/>
      <c r="B155" s="125" t="s">
        <v>859</v>
      </c>
      <c r="C155" s="62">
        <v>20</v>
      </c>
      <c r="D155" s="62" t="s">
        <v>94</v>
      </c>
      <c r="E155" s="12">
        <v>0</v>
      </c>
      <c r="F155" s="12">
        <v>1048.05</v>
      </c>
      <c r="G155" s="89" t="s">
        <v>860</v>
      </c>
      <c r="H155" s="65" t="s">
        <v>37</v>
      </c>
      <c r="I155" s="112" t="s">
        <v>861</v>
      </c>
      <c r="J155" s="65"/>
      <c r="K155" s="37"/>
      <c r="L155" s="37"/>
      <c r="M155" s="37"/>
      <c r="N155" s="37"/>
      <c r="O155" s="37"/>
      <c r="P155" s="37"/>
      <c r="Q155" s="37"/>
      <c r="R155" s="37"/>
      <c r="S155" s="37"/>
      <c r="T155" s="37"/>
      <c r="U155" s="3"/>
      <c r="W155" s="3"/>
      <c r="X155" s="3"/>
      <c r="Y155" s="3"/>
      <c r="Z155" s="3"/>
    </row>
    <row r="156" spans="1:26" hidden="1" outlineLevel="1" x14ac:dyDescent="0.3">
      <c r="A156" s="3"/>
      <c r="B156" s="91" t="s">
        <v>643</v>
      </c>
      <c r="C156" s="92"/>
      <c r="D156" s="92"/>
      <c r="E156" s="93">
        <f>SUM(E157:E161)</f>
        <v>0</v>
      </c>
      <c r="F156" s="93">
        <f>SUMIF(D157:D161,"OK",F157:F161)</f>
        <v>0</v>
      </c>
      <c r="G156" s="94"/>
      <c r="H156" s="94"/>
      <c r="I156" s="95"/>
      <c r="J156" s="94"/>
      <c r="K156" s="37"/>
      <c r="L156" s="37"/>
      <c r="M156" s="37"/>
      <c r="N156" s="37"/>
      <c r="O156" s="37"/>
      <c r="P156" s="37"/>
      <c r="Q156" s="37"/>
      <c r="R156" s="37"/>
      <c r="S156" s="37"/>
      <c r="T156" s="37"/>
      <c r="U156" s="3"/>
      <c r="W156" s="3"/>
      <c r="X156" s="3"/>
      <c r="Y156" s="3"/>
      <c r="Z156" s="3"/>
    </row>
    <row r="157" spans="1:26" ht="14.4" hidden="1" outlineLevel="1" x14ac:dyDescent="0.3">
      <c r="A157" s="3"/>
      <c r="B157" s="10" t="s">
        <v>353</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4.4" hidden="1" outlineLevel="1" x14ac:dyDescent="0.3">
      <c r="A158" s="3"/>
      <c r="B158" s="10" t="s">
        <v>354</v>
      </c>
      <c r="C158" s="62"/>
      <c r="D158" s="62"/>
      <c r="E158" s="12">
        <v>0</v>
      </c>
      <c r="F158" s="12">
        <v>0</v>
      </c>
      <c r="G158" s="65"/>
      <c r="H158" s="65"/>
      <c r="I158" s="89"/>
      <c r="J158" s="65"/>
      <c r="K158" s="37"/>
      <c r="L158" s="37"/>
      <c r="M158" s="37"/>
      <c r="N158" s="37"/>
      <c r="O158" s="37"/>
      <c r="P158" s="37"/>
      <c r="Q158" s="37"/>
      <c r="R158" s="37"/>
      <c r="S158" s="37"/>
      <c r="T158" s="37"/>
      <c r="U158" s="3"/>
      <c r="W158" s="3"/>
      <c r="X158" s="3"/>
      <c r="Y158" s="3"/>
      <c r="Z158" s="3"/>
    </row>
    <row r="159" spans="1:26" ht="14.4" hidden="1" outlineLevel="1" x14ac:dyDescent="0.3">
      <c r="A159" s="3"/>
      <c r="B159" s="10" t="s">
        <v>355</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4.4" hidden="1" outlineLevel="1" x14ac:dyDescent="0.3">
      <c r="A160" s="3"/>
      <c r="B160" s="10" t="s">
        <v>369</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4.4" hidden="1" outlineLevel="1" x14ac:dyDescent="0.3">
      <c r="A161" s="3"/>
      <c r="B161" s="10" t="s">
        <v>327</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idden="1" outlineLevel="1" x14ac:dyDescent="0.3">
      <c r="A162" s="3"/>
      <c r="B162" s="91" t="s">
        <v>381</v>
      </c>
      <c r="C162" s="92"/>
      <c r="D162" s="92"/>
      <c r="E162" s="93">
        <f>SUM(E163:E167)</f>
        <v>0</v>
      </c>
      <c r="F162" s="93">
        <f>SUMIF(D163:D167,"OK",F163:F167)</f>
        <v>0</v>
      </c>
      <c r="G162" s="94"/>
      <c r="H162" s="94"/>
      <c r="I162" s="95"/>
      <c r="J162" s="94"/>
      <c r="K162" s="37"/>
      <c r="L162" s="37"/>
      <c r="M162" s="37"/>
      <c r="N162" s="37"/>
      <c r="O162" s="37"/>
      <c r="P162" s="37"/>
      <c r="Q162" s="37"/>
      <c r="R162" s="37"/>
      <c r="S162" s="37"/>
      <c r="T162" s="37"/>
      <c r="U162" s="3"/>
      <c r="W162" s="3"/>
      <c r="X162" s="3"/>
      <c r="Y162" s="3"/>
      <c r="Z162" s="3"/>
    </row>
    <row r="163" spans="1:26" ht="14.4" hidden="1" outlineLevel="1" x14ac:dyDescent="0.3">
      <c r="A163" s="3"/>
      <c r="B163" s="10" t="s">
        <v>353</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4.4" hidden="1" outlineLevel="1" x14ac:dyDescent="0.3">
      <c r="A164" s="3"/>
      <c r="B164" s="10" t="s">
        <v>354</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4.4" hidden="1" outlineLevel="1" x14ac:dyDescent="0.3">
      <c r="A165" s="3"/>
      <c r="B165" s="10" t="s">
        <v>355</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4.4" hidden="1" outlineLevel="1" x14ac:dyDescent="0.3">
      <c r="A166" s="3"/>
      <c r="B166" s="10" t="s">
        <v>369</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4.4" hidden="1" outlineLevel="1" x14ac:dyDescent="0.3">
      <c r="A167" s="3"/>
      <c r="B167" s="10" t="s">
        <v>327</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idden="1" outlineLevel="1" x14ac:dyDescent="0.3">
      <c r="A168" s="3"/>
      <c r="B168" s="91" t="s">
        <v>382</v>
      </c>
      <c r="C168" s="92"/>
      <c r="D168" s="92"/>
      <c r="E168" s="93">
        <f>SUM(E169:E173)</f>
        <v>0</v>
      </c>
      <c r="F168" s="93">
        <f>SUMIF(D169:D173,"OK",F169:F173)</f>
        <v>0</v>
      </c>
      <c r="G168" s="94"/>
      <c r="H168" s="94"/>
      <c r="I168" s="95"/>
      <c r="J168" s="94"/>
      <c r="K168" s="37"/>
      <c r="L168" s="37"/>
      <c r="M168" s="37"/>
      <c r="N168" s="37"/>
      <c r="O168" s="37"/>
      <c r="P168" s="37"/>
      <c r="Q168" s="37"/>
      <c r="R168" s="37"/>
      <c r="S168" s="37"/>
      <c r="T168" s="37"/>
      <c r="U168" s="3"/>
      <c r="W168" s="3"/>
      <c r="X168" s="3"/>
      <c r="Y168" s="3"/>
      <c r="Z168" s="3"/>
    </row>
    <row r="169" spans="1:26" ht="14.4" hidden="1" outlineLevel="1" x14ac:dyDescent="0.3">
      <c r="A169" s="3"/>
      <c r="B169" s="10" t="s">
        <v>353</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4.4" hidden="1" outlineLevel="1" x14ac:dyDescent="0.3">
      <c r="A170" s="3"/>
      <c r="B170" s="10" t="s">
        <v>354</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4.4" hidden="1" outlineLevel="1" x14ac:dyDescent="0.3">
      <c r="A171" s="3"/>
      <c r="B171" s="10" t="s">
        <v>355</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4.4" hidden="1" outlineLevel="1" x14ac:dyDescent="0.3">
      <c r="A172" s="3"/>
      <c r="B172" s="10" t="s">
        <v>369</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4.4" hidden="1" outlineLevel="1" x14ac:dyDescent="0.3">
      <c r="A173" s="3"/>
      <c r="B173" s="10" t="s">
        <v>327</v>
      </c>
      <c r="C173" s="62"/>
      <c r="D173" s="62"/>
      <c r="E173" s="12">
        <v>0</v>
      </c>
      <c r="F173" s="12">
        <v>0</v>
      </c>
      <c r="G173" s="65"/>
      <c r="H173" s="65"/>
      <c r="I173" s="89"/>
      <c r="J173" s="65"/>
      <c r="K173" s="37"/>
      <c r="L173" s="37"/>
      <c r="M173" s="37"/>
      <c r="N173" s="37"/>
      <c r="O173" s="37"/>
      <c r="P173" s="37"/>
      <c r="Q173" s="37"/>
      <c r="R173" s="37"/>
      <c r="S173" s="37"/>
      <c r="T173" s="37"/>
      <c r="U173" s="3"/>
      <c r="W173" s="3"/>
      <c r="X173" s="3"/>
      <c r="Y173" s="3"/>
      <c r="Z173" s="3"/>
    </row>
    <row r="174" spans="1:26" ht="20.399999999999999" collapsed="1" x14ac:dyDescent="0.3">
      <c r="A174" s="3"/>
      <c r="B174" s="84" t="s">
        <v>383</v>
      </c>
      <c r="C174" s="85" t="s">
        <v>43</v>
      </c>
      <c r="D174" s="85" t="s">
        <v>43</v>
      </c>
      <c r="E174" s="86">
        <f>SUM(E175:E179)</f>
        <v>0</v>
      </c>
      <c r="F174" s="86">
        <f>SUMIF(D175:D179,"OK",F175:F179)</f>
        <v>0</v>
      </c>
      <c r="G174" s="87"/>
      <c r="H174" s="87"/>
      <c r="I174" s="88"/>
      <c r="J174" s="87"/>
      <c r="K174" s="37"/>
      <c r="L174" s="37"/>
      <c r="M174" s="37"/>
      <c r="N174" s="37"/>
      <c r="O174" s="37"/>
      <c r="P174" s="37"/>
      <c r="Q174" s="37"/>
      <c r="R174" s="37"/>
      <c r="S174" s="37"/>
      <c r="T174" s="37"/>
      <c r="U174" s="3"/>
      <c r="W174" s="3"/>
      <c r="X174" s="3"/>
      <c r="Y174" s="3"/>
      <c r="Z174" s="3"/>
    </row>
    <row r="175" spans="1:26" ht="14.4" hidden="1" outlineLevel="1" x14ac:dyDescent="0.3">
      <c r="A175" s="3"/>
      <c r="B175" s="10" t="s">
        <v>353</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4.4" hidden="1" outlineLevel="1" x14ac:dyDescent="0.3">
      <c r="A176" s="3"/>
      <c r="B176" s="10" t="s">
        <v>354</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t="14.4" hidden="1" outlineLevel="1" x14ac:dyDescent="0.3">
      <c r="A177" s="3"/>
      <c r="B177" s="10" t="s">
        <v>355</v>
      </c>
      <c r="C177" s="62"/>
      <c r="D177" s="62"/>
      <c r="E177" s="12">
        <v>0</v>
      </c>
      <c r="F177" s="12">
        <v>0</v>
      </c>
      <c r="G177" s="65"/>
      <c r="H177" s="65"/>
      <c r="I177" s="89"/>
      <c r="J177" s="65"/>
      <c r="K177" s="37"/>
      <c r="L177" s="37"/>
      <c r="M177" s="37"/>
      <c r="N177" s="37"/>
      <c r="O177" s="37"/>
      <c r="P177" s="37"/>
      <c r="Q177" s="37"/>
      <c r="R177" s="37"/>
      <c r="S177" s="37"/>
      <c r="T177" s="37"/>
      <c r="U177" s="3"/>
      <c r="W177" s="3"/>
      <c r="X177" s="3"/>
      <c r="Y177" s="3"/>
      <c r="Z177" s="3"/>
    </row>
    <row r="178" spans="1:26" ht="14.4" hidden="1" outlineLevel="1" x14ac:dyDescent="0.3">
      <c r="A178" s="3"/>
      <c r="B178" s="10" t="s">
        <v>369</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4.4" hidden="1" outlineLevel="1" x14ac:dyDescent="0.3">
      <c r="A179" s="3"/>
      <c r="B179" s="10" t="s">
        <v>327</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20.399999999999999" collapsed="1" x14ac:dyDescent="0.3">
      <c r="A180" s="3"/>
      <c r="B180" s="84" t="s">
        <v>384</v>
      </c>
      <c r="C180" s="85" t="s">
        <v>43</v>
      </c>
      <c r="D180" s="85" t="s">
        <v>43</v>
      </c>
      <c r="E180" s="86">
        <f>SUM(E181:E185)</f>
        <v>0</v>
      </c>
      <c r="F180" s="86">
        <f>SUMIF(D181:D185,"OK",F181:F185)</f>
        <v>94</v>
      </c>
      <c r="G180" s="87"/>
      <c r="H180" s="87"/>
      <c r="I180" s="88"/>
      <c r="J180" s="87"/>
      <c r="K180" s="37"/>
      <c r="L180" s="37"/>
      <c r="M180" s="37"/>
      <c r="N180" s="37"/>
      <c r="O180" s="37"/>
      <c r="P180" s="37"/>
      <c r="Q180" s="37"/>
      <c r="R180" s="37"/>
      <c r="S180" s="37"/>
      <c r="T180" s="37"/>
      <c r="U180" s="3"/>
      <c r="W180" s="3"/>
      <c r="X180" s="3"/>
      <c r="Y180" s="3"/>
      <c r="Z180" s="3"/>
    </row>
    <row r="181" spans="1:26" ht="14.4" hidden="1" outlineLevel="1" x14ac:dyDescent="0.3">
      <c r="A181" s="3"/>
      <c r="B181" s="10" t="s">
        <v>862</v>
      </c>
      <c r="C181" s="80">
        <v>8</v>
      </c>
      <c r="D181" s="62" t="s">
        <v>94</v>
      </c>
      <c r="E181" s="12">
        <v>0</v>
      </c>
      <c r="F181" s="12">
        <v>64</v>
      </c>
      <c r="G181" s="89"/>
      <c r="H181" s="65" t="s">
        <v>37</v>
      </c>
      <c r="I181" s="112" t="s">
        <v>863</v>
      </c>
      <c r="J181" s="65"/>
      <c r="K181" s="37"/>
      <c r="L181" s="37"/>
      <c r="M181" s="37"/>
      <c r="N181" s="37"/>
      <c r="O181" s="37"/>
      <c r="P181" s="37"/>
      <c r="Q181" s="37"/>
      <c r="R181" s="37"/>
      <c r="S181" s="37"/>
      <c r="T181" s="37"/>
      <c r="U181" s="3"/>
      <c r="W181" s="3"/>
      <c r="X181" s="3"/>
      <c r="Y181" s="3"/>
      <c r="Z181" s="3"/>
    </row>
    <row r="182" spans="1:26" ht="14.4" hidden="1" outlineLevel="1" x14ac:dyDescent="0.3">
      <c r="A182" s="3"/>
      <c r="B182" s="10" t="s">
        <v>864</v>
      </c>
      <c r="C182" s="62">
        <v>26</v>
      </c>
      <c r="D182" s="62" t="s">
        <v>94</v>
      </c>
      <c r="E182" s="12">
        <v>0</v>
      </c>
      <c r="F182" s="12">
        <v>30</v>
      </c>
      <c r="G182" s="89"/>
      <c r="H182" s="65" t="s">
        <v>37</v>
      </c>
      <c r="I182" s="112" t="s">
        <v>865</v>
      </c>
      <c r="J182" s="89"/>
      <c r="K182" s="37"/>
      <c r="L182" s="37"/>
      <c r="M182" s="37"/>
      <c r="N182" s="37"/>
      <c r="O182" s="37"/>
      <c r="P182" s="37"/>
      <c r="Q182" s="37"/>
      <c r="R182" s="37"/>
      <c r="S182" s="37"/>
      <c r="T182" s="37"/>
      <c r="U182" s="3"/>
      <c r="W182" s="3"/>
      <c r="X182" s="3"/>
      <c r="Y182" s="3"/>
      <c r="Z182" s="3"/>
    </row>
    <row r="183" spans="1:26" ht="14.4" hidden="1" outlineLevel="1" x14ac:dyDescent="0.3">
      <c r="A183" s="3"/>
      <c r="B183" s="10" t="s">
        <v>355</v>
      </c>
      <c r="C183" s="62"/>
      <c r="D183" s="62"/>
      <c r="E183" s="12">
        <v>0</v>
      </c>
      <c r="F183" s="12">
        <v>0</v>
      </c>
      <c r="G183" s="65"/>
      <c r="H183" s="65"/>
      <c r="I183" s="89"/>
      <c r="J183" s="65"/>
      <c r="K183" s="37"/>
      <c r="L183" s="37"/>
      <c r="M183" s="37"/>
      <c r="N183" s="37"/>
      <c r="O183" s="37"/>
      <c r="P183" s="37"/>
      <c r="Q183" s="37"/>
      <c r="R183" s="37"/>
      <c r="S183" s="37"/>
      <c r="T183" s="37"/>
      <c r="U183" s="3"/>
      <c r="W183" s="3"/>
      <c r="X183" s="3"/>
      <c r="Y183" s="3"/>
      <c r="Z183" s="3"/>
    </row>
    <row r="184" spans="1:26" ht="14.4" hidden="1" outlineLevel="1" x14ac:dyDescent="0.3">
      <c r="A184" s="3"/>
      <c r="B184" s="10" t="s">
        <v>369</v>
      </c>
      <c r="C184" s="62"/>
      <c r="D184" s="62"/>
      <c r="E184" s="12">
        <v>0</v>
      </c>
      <c r="F184" s="12">
        <v>0</v>
      </c>
      <c r="G184" s="65"/>
      <c r="H184" s="65"/>
      <c r="I184" s="89"/>
      <c r="J184" s="65"/>
      <c r="K184" s="37"/>
      <c r="L184" s="37"/>
      <c r="M184" s="37"/>
      <c r="N184" s="37"/>
      <c r="O184" s="37"/>
      <c r="P184" s="37"/>
      <c r="Q184" s="37"/>
      <c r="R184" s="37"/>
      <c r="S184" s="37"/>
      <c r="T184" s="37"/>
      <c r="U184" s="3"/>
      <c r="W184" s="3"/>
      <c r="X184" s="3"/>
      <c r="Y184" s="3"/>
      <c r="Z184" s="3"/>
    </row>
    <row r="185" spans="1:26" ht="14.4" hidden="1" outlineLevel="1" x14ac:dyDescent="0.3">
      <c r="A185" s="3"/>
      <c r="B185" s="10" t="s">
        <v>327</v>
      </c>
      <c r="C185" s="62"/>
      <c r="D185" s="62"/>
      <c r="E185" s="12">
        <v>0</v>
      </c>
      <c r="F185" s="12">
        <v>0</v>
      </c>
      <c r="G185" s="65"/>
      <c r="H185" s="65"/>
      <c r="I185" s="89"/>
      <c r="J185" s="65"/>
      <c r="K185" s="37"/>
      <c r="L185" s="37"/>
      <c r="M185" s="37"/>
      <c r="N185" s="37"/>
      <c r="O185" s="37"/>
      <c r="P185" s="37"/>
      <c r="Q185" s="37"/>
      <c r="R185" s="37"/>
      <c r="S185" s="37"/>
      <c r="T185" s="37"/>
      <c r="U185" s="3"/>
      <c r="W185" s="3"/>
      <c r="X185" s="3"/>
      <c r="Y185" s="3"/>
      <c r="Z185" s="3"/>
    </row>
    <row r="186" spans="1:26" ht="20.399999999999999" collapsed="1" x14ac:dyDescent="0.3">
      <c r="A186" s="3"/>
      <c r="B186" s="84" t="s">
        <v>394</v>
      </c>
      <c r="C186" s="85" t="s">
        <v>43</v>
      </c>
      <c r="D186" s="85" t="s">
        <v>43</v>
      </c>
      <c r="E186" s="86">
        <f>SUM(E187:E195)</f>
        <v>0</v>
      </c>
      <c r="F186" s="86">
        <f>SUMIF(D187:D195,"OK",F187:F195)</f>
        <v>100</v>
      </c>
      <c r="G186" s="87"/>
      <c r="H186" s="87"/>
      <c r="I186" s="88"/>
      <c r="J186" s="87"/>
      <c r="K186" s="37"/>
      <c r="L186" s="37"/>
      <c r="M186" s="37"/>
      <c r="N186" s="37"/>
      <c r="O186" s="37"/>
      <c r="P186" s="37"/>
      <c r="Q186" s="37"/>
      <c r="R186" s="37"/>
      <c r="S186" s="37"/>
      <c r="T186" s="37"/>
      <c r="U186" s="3"/>
      <c r="W186" s="3"/>
      <c r="X186" s="3"/>
      <c r="Y186" s="3"/>
      <c r="Z186" s="3"/>
    </row>
    <row r="187" spans="1:26" ht="14.4" hidden="1" outlineLevel="1" x14ac:dyDescent="0.3">
      <c r="A187" s="3"/>
      <c r="B187" s="10" t="s">
        <v>866</v>
      </c>
      <c r="C187" s="62">
        <v>11</v>
      </c>
      <c r="D187" s="62" t="s">
        <v>94</v>
      </c>
      <c r="E187" s="12">
        <v>0</v>
      </c>
      <c r="F187" s="12">
        <v>100</v>
      </c>
      <c r="G187" s="65"/>
      <c r="H187" s="65" t="s">
        <v>37</v>
      </c>
      <c r="I187" s="112" t="s">
        <v>867</v>
      </c>
      <c r="J187" s="65"/>
      <c r="K187" s="37"/>
      <c r="L187" s="37"/>
      <c r="M187" s="37"/>
      <c r="N187" s="37"/>
      <c r="O187" s="37"/>
      <c r="P187" s="37"/>
      <c r="Q187" s="37"/>
      <c r="R187" s="37"/>
      <c r="S187" s="37"/>
      <c r="T187" s="37"/>
      <c r="U187" s="3"/>
      <c r="W187" s="3"/>
      <c r="X187" s="3"/>
      <c r="Y187" s="3"/>
      <c r="Z187" s="3"/>
    </row>
    <row r="188" spans="1:26" ht="14.4" hidden="1" outlineLevel="1" x14ac:dyDescent="0.3">
      <c r="A188" s="3"/>
      <c r="B188" s="10" t="s">
        <v>354</v>
      </c>
      <c r="C188" s="62"/>
      <c r="D188" s="62"/>
      <c r="E188" s="12">
        <v>0</v>
      </c>
      <c r="F188" s="12">
        <v>0</v>
      </c>
      <c r="G188" s="65"/>
      <c r="H188" s="65"/>
      <c r="I188" s="112"/>
      <c r="J188" s="65"/>
      <c r="K188" s="37"/>
      <c r="L188" s="37"/>
      <c r="M188" s="37"/>
      <c r="N188" s="37"/>
      <c r="O188" s="37"/>
      <c r="P188" s="37"/>
      <c r="Q188" s="37"/>
      <c r="R188" s="37"/>
      <c r="S188" s="37"/>
      <c r="T188" s="37"/>
      <c r="U188" s="3"/>
      <c r="W188" s="3"/>
      <c r="X188" s="3"/>
      <c r="Y188" s="3"/>
      <c r="Z188" s="3"/>
    </row>
    <row r="189" spans="1:26" ht="14.4" hidden="1" outlineLevel="1" x14ac:dyDescent="0.3">
      <c r="A189" s="3"/>
      <c r="B189" s="10" t="s">
        <v>355</v>
      </c>
      <c r="C189" s="62"/>
      <c r="D189" s="62"/>
      <c r="E189" s="12">
        <v>0</v>
      </c>
      <c r="F189" s="12">
        <v>0</v>
      </c>
      <c r="G189" s="65"/>
      <c r="H189" s="65"/>
      <c r="I189" s="89"/>
      <c r="J189" s="65"/>
      <c r="K189" s="37"/>
      <c r="L189" s="37"/>
      <c r="M189" s="37"/>
      <c r="N189" s="37"/>
      <c r="O189" s="37"/>
      <c r="P189" s="37"/>
      <c r="Q189" s="37"/>
      <c r="R189" s="37"/>
      <c r="S189" s="37"/>
      <c r="T189" s="37"/>
      <c r="U189" s="3"/>
      <c r="W189" s="3"/>
      <c r="X189" s="3"/>
      <c r="Y189" s="3"/>
      <c r="Z189" s="3"/>
    </row>
    <row r="190" spans="1:26" ht="14.4" hidden="1" outlineLevel="1" x14ac:dyDescent="0.3">
      <c r="A190" s="3"/>
      <c r="B190" s="10" t="s">
        <v>369</v>
      </c>
      <c r="C190" s="62"/>
      <c r="D190" s="62"/>
      <c r="E190" s="12">
        <v>0</v>
      </c>
      <c r="F190" s="12">
        <v>0</v>
      </c>
      <c r="G190" s="65"/>
      <c r="H190" s="65"/>
      <c r="I190" s="89"/>
      <c r="J190" s="65"/>
      <c r="K190" s="37"/>
      <c r="L190" s="37"/>
      <c r="M190" s="37"/>
      <c r="N190" s="37"/>
      <c r="O190" s="37"/>
      <c r="P190" s="37"/>
      <c r="Q190" s="37"/>
      <c r="R190" s="37"/>
      <c r="S190" s="37"/>
      <c r="T190" s="37"/>
      <c r="U190" s="3"/>
      <c r="W190" s="3"/>
      <c r="X190" s="3"/>
      <c r="Y190" s="3"/>
      <c r="Z190" s="3"/>
    </row>
    <row r="191" spans="1:26" ht="14.4" hidden="1" outlineLevel="1" x14ac:dyDescent="0.3">
      <c r="A191" s="3"/>
      <c r="B191" s="10" t="s">
        <v>327</v>
      </c>
      <c r="C191" s="62"/>
      <c r="D191" s="62"/>
      <c r="E191" s="12">
        <v>0</v>
      </c>
      <c r="F191" s="12">
        <v>0</v>
      </c>
      <c r="G191" s="65"/>
      <c r="H191" s="65"/>
      <c r="I191" s="89"/>
      <c r="J191" s="65"/>
      <c r="K191" s="37"/>
      <c r="L191" s="37"/>
      <c r="M191" s="37"/>
      <c r="N191" s="37"/>
      <c r="O191" s="37"/>
      <c r="P191" s="37"/>
      <c r="Q191" s="37"/>
      <c r="R191" s="37"/>
      <c r="S191" s="37"/>
      <c r="T191" s="37"/>
      <c r="U191" s="3"/>
      <c r="W191" s="3"/>
      <c r="X191" s="3"/>
      <c r="Y191" s="3"/>
      <c r="Z191" s="3"/>
    </row>
    <row r="192" spans="1:26" ht="14.4" hidden="1" outlineLevel="1" x14ac:dyDescent="0.3">
      <c r="A192" s="3"/>
      <c r="B192" s="10" t="s">
        <v>328</v>
      </c>
      <c r="C192" s="62"/>
      <c r="D192" s="62"/>
      <c r="E192" s="12">
        <v>0</v>
      </c>
      <c r="F192" s="12">
        <v>0</v>
      </c>
      <c r="G192" s="65"/>
      <c r="H192" s="65"/>
      <c r="I192" s="89"/>
      <c r="J192" s="65"/>
      <c r="K192" s="37"/>
      <c r="L192" s="37"/>
      <c r="M192" s="37"/>
      <c r="N192" s="37"/>
      <c r="O192" s="37"/>
      <c r="P192" s="37"/>
      <c r="Q192" s="37"/>
      <c r="R192" s="37"/>
      <c r="S192" s="37"/>
      <c r="T192" s="37"/>
      <c r="U192" s="3"/>
      <c r="W192" s="3"/>
      <c r="X192" s="3"/>
      <c r="Y192" s="3"/>
      <c r="Z192" s="3"/>
    </row>
    <row r="193" spans="1:26" ht="14.4" hidden="1" outlineLevel="1" x14ac:dyDescent="0.3">
      <c r="A193" s="3"/>
      <c r="B193" s="10" t="s">
        <v>370</v>
      </c>
      <c r="C193" s="62"/>
      <c r="D193" s="62"/>
      <c r="E193" s="12">
        <v>0</v>
      </c>
      <c r="F193" s="12">
        <v>0</v>
      </c>
      <c r="G193" s="65"/>
      <c r="H193" s="65"/>
      <c r="I193" s="89"/>
      <c r="J193" s="65"/>
      <c r="K193" s="37"/>
      <c r="L193" s="37"/>
      <c r="M193" s="37"/>
      <c r="N193" s="37"/>
      <c r="O193" s="37"/>
      <c r="P193" s="37"/>
      <c r="Q193" s="37"/>
      <c r="R193" s="37"/>
      <c r="S193" s="37"/>
      <c r="T193" s="37"/>
      <c r="U193" s="3"/>
      <c r="W193" s="3"/>
      <c r="X193" s="3"/>
      <c r="Y193" s="3"/>
      <c r="Z193" s="3"/>
    </row>
    <row r="194" spans="1:26" ht="14.4" hidden="1" outlineLevel="1" x14ac:dyDescent="0.3">
      <c r="A194" s="3"/>
      <c r="B194" s="10" t="s">
        <v>371</v>
      </c>
      <c r="C194" s="62"/>
      <c r="D194" s="62"/>
      <c r="E194" s="12">
        <v>0</v>
      </c>
      <c r="F194" s="12">
        <v>0</v>
      </c>
      <c r="G194" s="65"/>
      <c r="H194" s="65"/>
      <c r="I194" s="89"/>
      <c r="J194" s="65"/>
      <c r="K194" s="37"/>
      <c r="L194" s="37"/>
      <c r="M194" s="37"/>
      <c r="N194" s="37"/>
      <c r="O194" s="37"/>
      <c r="P194" s="37"/>
      <c r="Q194" s="37"/>
      <c r="R194" s="37"/>
      <c r="S194" s="37"/>
      <c r="T194" s="37"/>
      <c r="U194" s="3"/>
      <c r="W194" s="3"/>
      <c r="X194" s="3"/>
      <c r="Y194" s="3"/>
      <c r="Z194" s="3"/>
    </row>
    <row r="195" spans="1:26" ht="14.4" hidden="1" outlineLevel="1" x14ac:dyDescent="0.3">
      <c r="A195" s="3"/>
      <c r="B195" s="10" t="s">
        <v>372</v>
      </c>
      <c r="C195" s="62"/>
      <c r="D195" s="62"/>
      <c r="E195" s="12">
        <v>0</v>
      </c>
      <c r="F195" s="12">
        <v>0</v>
      </c>
      <c r="G195" s="65"/>
      <c r="H195" s="65"/>
      <c r="I195" s="89"/>
      <c r="J195" s="65"/>
      <c r="K195" s="37"/>
      <c r="L195" s="37"/>
      <c r="M195" s="37"/>
      <c r="N195" s="37"/>
      <c r="O195" s="37"/>
      <c r="P195" s="37"/>
      <c r="Q195" s="37"/>
      <c r="R195" s="37"/>
      <c r="S195" s="37"/>
      <c r="T195" s="37"/>
      <c r="U195" s="3"/>
      <c r="W195" s="3"/>
      <c r="X195" s="3"/>
      <c r="Y195" s="3"/>
      <c r="Z195" s="3"/>
    </row>
    <row r="196" spans="1:26" ht="20.399999999999999" collapsed="1" x14ac:dyDescent="0.3">
      <c r="A196" s="3"/>
      <c r="B196" s="84" t="s">
        <v>401</v>
      </c>
      <c r="C196" s="85" t="s">
        <v>43</v>
      </c>
      <c r="D196" s="85" t="s">
        <v>43</v>
      </c>
      <c r="E196" s="86">
        <f>SUM(E197:E205)</f>
        <v>0</v>
      </c>
      <c r="F196" s="86">
        <f>SUMIF(D197:D205,"OK",F197:F205)</f>
        <v>0</v>
      </c>
      <c r="G196" s="87"/>
      <c r="H196" s="87"/>
      <c r="I196" s="88"/>
      <c r="J196" s="87"/>
      <c r="K196" s="37"/>
      <c r="L196" s="37"/>
      <c r="M196" s="37"/>
      <c r="N196" s="37"/>
      <c r="O196" s="37"/>
      <c r="P196" s="37"/>
      <c r="Q196" s="37"/>
      <c r="R196" s="37"/>
      <c r="S196" s="37"/>
      <c r="T196" s="37"/>
      <c r="U196" s="3"/>
      <c r="W196" s="3"/>
      <c r="X196" s="3"/>
      <c r="Y196" s="3"/>
      <c r="Z196" s="3"/>
    </row>
    <row r="197" spans="1:26" ht="14.4" hidden="1" outlineLevel="1" x14ac:dyDescent="0.3">
      <c r="A197" s="3"/>
      <c r="B197" s="10" t="s">
        <v>868</v>
      </c>
      <c r="C197" s="62"/>
      <c r="D197" s="62"/>
      <c r="E197" s="12">
        <v>0</v>
      </c>
      <c r="F197" s="12">
        <v>0</v>
      </c>
      <c r="G197" s="65"/>
      <c r="H197" s="65"/>
      <c r="I197" s="112"/>
      <c r="J197" s="65"/>
      <c r="K197" s="37"/>
      <c r="L197" s="37"/>
      <c r="M197" s="37"/>
      <c r="N197" s="37"/>
      <c r="O197" s="37"/>
      <c r="P197" s="37"/>
      <c r="Q197" s="37"/>
      <c r="R197" s="37"/>
      <c r="S197" s="37"/>
      <c r="T197" s="37"/>
      <c r="U197" s="3"/>
      <c r="W197" s="3"/>
      <c r="X197" s="3"/>
      <c r="Y197" s="3"/>
      <c r="Z197" s="3"/>
    </row>
    <row r="198" spans="1:26" ht="14.4" hidden="1" outlineLevel="1" x14ac:dyDescent="0.3">
      <c r="A198" s="3"/>
      <c r="B198" s="10" t="s">
        <v>868</v>
      </c>
      <c r="C198" s="62"/>
      <c r="D198" s="62"/>
      <c r="E198" s="12">
        <v>0</v>
      </c>
      <c r="F198" s="12">
        <v>0</v>
      </c>
      <c r="G198" s="65"/>
      <c r="H198" s="65"/>
      <c r="I198" s="112"/>
      <c r="J198" s="65"/>
      <c r="K198" s="37"/>
      <c r="L198" s="37"/>
      <c r="M198" s="37"/>
      <c r="N198" s="37"/>
      <c r="O198" s="37"/>
      <c r="P198" s="37"/>
      <c r="Q198" s="37"/>
      <c r="R198" s="37"/>
      <c r="S198" s="37"/>
      <c r="T198" s="37"/>
      <c r="U198" s="3"/>
      <c r="W198" s="3"/>
      <c r="X198" s="3"/>
      <c r="Y198" s="3"/>
      <c r="Z198" s="3"/>
    </row>
    <row r="199" spans="1:26" ht="14.4" hidden="1" outlineLevel="1" x14ac:dyDescent="0.3">
      <c r="A199" s="3"/>
      <c r="B199" s="10" t="s">
        <v>868</v>
      </c>
      <c r="C199" s="62"/>
      <c r="D199" s="62"/>
      <c r="E199" s="12">
        <v>0</v>
      </c>
      <c r="F199" s="12">
        <v>0</v>
      </c>
      <c r="G199" s="65"/>
      <c r="H199" s="65"/>
      <c r="I199" s="112"/>
      <c r="J199" s="65"/>
      <c r="K199" s="37"/>
      <c r="L199" s="37"/>
      <c r="M199" s="37"/>
      <c r="N199" s="37"/>
      <c r="O199" s="37"/>
      <c r="P199" s="37"/>
      <c r="Q199" s="37"/>
      <c r="R199" s="37"/>
      <c r="S199" s="37"/>
      <c r="T199" s="37"/>
      <c r="U199" s="3"/>
      <c r="W199" s="3"/>
      <c r="X199" s="3"/>
      <c r="Y199" s="3"/>
      <c r="Z199" s="3"/>
    </row>
    <row r="200" spans="1:26" ht="14.4" hidden="1" outlineLevel="1" x14ac:dyDescent="0.3">
      <c r="A200" s="3"/>
      <c r="B200" s="10" t="s">
        <v>868</v>
      </c>
      <c r="C200" s="62"/>
      <c r="D200" s="62"/>
      <c r="E200" s="12">
        <v>0</v>
      </c>
      <c r="F200" s="12">
        <v>0</v>
      </c>
      <c r="G200" s="65"/>
      <c r="H200" s="65"/>
      <c r="I200" s="112"/>
      <c r="J200" s="65"/>
      <c r="K200" s="37"/>
      <c r="L200" s="37"/>
      <c r="M200" s="37"/>
      <c r="N200" s="37"/>
      <c r="O200" s="37"/>
      <c r="P200" s="37"/>
      <c r="Q200" s="37"/>
      <c r="R200" s="37"/>
      <c r="S200" s="37"/>
      <c r="T200" s="37"/>
      <c r="U200" s="3"/>
      <c r="W200" s="3"/>
      <c r="X200" s="3"/>
      <c r="Y200" s="3"/>
      <c r="Z200" s="3"/>
    </row>
    <row r="201" spans="1:26" ht="14.4" hidden="1" outlineLevel="1" x14ac:dyDescent="0.3">
      <c r="A201" s="3"/>
      <c r="B201" s="10" t="s">
        <v>868</v>
      </c>
      <c r="C201" s="62"/>
      <c r="D201" s="62"/>
      <c r="E201" s="12">
        <v>0</v>
      </c>
      <c r="F201" s="12">
        <v>0</v>
      </c>
      <c r="G201" s="65"/>
      <c r="H201" s="65"/>
      <c r="I201" s="112"/>
      <c r="J201" s="65"/>
      <c r="K201" s="37"/>
      <c r="L201" s="37"/>
      <c r="M201" s="37"/>
      <c r="N201" s="37"/>
      <c r="O201" s="37"/>
      <c r="P201" s="37"/>
      <c r="Q201" s="37"/>
      <c r="R201" s="37"/>
      <c r="S201" s="37"/>
      <c r="T201" s="37"/>
      <c r="U201" s="3"/>
      <c r="W201" s="3"/>
      <c r="X201" s="3"/>
      <c r="Y201" s="3"/>
      <c r="Z201" s="3"/>
    </row>
    <row r="202" spans="1:26" ht="14.4" hidden="1" outlineLevel="1" x14ac:dyDescent="0.3">
      <c r="A202" s="3"/>
      <c r="B202" s="10" t="s">
        <v>869</v>
      </c>
      <c r="C202" s="62"/>
      <c r="D202" s="62"/>
      <c r="E202" s="12">
        <v>0</v>
      </c>
      <c r="F202" s="12">
        <v>0</v>
      </c>
      <c r="G202" s="65"/>
      <c r="H202" s="65"/>
      <c r="I202" s="112"/>
      <c r="J202" s="65"/>
      <c r="K202" s="37"/>
      <c r="L202" s="37"/>
      <c r="M202" s="37"/>
      <c r="N202" s="37"/>
      <c r="O202" s="37"/>
      <c r="P202" s="37"/>
      <c r="Q202" s="37"/>
      <c r="R202" s="37"/>
      <c r="S202" s="37"/>
      <c r="T202" s="37"/>
      <c r="U202" s="3"/>
      <c r="W202" s="3"/>
      <c r="X202" s="3"/>
      <c r="Y202" s="3"/>
      <c r="Z202" s="3"/>
    </row>
    <row r="203" spans="1:26" ht="14.4" hidden="1" outlineLevel="1" x14ac:dyDescent="0.3">
      <c r="A203" s="3"/>
      <c r="B203" s="10" t="s">
        <v>870</v>
      </c>
      <c r="C203" s="62"/>
      <c r="D203" s="62"/>
      <c r="E203" s="12">
        <v>0</v>
      </c>
      <c r="F203" s="12">
        <v>0</v>
      </c>
      <c r="G203" s="65"/>
      <c r="H203" s="65"/>
      <c r="I203" s="112"/>
      <c r="J203" s="65"/>
      <c r="K203" s="37"/>
      <c r="L203" s="37"/>
      <c r="M203" s="37"/>
      <c r="N203" s="37"/>
      <c r="O203" s="37"/>
      <c r="P203" s="37"/>
      <c r="Q203" s="37"/>
      <c r="R203" s="37"/>
      <c r="S203" s="37"/>
      <c r="T203" s="37"/>
      <c r="U203" s="3"/>
      <c r="W203" s="3"/>
      <c r="X203" s="3"/>
      <c r="Y203" s="3"/>
      <c r="Z203" s="3"/>
    </row>
    <row r="204" spans="1:26" ht="14.4" hidden="1" outlineLevel="1" x14ac:dyDescent="0.3">
      <c r="A204" s="3"/>
      <c r="B204" s="10" t="s">
        <v>871</v>
      </c>
      <c r="C204" s="62"/>
      <c r="D204" s="62"/>
      <c r="E204" s="12">
        <v>0</v>
      </c>
      <c r="F204" s="12">
        <v>0</v>
      </c>
      <c r="G204" s="89"/>
      <c r="H204" s="65"/>
      <c r="I204" s="112"/>
      <c r="J204" s="65"/>
      <c r="K204" s="37"/>
      <c r="L204" s="37"/>
      <c r="M204" s="37"/>
      <c r="N204" s="37"/>
      <c r="O204" s="37"/>
      <c r="P204" s="37"/>
      <c r="Q204" s="37"/>
      <c r="R204" s="37"/>
      <c r="S204" s="37"/>
      <c r="T204" s="37"/>
      <c r="U204" s="3"/>
      <c r="W204" s="3"/>
      <c r="X204" s="3"/>
      <c r="Y204" s="3"/>
      <c r="Z204" s="3"/>
    </row>
    <row r="205" spans="1:26" ht="14.4" hidden="1" outlineLevel="1" x14ac:dyDescent="0.3">
      <c r="A205" s="3"/>
      <c r="B205" s="10" t="s">
        <v>50</v>
      </c>
      <c r="C205" s="62"/>
      <c r="D205" s="62"/>
      <c r="E205" s="12">
        <v>0</v>
      </c>
      <c r="F205" s="12">
        <v>0</v>
      </c>
      <c r="G205" s="89"/>
      <c r="H205" s="65"/>
      <c r="I205" s="112"/>
      <c r="J205" s="65"/>
      <c r="K205" s="37"/>
      <c r="L205" s="37"/>
      <c r="M205" s="37"/>
      <c r="N205" s="37"/>
      <c r="O205" s="37"/>
      <c r="P205" s="37"/>
      <c r="Q205" s="37"/>
      <c r="R205" s="37"/>
      <c r="S205" s="37"/>
      <c r="T205" s="37"/>
      <c r="U205" s="3"/>
      <c r="W205" s="3"/>
      <c r="X205" s="3"/>
      <c r="Y205" s="3"/>
      <c r="Z205" s="3"/>
    </row>
    <row r="206" spans="1:26" ht="20.399999999999999" collapsed="1" x14ac:dyDescent="0.3">
      <c r="A206" s="3"/>
      <c r="B206" s="84" t="s">
        <v>402</v>
      </c>
      <c r="C206" s="85" t="s">
        <v>43</v>
      </c>
      <c r="D206" s="85" t="s">
        <v>43</v>
      </c>
      <c r="E206" s="86">
        <f>SUM(E207:E215)</f>
        <v>0</v>
      </c>
      <c r="F206" s="86">
        <f>SUMIF(D207:D215,"OK",F207:F215)</f>
        <v>0</v>
      </c>
      <c r="G206" s="87"/>
      <c r="H206" s="87"/>
      <c r="I206" s="88"/>
      <c r="J206" s="87"/>
      <c r="K206" s="37"/>
      <c r="L206" s="37"/>
      <c r="M206" s="37"/>
      <c r="N206" s="37"/>
      <c r="O206" s="37"/>
      <c r="P206" s="37"/>
      <c r="Q206" s="37"/>
      <c r="R206" s="37"/>
      <c r="S206" s="37"/>
      <c r="T206" s="37"/>
      <c r="U206" s="3"/>
      <c r="W206" s="3"/>
      <c r="X206" s="3"/>
      <c r="Y206" s="3"/>
      <c r="Z206" s="3"/>
    </row>
    <row r="207" spans="1:26" ht="14.4" hidden="1" outlineLevel="1" x14ac:dyDescent="0.3">
      <c r="A207" s="3"/>
      <c r="B207" s="10" t="s">
        <v>353</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4.4" hidden="1" outlineLevel="1" x14ac:dyDescent="0.3">
      <c r="A208" s="3"/>
      <c r="B208" s="10" t="s">
        <v>354</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4.4" hidden="1" outlineLevel="1" x14ac:dyDescent="0.3">
      <c r="A209" s="3"/>
      <c r="B209" s="10" t="s">
        <v>355</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4.4" hidden="1" outlineLevel="1" x14ac:dyDescent="0.3">
      <c r="A210" s="3"/>
      <c r="B210" s="10" t="s">
        <v>369</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4.4" hidden="1" outlineLevel="1" x14ac:dyDescent="0.3">
      <c r="A211" s="3"/>
      <c r="B211" s="10" t="s">
        <v>327</v>
      </c>
      <c r="C211" s="62"/>
      <c r="D211" s="62"/>
      <c r="E211" s="12">
        <v>0</v>
      </c>
      <c r="F211" s="12">
        <v>0</v>
      </c>
      <c r="G211" s="65"/>
      <c r="H211" s="65"/>
      <c r="I211" s="89"/>
      <c r="J211" s="65"/>
      <c r="K211" s="37"/>
      <c r="L211" s="37"/>
      <c r="M211" s="37"/>
      <c r="N211" s="37"/>
      <c r="O211" s="37"/>
      <c r="P211" s="37"/>
      <c r="Q211" s="37"/>
      <c r="R211" s="37"/>
      <c r="S211" s="37"/>
      <c r="T211" s="37"/>
      <c r="U211" s="3"/>
      <c r="W211" s="3"/>
      <c r="X211" s="3"/>
      <c r="Y211" s="3"/>
      <c r="Z211" s="3"/>
    </row>
    <row r="212" spans="1:26" ht="14.4" hidden="1" outlineLevel="1" x14ac:dyDescent="0.3">
      <c r="A212" s="3"/>
      <c r="B212" s="10" t="s">
        <v>328</v>
      </c>
      <c r="C212" s="62"/>
      <c r="D212" s="62"/>
      <c r="E212" s="12">
        <v>0</v>
      </c>
      <c r="F212" s="12">
        <v>0</v>
      </c>
      <c r="G212" s="65"/>
      <c r="H212" s="65"/>
      <c r="I212" s="89"/>
      <c r="J212" s="65"/>
      <c r="K212" s="37"/>
      <c r="L212" s="37"/>
      <c r="M212" s="37"/>
      <c r="N212" s="37"/>
      <c r="O212" s="37"/>
      <c r="P212" s="37"/>
      <c r="Q212" s="37"/>
      <c r="R212" s="37"/>
      <c r="S212" s="37"/>
      <c r="T212" s="37"/>
      <c r="U212" s="3"/>
      <c r="W212" s="3"/>
      <c r="X212" s="3"/>
      <c r="Y212" s="3"/>
      <c r="Z212" s="3"/>
    </row>
    <row r="213" spans="1:26" ht="14.4" hidden="1" outlineLevel="1" x14ac:dyDescent="0.3">
      <c r="A213" s="3"/>
      <c r="B213" s="10" t="s">
        <v>370</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4.4" hidden="1" outlineLevel="1" x14ac:dyDescent="0.3">
      <c r="A214" s="3"/>
      <c r="B214" s="10" t="s">
        <v>371</v>
      </c>
      <c r="C214" s="62"/>
      <c r="D214" s="62"/>
      <c r="E214" s="12">
        <v>0</v>
      </c>
      <c r="F214" s="12">
        <v>0</v>
      </c>
      <c r="G214" s="65"/>
      <c r="H214" s="65"/>
      <c r="I214" s="89"/>
      <c r="J214" s="65"/>
      <c r="K214" s="37"/>
      <c r="L214" s="37"/>
      <c r="M214" s="37"/>
      <c r="N214" s="37"/>
      <c r="O214" s="37"/>
      <c r="P214" s="37"/>
      <c r="Q214" s="37"/>
      <c r="R214" s="37"/>
      <c r="S214" s="37"/>
      <c r="T214" s="37"/>
      <c r="U214" s="3"/>
      <c r="W214" s="3"/>
      <c r="X214" s="3"/>
      <c r="Y214" s="3"/>
      <c r="Z214" s="3"/>
    </row>
    <row r="215" spans="1:26" ht="14.4" hidden="1" outlineLevel="1" x14ac:dyDescent="0.3">
      <c r="A215" s="3"/>
      <c r="B215" s="10" t="s">
        <v>372</v>
      </c>
      <c r="C215" s="62"/>
      <c r="D215" s="62"/>
      <c r="E215" s="12">
        <v>0</v>
      </c>
      <c r="F215" s="12">
        <v>0</v>
      </c>
      <c r="G215" s="65"/>
      <c r="H215" s="65"/>
      <c r="I215" s="89"/>
      <c r="J215" s="65"/>
      <c r="K215" s="37"/>
      <c r="L215" s="37"/>
      <c r="M215" s="37"/>
      <c r="N215" s="37"/>
      <c r="O215" s="37"/>
      <c r="P215" s="37"/>
      <c r="Q215" s="37"/>
      <c r="R215" s="37"/>
      <c r="S215" s="37"/>
      <c r="T215" s="37"/>
      <c r="U215" s="3"/>
      <c r="W215" s="3"/>
      <c r="X215" s="3"/>
      <c r="Y215" s="3"/>
      <c r="Z215" s="3"/>
    </row>
    <row r="216" spans="1:26" ht="20.399999999999999" collapsed="1" x14ac:dyDescent="0.3">
      <c r="A216" s="3"/>
      <c r="B216" s="84" t="s">
        <v>403</v>
      </c>
      <c r="C216" s="85" t="s">
        <v>43</v>
      </c>
      <c r="D216" s="85" t="s">
        <v>43</v>
      </c>
      <c r="E216" s="86">
        <f>SUM(E217:E225)</f>
        <v>0</v>
      </c>
      <c r="F216" s="86">
        <f>SUMIF(D217:D225,"OK",F217:F225)</f>
        <v>0</v>
      </c>
      <c r="G216" s="87"/>
      <c r="H216" s="87"/>
      <c r="I216" s="88"/>
      <c r="J216" s="87"/>
      <c r="K216" s="37"/>
      <c r="L216" s="37"/>
      <c r="M216" s="37"/>
      <c r="N216" s="37"/>
      <c r="O216" s="37"/>
      <c r="P216" s="37"/>
      <c r="Q216" s="37"/>
      <c r="R216" s="37"/>
      <c r="S216" s="37"/>
      <c r="T216" s="37"/>
      <c r="U216" s="3"/>
      <c r="W216" s="3"/>
      <c r="X216" s="3"/>
      <c r="Y216" s="3"/>
      <c r="Z216" s="3"/>
    </row>
    <row r="217" spans="1:26" ht="14.4" hidden="1" outlineLevel="1" x14ac:dyDescent="0.3">
      <c r="A217" s="3"/>
      <c r="B217" s="10" t="s">
        <v>353</v>
      </c>
      <c r="C217" s="62"/>
      <c r="D217" s="62"/>
      <c r="E217" s="12">
        <v>0</v>
      </c>
      <c r="F217" s="12">
        <v>0</v>
      </c>
      <c r="G217" s="89"/>
      <c r="H217" s="65"/>
      <c r="I217" s="112"/>
      <c r="J217" s="65"/>
      <c r="K217" s="37"/>
      <c r="L217" s="37"/>
      <c r="M217" s="37"/>
      <c r="N217" s="37"/>
      <c r="O217" s="37"/>
      <c r="P217" s="37"/>
      <c r="Q217" s="37"/>
      <c r="R217" s="37"/>
      <c r="S217" s="37"/>
      <c r="T217" s="37"/>
      <c r="U217" s="3"/>
      <c r="W217" s="3"/>
      <c r="X217" s="3"/>
      <c r="Y217" s="3"/>
      <c r="Z217" s="3"/>
    </row>
    <row r="218" spans="1:26" ht="14.4" hidden="1" outlineLevel="1" x14ac:dyDescent="0.3">
      <c r="A218" s="3"/>
      <c r="B218" s="10" t="s">
        <v>354</v>
      </c>
      <c r="C218" s="62"/>
      <c r="D218" s="62"/>
      <c r="E218" s="12">
        <v>0</v>
      </c>
      <c r="F218" s="12">
        <v>0</v>
      </c>
      <c r="G218" s="65"/>
      <c r="H218" s="65"/>
      <c r="I218" s="89"/>
      <c r="J218" s="65"/>
      <c r="K218" s="37"/>
      <c r="L218" s="37"/>
      <c r="M218" s="37"/>
      <c r="N218" s="37"/>
      <c r="O218" s="37"/>
      <c r="P218" s="37"/>
      <c r="Q218" s="37"/>
      <c r="R218" s="37"/>
      <c r="S218" s="37"/>
      <c r="T218" s="37"/>
      <c r="U218" s="3"/>
      <c r="W218" s="3"/>
      <c r="X218" s="3"/>
      <c r="Y218" s="3"/>
      <c r="Z218" s="3"/>
    </row>
    <row r="219" spans="1:26" ht="14.4" hidden="1" outlineLevel="1" x14ac:dyDescent="0.3">
      <c r="A219" s="3"/>
      <c r="B219" s="10" t="s">
        <v>355</v>
      </c>
      <c r="C219" s="62"/>
      <c r="D219" s="62"/>
      <c r="E219" s="12">
        <v>0</v>
      </c>
      <c r="F219" s="12">
        <v>0</v>
      </c>
      <c r="G219" s="65"/>
      <c r="H219" s="65"/>
      <c r="I219" s="89"/>
      <c r="J219" s="65"/>
      <c r="K219" s="37"/>
      <c r="L219" s="37"/>
      <c r="M219" s="37"/>
      <c r="N219" s="37"/>
      <c r="O219" s="37"/>
      <c r="P219" s="37"/>
      <c r="Q219" s="37"/>
      <c r="R219" s="37"/>
      <c r="S219" s="37"/>
      <c r="T219" s="37"/>
      <c r="U219" s="3"/>
      <c r="W219" s="3"/>
      <c r="X219" s="3"/>
      <c r="Y219" s="3"/>
      <c r="Z219" s="3"/>
    </row>
    <row r="220" spans="1:26" ht="14.4" hidden="1" outlineLevel="1" x14ac:dyDescent="0.3">
      <c r="A220" s="3"/>
      <c r="B220" s="10" t="s">
        <v>369</v>
      </c>
      <c r="C220" s="62"/>
      <c r="D220" s="62"/>
      <c r="E220" s="12">
        <v>0</v>
      </c>
      <c r="F220" s="12">
        <v>0</v>
      </c>
      <c r="G220" s="65"/>
      <c r="H220" s="65"/>
      <c r="I220" s="89"/>
      <c r="J220" s="65"/>
      <c r="K220" s="37"/>
      <c r="L220" s="37"/>
      <c r="M220" s="37"/>
      <c r="N220" s="37"/>
      <c r="O220" s="37"/>
      <c r="P220" s="37"/>
      <c r="Q220" s="37"/>
      <c r="R220" s="37"/>
      <c r="S220" s="37"/>
      <c r="T220" s="37"/>
      <c r="U220" s="3"/>
      <c r="W220" s="3"/>
      <c r="X220" s="3"/>
      <c r="Y220" s="3"/>
      <c r="Z220" s="3"/>
    </row>
    <row r="221" spans="1:26" ht="14.4" hidden="1" outlineLevel="1" x14ac:dyDescent="0.3">
      <c r="A221" s="3"/>
      <c r="B221" s="10" t="s">
        <v>327</v>
      </c>
      <c r="C221" s="62"/>
      <c r="D221" s="62"/>
      <c r="E221" s="12">
        <v>0</v>
      </c>
      <c r="F221" s="12">
        <v>0</v>
      </c>
      <c r="G221" s="65"/>
      <c r="H221" s="65"/>
      <c r="I221" s="89"/>
      <c r="J221" s="65"/>
      <c r="K221" s="37"/>
      <c r="L221" s="37"/>
      <c r="M221" s="37"/>
      <c r="N221" s="37"/>
      <c r="O221" s="37"/>
      <c r="P221" s="37"/>
      <c r="Q221" s="37"/>
      <c r="R221" s="37"/>
      <c r="S221" s="37"/>
      <c r="T221" s="37"/>
      <c r="U221" s="3"/>
      <c r="W221" s="3"/>
      <c r="X221" s="3"/>
      <c r="Y221" s="3"/>
      <c r="Z221" s="3"/>
    </row>
    <row r="222" spans="1:26" ht="14.4" hidden="1" outlineLevel="1" x14ac:dyDescent="0.3">
      <c r="A222" s="3"/>
      <c r="B222" s="10" t="s">
        <v>328</v>
      </c>
      <c r="C222" s="62"/>
      <c r="D222" s="62"/>
      <c r="E222" s="12">
        <v>0</v>
      </c>
      <c r="F222" s="12">
        <v>0</v>
      </c>
      <c r="G222" s="65"/>
      <c r="H222" s="65"/>
      <c r="I222" s="89"/>
      <c r="J222" s="65"/>
      <c r="K222" s="37"/>
      <c r="L222" s="37"/>
      <c r="M222" s="37"/>
      <c r="N222" s="37"/>
      <c r="O222" s="37"/>
      <c r="P222" s="37"/>
      <c r="Q222" s="37"/>
      <c r="R222" s="37"/>
      <c r="S222" s="37"/>
      <c r="T222" s="37"/>
      <c r="U222" s="3"/>
      <c r="W222" s="3"/>
      <c r="X222" s="3"/>
      <c r="Y222" s="3"/>
      <c r="Z222" s="3"/>
    </row>
    <row r="223" spans="1:26" ht="14.4" hidden="1" outlineLevel="1" x14ac:dyDescent="0.3">
      <c r="A223" s="3"/>
      <c r="B223" s="10" t="s">
        <v>370</v>
      </c>
      <c r="C223" s="62"/>
      <c r="D223" s="62"/>
      <c r="E223" s="12">
        <v>0</v>
      </c>
      <c r="F223" s="12">
        <v>0</v>
      </c>
      <c r="G223" s="65"/>
      <c r="H223" s="65"/>
      <c r="I223" s="89"/>
      <c r="J223" s="65"/>
      <c r="K223" s="37"/>
      <c r="L223" s="37"/>
      <c r="M223" s="37"/>
      <c r="N223" s="37"/>
      <c r="O223" s="37"/>
      <c r="P223" s="37"/>
      <c r="Q223" s="37"/>
      <c r="R223" s="37"/>
      <c r="S223" s="37"/>
      <c r="T223" s="37"/>
      <c r="U223" s="3"/>
      <c r="W223" s="3"/>
      <c r="X223" s="3"/>
      <c r="Y223" s="3"/>
      <c r="Z223" s="3"/>
    </row>
    <row r="224" spans="1:26" ht="14.4" hidden="1" outlineLevel="1" x14ac:dyDescent="0.3">
      <c r="A224" s="3"/>
      <c r="B224" s="10" t="s">
        <v>371</v>
      </c>
      <c r="C224" s="62"/>
      <c r="D224" s="62"/>
      <c r="E224" s="12">
        <v>0</v>
      </c>
      <c r="F224" s="12">
        <v>0</v>
      </c>
      <c r="G224" s="65"/>
      <c r="H224" s="65"/>
      <c r="I224" s="89"/>
      <c r="J224" s="65"/>
      <c r="K224" s="37"/>
      <c r="L224" s="37"/>
      <c r="M224" s="37"/>
      <c r="N224" s="37"/>
      <c r="O224" s="37"/>
      <c r="P224" s="37"/>
      <c r="Q224" s="37"/>
      <c r="R224" s="37"/>
      <c r="S224" s="37"/>
      <c r="T224" s="37"/>
      <c r="U224" s="3"/>
      <c r="W224" s="3"/>
      <c r="X224" s="3"/>
      <c r="Y224" s="3"/>
      <c r="Z224" s="3"/>
    </row>
    <row r="225" spans="1:26" ht="14.4" hidden="1" outlineLevel="1" x14ac:dyDescent="0.3">
      <c r="A225" s="3"/>
      <c r="B225" s="10" t="s">
        <v>372</v>
      </c>
      <c r="C225" s="62"/>
      <c r="D225" s="62"/>
      <c r="E225" s="12">
        <v>0</v>
      </c>
      <c r="F225" s="12">
        <v>0</v>
      </c>
      <c r="G225" s="65"/>
      <c r="H225" s="65"/>
      <c r="I225" s="89"/>
      <c r="J225" s="65"/>
      <c r="K225" s="37"/>
      <c r="L225" s="37"/>
      <c r="M225" s="37"/>
      <c r="N225" s="37"/>
      <c r="O225" s="37"/>
      <c r="P225" s="37"/>
      <c r="Q225" s="37"/>
      <c r="R225" s="37"/>
      <c r="S225" s="37"/>
      <c r="T225" s="37"/>
      <c r="U225" s="3"/>
      <c r="W225" s="3"/>
      <c r="X225" s="3"/>
      <c r="Y225" s="3"/>
      <c r="Z225" s="3"/>
    </row>
    <row r="226" spans="1:26" ht="20.399999999999999" collapsed="1" x14ac:dyDescent="0.3">
      <c r="A226" s="3"/>
      <c r="B226" s="84" t="s">
        <v>405</v>
      </c>
      <c r="C226" s="85" t="s">
        <v>43</v>
      </c>
      <c r="D226" s="85" t="s">
        <v>43</v>
      </c>
      <c r="E226" s="86">
        <f>SUM(E227:E235)</f>
        <v>0</v>
      </c>
      <c r="F226" s="86">
        <f>SUMIF(D227:D235,"OK",F227:F235)</f>
        <v>0</v>
      </c>
      <c r="G226" s="87"/>
      <c r="H226" s="87"/>
      <c r="I226" s="88"/>
      <c r="J226" s="87"/>
      <c r="K226" s="37"/>
      <c r="L226" s="37"/>
      <c r="M226" s="37"/>
      <c r="N226" s="37"/>
      <c r="O226" s="37"/>
      <c r="P226" s="37"/>
      <c r="Q226" s="37"/>
      <c r="R226" s="37"/>
      <c r="S226" s="37"/>
      <c r="T226" s="37"/>
      <c r="U226" s="3"/>
      <c r="W226" s="3"/>
      <c r="X226" s="3"/>
      <c r="Y226" s="3"/>
      <c r="Z226" s="3"/>
    </row>
    <row r="227" spans="1:26" ht="14.4" hidden="1" outlineLevel="1" x14ac:dyDescent="0.3">
      <c r="A227" s="3"/>
      <c r="B227" s="10" t="s">
        <v>353</v>
      </c>
      <c r="C227" s="62"/>
      <c r="D227" s="62"/>
      <c r="E227" s="12">
        <v>0</v>
      </c>
      <c r="F227" s="12">
        <v>0</v>
      </c>
      <c r="G227" s="65"/>
      <c r="H227" s="65"/>
      <c r="I227" s="89"/>
      <c r="J227" s="65"/>
      <c r="K227" s="37"/>
      <c r="L227" s="37"/>
      <c r="M227" s="37"/>
      <c r="N227" s="37"/>
      <c r="O227" s="37"/>
      <c r="P227" s="37"/>
      <c r="Q227" s="37"/>
      <c r="R227" s="37"/>
      <c r="S227" s="37"/>
      <c r="T227" s="37"/>
      <c r="U227" s="3"/>
      <c r="W227" s="3"/>
      <c r="X227" s="3"/>
      <c r="Y227" s="3"/>
      <c r="Z227" s="3"/>
    </row>
    <row r="228" spans="1:26" ht="14.4" hidden="1" outlineLevel="1" x14ac:dyDescent="0.3">
      <c r="A228" s="3"/>
      <c r="B228" s="10" t="s">
        <v>354</v>
      </c>
      <c r="C228" s="62"/>
      <c r="D228" s="62"/>
      <c r="E228" s="12">
        <v>0</v>
      </c>
      <c r="F228" s="12">
        <v>0</v>
      </c>
      <c r="G228" s="65"/>
      <c r="H228" s="65"/>
      <c r="I228" s="89"/>
      <c r="J228" s="65"/>
      <c r="K228" s="37"/>
      <c r="L228" s="37"/>
      <c r="M228" s="37"/>
      <c r="N228" s="37"/>
      <c r="O228" s="37"/>
      <c r="P228" s="37"/>
      <c r="Q228" s="37"/>
      <c r="R228" s="37"/>
      <c r="S228" s="37"/>
      <c r="T228" s="37"/>
      <c r="U228" s="3"/>
      <c r="W228" s="3"/>
      <c r="X228" s="3"/>
      <c r="Y228" s="3"/>
      <c r="Z228" s="3"/>
    </row>
    <row r="229" spans="1:26" ht="14.4" hidden="1" outlineLevel="1" x14ac:dyDescent="0.3">
      <c r="A229" s="3"/>
      <c r="B229" s="10" t="s">
        <v>355</v>
      </c>
      <c r="C229" s="62"/>
      <c r="D229" s="62"/>
      <c r="E229" s="12">
        <v>0</v>
      </c>
      <c r="F229" s="12">
        <v>0</v>
      </c>
      <c r="G229" s="65"/>
      <c r="H229" s="65"/>
      <c r="I229" s="89"/>
      <c r="J229" s="65"/>
      <c r="K229" s="37"/>
      <c r="L229" s="37"/>
      <c r="M229" s="37"/>
      <c r="N229" s="37"/>
      <c r="O229" s="37"/>
      <c r="P229" s="37"/>
      <c r="Q229" s="37"/>
      <c r="R229" s="37"/>
      <c r="S229" s="37"/>
      <c r="T229" s="37"/>
      <c r="U229" s="3"/>
      <c r="W229" s="3"/>
      <c r="X229" s="3"/>
      <c r="Y229" s="3"/>
      <c r="Z229" s="3"/>
    </row>
    <row r="230" spans="1:26" ht="14.4" hidden="1" outlineLevel="1" x14ac:dyDescent="0.3">
      <c r="A230" s="3"/>
      <c r="B230" s="10" t="s">
        <v>369</v>
      </c>
      <c r="C230" s="62"/>
      <c r="D230" s="62"/>
      <c r="E230" s="12">
        <v>0</v>
      </c>
      <c r="F230" s="12">
        <v>0</v>
      </c>
      <c r="G230" s="65"/>
      <c r="H230" s="65"/>
      <c r="I230" s="89"/>
      <c r="J230" s="65"/>
      <c r="K230" s="37"/>
      <c r="L230" s="37"/>
      <c r="M230" s="37"/>
      <c r="N230" s="37"/>
      <c r="O230" s="37"/>
      <c r="P230" s="37"/>
      <c r="Q230" s="37"/>
      <c r="R230" s="37"/>
      <c r="S230" s="37"/>
      <c r="T230" s="37"/>
      <c r="U230" s="3"/>
      <c r="W230" s="3"/>
      <c r="X230" s="3"/>
      <c r="Y230" s="3"/>
      <c r="Z230" s="3"/>
    </row>
    <row r="231" spans="1:26" ht="14.4" hidden="1" outlineLevel="1" x14ac:dyDescent="0.3">
      <c r="A231" s="3"/>
      <c r="B231" s="10" t="s">
        <v>327</v>
      </c>
      <c r="C231" s="62"/>
      <c r="D231" s="62"/>
      <c r="E231" s="12">
        <v>0</v>
      </c>
      <c r="F231" s="12">
        <v>0</v>
      </c>
      <c r="G231" s="65"/>
      <c r="H231" s="65"/>
      <c r="I231" s="89"/>
      <c r="J231" s="65"/>
      <c r="K231" s="37"/>
      <c r="L231" s="37"/>
      <c r="M231" s="37"/>
      <c r="N231" s="37"/>
      <c r="O231" s="37"/>
      <c r="P231" s="37"/>
      <c r="Q231" s="37"/>
      <c r="R231" s="37"/>
      <c r="S231" s="37"/>
      <c r="T231" s="37"/>
      <c r="U231" s="3"/>
      <c r="W231" s="3"/>
      <c r="X231" s="3"/>
      <c r="Y231" s="3"/>
      <c r="Z231" s="3"/>
    </row>
    <row r="232" spans="1:26" ht="14.4" hidden="1" outlineLevel="1" x14ac:dyDescent="0.3">
      <c r="A232" s="3"/>
      <c r="B232" s="10" t="s">
        <v>328</v>
      </c>
      <c r="C232" s="62"/>
      <c r="D232" s="62"/>
      <c r="E232" s="12">
        <v>0</v>
      </c>
      <c r="F232" s="12">
        <v>0</v>
      </c>
      <c r="G232" s="65"/>
      <c r="H232" s="65"/>
      <c r="I232" s="89"/>
      <c r="J232" s="65"/>
      <c r="K232" s="37"/>
      <c r="L232" s="37"/>
      <c r="M232" s="37"/>
      <c r="N232" s="37"/>
      <c r="O232" s="37"/>
      <c r="P232" s="37"/>
      <c r="Q232" s="37"/>
      <c r="R232" s="37"/>
      <c r="S232" s="37"/>
      <c r="T232" s="37"/>
      <c r="U232" s="3"/>
      <c r="W232" s="3"/>
      <c r="X232" s="3"/>
      <c r="Y232" s="3"/>
      <c r="Z232" s="3"/>
    </row>
    <row r="233" spans="1:26" ht="14.4" hidden="1" outlineLevel="1" x14ac:dyDescent="0.3">
      <c r="A233" s="3"/>
      <c r="B233" s="10" t="s">
        <v>370</v>
      </c>
      <c r="C233" s="62"/>
      <c r="D233" s="62"/>
      <c r="E233" s="12">
        <v>0</v>
      </c>
      <c r="F233" s="12">
        <v>0</v>
      </c>
      <c r="G233" s="65"/>
      <c r="H233" s="65"/>
      <c r="I233" s="89"/>
      <c r="J233" s="65"/>
      <c r="K233" s="37"/>
      <c r="L233" s="37"/>
      <c r="M233" s="37"/>
      <c r="N233" s="37"/>
      <c r="O233" s="37"/>
      <c r="P233" s="37"/>
      <c r="Q233" s="37"/>
      <c r="R233" s="37"/>
      <c r="S233" s="37"/>
      <c r="T233" s="37"/>
      <c r="U233" s="3"/>
      <c r="W233" s="3"/>
      <c r="X233" s="3"/>
      <c r="Y233" s="3"/>
      <c r="Z233" s="3"/>
    </row>
    <row r="234" spans="1:26" ht="14.4" hidden="1" outlineLevel="1" x14ac:dyDescent="0.3">
      <c r="A234" s="3"/>
      <c r="B234" s="10" t="s">
        <v>371</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14.4" hidden="1" outlineLevel="1" x14ac:dyDescent="0.3">
      <c r="A235" s="3"/>
      <c r="B235" s="10" t="s">
        <v>372</v>
      </c>
      <c r="C235" s="62"/>
      <c r="D235" s="62"/>
      <c r="E235" s="12">
        <v>0</v>
      </c>
      <c r="F235" s="12">
        <v>0</v>
      </c>
      <c r="G235" s="65"/>
      <c r="H235" s="65"/>
      <c r="I235" s="89"/>
      <c r="J235" s="65"/>
      <c r="K235" s="37"/>
      <c r="L235" s="37"/>
      <c r="M235" s="37"/>
      <c r="N235" s="37"/>
      <c r="O235" s="37"/>
      <c r="P235" s="37"/>
      <c r="Q235" s="37"/>
      <c r="R235" s="37"/>
      <c r="S235" s="37"/>
      <c r="T235" s="37"/>
      <c r="U235" s="3"/>
      <c r="W235" s="3"/>
      <c r="X235" s="3"/>
      <c r="Y235" s="3"/>
      <c r="Z235" s="3"/>
    </row>
    <row r="236" spans="1:26" ht="20.399999999999999" collapsed="1" x14ac:dyDescent="0.3">
      <c r="A236" s="3"/>
      <c r="B236" s="84" t="s">
        <v>408</v>
      </c>
      <c r="C236" s="85" t="s">
        <v>43</v>
      </c>
      <c r="D236" s="85" t="s">
        <v>43</v>
      </c>
      <c r="E236" s="86">
        <f t="shared" ref="E236:F236" si="3">SUM(E237,E247,E257,E267)</f>
        <v>0</v>
      </c>
      <c r="F236" s="86">
        <f t="shared" si="3"/>
        <v>1463.5</v>
      </c>
      <c r="G236" s="87"/>
      <c r="H236" s="87"/>
      <c r="I236" s="88"/>
      <c r="J236" s="87"/>
      <c r="K236" s="37"/>
      <c r="L236" s="37"/>
      <c r="M236" s="37"/>
      <c r="N236" s="37"/>
      <c r="O236" s="37"/>
      <c r="P236" s="37"/>
      <c r="Q236" s="37"/>
      <c r="R236" s="37"/>
      <c r="S236" s="37"/>
      <c r="T236" s="37"/>
      <c r="U236" s="3"/>
      <c r="W236" s="3"/>
      <c r="X236" s="3"/>
      <c r="Y236" s="3"/>
      <c r="Z236" s="3"/>
    </row>
    <row r="237" spans="1:26" hidden="1" outlineLevel="1" x14ac:dyDescent="0.3">
      <c r="A237" s="3"/>
      <c r="B237" s="91" t="s">
        <v>232</v>
      </c>
      <c r="C237" s="92"/>
      <c r="D237" s="92"/>
      <c r="E237" s="93">
        <f>SUM(E238:E246)</f>
        <v>0</v>
      </c>
      <c r="F237" s="93">
        <f>SUMIF(D238:D246,"OK",F238:F246)</f>
        <v>0</v>
      </c>
      <c r="G237" s="94"/>
      <c r="H237" s="94"/>
      <c r="I237" s="95"/>
      <c r="J237" s="94"/>
      <c r="K237" s="37"/>
      <c r="L237" s="37"/>
      <c r="M237" s="37"/>
      <c r="N237" s="37"/>
      <c r="O237" s="37"/>
      <c r="P237" s="37"/>
      <c r="Q237" s="37"/>
      <c r="R237" s="37"/>
      <c r="S237" s="37"/>
      <c r="T237" s="37"/>
      <c r="U237" s="3"/>
      <c r="W237" s="3"/>
      <c r="X237" s="3"/>
      <c r="Y237" s="3"/>
      <c r="Z237" s="3"/>
    </row>
    <row r="238" spans="1:26" ht="14.4" hidden="1" outlineLevel="1" x14ac:dyDescent="0.3">
      <c r="A238" s="3"/>
      <c r="B238" s="10" t="s">
        <v>353</v>
      </c>
      <c r="C238" s="62"/>
      <c r="D238" s="62"/>
      <c r="E238" s="12">
        <v>0</v>
      </c>
      <c r="F238" s="12">
        <v>0</v>
      </c>
      <c r="G238" s="65"/>
      <c r="H238" s="65"/>
      <c r="I238" s="126"/>
      <c r="J238" s="65"/>
      <c r="K238" s="37"/>
      <c r="L238" s="37"/>
      <c r="M238" s="37"/>
      <c r="N238" s="37"/>
      <c r="O238" s="37"/>
      <c r="P238" s="37"/>
      <c r="Q238" s="37"/>
      <c r="R238" s="37"/>
      <c r="S238" s="37"/>
      <c r="T238" s="37"/>
      <c r="U238" s="3"/>
      <c r="W238" s="3"/>
      <c r="X238" s="3"/>
      <c r="Y238" s="3"/>
      <c r="Z238" s="3"/>
    </row>
    <row r="239" spans="1:26" ht="14.4" hidden="1" outlineLevel="1" x14ac:dyDescent="0.3">
      <c r="A239" s="3"/>
      <c r="B239" s="10" t="s">
        <v>354</v>
      </c>
      <c r="C239" s="62"/>
      <c r="D239" s="62"/>
      <c r="E239" s="12">
        <v>0</v>
      </c>
      <c r="F239" s="12">
        <v>0</v>
      </c>
      <c r="G239" s="65"/>
      <c r="H239" s="65"/>
      <c r="I239" s="126"/>
      <c r="J239" s="65"/>
      <c r="K239" s="37"/>
      <c r="L239" s="37"/>
      <c r="M239" s="37"/>
      <c r="N239" s="37"/>
      <c r="O239" s="37"/>
      <c r="P239" s="37"/>
      <c r="Q239" s="37"/>
      <c r="R239" s="37"/>
      <c r="S239" s="37"/>
      <c r="T239" s="37"/>
      <c r="U239" s="3"/>
      <c r="W239" s="3"/>
      <c r="X239" s="3"/>
      <c r="Y239" s="3"/>
      <c r="Z239" s="3"/>
    </row>
    <row r="240" spans="1:26" ht="14.4" hidden="1" outlineLevel="1" x14ac:dyDescent="0.3">
      <c r="A240" s="3"/>
      <c r="B240" s="10" t="s">
        <v>355</v>
      </c>
      <c r="C240" s="62"/>
      <c r="D240" s="62"/>
      <c r="E240" s="12">
        <v>0</v>
      </c>
      <c r="F240" s="12">
        <v>0</v>
      </c>
      <c r="G240" s="65"/>
      <c r="H240" s="65"/>
      <c r="I240" s="126"/>
      <c r="J240" s="65"/>
      <c r="K240" s="37"/>
      <c r="L240" s="37"/>
      <c r="M240" s="37"/>
      <c r="N240" s="37"/>
      <c r="O240" s="37"/>
      <c r="P240" s="37"/>
      <c r="Q240" s="37"/>
      <c r="R240" s="37"/>
      <c r="S240" s="37"/>
      <c r="T240" s="37"/>
      <c r="U240" s="3"/>
      <c r="W240" s="3"/>
      <c r="X240" s="3"/>
      <c r="Y240" s="3"/>
      <c r="Z240" s="3"/>
    </row>
    <row r="241" spans="1:26" ht="14.4" hidden="1" outlineLevel="1" x14ac:dyDescent="0.3">
      <c r="A241" s="3"/>
      <c r="B241" s="10" t="s">
        <v>369</v>
      </c>
      <c r="C241" s="62"/>
      <c r="D241" s="62"/>
      <c r="E241" s="12">
        <v>0</v>
      </c>
      <c r="F241" s="12">
        <v>0</v>
      </c>
      <c r="G241" s="65"/>
      <c r="H241" s="65"/>
      <c r="I241" s="112"/>
      <c r="J241" s="65"/>
      <c r="K241" s="37"/>
      <c r="L241" s="37"/>
      <c r="M241" s="37"/>
      <c r="N241" s="37"/>
      <c r="O241" s="37"/>
      <c r="P241" s="37"/>
      <c r="Q241" s="37"/>
      <c r="R241" s="37"/>
      <c r="S241" s="37"/>
      <c r="T241" s="37"/>
      <c r="U241" s="3"/>
      <c r="W241" s="3"/>
      <c r="X241" s="3"/>
      <c r="Y241" s="3"/>
      <c r="Z241" s="3"/>
    </row>
    <row r="242" spans="1:26" ht="14.4" hidden="1" outlineLevel="1" x14ac:dyDescent="0.3">
      <c r="A242" s="3"/>
      <c r="B242" s="10" t="s">
        <v>327</v>
      </c>
      <c r="C242" s="62"/>
      <c r="D242" s="62"/>
      <c r="E242" s="12">
        <v>0</v>
      </c>
      <c r="F242" s="12">
        <v>0</v>
      </c>
      <c r="G242" s="65"/>
      <c r="H242" s="65"/>
      <c r="I242" s="112"/>
      <c r="J242" s="65"/>
      <c r="K242" s="37"/>
      <c r="L242" s="37"/>
      <c r="M242" s="37"/>
      <c r="N242" s="37"/>
      <c r="O242" s="37"/>
      <c r="P242" s="37"/>
      <c r="Q242" s="37"/>
      <c r="R242" s="37"/>
      <c r="S242" s="37"/>
      <c r="T242" s="37"/>
      <c r="U242" s="3"/>
      <c r="W242" s="3"/>
      <c r="X242" s="3"/>
      <c r="Y242" s="3"/>
      <c r="Z242" s="3"/>
    </row>
    <row r="243" spans="1:26" ht="14.4" hidden="1" outlineLevel="1" x14ac:dyDescent="0.3">
      <c r="A243" s="3"/>
      <c r="B243" s="10" t="s">
        <v>328</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14.4" hidden="1" outlineLevel="1" x14ac:dyDescent="0.3">
      <c r="A244" s="3"/>
      <c r="B244" s="10" t="s">
        <v>370</v>
      </c>
      <c r="C244" s="62"/>
      <c r="D244" s="62"/>
      <c r="E244" s="12">
        <v>0</v>
      </c>
      <c r="F244" s="12">
        <v>0</v>
      </c>
      <c r="G244" s="65"/>
      <c r="H244" s="65"/>
      <c r="I244" s="89"/>
      <c r="J244" s="65"/>
      <c r="K244" s="37"/>
      <c r="L244" s="37"/>
      <c r="M244" s="37"/>
      <c r="N244" s="37"/>
      <c r="O244" s="37"/>
      <c r="P244" s="37"/>
      <c r="Q244" s="37"/>
      <c r="R244" s="37"/>
      <c r="S244" s="37"/>
      <c r="T244" s="37"/>
      <c r="U244" s="3"/>
      <c r="W244" s="3"/>
      <c r="X244" s="3"/>
      <c r="Y244" s="3"/>
      <c r="Z244" s="3"/>
    </row>
    <row r="245" spans="1:26" ht="14.4" hidden="1" outlineLevel="1" x14ac:dyDescent="0.3">
      <c r="A245" s="3"/>
      <c r="B245" s="10" t="s">
        <v>371</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t="14.4" hidden="1" outlineLevel="1" x14ac:dyDescent="0.3">
      <c r="A246" s="3"/>
      <c r="B246" s="10" t="s">
        <v>372</v>
      </c>
      <c r="C246" s="62"/>
      <c r="D246" s="62"/>
      <c r="E246" s="12">
        <v>0</v>
      </c>
      <c r="F246" s="12">
        <v>0</v>
      </c>
      <c r="G246" s="65"/>
      <c r="H246" s="65"/>
      <c r="I246" s="89"/>
      <c r="J246" s="65"/>
      <c r="K246" s="37"/>
      <c r="L246" s="37"/>
      <c r="M246" s="37"/>
      <c r="N246" s="37"/>
      <c r="O246" s="37"/>
      <c r="P246" s="37"/>
      <c r="Q246" s="37"/>
      <c r="R246" s="37"/>
      <c r="S246" s="37"/>
      <c r="T246" s="37"/>
      <c r="U246" s="3"/>
      <c r="W246" s="3"/>
      <c r="X246" s="3"/>
      <c r="Y246" s="3"/>
      <c r="Z246" s="3"/>
    </row>
    <row r="247" spans="1:26" hidden="1" outlineLevel="1" x14ac:dyDescent="0.3">
      <c r="A247" s="3"/>
      <c r="B247" s="91" t="s">
        <v>62</v>
      </c>
      <c r="C247" s="92"/>
      <c r="D247" s="92"/>
      <c r="E247" s="93">
        <f>SUM(E248:E256)</f>
        <v>0</v>
      </c>
      <c r="F247" s="93">
        <f>SUMIF(D248:D256,"OK",F248:F256)</f>
        <v>1463.5</v>
      </c>
      <c r="G247" s="94"/>
      <c r="H247" s="94"/>
      <c r="I247" s="95"/>
      <c r="J247" s="94"/>
      <c r="K247" s="37"/>
      <c r="L247" s="37"/>
      <c r="M247" s="37"/>
      <c r="N247" s="37"/>
      <c r="O247" s="37"/>
      <c r="P247" s="37"/>
      <c r="Q247" s="37"/>
      <c r="R247" s="37"/>
      <c r="S247" s="37"/>
      <c r="T247" s="37"/>
      <c r="U247" s="3"/>
      <c r="W247" s="3"/>
      <c r="X247" s="3"/>
      <c r="Y247" s="3"/>
      <c r="Z247" s="3"/>
    </row>
    <row r="248" spans="1:26" ht="14.4" hidden="1" outlineLevel="1" x14ac:dyDescent="0.3">
      <c r="A248" s="3"/>
      <c r="B248" s="10" t="s">
        <v>872</v>
      </c>
      <c r="C248" s="62">
        <v>4</v>
      </c>
      <c r="D248" s="62" t="s">
        <v>94</v>
      </c>
      <c r="E248" s="12">
        <v>0</v>
      </c>
      <c r="F248" s="12">
        <v>83</v>
      </c>
      <c r="G248" s="65" t="s">
        <v>873</v>
      </c>
      <c r="H248" s="65" t="s">
        <v>37</v>
      </c>
      <c r="I248" s="112" t="s">
        <v>874</v>
      </c>
      <c r="J248" s="65"/>
      <c r="K248" s="37"/>
      <c r="L248" s="37"/>
      <c r="M248" s="37"/>
      <c r="N248" s="37"/>
      <c r="O248" s="37"/>
      <c r="P248" s="37"/>
      <c r="Q248" s="37"/>
      <c r="R248" s="37"/>
      <c r="S248" s="37"/>
      <c r="T248" s="37"/>
      <c r="U248" s="3"/>
      <c r="W248" s="3"/>
      <c r="X248" s="3"/>
      <c r="Y248" s="3"/>
      <c r="Z248" s="3"/>
    </row>
    <row r="249" spans="1:26" ht="14.4" hidden="1" outlineLevel="1" x14ac:dyDescent="0.3">
      <c r="A249" s="3"/>
      <c r="B249" s="10" t="s">
        <v>875</v>
      </c>
      <c r="C249" s="62">
        <v>5</v>
      </c>
      <c r="D249" s="62" t="s">
        <v>94</v>
      </c>
      <c r="E249" s="12">
        <v>0</v>
      </c>
      <c r="F249" s="12">
        <v>914.5</v>
      </c>
      <c r="G249" s="65"/>
      <c r="H249" s="65" t="s">
        <v>37</v>
      </c>
      <c r="I249" s="112" t="s">
        <v>876</v>
      </c>
      <c r="J249" s="65"/>
      <c r="K249" s="37"/>
      <c r="L249" s="37"/>
      <c r="M249" s="37"/>
      <c r="N249" s="37"/>
      <c r="O249" s="37"/>
      <c r="P249" s="37"/>
      <c r="Q249" s="37"/>
      <c r="R249" s="37"/>
      <c r="S249" s="37"/>
      <c r="T249" s="37"/>
      <c r="U249" s="3"/>
      <c r="W249" s="3"/>
      <c r="X249" s="3"/>
      <c r="Y249" s="3"/>
      <c r="Z249" s="3"/>
    </row>
    <row r="250" spans="1:26" ht="14.4" hidden="1" outlineLevel="1" x14ac:dyDescent="0.3">
      <c r="A250" s="3"/>
      <c r="B250" s="10" t="s">
        <v>877</v>
      </c>
      <c r="C250" s="62">
        <v>8</v>
      </c>
      <c r="D250" s="62" t="s">
        <v>94</v>
      </c>
      <c r="E250" s="12">
        <v>0</v>
      </c>
      <c r="F250" s="12">
        <v>466</v>
      </c>
      <c r="G250" s="65" t="s">
        <v>878</v>
      </c>
      <c r="H250" s="65" t="s">
        <v>37</v>
      </c>
      <c r="I250" s="112" t="s">
        <v>879</v>
      </c>
      <c r="J250" s="65"/>
      <c r="K250" s="37"/>
      <c r="L250" s="37"/>
      <c r="M250" s="37"/>
      <c r="N250" s="37"/>
      <c r="O250" s="37"/>
      <c r="P250" s="37"/>
      <c r="Q250" s="37"/>
      <c r="R250" s="37"/>
      <c r="S250" s="37"/>
      <c r="T250" s="37"/>
      <c r="U250" s="3"/>
      <c r="W250" s="3"/>
      <c r="X250" s="3"/>
      <c r="Y250" s="3"/>
      <c r="Z250" s="3"/>
    </row>
    <row r="251" spans="1:26" ht="14.4" hidden="1" outlineLevel="1" x14ac:dyDescent="0.3">
      <c r="A251" s="3"/>
      <c r="B251" s="10" t="s">
        <v>369</v>
      </c>
      <c r="C251" s="62"/>
      <c r="D251" s="62"/>
      <c r="E251" s="12">
        <v>0</v>
      </c>
      <c r="F251" s="12">
        <v>0</v>
      </c>
      <c r="G251" s="65"/>
      <c r="H251" s="65"/>
      <c r="I251" s="112"/>
      <c r="J251" s="65"/>
      <c r="K251" s="37"/>
      <c r="L251" s="37"/>
      <c r="M251" s="37"/>
      <c r="N251" s="37"/>
      <c r="O251" s="37"/>
      <c r="P251" s="37"/>
      <c r="Q251" s="37"/>
      <c r="R251" s="37"/>
      <c r="S251" s="37"/>
      <c r="T251" s="37"/>
      <c r="U251" s="3"/>
      <c r="W251" s="3"/>
      <c r="X251" s="3"/>
      <c r="Y251" s="3"/>
      <c r="Z251" s="3"/>
    </row>
    <row r="252" spans="1:26" ht="14.4" hidden="1" outlineLevel="1" x14ac:dyDescent="0.3">
      <c r="A252" s="3"/>
      <c r="B252" s="10" t="s">
        <v>327</v>
      </c>
      <c r="C252" s="62"/>
      <c r="D252" s="62"/>
      <c r="E252" s="12">
        <v>0</v>
      </c>
      <c r="F252" s="12">
        <v>0</v>
      </c>
      <c r="G252" s="65"/>
      <c r="H252" s="65"/>
      <c r="I252" s="112"/>
      <c r="J252" s="65"/>
      <c r="K252" s="37"/>
      <c r="L252" s="37"/>
      <c r="M252" s="37"/>
      <c r="N252" s="37"/>
      <c r="O252" s="37"/>
      <c r="P252" s="37"/>
      <c r="Q252" s="37"/>
      <c r="R252" s="37"/>
      <c r="S252" s="37"/>
      <c r="T252" s="37"/>
      <c r="U252" s="3"/>
      <c r="W252" s="3"/>
      <c r="X252" s="3"/>
      <c r="Y252" s="3"/>
      <c r="Z252" s="3"/>
    </row>
    <row r="253" spans="1:26" ht="14.4" hidden="1" outlineLevel="1" x14ac:dyDescent="0.3">
      <c r="A253" s="3"/>
      <c r="B253" s="10" t="s">
        <v>328</v>
      </c>
      <c r="C253" s="62"/>
      <c r="D253" s="62"/>
      <c r="E253" s="12">
        <v>0</v>
      </c>
      <c r="F253" s="12">
        <v>0</v>
      </c>
      <c r="G253" s="65"/>
      <c r="H253" s="65"/>
      <c r="I253" s="112"/>
      <c r="J253" s="65"/>
      <c r="K253" s="37"/>
      <c r="L253" s="37"/>
      <c r="M253" s="37"/>
      <c r="N253" s="37"/>
      <c r="O253" s="37"/>
      <c r="P253" s="37"/>
      <c r="Q253" s="37"/>
      <c r="R253" s="37"/>
      <c r="S253" s="37"/>
      <c r="T253" s="37"/>
      <c r="U253" s="3"/>
      <c r="W253" s="3"/>
      <c r="X253" s="3"/>
      <c r="Y253" s="3"/>
      <c r="Z253" s="3"/>
    </row>
    <row r="254" spans="1:26" ht="14.4" hidden="1" outlineLevel="1" x14ac:dyDescent="0.3">
      <c r="A254" s="3"/>
      <c r="B254" s="10" t="s">
        <v>370</v>
      </c>
      <c r="C254" s="62"/>
      <c r="D254" s="62"/>
      <c r="E254" s="12">
        <v>0</v>
      </c>
      <c r="F254" s="12">
        <v>0</v>
      </c>
      <c r="G254" s="65"/>
      <c r="H254" s="65"/>
      <c r="I254" s="112"/>
      <c r="J254" s="65"/>
      <c r="K254" s="37"/>
      <c r="L254" s="37"/>
      <c r="M254" s="37"/>
      <c r="N254" s="37"/>
      <c r="O254" s="37"/>
      <c r="P254" s="37"/>
      <c r="Q254" s="37"/>
      <c r="R254" s="37"/>
      <c r="S254" s="37"/>
      <c r="T254" s="37"/>
      <c r="U254" s="3"/>
      <c r="W254" s="3"/>
      <c r="X254" s="3"/>
      <c r="Y254" s="3"/>
      <c r="Z254" s="3"/>
    </row>
    <row r="255" spans="1:26" ht="14.4" hidden="1" outlineLevel="1" x14ac:dyDescent="0.3">
      <c r="A255" s="3"/>
      <c r="B255" s="10" t="s">
        <v>371</v>
      </c>
      <c r="C255" s="62"/>
      <c r="D255" s="62"/>
      <c r="E255" s="12">
        <v>0</v>
      </c>
      <c r="F255" s="12">
        <v>0</v>
      </c>
      <c r="G255" s="65"/>
      <c r="H255" s="65"/>
      <c r="I255" s="112"/>
      <c r="J255" s="65"/>
      <c r="K255" s="37"/>
      <c r="L255" s="37"/>
      <c r="M255" s="37"/>
      <c r="N255" s="37"/>
      <c r="O255" s="37"/>
      <c r="P255" s="37"/>
      <c r="Q255" s="37"/>
      <c r="R255" s="37"/>
      <c r="S255" s="37"/>
      <c r="T255" s="37"/>
      <c r="U255" s="3"/>
      <c r="W255" s="3"/>
      <c r="X255" s="3"/>
      <c r="Y255" s="3"/>
      <c r="Z255" s="3"/>
    </row>
    <row r="256" spans="1:26" ht="14.4" hidden="1" outlineLevel="1" x14ac:dyDescent="0.3">
      <c r="A256" s="3"/>
      <c r="B256" s="10" t="s">
        <v>372</v>
      </c>
      <c r="C256" s="62"/>
      <c r="D256" s="62"/>
      <c r="E256" s="12">
        <v>0</v>
      </c>
      <c r="F256" s="12">
        <v>0</v>
      </c>
      <c r="G256" s="65"/>
      <c r="H256" s="65"/>
      <c r="I256" s="89"/>
      <c r="J256" s="65"/>
      <c r="K256" s="37"/>
      <c r="L256" s="37"/>
      <c r="M256" s="37"/>
      <c r="N256" s="37"/>
      <c r="O256" s="37"/>
      <c r="P256" s="37"/>
      <c r="Q256" s="37"/>
      <c r="R256" s="37"/>
      <c r="S256" s="37"/>
      <c r="T256" s="37"/>
      <c r="U256" s="3"/>
      <c r="W256" s="3"/>
      <c r="X256" s="3"/>
      <c r="Y256" s="3"/>
      <c r="Z256" s="3"/>
    </row>
    <row r="257" spans="1:26" hidden="1" outlineLevel="1" x14ac:dyDescent="0.3">
      <c r="A257" s="3"/>
      <c r="B257" s="91" t="s">
        <v>62</v>
      </c>
      <c r="C257" s="92"/>
      <c r="D257" s="92"/>
      <c r="E257" s="93">
        <f>SUM(E258:E266)</f>
        <v>0</v>
      </c>
      <c r="F257" s="93">
        <f>SUMIF(D258:D266,"OK",F258:F266)</f>
        <v>0</v>
      </c>
      <c r="G257" s="94"/>
      <c r="H257" s="94"/>
      <c r="I257" s="95"/>
      <c r="J257" s="94"/>
      <c r="K257" s="37"/>
      <c r="L257" s="37"/>
      <c r="M257" s="37"/>
      <c r="N257" s="37"/>
      <c r="O257" s="37"/>
      <c r="P257" s="37"/>
      <c r="Q257" s="37"/>
      <c r="R257" s="37"/>
      <c r="S257" s="37"/>
      <c r="T257" s="37"/>
      <c r="U257" s="3"/>
      <c r="W257" s="3"/>
      <c r="X257" s="3"/>
      <c r="Y257" s="3"/>
      <c r="Z257" s="3"/>
    </row>
    <row r="258" spans="1:26" ht="14.4" hidden="1" outlineLevel="1" x14ac:dyDescent="0.3">
      <c r="A258" s="3"/>
      <c r="B258" s="10" t="s">
        <v>353</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14.4" hidden="1" outlineLevel="1" x14ac:dyDescent="0.3">
      <c r="A259" s="3"/>
      <c r="B259" s="10" t="s">
        <v>354</v>
      </c>
      <c r="C259" s="62"/>
      <c r="D259" s="62"/>
      <c r="E259" s="12">
        <v>0</v>
      </c>
      <c r="F259" s="12">
        <v>0</v>
      </c>
      <c r="G259" s="65"/>
      <c r="H259" s="65"/>
      <c r="I259" s="89"/>
      <c r="J259" s="65"/>
      <c r="K259" s="37"/>
      <c r="L259" s="37"/>
      <c r="M259" s="37"/>
      <c r="N259" s="37"/>
      <c r="O259" s="37"/>
      <c r="P259" s="37"/>
      <c r="Q259" s="37"/>
      <c r="R259" s="37"/>
      <c r="S259" s="37"/>
      <c r="T259" s="37"/>
      <c r="U259" s="3"/>
      <c r="W259" s="3"/>
      <c r="X259" s="3"/>
      <c r="Y259" s="3"/>
      <c r="Z259" s="3"/>
    </row>
    <row r="260" spans="1:26" ht="14.4" hidden="1" outlineLevel="1" x14ac:dyDescent="0.3">
      <c r="A260" s="3"/>
      <c r="B260" s="10" t="s">
        <v>355</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4.4" hidden="1" outlineLevel="1" x14ac:dyDescent="0.3">
      <c r="A261" s="3"/>
      <c r="B261" s="10" t="s">
        <v>369</v>
      </c>
      <c r="C261" s="62"/>
      <c r="D261" s="62"/>
      <c r="E261" s="12">
        <v>0</v>
      </c>
      <c r="F261" s="12">
        <v>0</v>
      </c>
      <c r="G261" s="65"/>
      <c r="H261" s="65"/>
      <c r="I261" s="89"/>
      <c r="J261" s="65"/>
      <c r="K261" s="37"/>
      <c r="L261" s="37"/>
      <c r="M261" s="37"/>
      <c r="N261" s="37"/>
      <c r="O261" s="37"/>
      <c r="P261" s="37"/>
      <c r="Q261" s="37"/>
      <c r="R261" s="37"/>
      <c r="S261" s="37"/>
      <c r="T261" s="37"/>
      <c r="U261" s="3"/>
      <c r="W261" s="3"/>
      <c r="X261" s="3"/>
      <c r="Y261" s="3"/>
      <c r="Z261" s="3"/>
    </row>
    <row r="262" spans="1:26" ht="14.4" hidden="1" outlineLevel="1" x14ac:dyDescent="0.3">
      <c r="A262" s="3"/>
      <c r="B262" s="10" t="s">
        <v>327</v>
      </c>
      <c r="C262" s="62"/>
      <c r="D262" s="62"/>
      <c r="E262" s="12">
        <v>0</v>
      </c>
      <c r="F262" s="12">
        <v>0</v>
      </c>
      <c r="G262" s="65"/>
      <c r="H262" s="65"/>
      <c r="I262" s="89"/>
      <c r="J262" s="65"/>
      <c r="K262" s="37"/>
      <c r="L262" s="37"/>
      <c r="M262" s="37"/>
      <c r="N262" s="37"/>
      <c r="O262" s="37"/>
      <c r="P262" s="37"/>
      <c r="Q262" s="37"/>
      <c r="R262" s="37"/>
      <c r="S262" s="37"/>
      <c r="T262" s="37"/>
      <c r="U262" s="3"/>
      <c r="W262" s="3"/>
      <c r="X262" s="3"/>
      <c r="Y262" s="3"/>
      <c r="Z262" s="3"/>
    </row>
    <row r="263" spans="1:26" ht="14.4" hidden="1" outlineLevel="1" x14ac:dyDescent="0.3">
      <c r="A263" s="3"/>
      <c r="B263" s="10" t="s">
        <v>328</v>
      </c>
      <c r="C263" s="62"/>
      <c r="D263" s="62"/>
      <c r="E263" s="12">
        <v>0</v>
      </c>
      <c r="F263" s="12">
        <v>0</v>
      </c>
      <c r="G263" s="65"/>
      <c r="H263" s="65"/>
      <c r="I263" s="89"/>
      <c r="J263" s="65"/>
      <c r="K263" s="37"/>
      <c r="L263" s="37"/>
      <c r="M263" s="37"/>
      <c r="N263" s="37"/>
      <c r="O263" s="37"/>
      <c r="P263" s="37"/>
      <c r="Q263" s="37"/>
      <c r="R263" s="37"/>
      <c r="S263" s="37"/>
      <c r="T263" s="37"/>
      <c r="U263" s="3"/>
      <c r="W263" s="3"/>
      <c r="X263" s="3"/>
      <c r="Y263" s="3"/>
      <c r="Z263" s="3"/>
    </row>
    <row r="264" spans="1:26" ht="14.4" hidden="1" outlineLevel="1" x14ac:dyDescent="0.3">
      <c r="A264" s="3"/>
      <c r="B264" s="10" t="s">
        <v>370</v>
      </c>
      <c r="C264" s="62"/>
      <c r="D264" s="62"/>
      <c r="E264" s="12">
        <v>0</v>
      </c>
      <c r="F264" s="12">
        <v>0</v>
      </c>
      <c r="G264" s="65"/>
      <c r="H264" s="65"/>
      <c r="I264" s="89"/>
      <c r="J264" s="65"/>
      <c r="K264" s="37"/>
      <c r="L264" s="37"/>
      <c r="M264" s="37"/>
      <c r="N264" s="37"/>
      <c r="O264" s="37"/>
      <c r="P264" s="37"/>
      <c r="Q264" s="37"/>
      <c r="R264" s="37"/>
      <c r="S264" s="37"/>
      <c r="T264" s="37"/>
      <c r="U264" s="3"/>
      <c r="W264" s="3"/>
      <c r="X264" s="3"/>
      <c r="Y264" s="3"/>
      <c r="Z264" s="3"/>
    </row>
    <row r="265" spans="1:26" ht="14.4" hidden="1" outlineLevel="1" x14ac:dyDescent="0.3">
      <c r="A265" s="3"/>
      <c r="B265" s="10" t="s">
        <v>371</v>
      </c>
      <c r="C265" s="62"/>
      <c r="D265" s="62"/>
      <c r="E265" s="12">
        <v>0</v>
      </c>
      <c r="F265" s="12">
        <v>0</v>
      </c>
      <c r="G265" s="65"/>
      <c r="H265" s="65"/>
      <c r="I265" s="89"/>
      <c r="J265" s="65"/>
      <c r="K265" s="37"/>
      <c r="L265" s="37"/>
      <c r="M265" s="37"/>
      <c r="N265" s="37"/>
      <c r="O265" s="37"/>
      <c r="P265" s="37"/>
      <c r="Q265" s="37"/>
      <c r="R265" s="37"/>
      <c r="S265" s="37"/>
      <c r="T265" s="37"/>
      <c r="U265" s="3"/>
      <c r="W265" s="3"/>
      <c r="X265" s="3"/>
      <c r="Y265" s="3"/>
      <c r="Z265" s="3"/>
    </row>
    <row r="266" spans="1:26" ht="14.4" hidden="1" outlineLevel="1" x14ac:dyDescent="0.3">
      <c r="A266" s="3"/>
      <c r="B266" s="10" t="s">
        <v>372</v>
      </c>
      <c r="C266" s="62"/>
      <c r="D266" s="62"/>
      <c r="E266" s="12">
        <v>0</v>
      </c>
      <c r="F266" s="12">
        <v>0</v>
      </c>
      <c r="G266" s="65"/>
      <c r="H266" s="65"/>
      <c r="I266" s="89"/>
      <c r="J266" s="65"/>
      <c r="K266" s="37"/>
      <c r="L266" s="37"/>
      <c r="M266" s="37"/>
      <c r="N266" s="37"/>
      <c r="O266" s="37"/>
      <c r="P266" s="37"/>
      <c r="Q266" s="37"/>
      <c r="R266" s="37"/>
      <c r="S266" s="37"/>
      <c r="T266" s="37"/>
      <c r="U266" s="3"/>
      <c r="W266" s="3"/>
      <c r="X266" s="3"/>
      <c r="Y266" s="3"/>
      <c r="Z266" s="3"/>
    </row>
    <row r="267" spans="1:26" hidden="1" outlineLevel="1" x14ac:dyDescent="0.3">
      <c r="A267" s="3"/>
      <c r="B267" s="91" t="s">
        <v>62</v>
      </c>
      <c r="C267" s="92"/>
      <c r="D267" s="92"/>
      <c r="E267" s="93">
        <f>SUM(E268:E276)</f>
        <v>0</v>
      </c>
      <c r="F267" s="93">
        <f>SUMIF(D268:D276,"OK",F268:F276)</f>
        <v>0</v>
      </c>
      <c r="G267" s="94"/>
      <c r="H267" s="94"/>
      <c r="I267" s="95"/>
      <c r="J267" s="94"/>
      <c r="K267" s="37"/>
      <c r="L267" s="37"/>
      <c r="M267" s="37"/>
      <c r="N267" s="37"/>
      <c r="O267" s="37"/>
      <c r="P267" s="37"/>
      <c r="Q267" s="37"/>
      <c r="R267" s="37"/>
      <c r="S267" s="37"/>
      <c r="T267" s="37"/>
      <c r="U267" s="3"/>
      <c r="W267" s="3"/>
      <c r="X267" s="3"/>
      <c r="Y267" s="3"/>
      <c r="Z267" s="3"/>
    </row>
    <row r="268" spans="1:26" ht="14.4" hidden="1" outlineLevel="1" x14ac:dyDescent="0.3">
      <c r="A268" s="3"/>
      <c r="B268" s="10" t="s">
        <v>353</v>
      </c>
      <c r="C268" s="62"/>
      <c r="D268" s="62"/>
      <c r="E268" s="12">
        <v>0</v>
      </c>
      <c r="F268" s="12">
        <v>0</v>
      </c>
      <c r="G268" s="65"/>
      <c r="H268" s="65"/>
      <c r="I268" s="89"/>
      <c r="J268" s="65"/>
      <c r="K268" s="37"/>
      <c r="L268" s="37"/>
      <c r="M268" s="37"/>
      <c r="N268" s="37"/>
      <c r="O268" s="37"/>
      <c r="P268" s="37"/>
      <c r="Q268" s="37"/>
      <c r="R268" s="37"/>
      <c r="S268" s="37"/>
      <c r="T268" s="37"/>
      <c r="U268" s="3"/>
      <c r="W268" s="3"/>
      <c r="X268" s="3"/>
      <c r="Y268" s="3"/>
      <c r="Z268" s="3"/>
    </row>
    <row r="269" spans="1:26" ht="14.4" hidden="1" outlineLevel="1" x14ac:dyDescent="0.3">
      <c r="A269" s="3"/>
      <c r="B269" s="10" t="s">
        <v>354</v>
      </c>
      <c r="C269" s="62"/>
      <c r="D269" s="62"/>
      <c r="E269" s="12">
        <v>0</v>
      </c>
      <c r="F269" s="12">
        <v>0</v>
      </c>
      <c r="G269" s="65"/>
      <c r="H269" s="65"/>
      <c r="I269" s="89"/>
      <c r="J269" s="65"/>
      <c r="K269" s="37"/>
      <c r="L269" s="37"/>
      <c r="M269" s="37"/>
      <c r="N269" s="37"/>
      <c r="O269" s="37"/>
      <c r="P269" s="37"/>
      <c r="Q269" s="37"/>
      <c r="R269" s="37"/>
      <c r="S269" s="37"/>
      <c r="T269" s="37"/>
      <c r="U269" s="3"/>
      <c r="W269" s="3"/>
      <c r="X269" s="3"/>
      <c r="Y269" s="3"/>
      <c r="Z269" s="3"/>
    </row>
    <row r="270" spans="1:26" ht="14.4" hidden="1" outlineLevel="1" x14ac:dyDescent="0.3">
      <c r="A270" s="3"/>
      <c r="B270" s="10" t="s">
        <v>355</v>
      </c>
      <c r="C270" s="62"/>
      <c r="D270" s="62"/>
      <c r="E270" s="12">
        <v>0</v>
      </c>
      <c r="F270" s="12">
        <v>0</v>
      </c>
      <c r="G270" s="65"/>
      <c r="H270" s="65"/>
      <c r="I270" s="89"/>
      <c r="J270" s="65"/>
      <c r="K270" s="37"/>
      <c r="L270" s="37"/>
      <c r="M270" s="37"/>
      <c r="N270" s="37"/>
      <c r="O270" s="37"/>
      <c r="P270" s="37"/>
      <c r="Q270" s="37"/>
      <c r="R270" s="37"/>
      <c r="S270" s="37"/>
      <c r="T270" s="37"/>
      <c r="U270" s="3"/>
      <c r="W270" s="3"/>
      <c r="X270" s="3"/>
      <c r="Y270" s="3"/>
      <c r="Z270" s="3"/>
    </row>
    <row r="271" spans="1:26" ht="14.4" hidden="1" outlineLevel="1" x14ac:dyDescent="0.3">
      <c r="A271" s="3"/>
      <c r="B271" s="10" t="s">
        <v>369</v>
      </c>
      <c r="C271" s="62"/>
      <c r="D271" s="62"/>
      <c r="E271" s="12">
        <v>0</v>
      </c>
      <c r="F271" s="12">
        <v>0</v>
      </c>
      <c r="G271" s="65"/>
      <c r="H271" s="65"/>
      <c r="I271" s="89"/>
      <c r="J271" s="65"/>
      <c r="K271" s="37"/>
      <c r="L271" s="37"/>
      <c r="M271" s="37"/>
      <c r="N271" s="37"/>
      <c r="O271" s="37"/>
      <c r="P271" s="37"/>
      <c r="Q271" s="37"/>
      <c r="R271" s="37"/>
      <c r="S271" s="37"/>
      <c r="T271" s="37"/>
      <c r="U271" s="3"/>
      <c r="W271" s="3"/>
      <c r="X271" s="3"/>
      <c r="Y271" s="3"/>
      <c r="Z271" s="3"/>
    </row>
    <row r="272" spans="1:26" ht="14.4" hidden="1" outlineLevel="1" x14ac:dyDescent="0.3">
      <c r="A272" s="3"/>
      <c r="B272" s="10" t="s">
        <v>327</v>
      </c>
      <c r="C272" s="62"/>
      <c r="D272" s="62"/>
      <c r="E272" s="12">
        <v>0</v>
      </c>
      <c r="F272" s="12">
        <v>0</v>
      </c>
      <c r="G272" s="65"/>
      <c r="H272" s="65"/>
      <c r="I272" s="89"/>
      <c r="J272" s="65"/>
      <c r="K272" s="37"/>
      <c r="L272" s="37"/>
      <c r="M272" s="37"/>
      <c r="N272" s="37"/>
      <c r="O272" s="37"/>
      <c r="P272" s="37"/>
      <c r="Q272" s="37"/>
      <c r="R272" s="37"/>
      <c r="S272" s="37"/>
      <c r="T272" s="37"/>
      <c r="U272" s="3"/>
      <c r="W272" s="3"/>
      <c r="X272" s="3"/>
      <c r="Y272" s="3"/>
      <c r="Z272" s="3"/>
    </row>
    <row r="273" spans="1:26" ht="14.4" hidden="1" outlineLevel="1" x14ac:dyDescent="0.3">
      <c r="A273" s="3"/>
      <c r="B273" s="10" t="s">
        <v>328</v>
      </c>
      <c r="C273" s="62"/>
      <c r="D273" s="62"/>
      <c r="E273" s="12">
        <v>0</v>
      </c>
      <c r="F273" s="12">
        <v>0</v>
      </c>
      <c r="G273" s="65"/>
      <c r="H273" s="65"/>
      <c r="I273" s="89"/>
      <c r="J273" s="65"/>
      <c r="K273" s="37"/>
      <c r="L273" s="37"/>
      <c r="M273" s="37"/>
      <c r="N273" s="37"/>
      <c r="O273" s="37"/>
      <c r="P273" s="37"/>
      <c r="Q273" s="37"/>
      <c r="R273" s="37"/>
      <c r="S273" s="37"/>
      <c r="T273" s="37"/>
      <c r="U273" s="3"/>
      <c r="W273" s="3"/>
      <c r="X273" s="3"/>
      <c r="Y273" s="3"/>
      <c r="Z273" s="3"/>
    </row>
    <row r="274" spans="1:26" ht="14.4" hidden="1" outlineLevel="1" x14ac:dyDescent="0.3">
      <c r="A274" s="3"/>
      <c r="B274" s="10" t="s">
        <v>370</v>
      </c>
      <c r="C274" s="62"/>
      <c r="D274" s="62"/>
      <c r="E274" s="12">
        <v>0</v>
      </c>
      <c r="F274" s="12">
        <v>0</v>
      </c>
      <c r="G274" s="65"/>
      <c r="H274" s="65"/>
      <c r="I274" s="89"/>
      <c r="J274" s="65"/>
      <c r="K274" s="37"/>
      <c r="L274" s="37"/>
      <c r="M274" s="37"/>
      <c r="N274" s="37"/>
      <c r="O274" s="37"/>
      <c r="P274" s="37"/>
      <c r="Q274" s="37"/>
      <c r="R274" s="37"/>
      <c r="S274" s="37"/>
      <c r="T274" s="37"/>
      <c r="U274" s="3"/>
      <c r="W274" s="3"/>
      <c r="X274" s="3"/>
      <c r="Y274" s="3"/>
      <c r="Z274" s="3"/>
    </row>
    <row r="275" spans="1:26" ht="14.4" hidden="1" outlineLevel="1" x14ac:dyDescent="0.3">
      <c r="A275" s="3"/>
      <c r="B275" s="10" t="s">
        <v>371</v>
      </c>
      <c r="C275" s="62"/>
      <c r="D275" s="62"/>
      <c r="E275" s="12">
        <v>0</v>
      </c>
      <c r="F275" s="12">
        <v>0</v>
      </c>
      <c r="G275" s="65"/>
      <c r="H275" s="65"/>
      <c r="I275" s="89"/>
      <c r="J275" s="65"/>
      <c r="K275" s="37"/>
      <c r="L275" s="37"/>
      <c r="M275" s="37"/>
      <c r="N275" s="37"/>
      <c r="O275" s="37"/>
      <c r="P275" s="37"/>
      <c r="Q275" s="37"/>
      <c r="R275" s="37"/>
      <c r="S275" s="37"/>
      <c r="T275" s="37"/>
      <c r="U275" s="3"/>
      <c r="W275" s="3"/>
      <c r="X275" s="3"/>
      <c r="Y275" s="3"/>
      <c r="Z275" s="3"/>
    </row>
    <row r="276" spans="1:26" ht="14.4" hidden="1" outlineLevel="1" x14ac:dyDescent="0.3">
      <c r="A276" s="3"/>
      <c r="B276" s="10" t="s">
        <v>372</v>
      </c>
      <c r="C276" s="62"/>
      <c r="D276" s="62"/>
      <c r="E276" s="12">
        <v>0</v>
      </c>
      <c r="F276" s="12">
        <v>0</v>
      </c>
      <c r="G276" s="65"/>
      <c r="H276" s="65"/>
      <c r="I276" s="89"/>
      <c r="J276" s="65"/>
      <c r="K276" s="37"/>
      <c r="L276" s="37"/>
      <c r="M276" s="37"/>
      <c r="N276" s="37"/>
      <c r="O276" s="37"/>
      <c r="P276" s="37"/>
      <c r="Q276" s="37"/>
      <c r="R276" s="37"/>
      <c r="S276" s="37"/>
      <c r="T276" s="37"/>
      <c r="U276" s="3"/>
      <c r="W276" s="3"/>
      <c r="X276" s="3"/>
      <c r="Y276" s="3"/>
      <c r="Z276" s="3"/>
    </row>
    <row r="277" spans="1:26" ht="20.399999999999999" collapsed="1" x14ac:dyDescent="0.3">
      <c r="A277" s="3"/>
      <c r="B277" s="84" t="s">
        <v>411</v>
      </c>
      <c r="C277" s="85" t="s">
        <v>43</v>
      </c>
      <c r="D277" s="85" t="s">
        <v>43</v>
      </c>
      <c r="E277" s="86">
        <f>SUM(E278:E288)</f>
        <v>0</v>
      </c>
      <c r="F277" s="86">
        <f>SUMIF(D278:D288,"OK",F278:F288)</f>
        <v>54</v>
      </c>
      <c r="G277" s="87"/>
      <c r="H277" s="87"/>
      <c r="I277" s="88"/>
      <c r="J277" s="87"/>
      <c r="K277" s="37"/>
      <c r="L277" s="37"/>
      <c r="M277" s="37"/>
      <c r="N277" s="37"/>
      <c r="O277" s="37"/>
      <c r="P277" s="37"/>
      <c r="Q277" s="37"/>
      <c r="R277" s="37"/>
      <c r="S277" s="37"/>
      <c r="T277" s="37"/>
      <c r="U277" s="3"/>
      <c r="W277" s="3"/>
      <c r="X277" s="3"/>
      <c r="Y277" s="3"/>
      <c r="Z277" s="3"/>
    </row>
    <row r="278" spans="1:26" ht="15.75" hidden="1" customHeight="1" outlineLevel="1" x14ac:dyDescent="0.3">
      <c r="A278" s="3"/>
      <c r="B278" s="10" t="s">
        <v>412</v>
      </c>
      <c r="C278" s="62"/>
      <c r="D278" s="62"/>
      <c r="E278" s="12">
        <v>0</v>
      </c>
      <c r="F278" s="12">
        <v>0</v>
      </c>
      <c r="G278" s="65"/>
      <c r="H278" s="65"/>
      <c r="I278" s="89"/>
      <c r="J278" s="65"/>
      <c r="K278" s="37"/>
      <c r="L278" s="37"/>
      <c r="M278" s="37"/>
      <c r="N278" s="37"/>
      <c r="O278" s="37"/>
      <c r="P278" s="37"/>
      <c r="Q278" s="37"/>
      <c r="R278" s="37"/>
      <c r="S278" s="37"/>
      <c r="T278" s="37"/>
      <c r="U278" s="3"/>
      <c r="W278" s="3"/>
      <c r="X278" s="3"/>
      <c r="Y278" s="3"/>
      <c r="Z278" s="3"/>
    </row>
    <row r="279" spans="1:26" ht="15.75" hidden="1" customHeight="1" outlineLevel="1" x14ac:dyDescent="0.3">
      <c r="A279" s="3"/>
      <c r="B279" s="10" t="s">
        <v>413</v>
      </c>
      <c r="C279" s="62">
        <v>12</v>
      </c>
      <c r="D279" s="62" t="s">
        <v>94</v>
      </c>
      <c r="E279" s="12">
        <v>0</v>
      </c>
      <c r="F279" s="12">
        <v>54</v>
      </c>
      <c r="G279" s="89"/>
      <c r="H279" s="65" t="s">
        <v>37</v>
      </c>
      <c r="I279" s="112" t="s">
        <v>880</v>
      </c>
      <c r="J279" s="65"/>
      <c r="K279" s="37"/>
      <c r="L279" s="37"/>
      <c r="M279" s="37"/>
      <c r="N279" s="37"/>
      <c r="O279" s="37"/>
      <c r="P279" s="37"/>
      <c r="Q279" s="37"/>
      <c r="R279" s="37"/>
      <c r="S279" s="37"/>
      <c r="T279" s="37"/>
      <c r="U279" s="3"/>
      <c r="W279" s="3"/>
      <c r="X279" s="3"/>
      <c r="Y279" s="3"/>
      <c r="Z279" s="3"/>
    </row>
    <row r="280" spans="1:26" ht="15.75" hidden="1" customHeight="1" outlineLevel="1" x14ac:dyDescent="0.3">
      <c r="A280" s="3"/>
      <c r="B280" s="10" t="s">
        <v>413</v>
      </c>
      <c r="C280" s="62"/>
      <c r="D280" s="62"/>
      <c r="E280" s="12">
        <v>0</v>
      </c>
      <c r="F280" s="12">
        <v>0</v>
      </c>
      <c r="G280" s="65"/>
      <c r="H280" s="65"/>
      <c r="I280" s="112"/>
      <c r="J280" s="65"/>
      <c r="K280" s="37"/>
      <c r="L280" s="37"/>
      <c r="M280" s="37"/>
      <c r="N280" s="37"/>
      <c r="O280" s="37"/>
      <c r="P280" s="37"/>
      <c r="Q280" s="37"/>
      <c r="R280" s="37"/>
      <c r="S280" s="37"/>
      <c r="T280" s="37"/>
      <c r="U280" s="3"/>
      <c r="W280" s="3"/>
      <c r="X280" s="3"/>
      <c r="Y280" s="3"/>
      <c r="Z280" s="3"/>
    </row>
    <row r="281" spans="1:26" ht="15.75" hidden="1" customHeight="1" outlineLevel="1" x14ac:dyDescent="0.3">
      <c r="A281" s="3"/>
      <c r="B281" s="10" t="s">
        <v>414</v>
      </c>
      <c r="C281" s="62"/>
      <c r="D281" s="62"/>
      <c r="E281" s="12">
        <v>0</v>
      </c>
      <c r="F281" s="12">
        <v>0</v>
      </c>
      <c r="G281" s="65"/>
      <c r="H281" s="65"/>
      <c r="I281" s="89"/>
      <c r="J281" s="65"/>
      <c r="K281" s="37"/>
      <c r="L281" s="37"/>
      <c r="M281" s="37"/>
      <c r="N281" s="37"/>
      <c r="O281" s="37"/>
      <c r="P281" s="37"/>
      <c r="Q281" s="37"/>
      <c r="R281" s="37"/>
      <c r="S281" s="37"/>
      <c r="T281" s="37"/>
      <c r="U281" s="3"/>
      <c r="W281" s="3"/>
      <c r="X281" s="3"/>
      <c r="Y281" s="3"/>
      <c r="Z281" s="3"/>
    </row>
    <row r="282" spans="1:26" ht="15.75" hidden="1" customHeight="1" outlineLevel="1" x14ac:dyDescent="0.3">
      <c r="A282" s="3"/>
      <c r="B282" s="10" t="s">
        <v>415</v>
      </c>
      <c r="C282" s="62"/>
      <c r="D282" s="62"/>
      <c r="E282" s="12">
        <v>0</v>
      </c>
      <c r="F282" s="12">
        <v>0</v>
      </c>
      <c r="G282" s="65"/>
      <c r="H282" s="65"/>
      <c r="I282" s="89"/>
      <c r="J282" s="65"/>
      <c r="K282" s="37"/>
      <c r="L282" s="37"/>
      <c r="M282" s="37"/>
      <c r="N282" s="37"/>
      <c r="O282" s="37"/>
      <c r="P282" s="37"/>
      <c r="Q282" s="37"/>
      <c r="R282" s="37"/>
      <c r="S282" s="37"/>
      <c r="T282" s="37"/>
      <c r="U282" s="3"/>
      <c r="W282" s="3"/>
      <c r="X282" s="3"/>
      <c r="Y282" s="3"/>
      <c r="Z282" s="3"/>
    </row>
    <row r="283" spans="1:26" ht="15.75" hidden="1" customHeight="1" outlineLevel="1" x14ac:dyDescent="0.3">
      <c r="A283" s="3"/>
      <c r="B283" s="10" t="s">
        <v>416</v>
      </c>
      <c r="C283" s="62"/>
      <c r="D283" s="62"/>
      <c r="E283" s="12">
        <v>0</v>
      </c>
      <c r="F283" s="12">
        <v>0</v>
      </c>
      <c r="G283" s="65"/>
      <c r="H283" s="65"/>
      <c r="I283" s="89"/>
      <c r="J283" s="65"/>
      <c r="K283" s="37"/>
      <c r="L283" s="37"/>
      <c r="M283" s="37"/>
      <c r="N283" s="37"/>
      <c r="O283" s="37"/>
      <c r="P283" s="37"/>
      <c r="Q283" s="37"/>
      <c r="R283" s="37"/>
      <c r="S283" s="37"/>
      <c r="T283" s="37"/>
      <c r="U283" s="3"/>
      <c r="W283" s="3"/>
      <c r="X283" s="3"/>
      <c r="Y283" s="3"/>
      <c r="Z283" s="3"/>
    </row>
    <row r="284" spans="1:26" ht="15.75" hidden="1" customHeight="1" outlineLevel="1" x14ac:dyDescent="0.3">
      <c r="A284" s="3"/>
      <c r="B284" s="10" t="s">
        <v>417</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5.75" hidden="1" customHeight="1" outlineLevel="1" x14ac:dyDescent="0.3">
      <c r="A285" s="3"/>
      <c r="B285" s="10" t="s">
        <v>418</v>
      </c>
      <c r="C285" s="62"/>
      <c r="D285" s="62"/>
      <c r="E285" s="12">
        <v>0</v>
      </c>
      <c r="F285" s="12">
        <v>0</v>
      </c>
      <c r="G285" s="65"/>
      <c r="H285" s="65"/>
      <c r="I285" s="89"/>
      <c r="J285" s="65"/>
      <c r="K285" s="37"/>
      <c r="L285" s="37"/>
      <c r="M285" s="37"/>
      <c r="N285" s="37"/>
      <c r="O285" s="37"/>
      <c r="P285" s="37"/>
      <c r="Q285" s="37"/>
      <c r="R285" s="37"/>
      <c r="S285" s="37"/>
      <c r="T285" s="37"/>
      <c r="U285" s="3"/>
      <c r="W285" s="3"/>
      <c r="X285" s="3"/>
      <c r="Y285" s="3"/>
      <c r="Z285" s="3"/>
    </row>
    <row r="286" spans="1:26" ht="15.75" hidden="1" customHeight="1" outlineLevel="1" x14ac:dyDescent="0.3">
      <c r="A286" s="3"/>
      <c r="B286" s="10" t="s">
        <v>419</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5.75" hidden="1" customHeight="1" outlineLevel="1" x14ac:dyDescent="0.3">
      <c r="A287" s="3"/>
      <c r="B287" s="10" t="s">
        <v>420</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5.75" hidden="1" customHeight="1" outlineLevel="1" x14ac:dyDescent="0.3">
      <c r="A288" s="3"/>
      <c r="B288" s="10" t="s">
        <v>65</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1" ht="15.75" customHeight="1" collapsed="1" x14ac:dyDescent="0.3">
      <c r="A289" s="3"/>
      <c r="B289" s="3"/>
      <c r="C289" s="37"/>
      <c r="D289" s="37"/>
      <c r="E289" s="37"/>
      <c r="F289" s="37"/>
      <c r="G289" s="98"/>
      <c r="H289" s="98"/>
      <c r="I289" s="99"/>
      <c r="J289" s="98"/>
      <c r="K289" s="37"/>
      <c r="L289" s="37"/>
      <c r="M289" s="37"/>
      <c r="N289" s="37"/>
      <c r="O289" s="37"/>
      <c r="P289" s="37"/>
      <c r="Q289" s="37"/>
      <c r="R289" s="37"/>
      <c r="S289" s="37"/>
      <c r="T289" s="37"/>
      <c r="U289" s="3"/>
    </row>
    <row r="290" spans="1:21" ht="15.75" customHeight="1" x14ac:dyDescent="0.3">
      <c r="A290" s="3"/>
      <c r="B290" s="3"/>
      <c r="C290" s="37"/>
      <c r="D290" s="37"/>
      <c r="E290" s="37"/>
      <c r="F290" s="37"/>
      <c r="G290" s="98"/>
      <c r="H290" s="98"/>
      <c r="I290" s="99"/>
      <c r="J290" s="98"/>
      <c r="K290" s="37"/>
      <c r="L290" s="37"/>
      <c r="M290" s="37"/>
      <c r="N290" s="37"/>
      <c r="O290" s="37"/>
      <c r="P290" s="37"/>
      <c r="Q290" s="37"/>
      <c r="R290" s="37"/>
      <c r="S290" s="37"/>
      <c r="T290" s="37"/>
      <c r="U290" s="3"/>
    </row>
    <row r="291" spans="1:21" ht="15.75" customHeight="1" x14ac:dyDescent="0.3">
      <c r="A291" s="3"/>
      <c r="B291" s="3"/>
      <c r="C291" s="37"/>
      <c r="D291" s="37"/>
      <c r="E291" s="37"/>
      <c r="F291" s="37"/>
      <c r="G291" s="98"/>
      <c r="H291" s="98"/>
      <c r="I291" s="99"/>
      <c r="J291" s="98"/>
      <c r="K291" s="37"/>
      <c r="L291" s="37"/>
      <c r="M291" s="37"/>
      <c r="N291" s="37"/>
      <c r="O291" s="37"/>
      <c r="P291" s="37"/>
      <c r="Q291" s="37"/>
      <c r="R291" s="37"/>
      <c r="S291" s="37"/>
      <c r="T291" s="37"/>
      <c r="U291" s="3"/>
    </row>
    <row r="292" spans="1:21" ht="15.75" customHeight="1" x14ac:dyDescent="0.3">
      <c r="A292" s="3"/>
      <c r="B292" s="3"/>
      <c r="C292" s="37"/>
      <c r="D292" s="37"/>
      <c r="E292" s="37"/>
      <c r="F292" s="37"/>
      <c r="G292" s="98"/>
      <c r="H292" s="98"/>
      <c r="I292" s="99"/>
      <c r="J292" s="98"/>
      <c r="K292" s="37"/>
      <c r="L292" s="37"/>
      <c r="M292" s="37"/>
      <c r="N292" s="37"/>
      <c r="O292" s="37"/>
      <c r="P292" s="37"/>
      <c r="Q292" s="37"/>
      <c r="R292" s="37"/>
      <c r="S292" s="37"/>
      <c r="T292" s="37"/>
      <c r="U292" s="3"/>
    </row>
    <row r="293" spans="1:21" ht="15.75" customHeight="1" x14ac:dyDescent="0.3">
      <c r="A293" s="3"/>
      <c r="B293" s="3"/>
      <c r="C293" s="37"/>
      <c r="D293" s="37"/>
      <c r="E293" s="37"/>
      <c r="F293" s="37"/>
      <c r="G293" s="98"/>
      <c r="H293" s="98"/>
      <c r="I293" s="99"/>
      <c r="J293" s="98"/>
      <c r="K293" s="37"/>
      <c r="L293" s="37"/>
      <c r="M293" s="37"/>
      <c r="N293" s="37"/>
      <c r="O293" s="37"/>
      <c r="P293" s="37"/>
      <c r="Q293" s="37"/>
      <c r="R293" s="37"/>
      <c r="S293" s="37"/>
      <c r="T293" s="37"/>
      <c r="U293" s="3"/>
    </row>
    <row r="294" spans="1:21" ht="15.75" customHeight="1" x14ac:dyDescent="0.3">
      <c r="A294" s="3"/>
      <c r="B294" s="3"/>
      <c r="C294" s="37"/>
      <c r="D294" s="37"/>
      <c r="E294" s="37"/>
      <c r="F294" s="37"/>
      <c r="G294" s="98"/>
      <c r="H294" s="98"/>
      <c r="I294" s="99"/>
      <c r="J294" s="98"/>
      <c r="K294" s="37"/>
      <c r="L294" s="37"/>
      <c r="M294" s="37"/>
      <c r="N294" s="37"/>
      <c r="O294" s="37"/>
      <c r="P294" s="37"/>
      <c r="Q294" s="37"/>
      <c r="R294" s="37"/>
      <c r="S294" s="37"/>
      <c r="T294" s="37"/>
      <c r="U294" s="3"/>
    </row>
    <row r="295" spans="1:21" ht="15.75" customHeight="1" x14ac:dyDescent="0.3">
      <c r="A295" s="3"/>
      <c r="B295" s="3"/>
      <c r="C295" s="37"/>
      <c r="D295" s="37"/>
      <c r="E295" s="37"/>
      <c r="F295" s="37"/>
      <c r="G295" s="98"/>
      <c r="H295" s="98"/>
      <c r="I295" s="99"/>
      <c r="J295" s="98"/>
      <c r="K295" s="37"/>
      <c r="L295" s="37"/>
      <c r="M295" s="37"/>
      <c r="N295" s="37"/>
      <c r="O295" s="37"/>
      <c r="P295" s="37"/>
      <c r="Q295" s="37"/>
      <c r="R295" s="37"/>
      <c r="S295" s="37"/>
      <c r="T295" s="37"/>
      <c r="U295" s="3"/>
    </row>
    <row r="296" spans="1:21" ht="15.75" customHeight="1" x14ac:dyDescent="0.3">
      <c r="A296" s="3"/>
      <c r="B296" s="3"/>
      <c r="C296" s="37"/>
      <c r="D296" s="37"/>
      <c r="E296" s="37"/>
      <c r="F296" s="37"/>
      <c r="G296" s="98"/>
      <c r="H296" s="98"/>
      <c r="I296" s="99"/>
      <c r="J296" s="98"/>
      <c r="K296" s="37"/>
      <c r="L296" s="37"/>
      <c r="M296" s="37"/>
      <c r="N296" s="37"/>
      <c r="O296" s="37"/>
      <c r="P296" s="37"/>
      <c r="Q296" s="37"/>
      <c r="R296" s="37"/>
      <c r="S296" s="37"/>
      <c r="T296" s="37"/>
      <c r="U296" s="3"/>
    </row>
    <row r="297" spans="1:21" ht="15.75" customHeight="1" x14ac:dyDescent="0.3">
      <c r="A297" s="3"/>
      <c r="B297" s="3"/>
      <c r="C297" s="37"/>
      <c r="D297" s="37"/>
      <c r="E297" s="37"/>
      <c r="F297" s="37"/>
      <c r="G297" s="98"/>
      <c r="H297" s="98"/>
      <c r="I297" s="99"/>
      <c r="J297" s="98"/>
      <c r="K297" s="37"/>
      <c r="L297" s="37"/>
      <c r="M297" s="37"/>
      <c r="N297" s="37"/>
      <c r="O297" s="37"/>
      <c r="P297" s="37"/>
      <c r="Q297" s="37"/>
      <c r="R297" s="37"/>
      <c r="S297" s="37"/>
      <c r="T297" s="37"/>
      <c r="U297" s="3"/>
    </row>
    <row r="298" spans="1:21" ht="15.75" customHeight="1" x14ac:dyDescent="0.3">
      <c r="A298" s="3"/>
      <c r="B298" s="3"/>
      <c r="C298" s="37"/>
      <c r="D298" s="37"/>
      <c r="E298" s="37"/>
      <c r="F298" s="37"/>
      <c r="G298" s="98"/>
      <c r="H298" s="98"/>
      <c r="I298" s="99"/>
      <c r="J298" s="98"/>
      <c r="K298" s="37"/>
      <c r="L298" s="37"/>
      <c r="M298" s="37"/>
      <c r="N298" s="37"/>
      <c r="O298" s="37"/>
      <c r="P298" s="37"/>
      <c r="Q298" s="37"/>
      <c r="R298" s="37"/>
      <c r="S298" s="37"/>
      <c r="T298" s="37"/>
      <c r="U298" s="3"/>
    </row>
    <row r="299" spans="1:21" ht="15.75" customHeight="1" x14ac:dyDescent="0.3">
      <c r="A299" s="3"/>
      <c r="B299" s="3"/>
      <c r="C299" s="37"/>
      <c r="D299" s="37"/>
      <c r="E299" s="37"/>
      <c r="F299" s="37"/>
      <c r="G299" s="98"/>
      <c r="H299" s="98"/>
      <c r="I299" s="99"/>
      <c r="J299" s="98"/>
      <c r="K299" s="37"/>
      <c r="L299" s="37"/>
      <c r="M299" s="37"/>
      <c r="N299" s="37"/>
      <c r="O299" s="37"/>
      <c r="P299" s="37"/>
      <c r="Q299" s="37"/>
      <c r="R299" s="37"/>
      <c r="S299" s="37"/>
      <c r="T299" s="37"/>
      <c r="U299" s="3"/>
    </row>
    <row r="300" spans="1:21" ht="15.75" customHeight="1" x14ac:dyDescent="0.3">
      <c r="A300" s="3"/>
      <c r="B300" s="3"/>
      <c r="C300" s="37"/>
      <c r="D300" s="37"/>
      <c r="E300" s="37"/>
      <c r="F300" s="37"/>
      <c r="G300" s="98"/>
      <c r="H300" s="98"/>
      <c r="I300" s="99"/>
      <c r="J300" s="98"/>
      <c r="K300" s="37"/>
      <c r="L300" s="37"/>
      <c r="M300" s="37"/>
      <c r="N300" s="37"/>
      <c r="O300" s="37"/>
      <c r="P300" s="37"/>
      <c r="Q300" s="37"/>
      <c r="R300" s="37"/>
      <c r="S300" s="37"/>
      <c r="T300" s="37"/>
      <c r="U300" s="3"/>
    </row>
    <row r="301" spans="1:21" ht="15.75" customHeight="1" x14ac:dyDescent="0.3">
      <c r="A301" s="3"/>
      <c r="B301" s="3"/>
      <c r="C301" s="37"/>
      <c r="D301" s="37"/>
      <c r="E301" s="37"/>
      <c r="F301" s="37"/>
      <c r="G301" s="98"/>
      <c r="H301" s="98"/>
      <c r="I301" s="99"/>
      <c r="J301" s="98"/>
      <c r="K301" s="37"/>
      <c r="L301" s="37"/>
      <c r="M301" s="37"/>
      <c r="N301" s="37"/>
      <c r="O301" s="37"/>
      <c r="P301" s="37"/>
      <c r="Q301" s="37"/>
      <c r="R301" s="37"/>
      <c r="S301" s="37"/>
      <c r="T301" s="37"/>
      <c r="U301" s="3"/>
    </row>
    <row r="302" spans="1:21" ht="15.75" customHeight="1" x14ac:dyDescent="0.3">
      <c r="A302" s="3"/>
      <c r="B302" s="3"/>
      <c r="C302" s="37"/>
      <c r="D302" s="37"/>
      <c r="E302" s="37"/>
      <c r="F302" s="37"/>
      <c r="G302" s="98"/>
      <c r="H302" s="98"/>
      <c r="I302" s="99"/>
      <c r="J302" s="98"/>
      <c r="K302" s="37"/>
      <c r="L302" s="37"/>
      <c r="M302" s="37"/>
      <c r="N302" s="37"/>
      <c r="O302" s="37"/>
      <c r="P302" s="37"/>
      <c r="Q302" s="37"/>
      <c r="R302" s="37"/>
      <c r="S302" s="37"/>
      <c r="T302" s="37"/>
      <c r="U302" s="3"/>
    </row>
    <row r="303" spans="1:21" ht="15.75" customHeight="1" x14ac:dyDescent="0.3">
      <c r="A303" s="3"/>
      <c r="B303" s="3"/>
      <c r="C303" s="37"/>
      <c r="D303" s="37"/>
      <c r="E303" s="37"/>
      <c r="F303" s="37"/>
      <c r="G303" s="98"/>
      <c r="H303" s="98"/>
      <c r="I303" s="99"/>
      <c r="J303" s="98"/>
      <c r="K303" s="37"/>
      <c r="L303" s="37"/>
      <c r="M303" s="37"/>
      <c r="N303" s="37"/>
      <c r="O303" s="37"/>
      <c r="P303" s="37"/>
      <c r="Q303" s="37"/>
      <c r="R303" s="37"/>
      <c r="S303" s="37"/>
      <c r="T303" s="37"/>
      <c r="U303" s="3"/>
    </row>
    <row r="304" spans="1:21" ht="15.75" customHeight="1" x14ac:dyDescent="0.3">
      <c r="A304" s="3"/>
      <c r="B304" s="3"/>
      <c r="C304" s="37"/>
      <c r="D304" s="37"/>
      <c r="E304" s="37"/>
      <c r="F304" s="37"/>
      <c r="G304" s="98"/>
      <c r="H304" s="98"/>
      <c r="I304" s="99"/>
      <c r="J304" s="98"/>
      <c r="K304" s="37"/>
      <c r="L304" s="37"/>
      <c r="M304" s="37"/>
      <c r="N304" s="37"/>
      <c r="O304" s="37"/>
      <c r="P304" s="37"/>
      <c r="Q304" s="37"/>
      <c r="R304" s="37"/>
      <c r="S304" s="37"/>
      <c r="T304" s="37"/>
      <c r="U304" s="3"/>
    </row>
    <row r="305" spans="1:21" ht="15.75" customHeight="1" x14ac:dyDescent="0.3">
      <c r="A305" s="3"/>
      <c r="B305" s="3"/>
      <c r="C305" s="37"/>
      <c r="D305" s="37"/>
      <c r="E305" s="37"/>
      <c r="F305" s="37"/>
      <c r="G305" s="98"/>
      <c r="H305" s="98"/>
      <c r="I305" s="99"/>
      <c r="J305" s="98"/>
      <c r="K305" s="37"/>
      <c r="L305" s="37"/>
      <c r="M305" s="37"/>
      <c r="N305" s="37"/>
      <c r="O305" s="37"/>
      <c r="P305" s="37"/>
      <c r="Q305" s="37"/>
      <c r="R305" s="37"/>
      <c r="S305" s="37"/>
      <c r="T305" s="37"/>
      <c r="U305" s="3"/>
    </row>
    <row r="306" spans="1:21" ht="15.75" customHeight="1" x14ac:dyDescent="0.3">
      <c r="A306" s="3"/>
      <c r="B306" s="3"/>
      <c r="C306" s="37"/>
      <c r="D306" s="37"/>
      <c r="E306" s="37"/>
      <c r="F306" s="37"/>
      <c r="G306" s="98"/>
      <c r="H306" s="98"/>
      <c r="I306" s="99"/>
      <c r="J306" s="98"/>
      <c r="K306" s="37"/>
      <c r="L306" s="37"/>
      <c r="M306" s="37"/>
      <c r="N306" s="37"/>
      <c r="O306" s="37"/>
      <c r="P306" s="37"/>
      <c r="Q306" s="37"/>
      <c r="R306" s="37"/>
      <c r="S306" s="37"/>
      <c r="T306" s="37"/>
      <c r="U306" s="3"/>
    </row>
    <row r="307" spans="1:21" ht="15.75" customHeight="1" x14ac:dyDescent="0.3">
      <c r="A307" s="3"/>
      <c r="B307" s="3"/>
      <c r="C307" s="37"/>
      <c r="D307" s="37"/>
      <c r="E307" s="37"/>
      <c r="F307" s="37"/>
      <c r="G307" s="98"/>
      <c r="H307" s="98"/>
      <c r="I307" s="99"/>
      <c r="J307" s="98"/>
      <c r="K307" s="37"/>
      <c r="L307" s="37"/>
      <c r="M307" s="37"/>
      <c r="N307" s="37"/>
      <c r="O307" s="37"/>
      <c r="P307" s="37"/>
      <c r="Q307" s="37"/>
      <c r="R307" s="37"/>
      <c r="S307" s="37"/>
      <c r="T307" s="37"/>
      <c r="U307" s="3"/>
    </row>
    <row r="308" spans="1:21" ht="15.75" customHeight="1" x14ac:dyDescent="0.3">
      <c r="A308" s="3"/>
      <c r="B308" s="3"/>
      <c r="C308" s="37"/>
      <c r="D308" s="37"/>
      <c r="E308" s="37"/>
      <c r="F308" s="37"/>
      <c r="G308" s="98"/>
      <c r="H308" s="98"/>
      <c r="I308" s="99"/>
      <c r="J308" s="98"/>
      <c r="K308" s="37"/>
      <c r="L308" s="37"/>
      <c r="M308" s="37"/>
      <c r="N308" s="37"/>
      <c r="O308" s="37"/>
      <c r="P308" s="37"/>
      <c r="Q308" s="37"/>
      <c r="R308" s="37"/>
      <c r="S308" s="37"/>
      <c r="T308" s="37"/>
      <c r="U308" s="3"/>
    </row>
    <row r="309" spans="1:21" ht="15.75" customHeight="1" x14ac:dyDescent="0.3">
      <c r="A309" s="3"/>
      <c r="B309" s="3"/>
      <c r="C309" s="37"/>
      <c r="D309" s="37"/>
      <c r="E309" s="37"/>
      <c r="F309" s="37"/>
      <c r="G309" s="98"/>
      <c r="H309" s="98"/>
      <c r="I309" s="99"/>
      <c r="J309" s="98"/>
      <c r="K309" s="37"/>
      <c r="L309" s="37"/>
      <c r="M309" s="37"/>
      <c r="N309" s="37"/>
      <c r="O309" s="37"/>
      <c r="P309" s="37"/>
      <c r="Q309" s="37"/>
      <c r="R309" s="37"/>
      <c r="S309" s="37"/>
      <c r="T309" s="37"/>
      <c r="U309" s="3"/>
    </row>
    <row r="310" spans="1:21" ht="15.75" customHeight="1" x14ac:dyDescent="0.3">
      <c r="A310" s="3"/>
      <c r="B310" s="3"/>
      <c r="C310" s="37"/>
      <c r="D310" s="37"/>
      <c r="E310" s="37"/>
      <c r="F310" s="37"/>
      <c r="G310" s="98"/>
      <c r="H310" s="98"/>
      <c r="I310" s="99"/>
      <c r="J310" s="98"/>
      <c r="K310" s="37"/>
      <c r="L310" s="37"/>
      <c r="M310" s="37"/>
      <c r="N310" s="37"/>
      <c r="O310" s="37"/>
      <c r="P310" s="37"/>
      <c r="Q310" s="37"/>
      <c r="R310" s="37"/>
      <c r="S310" s="37"/>
      <c r="T310" s="37"/>
      <c r="U310" s="3"/>
    </row>
    <row r="311" spans="1:21" ht="15.75" customHeight="1" x14ac:dyDescent="0.3">
      <c r="A311" s="3"/>
      <c r="B311" s="3"/>
      <c r="C311" s="37"/>
      <c r="D311" s="37"/>
      <c r="E311" s="37"/>
      <c r="F311" s="37"/>
      <c r="G311" s="98"/>
      <c r="H311" s="98"/>
      <c r="I311" s="99"/>
      <c r="J311" s="98"/>
      <c r="K311" s="37"/>
      <c r="L311" s="37"/>
      <c r="M311" s="37"/>
      <c r="N311" s="37"/>
      <c r="O311" s="37"/>
      <c r="P311" s="37"/>
      <c r="Q311" s="37"/>
      <c r="R311" s="37"/>
      <c r="S311" s="37"/>
      <c r="T311" s="37"/>
      <c r="U311" s="3"/>
    </row>
    <row r="312" spans="1:21" ht="15.75" customHeight="1" x14ac:dyDescent="0.3">
      <c r="A312" s="3"/>
      <c r="B312" s="3"/>
      <c r="C312" s="37"/>
      <c r="D312" s="37"/>
      <c r="E312" s="37"/>
      <c r="F312" s="37"/>
      <c r="G312" s="98"/>
      <c r="H312" s="98"/>
      <c r="I312" s="99"/>
      <c r="J312" s="98"/>
      <c r="K312" s="37"/>
      <c r="L312" s="37"/>
      <c r="M312" s="37"/>
      <c r="N312" s="37"/>
      <c r="O312" s="37"/>
      <c r="P312" s="37"/>
      <c r="Q312" s="37"/>
      <c r="R312" s="37"/>
      <c r="S312" s="37"/>
      <c r="T312" s="37"/>
      <c r="U312" s="3"/>
    </row>
    <row r="313" spans="1:21" ht="15.75" customHeight="1" x14ac:dyDescent="0.3">
      <c r="A313" s="3"/>
      <c r="B313" s="3"/>
      <c r="C313" s="37"/>
      <c r="D313" s="37"/>
      <c r="E313" s="37"/>
      <c r="F313" s="37"/>
      <c r="G313" s="98"/>
      <c r="H313" s="98"/>
      <c r="I313" s="99"/>
      <c r="J313" s="98"/>
      <c r="K313" s="37"/>
      <c r="L313" s="37"/>
      <c r="M313" s="37"/>
      <c r="N313" s="37"/>
      <c r="O313" s="37"/>
      <c r="P313" s="37"/>
      <c r="Q313" s="37"/>
      <c r="R313" s="37"/>
      <c r="S313" s="37"/>
      <c r="T313" s="37"/>
      <c r="U313" s="3"/>
    </row>
    <row r="314" spans="1:21" ht="15.75" customHeight="1" x14ac:dyDescent="0.3">
      <c r="A314" s="3"/>
      <c r="B314" s="3"/>
      <c r="C314" s="37"/>
      <c r="D314" s="37"/>
      <c r="E314" s="37"/>
      <c r="F314" s="37"/>
      <c r="G314" s="98"/>
      <c r="H314" s="98"/>
      <c r="I314" s="99"/>
      <c r="J314" s="98"/>
      <c r="K314" s="37"/>
      <c r="L314" s="37"/>
      <c r="M314" s="37"/>
      <c r="N314" s="37"/>
      <c r="O314" s="37"/>
      <c r="P314" s="37"/>
      <c r="Q314" s="37"/>
      <c r="R314" s="37"/>
      <c r="S314" s="37"/>
      <c r="T314" s="37"/>
      <c r="U314" s="3"/>
    </row>
    <row r="315" spans="1:21" ht="15.75" customHeight="1" x14ac:dyDescent="0.3">
      <c r="A315" s="3"/>
      <c r="B315" s="3"/>
      <c r="C315" s="37"/>
      <c r="D315" s="37"/>
      <c r="E315" s="37"/>
      <c r="F315" s="37"/>
      <c r="G315" s="98"/>
      <c r="H315" s="98"/>
      <c r="I315" s="99"/>
      <c r="J315" s="98"/>
      <c r="K315" s="37"/>
      <c r="L315" s="37"/>
      <c r="M315" s="37"/>
      <c r="N315" s="37"/>
      <c r="O315" s="37"/>
      <c r="P315" s="37"/>
      <c r="Q315" s="37"/>
      <c r="R315" s="37"/>
      <c r="S315" s="37"/>
      <c r="T315" s="37"/>
      <c r="U315" s="3"/>
    </row>
    <row r="316" spans="1:21" ht="15.75" customHeight="1" x14ac:dyDescent="0.3">
      <c r="A316" s="3"/>
      <c r="B316" s="3"/>
      <c r="C316" s="37"/>
      <c r="D316" s="37"/>
      <c r="E316" s="37"/>
      <c r="F316" s="37"/>
      <c r="G316" s="98"/>
      <c r="H316" s="98"/>
      <c r="I316" s="99"/>
      <c r="J316" s="98"/>
      <c r="K316" s="37"/>
      <c r="L316" s="37"/>
      <c r="M316" s="37"/>
      <c r="N316" s="37"/>
      <c r="O316" s="37"/>
      <c r="P316" s="37"/>
      <c r="Q316" s="37"/>
      <c r="R316" s="37"/>
      <c r="S316" s="37"/>
      <c r="T316" s="37"/>
      <c r="U316" s="3"/>
    </row>
    <row r="317" spans="1:21" ht="15.75" customHeight="1" x14ac:dyDescent="0.3">
      <c r="A317" s="3"/>
      <c r="B317" s="3"/>
      <c r="C317" s="37"/>
      <c r="D317" s="37"/>
      <c r="E317" s="37"/>
      <c r="F317" s="37"/>
      <c r="G317" s="98"/>
      <c r="H317" s="98"/>
      <c r="I317" s="99"/>
      <c r="J317" s="98"/>
      <c r="K317" s="37"/>
      <c r="L317" s="37"/>
      <c r="M317" s="37"/>
      <c r="N317" s="37"/>
      <c r="O317" s="37"/>
      <c r="P317" s="37"/>
      <c r="Q317" s="37"/>
      <c r="R317" s="37"/>
      <c r="S317" s="37"/>
      <c r="T317" s="37"/>
      <c r="U317" s="3"/>
    </row>
    <row r="318" spans="1:21" ht="15.75" customHeight="1" x14ac:dyDescent="0.3">
      <c r="A318" s="3"/>
      <c r="B318" s="3"/>
      <c r="C318" s="37"/>
      <c r="D318" s="37"/>
      <c r="E318" s="37"/>
      <c r="F318" s="37"/>
      <c r="G318" s="98"/>
      <c r="H318" s="98"/>
      <c r="I318" s="99"/>
      <c r="J318" s="98"/>
      <c r="K318" s="37"/>
      <c r="L318" s="37"/>
      <c r="M318" s="37"/>
      <c r="N318" s="37"/>
      <c r="O318" s="37"/>
      <c r="P318" s="37"/>
      <c r="Q318" s="37"/>
      <c r="R318" s="37"/>
      <c r="S318" s="37"/>
      <c r="T318" s="37"/>
      <c r="U318" s="3"/>
    </row>
    <row r="319" spans="1:21" ht="15.75" customHeight="1" x14ac:dyDescent="0.3">
      <c r="A319" s="3"/>
      <c r="B319" s="3"/>
      <c r="C319" s="37"/>
      <c r="D319" s="37"/>
      <c r="E319" s="37"/>
      <c r="F319" s="37"/>
      <c r="G319" s="98"/>
      <c r="H319" s="98"/>
      <c r="I319" s="99"/>
      <c r="J319" s="98"/>
      <c r="K319" s="37"/>
      <c r="L319" s="37"/>
      <c r="M319" s="37"/>
      <c r="N319" s="37"/>
      <c r="O319" s="37"/>
      <c r="P319" s="37"/>
      <c r="Q319" s="37"/>
      <c r="R319" s="37"/>
      <c r="S319" s="37"/>
      <c r="T319" s="37"/>
      <c r="U319" s="3"/>
    </row>
    <row r="320" spans="1:21" ht="15.75" customHeight="1" x14ac:dyDescent="0.3">
      <c r="A320" s="3"/>
      <c r="B320" s="3"/>
      <c r="C320" s="37"/>
      <c r="D320" s="37"/>
      <c r="E320" s="37"/>
      <c r="F320" s="37"/>
      <c r="G320" s="98"/>
      <c r="H320" s="98"/>
      <c r="I320" s="99"/>
      <c r="J320" s="98"/>
      <c r="K320" s="37"/>
      <c r="L320" s="37"/>
      <c r="M320" s="37"/>
      <c r="N320" s="37"/>
      <c r="O320" s="37"/>
      <c r="P320" s="37"/>
      <c r="Q320" s="37"/>
      <c r="R320" s="37"/>
      <c r="S320" s="37"/>
      <c r="T320" s="37"/>
      <c r="U320" s="3"/>
    </row>
    <row r="321" spans="1:21" ht="15.75" customHeight="1" x14ac:dyDescent="0.3">
      <c r="A321" s="3"/>
      <c r="B321" s="3"/>
      <c r="C321" s="37"/>
      <c r="D321" s="37"/>
      <c r="E321" s="37"/>
      <c r="F321" s="37"/>
      <c r="G321" s="98"/>
      <c r="H321" s="98"/>
      <c r="I321" s="99"/>
      <c r="J321" s="98"/>
      <c r="K321" s="37"/>
      <c r="L321" s="37"/>
      <c r="M321" s="37"/>
      <c r="N321" s="37"/>
      <c r="O321" s="37"/>
      <c r="P321" s="37"/>
      <c r="Q321" s="37"/>
      <c r="R321" s="37"/>
      <c r="S321" s="37"/>
      <c r="T321" s="37"/>
      <c r="U321" s="3"/>
    </row>
    <row r="322" spans="1:21" ht="15.75" customHeight="1" x14ac:dyDescent="0.3">
      <c r="A322" s="3"/>
      <c r="B322" s="3"/>
      <c r="C322" s="37"/>
      <c r="D322" s="37"/>
      <c r="E322" s="37"/>
      <c r="F322" s="37"/>
      <c r="G322" s="98"/>
      <c r="H322" s="98"/>
      <c r="I322" s="99"/>
      <c r="J322" s="98"/>
      <c r="K322" s="37"/>
      <c r="L322" s="37"/>
      <c r="M322" s="37"/>
      <c r="N322" s="37"/>
      <c r="O322" s="37"/>
      <c r="P322" s="37"/>
      <c r="Q322" s="37"/>
      <c r="R322" s="37"/>
      <c r="S322" s="37"/>
      <c r="T322" s="37"/>
      <c r="U322" s="3"/>
    </row>
    <row r="323" spans="1:21" ht="15.75" customHeight="1" x14ac:dyDescent="0.3">
      <c r="A323" s="3"/>
      <c r="B323" s="3"/>
      <c r="C323" s="37"/>
      <c r="D323" s="37"/>
      <c r="E323" s="37"/>
      <c r="F323" s="37"/>
      <c r="G323" s="98"/>
      <c r="H323" s="98"/>
      <c r="I323" s="99"/>
      <c r="J323" s="98"/>
      <c r="K323" s="37"/>
      <c r="L323" s="37"/>
      <c r="M323" s="37"/>
      <c r="N323" s="37"/>
      <c r="O323" s="37"/>
      <c r="P323" s="37"/>
      <c r="Q323" s="37"/>
      <c r="R323" s="37"/>
      <c r="S323" s="37"/>
      <c r="T323" s="37"/>
      <c r="U323" s="3"/>
    </row>
    <row r="324" spans="1:21" ht="15.75" customHeight="1" x14ac:dyDescent="0.3">
      <c r="A324" s="3"/>
      <c r="B324" s="3"/>
      <c r="C324" s="37"/>
      <c r="D324" s="37"/>
      <c r="E324" s="37"/>
      <c r="F324" s="37"/>
      <c r="G324" s="98"/>
      <c r="H324" s="98"/>
      <c r="I324" s="99"/>
      <c r="J324" s="98"/>
      <c r="K324" s="37"/>
      <c r="L324" s="37"/>
      <c r="M324" s="37"/>
      <c r="N324" s="37"/>
      <c r="O324" s="37"/>
      <c r="P324" s="37"/>
      <c r="Q324" s="37"/>
      <c r="R324" s="37"/>
      <c r="S324" s="37"/>
      <c r="T324" s="37"/>
      <c r="U324" s="3"/>
    </row>
    <row r="325" spans="1:21" ht="15.75" customHeight="1" x14ac:dyDescent="0.3">
      <c r="A325" s="3"/>
      <c r="B325" s="3"/>
      <c r="C325" s="37"/>
      <c r="D325" s="37"/>
      <c r="E325" s="37"/>
      <c r="F325" s="37"/>
      <c r="G325" s="98"/>
      <c r="H325" s="98"/>
      <c r="I325" s="99"/>
      <c r="J325" s="98"/>
      <c r="K325" s="37"/>
      <c r="L325" s="37"/>
      <c r="M325" s="37"/>
      <c r="N325" s="37"/>
      <c r="O325" s="37"/>
      <c r="P325" s="37"/>
      <c r="Q325" s="37"/>
      <c r="R325" s="37"/>
      <c r="S325" s="37"/>
      <c r="T325" s="37"/>
      <c r="U325" s="3"/>
    </row>
    <row r="326" spans="1:21" ht="15.75" customHeight="1" x14ac:dyDescent="0.3">
      <c r="A326" s="3"/>
      <c r="B326" s="3"/>
      <c r="C326" s="37"/>
      <c r="D326" s="37"/>
      <c r="E326" s="37"/>
      <c r="F326" s="37"/>
      <c r="G326" s="98"/>
      <c r="H326" s="98"/>
      <c r="I326" s="99"/>
      <c r="J326" s="98"/>
      <c r="K326" s="37"/>
      <c r="L326" s="37"/>
      <c r="M326" s="37"/>
      <c r="N326" s="37"/>
      <c r="O326" s="37"/>
      <c r="P326" s="37"/>
      <c r="Q326" s="37"/>
      <c r="R326" s="37"/>
      <c r="S326" s="37"/>
      <c r="T326" s="37"/>
      <c r="U326" s="3"/>
    </row>
    <row r="327" spans="1:21" ht="15.75" customHeight="1" x14ac:dyDescent="0.3">
      <c r="A327" s="3"/>
      <c r="B327" s="3"/>
      <c r="C327" s="37"/>
      <c r="D327" s="37"/>
      <c r="E327" s="37"/>
      <c r="F327" s="37"/>
      <c r="G327" s="98"/>
      <c r="H327" s="98"/>
      <c r="I327" s="99"/>
      <c r="J327" s="98"/>
      <c r="K327" s="37"/>
      <c r="L327" s="37"/>
      <c r="M327" s="37"/>
      <c r="N327" s="37"/>
      <c r="O327" s="37"/>
      <c r="P327" s="37"/>
      <c r="Q327" s="37"/>
      <c r="R327" s="37"/>
      <c r="S327" s="37"/>
      <c r="T327" s="37"/>
      <c r="U327" s="3"/>
    </row>
    <row r="328" spans="1:21" ht="15.75" customHeight="1" x14ac:dyDescent="0.3">
      <c r="A328" s="3"/>
      <c r="B328" s="3"/>
      <c r="C328" s="37"/>
      <c r="D328" s="37"/>
      <c r="E328" s="37"/>
      <c r="F328" s="37"/>
      <c r="G328" s="98"/>
      <c r="H328" s="98"/>
      <c r="I328" s="99"/>
      <c r="J328" s="98"/>
      <c r="K328" s="37"/>
      <c r="L328" s="37"/>
      <c r="M328" s="37"/>
      <c r="N328" s="37"/>
      <c r="O328" s="37"/>
      <c r="P328" s="37"/>
      <c r="Q328" s="37"/>
      <c r="R328" s="37"/>
      <c r="S328" s="37"/>
      <c r="T328" s="37"/>
      <c r="U328" s="3"/>
    </row>
    <row r="329" spans="1:21" ht="15.75" customHeight="1" x14ac:dyDescent="0.3">
      <c r="A329" s="3"/>
      <c r="B329" s="3"/>
      <c r="C329" s="37"/>
      <c r="D329" s="37"/>
      <c r="E329" s="37"/>
      <c r="F329" s="37"/>
      <c r="G329" s="98"/>
      <c r="H329" s="98"/>
      <c r="I329" s="99"/>
      <c r="J329" s="98"/>
      <c r="K329" s="37"/>
      <c r="L329" s="37"/>
      <c r="M329" s="37"/>
      <c r="N329" s="37"/>
      <c r="O329" s="37"/>
      <c r="P329" s="37"/>
      <c r="Q329" s="37"/>
      <c r="R329" s="37"/>
      <c r="S329" s="37"/>
      <c r="T329" s="37"/>
      <c r="U329" s="3"/>
    </row>
    <row r="330" spans="1:21" ht="15.75" customHeight="1" x14ac:dyDescent="0.3">
      <c r="A330" s="3"/>
      <c r="B330" s="3"/>
      <c r="C330" s="37"/>
      <c r="D330" s="37"/>
      <c r="E330" s="37"/>
      <c r="F330" s="37"/>
      <c r="G330" s="98"/>
      <c r="H330" s="98"/>
      <c r="I330" s="99"/>
      <c r="J330" s="98"/>
      <c r="K330" s="37"/>
      <c r="L330" s="37"/>
      <c r="M330" s="37"/>
      <c r="N330" s="37"/>
      <c r="O330" s="37"/>
      <c r="P330" s="37"/>
      <c r="Q330" s="37"/>
      <c r="R330" s="37"/>
      <c r="S330" s="37"/>
      <c r="T330" s="37"/>
      <c r="U330" s="3"/>
    </row>
    <row r="331" spans="1:21" ht="15.75" customHeight="1" x14ac:dyDescent="0.3">
      <c r="A331" s="3"/>
      <c r="B331" s="3"/>
      <c r="C331" s="37"/>
      <c r="D331" s="37"/>
      <c r="E331" s="37"/>
      <c r="F331" s="37"/>
      <c r="G331" s="98"/>
      <c r="H331" s="98"/>
      <c r="I331" s="99"/>
      <c r="J331" s="98"/>
      <c r="K331" s="37"/>
      <c r="L331" s="37"/>
      <c r="M331" s="37"/>
      <c r="N331" s="37"/>
      <c r="O331" s="37"/>
      <c r="P331" s="37"/>
      <c r="Q331" s="37"/>
      <c r="R331" s="37"/>
      <c r="S331" s="37"/>
      <c r="T331" s="37"/>
      <c r="U331" s="3"/>
    </row>
    <row r="332" spans="1:21" ht="15.75" customHeight="1" x14ac:dyDescent="0.3">
      <c r="A332" s="3"/>
      <c r="B332" s="3"/>
      <c r="C332" s="37"/>
      <c r="D332" s="37"/>
      <c r="E332" s="37"/>
      <c r="F332" s="37"/>
      <c r="G332" s="98"/>
      <c r="H332" s="98"/>
      <c r="I332" s="99"/>
      <c r="J332" s="98"/>
      <c r="K332" s="37"/>
      <c r="L332" s="37"/>
      <c r="M332" s="37"/>
      <c r="N332" s="37"/>
      <c r="O332" s="37"/>
      <c r="P332" s="37"/>
      <c r="Q332" s="37"/>
      <c r="R332" s="37"/>
      <c r="S332" s="37"/>
      <c r="T332" s="37"/>
      <c r="U332" s="3"/>
    </row>
    <row r="333" spans="1:21" ht="15.75" customHeight="1" x14ac:dyDescent="0.3">
      <c r="A333" s="3"/>
      <c r="B333" s="3"/>
      <c r="C333" s="37"/>
      <c r="D333" s="37"/>
      <c r="E333" s="37"/>
      <c r="F333" s="37"/>
      <c r="G333" s="98"/>
      <c r="H333" s="98"/>
      <c r="I333" s="99"/>
      <c r="J333" s="98"/>
      <c r="K333" s="37"/>
      <c r="L333" s="37"/>
      <c r="M333" s="37"/>
      <c r="N333" s="37"/>
      <c r="O333" s="37"/>
      <c r="P333" s="37"/>
      <c r="Q333" s="37"/>
      <c r="R333" s="37"/>
      <c r="S333" s="37"/>
      <c r="T333" s="37"/>
      <c r="U333" s="3"/>
    </row>
    <row r="334" spans="1:21" ht="15.75" customHeight="1" x14ac:dyDescent="0.3">
      <c r="A334" s="3"/>
      <c r="B334" s="3"/>
      <c r="C334" s="37"/>
      <c r="D334" s="37"/>
      <c r="E334" s="37"/>
      <c r="F334" s="37"/>
      <c r="G334" s="98"/>
      <c r="H334" s="98"/>
      <c r="I334" s="99"/>
      <c r="J334" s="98"/>
      <c r="K334" s="37"/>
      <c r="L334" s="37"/>
      <c r="M334" s="37"/>
      <c r="N334" s="37"/>
      <c r="O334" s="37"/>
      <c r="P334" s="37"/>
      <c r="Q334" s="37"/>
      <c r="R334" s="37"/>
      <c r="S334" s="37"/>
      <c r="T334" s="37"/>
      <c r="U334" s="3"/>
    </row>
    <row r="335" spans="1:21" ht="15.75" customHeight="1" x14ac:dyDescent="0.3">
      <c r="A335" s="3"/>
      <c r="B335" s="3"/>
      <c r="C335" s="37"/>
      <c r="D335" s="37"/>
      <c r="E335" s="37"/>
      <c r="F335" s="37"/>
      <c r="G335" s="98"/>
      <c r="H335" s="98"/>
      <c r="I335" s="99"/>
      <c r="J335" s="98"/>
      <c r="K335" s="37"/>
      <c r="L335" s="37"/>
      <c r="M335" s="37"/>
      <c r="N335" s="37"/>
      <c r="O335" s="37"/>
      <c r="P335" s="37"/>
      <c r="Q335" s="37"/>
      <c r="R335" s="37"/>
      <c r="S335" s="37"/>
      <c r="T335" s="37"/>
      <c r="U335" s="3"/>
    </row>
    <row r="336" spans="1:21" ht="15.75" customHeight="1" x14ac:dyDescent="0.3">
      <c r="A336" s="3"/>
      <c r="B336" s="3"/>
      <c r="C336" s="37"/>
      <c r="D336" s="37"/>
      <c r="E336" s="37"/>
      <c r="F336" s="37"/>
      <c r="G336" s="98"/>
      <c r="H336" s="98"/>
      <c r="I336" s="99"/>
      <c r="J336" s="98"/>
      <c r="K336" s="37"/>
      <c r="L336" s="37"/>
      <c r="M336" s="37"/>
      <c r="N336" s="37"/>
      <c r="O336" s="37"/>
      <c r="P336" s="37"/>
      <c r="Q336" s="37"/>
      <c r="R336" s="37"/>
      <c r="S336" s="37"/>
      <c r="T336" s="37"/>
      <c r="U336" s="3"/>
    </row>
    <row r="337" spans="1:21" ht="15.75" customHeight="1" x14ac:dyDescent="0.3">
      <c r="A337" s="3"/>
      <c r="B337" s="3"/>
      <c r="C337" s="37"/>
      <c r="D337" s="37"/>
      <c r="E337" s="37"/>
      <c r="F337" s="37"/>
      <c r="G337" s="98"/>
      <c r="H337" s="98"/>
      <c r="I337" s="99"/>
      <c r="J337" s="98"/>
      <c r="K337" s="37"/>
      <c r="L337" s="37"/>
      <c r="M337" s="37"/>
      <c r="N337" s="37"/>
      <c r="O337" s="37"/>
      <c r="P337" s="37"/>
      <c r="Q337" s="37"/>
      <c r="R337" s="37"/>
      <c r="S337" s="37"/>
      <c r="T337" s="37"/>
      <c r="U337" s="3"/>
    </row>
    <row r="338" spans="1:21" ht="15.75" customHeight="1" x14ac:dyDescent="0.3">
      <c r="A338" s="3"/>
      <c r="B338" s="3"/>
      <c r="C338" s="37"/>
      <c r="D338" s="37"/>
      <c r="E338" s="37"/>
      <c r="F338" s="37"/>
      <c r="G338" s="98"/>
      <c r="H338" s="98"/>
      <c r="I338" s="99"/>
      <c r="J338" s="98"/>
      <c r="K338" s="37"/>
      <c r="L338" s="37"/>
      <c r="M338" s="37"/>
      <c r="N338" s="37"/>
      <c r="O338" s="37"/>
      <c r="P338" s="37"/>
      <c r="Q338" s="37"/>
      <c r="R338" s="37"/>
      <c r="S338" s="37"/>
      <c r="T338" s="37"/>
      <c r="U338" s="3"/>
    </row>
    <row r="339" spans="1:21" ht="15.75" customHeight="1" x14ac:dyDescent="0.3">
      <c r="A339" s="3"/>
      <c r="B339" s="3"/>
      <c r="C339" s="37"/>
      <c r="D339" s="37"/>
      <c r="E339" s="37"/>
      <c r="F339" s="37"/>
      <c r="G339" s="98"/>
      <c r="H339" s="98"/>
      <c r="I339" s="99"/>
      <c r="J339" s="98"/>
      <c r="K339" s="37"/>
      <c r="L339" s="37"/>
      <c r="M339" s="37"/>
      <c r="N339" s="37"/>
      <c r="O339" s="37"/>
      <c r="P339" s="37"/>
      <c r="Q339" s="37"/>
      <c r="R339" s="37"/>
      <c r="S339" s="37"/>
      <c r="T339" s="37"/>
      <c r="U339" s="3"/>
    </row>
    <row r="340" spans="1:21" ht="15.75" customHeight="1" x14ac:dyDescent="0.3">
      <c r="A340" s="3"/>
      <c r="B340" s="3"/>
      <c r="C340" s="37"/>
      <c r="D340" s="37"/>
      <c r="E340" s="37"/>
      <c r="F340" s="37"/>
      <c r="G340" s="98"/>
      <c r="H340" s="98"/>
      <c r="I340" s="99"/>
      <c r="J340" s="98"/>
      <c r="K340" s="37"/>
      <c r="L340" s="37"/>
      <c r="M340" s="37"/>
      <c r="N340" s="37"/>
      <c r="O340" s="37"/>
      <c r="P340" s="37"/>
      <c r="Q340" s="37"/>
      <c r="R340" s="37"/>
      <c r="S340" s="37"/>
      <c r="T340" s="37"/>
      <c r="U340" s="3"/>
    </row>
    <row r="341" spans="1:21" ht="15.75" customHeight="1" x14ac:dyDescent="0.3">
      <c r="A341" s="3"/>
      <c r="B341" s="3"/>
      <c r="C341" s="37"/>
      <c r="D341" s="37"/>
      <c r="E341" s="37"/>
      <c r="F341" s="37"/>
      <c r="G341" s="98"/>
      <c r="H341" s="98"/>
      <c r="I341" s="99"/>
      <c r="J341" s="98"/>
      <c r="K341" s="37"/>
      <c r="L341" s="37"/>
      <c r="M341" s="37"/>
      <c r="N341" s="37"/>
      <c r="O341" s="37"/>
      <c r="P341" s="37"/>
      <c r="Q341" s="37"/>
      <c r="R341" s="37"/>
      <c r="S341" s="37"/>
      <c r="T341" s="37"/>
      <c r="U341" s="3"/>
    </row>
    <row r="342" spans="1:21" ht="15.75" customHeight="1" x14ac:dyDescent="0.3">
      <c r="A342" s="3"/>
      <c r="B342" s="3"/>
      <c r="C342" s="37"/>
      <c r="D342" s="37"/>
      <c r="E342" s="37"/>
      <c r="F342" s="37"/>
      <c r="G342" s="98"/>
      <c r="H342" s="98"/>
      <c r="I342" s="99"/>
      <c r="J342" s="98"/>
      <c r="K342" s="37"/>
      <c r="L342" s="37"/>
      <c r="M342" s="37"/>
      <c r="N342" s="37"/>
      <c r="O342" s="37"/>
      <c r="P342" s="37"/>
      <c r="Q342" s="37"/>
      <c r="R342" s="37"/>
      <c r="S342" s="37"/>
      <c r="T342" s="37"/>
      <c r="U342" s="3"/>
    </row>
    <row r="343" spans="1:21" ht="15.75" customHeight="1" x14ac:dyDescent="0.3">
      <c r="A343" s="3"/>
      <c r="B343" s="3"/>
      <c r="C343" s="37"/>
      <c r="D343" s="37"/>
      <c r="E343" s="37"/>
      <c r="F343" s="37"/>
      <c r="G343" s="98"/>
      <c r="H343" s="98"/>
      <c r="I343" s="99"/>
      <c r="J343" s="98"/>
      <c r="K343" s="37"/>
      <c r="L343" s="37"/>
      <c r="M343" s="37"/>
      <c r="N343" s="37"/>
      <c r="O343" s="37"/>
      <c r="P343" s="37"/>
      <c r="Q343" s="37"/>
      <c r="R343" s="37"/>
      <c r="S343" s="37"/>
      <c r="T343" s="37"/>
      <c r="U343" s="3"/>
    </row>
    <row r="344" spans="1:21" ht="15.75" customHeight="1" x14ac:dyDescent="0.3">
      <c r="A344" s="3"/>
      <c r="B344" s="3"/>
      <c r="C344" s="37"/>
      <c r="D344" s="37"/>
      <c r="E344" s="37"/>
      <c r="F344" s="37"/>
      <c r="G344" s="98"/>
      <c r="H344" s="98"/>
      <c r="I344" s="99"/>
      <c r="J344" s="98"/>
      <c r="K344" s="37"/>
      <c r="L344" s="37"/>
      <c r="M344" s="37"/>
      <c r="N344" s="37"/>
      <c r="O344" s="37"/>
      <c r="P344" s="37"/>
      <c r="Q344" s="37"/>
      <c r="R344" s="37"/>
      <c r="S344" s="37"/>
      <c r="T344" s="37"/>
      <c r="U344" s="3"/>
    </row>
    <row r="345" spans="1:21" ht="15.75" customHeight="1" x14ac:dyDescent="0.3">
      <c r="A345" s="3"/>
      <c r="B345" s="3"/>
      <c r="C345" s="37"/>
      <c r="D345" s="37"/>
      <c r="E345" s="37"/>
      <c r="F345" s="37"/>
      <c r="G345" s="98"/>
      <c r="H345" s="98"/>
      <c r="I345" s="99"/>
      <c r="J345" s="98"/>
      <c r="K345" s="37"/>
      <c r="L345" s="37"/>
      <c r="M345" s="37"/>
      <c r="N345" s="37"/>
      <c r="O345" s="37"/>
      <c r="P345" s="37"/>
      <c r="Q345" s="37"/>
      <c r="R345" s="37"/>
      <c r="S345" s="37"/>
      <c r="T345" s="37"/>
      <c r="U345" s="3"/>
    </row>
    <row r="346" spans="1:21" ht="15.75" customHeight="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1" ht="15.7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1" ht="15.7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1" ht="15.7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1" ht="15.7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1" ht="15.7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1" ht="15.7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5.7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5.7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5.7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5.7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5.7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5.7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5.7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5.7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5.7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5.7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5.7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5.7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5.7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5.7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5.7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5.7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5.7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5.7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5.7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5.7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5.7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5.7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5.7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5.7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5.7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5.7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5.7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5.7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5.7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5.7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5.7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5.7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5.7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5.7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5.7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5.7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5.7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5.7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5.7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5.7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5.7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5.7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5.7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5.7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5.7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5.7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5.7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5.7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5.7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5.7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5.7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5.7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5.7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5.7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5.7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5.7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5.7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5.7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5.7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5.7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5.7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5.7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5.7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5.7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5.7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5.7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5.7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5.7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5.7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5.7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5.7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5.7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5.7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5.7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5.7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5.7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5.7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5.7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5.7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5.7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5.7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5.7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5.7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5.7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5.7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5.7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5.7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5.7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5.7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5.7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5.7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5.7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5.7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5.7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5.7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5.7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5.7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5.7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5.7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5.7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5.7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5.7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5.7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5.7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5.7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5.7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5.7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5.7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5.7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5.7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5.7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5.7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5.7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5.7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5.7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5.7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5.7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5.7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5.7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5.7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5.7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5.7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5.7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5.7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5.7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5.7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5.7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5.7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5.7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5.7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5.7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5.7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5.7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5.7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5.7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5.7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5.75" customHeight="1" x14ac:dyDescent="0.3"/>
    <row r="490" spans="1:21" ht="15.75" customHeight="1" x14ac:dyDescent="0.3"/>
    <row r="491" spans="1:21" ht="15.75" customHeight="1" x14ac:dyDescent="0.3"/>
    <row r="492" spans="1:21" ht="15.75" customHeight="1" x14ac:dyDescent="0.3"/>
    <row r="493" spans="1:21" ht="15.75" customHeight="1" x14ac:dyDescent="0.3"/>
    <row r="494" spans="1:21" ht="15.75" customHeight="1" x14ac:dyDescent="0.3"/>
    <row r="495" spans="1:21" ht="15.75" customHeight="1" x14ac:dyDescent="0.3"/>
    <row r="496" spans="1:21"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autoFilter ref="C5:F288" xr:uid="{00000000-0009-0000-0000-00000A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6 D138:D146 D149:D155 D157:D161 D163:D167 D169:D173 D175:D179 D181:D235 D238:D246 D248:D256 D258:D266 D268:D276 D278:D288" xr:uid="{00000000-0002-0000-0A00-000001000000}">
      <formula1>"OK,Parcial,Pendente"</formula1>
    </dataValidation>
  </dataValidations>
  <hyperlinks>
    <hyperlink ref="I7" r:id="rId1" xr:uid="{00000000-0004-0000-0A00-000000000000}"/>
    <hyperlink ref="I10" r:id="rId2" xr:uid="{00000000-0004-0000-0A00-000001000000}"/>
    <hyperlink ref="I11" r:id="rId3" xr:uid="{00000000-0004-0000-0A00-000002000000}"/>
    <hyperlink ref="I12" r:id="rId4" xr:uid="{00000000-0004-0000-0A00-000003000000}"/>
    <hyperlink ref="I14" r:id="rId5" xr:uid="{00000000-0004-0000-0A00-000004000000}"/>
    <hyperlink ref="I17" r:id="rId6" xr:uid="{00000000-0004-0000-0A00-000005000000}"/>
    <hyperlink ref="I22" r:id="rId7" xr:uid="{00000000-0004-0000-0A00-000006000000}"/>
    <hyperlink ref="I29" r:id="rId8" xr:uid="{00000000-0004-0000-0A00-000007000000}"/>
    <hyperlink ref="I32" r:id="rId9" xr:uid="{00000000-0004-0000-0A00-000008000000}"/>
    <hyperlink ref="I35" r:id="rId10" xr:uid="{00000000-0004-0000-0A00-000009000000}"/>
    <hyperlink ref="I39" r:id="rId11" xr:uid="{00000000-0004-0000-0A00-00000A000000}"/>
    <hyperlink ref="I40" r:id="rId12" xr:uid="{00000000-0004-0000-0A00-00000B000000}"/>
    <hyperlink ref="I43" r:id="rId13" xr:uid="{00000000-0004-0000-0A00-00000C000000}"/>
    <hyperlink ref="I44" r:id="rId14" xr:uid="{00000000-0004-0000-0A00-00000D000000}"/>
    <hyperlink ref="I45" r:id="rId15" xr:uid="{00000000-0004-0000-0A00-00000E000000}"/>
    <hyperlink ref="I46" r:id="rId16" xr:uid="{00000000-0004-0000-0A00-00000F000000}"/>
    <hyperlink ref="I47" r:id="rId17" xr:uid="{00000000-0004-0000-0A00-000010000000}"/>
    <hyperlink ref="I48" r:id="rId18" xr:uid="{00000000-0004-0000-0A00-000011000000}"/>
    <hyperlink ref="I49" r:id="rId19" xr:uid="{00000000-0004-0000-0A00-000012000000}"/>
    <hyperlink ref="I50" r:id="rId20" xr:uid="{00000000-0004-0000-0A00-000013000000}"/>
    <hyperlink ref="I51" r:id="rId21" xr:uid="{00000000-0004-0000-0A00-000014000000}"/>
    <hyperlink ref="I52" r:id="rId22" xr:uid="{00000000-0004-0000-0A00-000015000000}"/>
    <hyperlink ref="I53" r:id="rId23" xr:uid="{00000000-0004-0000-0A00-000016000000}"/>
    <hyperlink ref="I64" r:id="rId24" xr:uid="{00000000-0004-0000-0A00-000017000000}"/>
    <hyperlink ref="I65" r:id="rId25" xr:uid="{00000000-0004-0000-0A00-000018000000}"/>
    <hyperlink ref="I66" r:id="rId26" xr:uid="{00000000-0004-0000-0A00-000019000000}"/>
    <hyperlink ref="I67" r:id="rId27" xr:uid="{00000000-0004-0000-0A00-00001A000000}"/>
    <hyperlink ref="I68" r:id="rId28" xr:uid="{00000000-0004-0000-0A00-00001B000000}"/>
    <hyperlink ref="I72" r:id="rId29" xr:uid="{00000000-0004-0000-0A00-00001C000000}"/>
    <hyperlink ref="I73" r:id="rId30" xr:uid="{00000000-0004-0000-0A00-00001D000000}"/>
    <hyperlink ref="I74" r:id="rId31" xr:uid="{00000000-0004-0000-0A00-00001E000000}"/>
    <hyperlink ref="I75" r:id="rId32" xr:uid="{00000000-0004-0000-0A00-00001F000000}"/>
    <hyperlink ref="I76" r:id="rId33" xr:uid="{00000000-0004-0000-0A00-000020000000}"/>
    <hyperlink ref="I80" r:id="rId34" xr:uid="{00000000-0004-0000-0A00-000021000000}"/>
    <hyperlink ref="I81" r:id="rId35" xr:uid="{00000000-0004-0000-0A00-000022000000}"/>
    <hyperlink ref="I82" r:id="rId36" xr:uid="{00000000-0004-0000-0A00-000023000000}"/>
    <hyperlink ref="I83" r:id="rId37" xr:uid="{00000000-0004-0000-0A00-000024000000}"/>
    <hyperlink ref="I85" r:id="rId38" xr:uid="{00000000-0004-0000-0A00-000025000000}"/>
    <hyperlink ref="I87" r:id="rId39" xr:uid="{00000000-0004-0000-0A00-000026000000}"/>
    <hyperlink ref="I88" r:id="rId40" xr:uid="{00000000-0004-0000-0A00-000027000000}"/>
    <hyperlink ref="I89" r:id="rId41" xr:uid="{00000000-0004-0000-0A00-000028000000}"/>
    <hyperlink ref="I90" r:id="rId42" xr:uid="{00000000-0004-0000-0A00-000029000000}"/>
    <hyperlink ref="I91" r:id="rId43" xr:uid="{00000000-0004-0000-0A00-00002A000000}"/>
    <hyperlink ref="I92" r:id="rId44" xr:uid="{00000000-0004-0000-0A00-00002B000000}"/>
    <hyperlink ref="I128" r:id="rId45" xr:uid="{00000000-0004-0000-0A00-00002C000000}"/>
    <hyperlink ref="I129" r:id="rId46" xr:uid="{00000000-0004-0000-0A00-00002D000000}"/>
    <hyperlink ref="I130" r:id="rId47" xr:uid="{00000000-0004-0000-0A00-00002E000000}"/>
    <hyperlink ref="I131" r:id="rId48" xr:uid="{00000000-0004-0000-0A00-00002F000000}"/>
    <hyperlink ref="I132" r:id="rId49" xr:uid="{00000000-0004-0000-0A00-000030000000}"/>
    <hyperlink ref="I133" r:id="rId50" xr:uid="{00000000-0004-0000-0A00-000031000000}"/>
    <hyperlink ref="I134" r:id="rId51" xr:uid="{00000000-0004-0000-0A00-000032000000}"/>
    <hyperlink ref="I135" r:id="rId52" xr:uid="{00000000-0004-0000-0A00-000033000000}"/>
    <hyperlink ref="I136" r:id="rId53" xr:uid="{00000000-0004-0000-0A00-000034000000}"/>
    <hyperlink ref="I138" r:id="rId54" xr:uid="{00000000-0004-0000-0A00-000035000000}"/>
    <hyperlink ref="I149" r:id="rId55" xr:uid="{00000000-0004-0000-0A00-000036000000}"/>
    <hyperlink ref="I150" r:id="rId56" xr:uid="{00000000-0004-0000-0A00-000037000000}"/>
    <hyperlink ref="I151" r:id="rId57" xr:uid="{00000000-0004-0000-0A00-000038000000}"/>
    <hyperlink ref="I152" r:id="rId58" xr:uid="{00000000-0004-0000-0A00-000039000000}"/>
    <hyperlink ref="I153" r:id="rId59" xr:uid="{00000000-0004-0000-0A00-00003A000000}"/>
    <hyperlink ref="I154" r:id="rId60" xr:uid="{00000000-0004-0000-0A00-00003B000000}"/>
    <hyperlink ref="I155" r:id="rId61" xr:uid="{00000000-0004-0000-0A00-00003C000000}"/>
    <hyperlink ref="I181" r:id="rId62" xr:uid="{00000000-0004-0000-0A00-00003D000000}"/>
    <hyperlink ref="I182" r:id="rId63" xr:uid="{00000000-0004-0000-0A00-00003E000000}"/>
    <hyperlink ref="I187" r:id="rId64" xr:uid="{00000000-0004-0000-0A00-00003F000000}"/>
    <hyperlink ref="I248" r:id="rId65" xr:uid="{00000000-0004-0000-0A00-000040000000}"/>
    <hyperlink ref="I249" r:id="rId66" xr:uid="{00000000-0004-0000-0A00-000041000000}"/>
    <hyperlink ref="I250" r:id="rId67" xr:uid="{00000000-0004-0000-0A00-000042000000}"/>
    <hyperlink ref="I279" r:id="rId68" xr:uid="{00000000-0004-0000-0A00-000043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A00-000000000000}">
          <x14:formula1>
            <xm:f>Caixa!$B$5:$B$8</xm:f>
          </x14:formula1>
          <xm:sqref>H7:H15 H17:H33 H35:H37 H39:H62 H64:H92 H95:H109 H111:H114 H116:H118 H121:H125 H127:H136 H138:H146 H149:H155 H157:H161 H163:H167 H169:H173 H175:H179 H181:H185 H187:H195 H197:H205 H207:H215 H217:H225 H227:H235 H238:H246 H248:H256 H258:H266 H268:H276 H278:H288</xm:sqref>
        </x14:dataValidation>
        <x14:dataValidation type="list" allowBlank="1" showErrorMessage="1" xr:uid="{00000000-0002-0000-0A00-000002000000}">
          <x14:formula1>
            <xm:f>'Plano de contas DG'!$C$43:$C$145</xm:f>
          </x14:formula1>
          <xm:sqref>J218</xm:sqref>
        </x14:dataValidation>
        <x14:dataValidation type="list" allowBlank="1" showErrorMessage="1" xr:uid="{00000000-0002-0000-0A00-000003000000}">
          <x14:formula1>
            <xm:f>'Plano de contas DG'!$C$5:$C$145</xm:f>
          </x14:formula1>
          <xm:sqref>J6:J217 J219:J288</xm:sqref>
        </x14:dataValidation>
        <x14:dataValidation type="list" allowBlank="1" showErrorMessage="1" xr:uid="{00000000-0002-0000-0A00-000004000000}">
          <x14:formula1>
            <xm:f>Caixa!$B$5:$B$7</xm:f>
          </x14:formula1>
          <xm:sqref>H16 H34 H93:H94 H110 H115 H119:H120 H126 H186 H196 H206 H216 H226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3" width="10.109375" customWidth="1"/>
    <col min="4" max="4" width="10.109375" hidden="1" customWidth="1"/>
    <col min="5" max="5" width="14.109375" hidden="1" customWidth="1"/>
    <col min="6"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8.6640625" customWidth="1"/>
    <col min="26" max="26" width="11.6640625" customWidth="1"/>
  </cols>
  <sheetData>
    <row r="1" spans="1:26" ht="14.4"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SUM(E6,E127,E151,E175,E179)</f>
        <v>19818.780000000002</v>
      </c>
      <c r="F4" s="26">
        <f t="shared" si="0"/>
        <v>25745.35</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SUM(E7:E126)</f>
        <v>19818.780000000002</v>
      </c>
      <c r="F6" s="57">
        <f>SUMIF(D7:D126,"OK",F7:F126)+SUMIF(D7:D126,"Parcial",F7:F126)</f>
        <v>17374.559999999998</v>
      </c>
      <c r="G6" s="118" t="s">
        <v>43</v>
      </c>
      <c r="H6" s="59"/>
      <c r="I6" s="59"/>
      <c r="J6" s="60">
        <f>(COUNTIF(D7:D126,"Pendente")+COUNTIF(D7:D126,"Parcial"))/COUNTA(B7:B126)</f>
        <v>0.24489795918367346</v>
      </c>
      <c r="K6" s="60">
        <f>IFERROR(-(X6/E6),"Pendente info")</f>
        <v>0.17028394280576301</v>
      </c>
      <c r="L6" s="100">
        <f>SUM(L7:L105)/COUNTA(B7:B105)</f>
        <v>0.10204081632653061</v>
      </c>
      <c r="M6" s="57">
        <f t="shared" ref="M6:U6" si="1">SUMIF($D$7:$D$126,"OK",M7:M126)+SUMIF($D$7:$D$126,"Parcial",M7:M126)</f>
        <v>8869.8700000000026</v>
      </c>
      <c r="N6" s="57">
        <f t="shared" si="1"/>
        <v>1842.7499999999991</v>
      </c>
      <c r="O6" s="57">
        <f t="shared" si="1"/>
        <v>900</v>
      </c>
      <c r="P6" s="57">
        <f t="shared" si="1"/>
        <v>178.93999999999994</v>
      </c>
      <c r="Q6" s="57">
        <f t="shared" si="1"/>
        <v>170</v>
      </c>
      <c r="R6" s="57">
        <f t="shared" si="1"/>
        <v>205</v>
      </c>
      <c r="S6" s="57">
        <f t="shared" si="1"/>
        <v>262</v>
      </c>
      <c r="T6" s="57">
        <f t="shared" si="1"/>
        <v>600</v>
      </c>
      <c r="U6" s="57">
        <f t="shared" si="1"/>
        <v>4346</v>
      </c>
      <c r="V6" s="56" t="s">
        <v>43</v>
      </c>
      <c r="W6" s="44" t="str">
        <f t="shared" ref="W6:W126" si="2">IF(F6=SUM(M6:U6),"OK","Diferente")</f>
        <v>OK</v>
      </c>
      <c r="X6" s="47">
        <f>SUM(X7:X126)</f>
        <v>-3374.82</v>
      </c>
      <c r="Z6" s="3"/>
    </row>
    <row r="7" spans="1:26" ht="14.4" hidden="1" outlineLevel="1" x14ac:dyDescent="0.3">
      <c r="A7" s="3"/>
      <c r="B7" s="61" t="s">
        <v>422</v>
      </c>
      <c r="C7" s="62"/>
      <c r="D7" s="62" t="s">
        <v>94</v>
      </c>
      <c r="E7" s="12"/>
      <c r="F7" s="101"/>
      <c r="G7" s="250"/>
      <c r="H7" s="103"/>
      <c r="I7" s="63"/>
      <c r="J7" s="64"/>
      <c r="K7" s="62"/>
      <c r="L7" s="62" t="str">
        <f t="shared" ref="L7:L125" si="3">IF(C7&gt;=13,1,"")</f>
        <v/>
      </c>
      <c r="M7" s="12"/>
      <c r="N7" s="12"/>
      <c r="O7" s="12"/>
      <c r="P7" s="12"/>
      <c r="Q7" s="12"/>
      <c r="R7" s="12"/>
      <c r="S7" s="12"/>
      <c r="T7" s="12"/>
      <c r="U7" s="12"/>
      <c r="V7" s="65" t="s">
        <v>881</v>
      </c>
      <c r="W7" s="44" t="str">
        <f t="shared" si="2"/>
        <v>OK</v>
      </c>
      <c r="X7" s="47" t="str">
        <f t="shared" ref="X7:X126" si="4">IF(W7="Diferente",F7-SUM(M7:U7),"")</f>
        <v/>
      </c>
      <c r="Y7" s="3"/>
      <c r="Z7" s="127"/>
    </row>
    <row r="8" spans="1:26" ht="14.4" hidden="1" outlineLevel="1" x14ac:dyDescent="0.3">
      <c r="A8" s="3"/>
      <c r="B8" s="61" t="s">
        <v>424</v>
      </c>
      <c r="C8" s="62"/>
      <c r="D8" s="62" t="s">
        <v>94</v>
      </c>
      <c r="E8" s="12"/>
      <c r="F8" s="101"/>
      <c r="G8" s="251"/>
      <c r="H8" s="103"/>
      <c r="I8" s="63"/>
      <c r="J8" s="64"/>
      <c r="K8" s="62"/>
      <c r="L8" s="62" t="str">
        <f t="shared" si="3"/>
        <v/>
      </c>
      <c r="M8" s="12"/>
      <c r="N8" s="12"/>
      <c r="O8" s="12"/>
      <c r="P8" s="12"/>
      <c r="Q8" s="12"/>
      <c r="R8" s="12"/>
      <c r="S8" s="12"/>
      <c r="T8" s="12"/>
      <c r="U8" s="12"/>
      <c r="V8" s="65" t="s">
        <v>882</v>
      </c>
      <c r="W8" s="44" t="str">
        <f t="shared" si="2"/>
        <v>OK</v>
      </c>
      <c r="X8" s="47" t="str">
        <f t="shared" si="4"/>
        <v/>
      </c>
      <c r="Y8" s="3"/>
      <c r="Z8" s="127"/>
    </row>
    <row r="9" spans="1:26" ht="14.4" hidden="1" outlineLevel="1" x14ac:dyDescent="0.3">
      <c r="A9" s="3"/>
      <c r="B9" s="61" t="s">
        <v>425</v>
      </c>
      <c r="C9" s="62"/>
      <c r="D9" s="62" t="s">
        <v>94</v>
      </c>
      <c r="E9" s="12"/>
      <c r="F9" s="101"/>
      <c r="G9" s="251"/>
      <c r="H9" s="103"/>
      <c r="I9" s="63"/>
      <c r="J9" s="64"/>
      <c r="K9" s="62"/>
      <c r="L9" s="62" t="str">
        <f t="shared" si="3"/>
        <v/>
      </c>
      <c r="M9" s="12"/>
      <c r="N9" s="12"/>
      <c r="O9" s="12"/>
      <c r="P9" s="12"/>
      <c r="Q9" s="12"/>
      <c r="R9" s="12"/>
      <c r="S9" s="12"/>
      <c r="T9" s="12"/>
      <c r="U9" s="12"/>
      <c r="V9" s="65" t="s">
        <v>882</v>
      </c>
      <c r="W9" s="44" t="str">
        <f t="shared" si="2"/>
        <v>OK</v>
      </c>
      <c r="X9" s="47" t="str">
        <f t="shared" si="4"/>
        <v/>
      </c>
      <c r="Y9" s="3"/>
      <c r="Z9" s="127"/>
    </row>
    <row r="10" spans="1:26" ht="14.4" hidden="1" outlineLevel="1" x14ac:dyDescent="0.3">
      <c r="A10" s="3"/>
      <c r="B10" s="61" t="s">
        <v>426</v>
      </c>
      <c r="C10" s="62"/>
      <c r="D10" s="62" t="s">
        <v>94</v>
      </c>
      <c r="E10" s="12"/>
      <c r="F10" s="101"/>
      <c r="G10" s="252"/>
      <c r="H10" s="103"/>
      <c r="I10" s="63"/>
      <c r="J10" s="64"/>
      <c r="K10" s="62"/>
      <c r="L10" s="62" t="str">
        <f t="shared" si="3"/>
        <v/>
      </c>
      <c r="M10" s="12"/>
      <c r="N10" s="12"/>
      <c r="O10" s="12"/>
      <c r="P10" s="12"/>
      <c r="Q10" s="12"/>
      <c r="R10" s="12"/>
      <c r="S10" s="12"/>
      <c r="T10" s="12"/>
      <c r="U10" s="12"/>
      <c r="V10" s="65" t="s">
        <v>882</v>
      </c>
      <c r="W10" s="44" t="str">
        <f t="shared" si="2"/>
        <v>OK</v>
      </c>
      <c r="X10" s="47" t="str">
        <f t="shared" si="4"/>
        <v/>
      </c>
      <c r="Y10" s="3"/>
      <c r="Z10" s="127"/>
    </row>
    <row r="11" spans="1:26" ht="14.4" hidden="1" outlineLevel="1" x14ac:dyDescent="0.3">
      <c r="A11" s="3"/>
      <c r="B11" s="10" t="s">
        <v>427</v>
      </c>
      <c r="C11" s="62">
        <v>9</v>
      </c>
      <c r="D11" s="62" t="s">
        <v>94</v>
      </c>
      <c r="E11" s="12">
        <f t="shared" ref="E11:E14" si="5">SUM(M11:U11)</f>
        <v>218.43</v>
      </c>
      <c r="F11" s="101">
        <f t="shared" ref="F11:F12" si="6">E11</f>
        <v>218.43</v>
      </c>
      <c r="G11" s="119"/>
      <c r="H11" s="103" t="s">
        <v>37</v>
      </c>
      <c r="I11" s="63"/>
      <c r="J11" s="64"/>
      <c r="K11" s="62"/>
      <c r="L11" s="62" t="str">
        <f t="shared" si="3"/>
        <v/>
      </c>
      <c r="M11" s="12">
        <v>130</v>
      </c>
      <c r="N11" s="12">
        <v>24.57</v>
      </c>
      <c r="O11" s="12">
        <v>12</v>
      </c>
      <c r="P11" s="12">
        <v>3.86</v>
      </c>
      <c r="Q11" s="12">
        <v>5</v>
      </c>
      <c r="R11" s="12"/>
      <c r="S11" s="12"/>
      <c r="T11" s="12"/>
      <c r="U11" s="12">
        <v>43</v>
      </c>
      <c r="V11" s="65" t="s">
        <v>882</v>
      </c>
      <c r="W11" s="44" t="str">
        <f t="shared" si="2"/>
        <v>OK</v>
      </c>
      <c r="X11" s="47" t="str">
        <f t="shared" si="4"/>
        <v/>
      </c>
      <c r="Y11" s="3"/>
      <c r="Z11" s="127"/>
    </row>
    <row r="12" spans="1:26" ht="14.4" hidden="1" outlineLevel="1" x14ac:dyDescent="0.3">
      <c r="A12" s="3"/>
      <c r="B12" s="10" t="s">
        <v>428</v>
      </c>
      <c r="C12" s="62">
        <v>9</v>
      </c>
      <c r="D12" s="62" t="s">
        <v>94</v>
      </c>
      <c r="E12" s="12">
        <f t="shared" si="5"/>
        <v>226.57</v>
      </c>
      <c r="F12" s="101">
        <f t="shared" si="6"/>
        <v>226.57</v>
      </c>
      <c r="G12" s="119"/>
      <c r="H12" s="103" t="s">
        <v>37</v>
      </c>
      <c r="I12" s="63"/>
      <c r="J12" s="64"/>
      <c r="K12" s="62"/>
      <c r="L12" s="62" t="str">
        <f t="shared" si="3"/>
        <v/>
      </c>
      <c r="M12" s="12">
        <v>130</v>
      </c>
      <c r="N12" s="12">
        <v>24.57</v>
      </c>
      <c r="O12" s="12">
        <v>12</v>
      </c>
      <c r="P12" s="12">
        <v>2</v>
      </c>
      <c r="Q12" s="12"/>
      <c r="R12" s="12"/>
      <c r="S12" s="12"/>
      <c r="T12" s="12"/>
      <c r="U12" s="12">
        <v>58</v>
      </c>
      <c r="V12" s="65" t="s">
        <v>883</v>
      </c>
      <c r="W12" s="44" t="str">
        <f t="shared" si="2"/>
        <v>OK</v>
      </c>
      <c r="X12" s="47" t="str">
        <f t="shared" si="4"/>
        <v/>
      </c>
      <c r="Y12" s="3"/>
      <c r="Z12" s="127"/>
    </row>
    <row r="13" spans="1:26" ht="14.4" hidden="1" outlineLevel="1" x14ac:dyDescent="0.3">
      <c r="A13" s="3"/>
      <c r="B13" s="61" t="s">
        <v>429</v>
      </c>
      <c r="C13" s="62"/>
      <c r="D13" s="62" t="s">
        <v>104</v>
      </c>
      <c r="E13" s="12">
        <f t="shared" si="5"/>
        <v>421.49</v>
      </c>
      <c r="F13" s="101"/>
      <c r="G13" s="119"/>
      <c r="H13" s="103"/>
      <c r="I13" s="63"/>
      <c r="J13" s="64"/>
      <c r="K13" s="62"/>
      <c r="L13" s="62" t="str">
        <f t="shared" si="3"/>
        <v/>
      </c>
      <c r="M13" s="12">
        <v>130.47999999999999</v>
      </c>
      <c r="N13" s="12">
        <v>24.57</v>
      </c>
      <c r="O13" s="12">
        <v>12</v>
      </c>
      <c r="P13" s="12">
        <v>1.44</v>
      </c>
      <c r="Q13" s="12">
        <v>10</v>
      </c>
      <c r="R13" s="12">
        <v>20</v>
      </c>
      <c r="S13" s="12">
        <v>50</v>
      </c>
      <c r="T13" s="12">
        <v>50</v>
      </c>
      <c r="U13" s="12">
        <v>123</v>
      </c>
      <c r="V13" s="65" t="s">
        <v>884</v>
      </c>
      <c r="W13" s="44" t="str">
        <f t="shared" si="2"/>
        <v>Diferente</v>
      </c>
      <c r="X13" s="47">
        <f t="shared" si="4"/>
        <v>-421.49</v>
      </c>
      <c r="Y13" s="3"/>
      <c r="Z13" s="127"/>
    </row>
    <row r="14" spans="1:26" ht="14.4" hidden="1" outlineLevel="1" x14ac:dyDescent="0.3">
      <c r="A14" s="3"/>
      <c r="B14" s="61" t="s">
        <v>431</v>
      </c>
      <c r="C14" s="62"/>
      <c r="D14" s="62" t="s">
        <v>104</v>
      </c>
      <c r="E14" s="12">
        <f t="shared" si="5"/>
        <v>234.29</v>
      </c>
      <c r="F14" s="101"/>
      <c r="G14" s="119"/>
      <c r="H14" s="103"/>
      <c r="I14" s="63"/>
      <c r="J14" s="64"/>
      <c r="K14" s="62"/>
      <c r="L14" s="62" t="str">
        <f t="shared" si="3"/>
        <v/>
      </c>
      <c r="M14" s="12">
        <v>98.28</v>
      </c>
      <c r="N14" s="12">
        <v>24.57</v>
      </c>
      <c r="O14" s="12">
        <v>12</v>
      </c>
      <c r="P14" s="12">
        <v>1.44</v>
      </c>
      <c r="Q14" s="12">
        <v>5</v>
      </c>
      <c r="R14" s="12"/>
      <c r="S14" s="12"/>
      <c r="T14" s="12">
        <v>50</v>
      </c>
      <c r="U14" s="12">
        <v>43</v>
      </c>
      <c r="V14" s="65" t="s">
        <v>882</v>
      </c>
      <c r="W14" s="44" t="str">
        <f t="shared" si="2"/>
        <v>Diferente</v>
      </c>
      <c r="X14" s="47">
        <f t="shared" si="4"/>
        <v>-234.29</v>
      </c>
      <c r="Y14" s="3"/>
      <c r="Z14" s="127"/>
    </row>
    <row r="15" spans="1:26" ht="26.25" hidden="1" customHeight="1" outlineLevel="1" x14ac:dyDescent="0.3">
      <c r="A15" s="3"/>
      <c r="B15" s="10" t="s">
        <v>432</v>
      </c>
      <c r="C15" s="62">
        <v>6</v>
      </c>
      <c r="D15" s="62" t="s">
        <v>129</v>
      </c>
      <c r="E15" s="12">
        <v>371.14</v>
      </c>
      <c r="F15" s="101">
        <f t="shared" ref="F15:F16" si="7">SUM(M15:U15)</f>
        <v>685.30000000000007</v>
      </c>
      <c r="G15" s="253" t="s">
        <v>885</v>
      </c>
      <c r="H15" s="103" t="s">
        <v>37</v>
      </c>
      <c r="I15" s="63"/>
      <c r="J15" s="64"/>
      <c r="K15" s="62"/>
      <c r="L15" s="62" t="str">
        <f t="shared" si="3"/>
        <v/>
      </c>
      <c r="M15" s="12">
        <f>180.13+314.16</f>
        <v>494.29</v>
      </c>
      <c r="N15" s="12">
        <v>24.57</v>
      </c>
      <c r="O15" s="12">
        <v>12</v>
      </c>
      <c r="P15" s="12">
        <v>1.44</v>
      </c>
      <c r="Q15" s="12">
        <v>5</v>
      </c>
      <c r="R15" s="12">
        <v>5</v>
      </c>
      <c r="S15" s="12">
        <v>20</v>
      </c>
      <c r="T15" s="12"/>
      <c r="U15" s="12">
        <v>123</v>
      </c>
      <c r="V15" s="65" t="s">
        <v>884</v>
      </c>
      <c r="W15" s="44" t="str">
        <f t="shared" si="2"/>
        <v>OK</v>
      </c>
      <c r="X15" s="47" t="str">
        <f t="shared" si="4"/>
        <v/>
      </c>
      <c r="Y15" s="3"/>
      <c r="Z15" s="127"/>
    </row>
    <row r="16" spans="1:26" ht="26.25" hidden="1" customHeight="1" outlineLevel="1" x14ac:dyDescent="0.3">
      <c r="A16" s="3"/>
      <c r="B16" s="10" t="s">
        <v>433</v>
      </c>
      <c r="C16" s="62">
        <v>6</v>
      </c>
      <c r="D16" s="62" t="s">
        <v>129</v>
      </c>
      <c r="E16" s="12">
        <v>180.99</v>
      </c>
      <c r="F16" s="101">
        <f t="shared" si="7"/>
        <v>180.99</v>
      </c>
      <c r="G16" s="252"/>
      <c r="H16" s="103" t="s">
        <v>37</v>
      </c>
      <c r="I16" s="63"/>
      <c r="J16" s="64"/>
      <c r="K16" s="62"/>
      <c r="L16" s="62" t="str">
        <f t="shared" si="3"/>
        <v/>
      </c>
      <c r="M16" s="12">
        <v>89.98</v>
      </c>
      <c r="N16" s="12">
        <v>24.57</v>
      </c>
      <c r="O16" s="12">
        <v>12</v>
      </c>
      <c r="P16" s="12">
        <v>1.44</v>
      </c>
      <c r="Q16" s="12">
        <v>5</v>
      </c>
      <c r="R16" s="12">
        <v>5</v>
      </c>
      <c r="S16" s="12"/>
      <c r="T16" s="12"/>
      <c r="U16" s="12">
        <v>43</v>
      </c>
      <c r="V16" s="65" t="s">
        <v>882</v>
      </c>
      <c r="W16" s="44" t="str">
        <f t="shared" si="2"/>
        <v>OK</v>
      </c>
      <c r="X16" s="47" t="str">
        <f t="shared" si="4"/>
        <v/>
      </c>
      <c r="Y16" s="3"/>
      <c r="Z16" s="127"/>
    </row>
    <row r="17" spans="1:26" ht="14.4" hidden="1" outlineLevel="1" x14ac:dyDescent="0.3">
      <c r="A17" s="3"/>
      <c r="B17" s="61" t="s">
        <v>434</v>
      </c>
      <c r="C17" s="62">
        <v>1</v>
      </c>
      <c r="D17" s="62" t="s">
        <v>94</v>
      </c>
      <c r="E17" s="12">
        <f t="shared" ref="E17:E42" si="8">SUM(M17:U17)</f>
        <v>307.19</v>
      </c>
      <c r="F17" s="101">
        <f t="shared" ref="F17:F22" si="9">E17</f>
        <v>307.19</v>
      </c>
      <c r="G17" s="119"/>
      <c r="H17" s="103" t="s">
        <v>37</v>
      </c>
      <c r="I17" s="63"/>
      <c r="J17" s="64"/>
      <c r="K17" s="62"/>
      <c r="L17" s="62" t="str">
        <f t="shared" si="3"/>
        <v/>
      </c>
      <c r="M17" s="12">
        <v>191.18</v>
      </c>
      <c r="N17" s="12">
        <v>24.57</v>
      </c>
      <c r="O17" s="12">
        <v>12</v>
      </c>
      <c r="P17" s="12">
        <v>1.44</v>
      </c>
      <c r="Q17" s="12">
        <v>5</v>
      </c>
      <c r="R17" s="12"/>
      <c r="S17" s="12"/>
      <c r="T17" s="12"/>
      <c r="U17" s="12">
        <v>73</v>
      </c>
      <c r="V17" s="65" t="s">
        <v>881</v>
      </c>
      <c r="W17" s="44" t="str">
        <f t="shared" si="2"/>
        <v>OK</v>
      </c>
      <c r="X17" s="47" t="str">
        <f t="shared" si="4"/>
        <v/>
      </c>
      <c r="Y17" s="3"/>
      <c r="Z17" s="127"/>
    </row>
    <row r="18" spans="1:26" ht="14.4" hidden="1" outlineLevel="1" x14ac:dyDescent="0.3">
      <c r="A18" s="3"/>
      <c r="B18" s="61" t="s">
        <v>435</v>
      </c>
      <c r="C18" s="62">
        <v>1</v>
      </c>
      <c r="D18" s="62" t="s">
        <v>94</v>
      </c>
      <c r="E18" s="12">
        <f t="shared" si="8"/>
        <v>216.98999999999998</v>
      </c>
      <c r="F18" s="101">
        <f t="shared" si="9"/>
        <v>216.98999999999998</v>
      </c>
      <c r="G18" s="119"/>
      <c r="H18" s="103" t="s">
        <v>37</v>
      </c>
      <c r="I18" s="63"/>
      <c r="J18" s="64"/>
      <c r="K18" s="62"/>
      <c r="L18" s="62" t="str">
        <f t="shared" si="3"/>
        <v/>
      </c>
      <c r="M18" s="12">
        <v>135.97999999999999</v>
      </c>
      <c r="N18" s="12">
        <v>24.57</v>
      </c>
      <c r="O18" s="12">
        <v>12</v>
      </c>
      <c r="P18" s="12">
        <v>1.44</v>
      </c>
      <c r="Q18" s="12"/>
      <c r="R18" s="12"/>
      <c r="S18" s="12"/>
      <c r="T18" s="12"/>
      <c r="U18" s="12">
        <v>43</v>
      </c>
      <c r="V18" s="65" t="s">
        <v>882</v>
      </c>
      <c r="W18" s="44" t="str">
        <f t="shared" si="2"/>
        <v>OK</v>
      </c>
      <c r="X18" s="47" t="str">
        <f t="shared" si="4"/>
        <v/>
      </c>
      <c r="Y18" s="3"/>
      <c r="Z18" s="127"/>
    </row>
    <row r="19" spans="1:26" ht="14.4" hidden="1" outlineLevel="1" x14ac:dyDescent="0.3">
      <c r="A19" s="3"/>
      <c r="B19" s="10" t="s">
        <v>436</v>
      </c>
      <c r="C19" s="62">
        <v>1</v>
      </c>
      <c r="D19" s="62" t="s">
        <v>94</v>
      </c>
      <c r="E19" s="12">
        <f t="shared" si="8"/>
        <v>514.29</v>
      </c>
      <c r="F19" s="101">
        <f t="shared" si="9"/>
        <v>514.29</v>
      </c>
      <c r="G19" s="119"/>
      <c r="H19" s="103" t="s">
        <v>37</v>
      </c>
      <c r="I19" s="63"/>
      <c r="J19" s="64"/>
      <c r="K19" s="62"/>
      <c r="L19" s="62" t="str">
        <f t="shared" si="3"/>
        <v/>
      </c>
      <c r="M19" s="12">
        <v>328.28</v>
      </c>
      <c r="N19" s="12">
        <v>24.57</v>
      </c>
      <c r="O19" s="12">
        <v>12</v>
      </c>
      <c r="P19" s="12">
        <v>11.44</v>
      </c>
      <c r="Q19" s="12">
        <v>5</v>
      </c>
      <c r="R19" s="12">
        <v>10</v>
      </c>
      <c r="S19" s="12"/>
      <c r="T19" s="12">
        <v>50</v>
      </c>
      <c r="U19" s="12">
        <v>73</v>
      </c>
      <c r="V19" s="65" t="s">
        <v>881</v>
      </c>
      <c r="W19" s="44" t="str">
        <f t="shared" si="2"/>
        <v>OK</v>
      </c>
      <c r="X19" s="47" t="str">
        <f t="shared" si="4"/>
        <v/>
      </c>
      <c r="Y19" s="3"/>
      <c r="Z19" s="127"/>
    </row>
    <row r="20" spans="1:26" ht="14.4" hidden="1" outlineLevel="1" x14ac:dyDescent="0.3">
      <c r="A20" s="3"/>
      <c r="B20" s="10" t="s">
        <v>437</v>
      </c>
      <c r="C20" s="62">
        <v>1</v>
      </c>
      <c r="D20" s="62" t="s">
        <v>94</v>
      </c>
      <c r="E20" s="12">
        <f t="shared" si="8"/>
        <v>474.28999999999996</v>
      </c>
      <c r="F20" s="101">
        <f t="shared" si="9"/>
        <v>474.28999999999996</v>
      </c>
      <c r="G20" s="119"/>
      <c r="H20" s="103" t="s">
        <v>37</v>
      </c>
      <c r="I20" s="63"/>
      <c r="J20" s="64"/>
      <c r="K20" s="62"/>
      <c r="L20" s="62" t="str">
        <f t="shared" si="3"/>
        <v/>
      </c>
      <c r="M20" s="12">
        <v>328.28</v>
      </c>
      <c r="N20" s="12">
        <v>24.57</v>
      </c>
      <c r="O20" s="12">
        <v>12</v>
      </c>
      <c r="P20" s="12">
        <v>1.44</v>
      </c>
      <c r="Q20" s="12">
        <v>5</v>
      </c>
      <c r="R20" s="12">
        <v>10</v>
      </c>
      <c r="S20" s="12"/>
      <c r="T20" s="12">
        <v>50</v>
      </c>
      <c r="U20" s="12">
        <v>43</v>
      </c>
      <c r="V20" s="65" t="s">
        <v>882</v>
      </c>
      <c r="W20" s="44" t="str">
        <f t="shared" si="2"/>
        <v>OK</v>
      </c>
      <c r="X20" s="47" t="str">
        <f t="shared" si="4"/>
        <v/>
      </c>
      <c r="Y20" s="3"/>
      <c r="Z20" s="127"/>
    </row>
    <row r="21" spans="1:26" ht="14.4" hidden="1" outlineLevel="1" x14ac:dyDescent="0.3">
      <c r="A21" s="3"/>
      <c r="B21" s="61" t="s">
        <v>438</v>
      </c>
      <c r="C21" s="62">
        <v>11</v>
      </c>
      <c r="D21" s="62" t="s">
        <v>94</v>
      </c>
      <c r="E21" s="12">
        <f t="shared" si="8"/>
        <v>321.99</v>
      </c>
      <c r="F21" s="101">
        <f t="shared" si="9"/>
        <v>321.99</v>
      </c>
      <c r="G21" s="119"/>
      <c r="H21" s="103" t="s">
        <v>37</v>
      </c>
      <c r="I21" s="63"/>
      <c r="J21" s="64"/>
      <c r="K21" s="62"/>
      <c r="L21" s="62" t="str">
        <f t="shared" si="3"/>
        <v/>
      </c>
      <c r="M21" s="12">
        <v>120.98</v>
      </c>
      <c r="N21" s="12">
        <v>24.57</v>
      </c>
      <c r="O21" s="12">
        <v>12</v>
      </c>
      <c r="P21" s="12">
        <v>1.44</v>
      </c>
      <c r="Q21" s="12">
        <v>5</v>
      </c>
      <c r="R21" s="12">
        <v>5</v>
      </c>
      <c r="S21" s="12"/>
      <c r="T21" s="12">
        <v>30</v>
      </c>
      <c r="U21" s="12">
        <v>123</v>
      </c>
      <c r="V21" s="65" t="s">
        <v>884</v>
      </c>
      <c r="W21" s="44" t="str">
        <f t="shared" si="2"/>
        <v>OK</v>
      </c>
      <c r="X21" s="47" t="str">
        <f t="shared" si="4"/>
        <v/>
      </c>
      <c r="Y21" s="3"/>
      <c r="Z21" s="127"/>
    </row>
    <row r="22" spans="1:26" ht="14.4" hidden="1" outlineLevel="1" x14ac:dyDescent="0.3">
      <c r="A22" s="3"/>
      <c r="B22" s="61" t="s">
        <v>439</v>
      </c>
      <c r="C22" s="62">
        <v>11</v>
      </c>
      <c r="D22" s="62" t="s">
        <v>94</v>
      </c>
      <c r="E22" s="12">
        <f t="shared" si="8"/>
        <v>218.59</v>
      </c>
      <c r="F22" s="101">
        <f t="shared" si="9"/>
        <v>218.59</v>
      </c>
      <c r="G22" s="119"/>
      <c r="H22" s="103" t="s">
        <v>37</v>
      </c>
      <c r="I22" s="63"/>
      <c r="J22" s="64"/>
      <c r="K22" s="62"/>
      <c r="L22" s="62" t="str">
        <f t="shared" si="3"/>
        <v/>
      </c>
      <c r="M22" s="12">
        <v>102.58</v>
      </c>
      <c r="N22" s="12">
        <v>24.57</v>
      </c>
      <c r="O22" s="12">
        <v>12</v>
      </c>
      <c r="P22" s="12">
        <v>1.44</v>
      </c>
      <c r="Q22" s="12">
        <v>5</v>
      </c>
      <c r="R22" s="12"/>
      <c r="S22" s="12"/>
      <c r="T22" s="12">
        <v>30</v>
      </c>
      <c r="U22" s="12">
        <v>43</v>
      </c>
      <c r="V22" s="65" t="s">
        <v>882</v>
      </c>
      <c r="W22" s="44" t="str">
        <f t="shared" si="2"/>
        <v>OK</v>
      </c>
      <c r="X22" s="47" t="str">
        <f t="shared" si="4"/>
        <v/>
      </c>
      <c r="Y22" s="3"/>
      <c r="Z22" s="127"/>
    </row>
    <row r="23" spans="1:26" ht="14.4" hidden="1" outlineLevel="1" x14ac:dyDescent="0.3">
      <c r="A23" s="3"/>
      <c r="B23" s="10" t="s">
        <v>440</v>
      </c>
      <c r="C23" s="62"/>
      <c r="D23" s="62" t="s">
        <v>104</v>
      </c>
      <c r="E23" s="12">
        <f t="shared" si="8"/>
        <v>208.34</v>
      </c>
      <c r="F23" s="101"/>
      <c r="G23" s="119"/>
      <c r="H23" s="103"/>
      <c r="I23" s="63"/>
      <c r="J23" s="64"/>
      <c r="K23" s="12"/>
      <c r="L23" s="62" t="str">
        <f t="shared" si="3"/>
        <v/>
      </c>
      <c r="M23" s="12">
        <v>37.33</v>
      </c>
      <c r="N23" s="12">
        <v>24.57</v>
      </c>
      <c r="O23" s="12">
        <v>12</v>
      </c>
      <c r="P23" s="12">
        <v>1.44</v>
      </c>
      <c r="Q23" s="12">
        <v>5</v>
      </c>
      <c r="R23" s="12">
        <v>5</v>
      </c>
      <c r="S23" s="12"/>
      <c r="T23" s="12"/>
      <c r="U23" s="12">
        <v>123</v>
      </c>
      <c r="V23" s="65" t="s">
        <v>884</v>
      </c>
      <c r="W23" s="44" t="str">
        <f t="shared" si="2"/>
        <v>Diferente</v>
      </c>
      <c r="X23" s="47">
        <f t="shared" si="4"/>
        <v>-208.34</v>
      </c>
      <c r="Y23" s="3"/>
      <c r="Z23" s="127"/>
    </row>
    <row r="24" spans="1:26" ht="14.4" hidden="1" outlineLevel="1" x14ac:dyDescent="0.3">
      <c r="A24" s="3"/>
      <c r="B24" s="10" t="s">
        <v>441</v>
      </c>
      <c r="C24" s="62"/>
      <c r="D24" s="62" t="s">
        <v>104</v>
      </c>
      <c r="E24" s="12">
        <f t="shared" si="8"/>
        <v>159.44</v>
      </c>
      <c r="F24" s="101"/>
      <c r="G24" s="119"/>
      <c r="H24" s="103"/>
      <c r="I24" s="63"/>
      <c r="J24" s="64"/>
      <c r="K24" s="12"/>
      <c r="L24" s="62" t="str">
        <f t="shared" si="3"/>
        <v/>
      </c>
      <c r="M24" s="12">
        <v>53.43</v>
      </c>
      <c r="N24" s="12">
        <v>24.57</v>
      </c>
      <c r="O24" s="12">
        <v>12</v>
      </c>
      <c r="P24" s="12">
        <v>1.44</v>
      </c>
      <c r="Q24" s="12">
        <v>5</v>
      </c>
      <c r="R24" s="12">
        <v>5</v>
      </c>
      <c r="S24" s="12"/>
      <c r="T24" s="12">
        <v>15</v>
      </c>
      <c r="U24" s="12">
        <v>43</v>
      </c>
      <c r="V24" s="65" t="s">
        <v>882</v>
      </c>
      <c r="W24" s="44" t="str">
        <f t="shared" si="2"/>
        <v>Diferente</v>
      </c>
      <c r="X24" s="47">
        <f t="shared" si="4"/>
        <v>-159.44</v>
      </c>
      <c r="Y24" s="3"/>
      <c r="Z24" s="127"/>
    </row>
    <row r="25" spans="1:26" ht="14.4" hidden="1" outlineLevel="1" x14ac:dyDescent="0.3">
      <c r="A25" s="3"/>
      <c r="B25" s="61" t="s">
        <v>442</v>
      </c>
      <c r="C25" s="62">
        <v>11</v>
      </c>
      <c r="D25" s="62" t="s">
        <v>94</v>
      </c>
      <c r="E25" s="12">
        <f t="shared" si="8"/>
        <v>228</v>
      </c>
      <c r="F25" s="101">
        <f>E25</f>
        <v>228</v>
      </c>
      <c r="G25" s="119"/>
      <c r="H25" s="103" t="s">
        <v>37</v>
      </c>
      <c r="I25" s="63"/>
      <c r="J25" s="64"/>
      <c r="K25" s="12"/>
      <c r="L25" s="62" t="str">
        <f t="shared" si="3"/>
        <v/>
      </c>
      <c r="M25" s="12">
        <v>131.99</v>
      </c>
      <c r="N25" s="12">
        <v>24.57</v>
      </c>
      <c r="O25" s="12">
        <v>12</v>
      </c>
      <c r="P25" s="12">
        <v>6.44</v>
      </c>
      <c r="Q25" s="12"/>
      <c r="R25" s="12">
        <v>10</v>
      </c>
      <c r="S25" s="12"/>
      <c r="T25" s="12"/>
      <c r="U25" s="12">
        <v>43</v>
      </c>
      <c r="V25" s="65" t="s">
        <v>882</v>
      </c>
      <c r="W25" s="44" t="str">
        <f t="shared" si="2"/>
        <v>OK</v>
      </c>
      <c r="X25" s="47" t="str">
        <f t="shared" si="4"/>
        <v/>
      </c>
      <c r="Y25" s="3"/>
      <c r="Z25" s="127"/>
    </row>
    <row r="26" spans="1:26" ht="14.4" hidden="1" outlineLevel="1" x14ac:dyDescent="0.3">
      <c r="A26" s="3"/>
      <c r="B26" s="10" t="s">
        <v>443</v>
      </c>
      <c r="C26" s="62"/>
      <c r="D26" s="62" t="s">
        <v>104</v>
      </c>
      <c r="E26" s="12">
        <f t="shared" si="8"/>
        <v>153</v>
      </c>
      <c r="F26" s="101"/>
      <c r="G26" s="119"/>
      <c r="H26" s="103"/>
      <c r="I26" s="63"/>
      <c r="J26" s="64"/>
      <c r="K26" s="12"/>
      <c r="L26" s="62" t="str">
        <f t="shared" si="3"/>
        <v/>
      </c>
      <c r="M26" s="12">
        <v>71.430000000000007</v>
      </c>
      <c r="N26" s="12">
        <v>24.57</v>
      </c>
      <c r="O26" s="12">
        <v>12</v>
      </c>
      <c r="P26" s="12">
        <v>2</v>
      </c>
      <c r="Q26" s="12"/>
      <c r="R26" s="12"/>
      <c r="S26" s="12"/>
      <c r="T26" s="12"/>
      <c r="U26" s="12">
        <v>43</v>
      </c>
      <c r="V26" s="65" t="s">
        <v>882</v>
      </c>
      <c r="W26" s="44" t="str">
        <f t="shared" si="2"/>
        <v>Diferente</v>
      </c>
      <c r="X26" s="47">
        <f t="shared" si="4"/>
        <v>-153</v>
      </c>
      <c r="Y26" s="3"/>
      <c r="Z26" s="127"/>
    </row>
    <row r="27" spans="1:26" ht="14.4" hidden="1" outlineLevel="1" x14ac:dyDescent="0.3">
      <c r="A27" s="3"/>
      <c r="B27" s="61" t="s">
        <v>444</v>
      </c>
      <c r="C27" s="62">
        <v>11</v>
      </c>
      <c r="D27" s="62" t="s">
        <v>94</v>
      </c>
      <c r="E27" s="12">
        <f t="shared" si="8"/>
        <v>338</v>
      </c>
      <c r="F27" s="101">
        <f t="shared" ref="F27:F34" si="10">E27</f>
        <v>338</v>
      </c>
      <c r="G27" s="119"/>
      <c r="H27" s="103" t="s">
        <v>37</v>
      </c>
      <c r="I27" s="63"/>
      <c r="J27" s="64"/>
      <c r="K27" s="12"/>
      <c r="L27" s="62" t="str">
        <f t="shared" si="3"/>
        <v/>
      </c>
      <c r="M27" s="12">
        <v>131.99</v>
      </c>
      <c r="N27" s="12">
        <v>24.57</v>
      </c>
      <c r="O27" s="12">
        <v>12</v>
      </c>
      <c r="P27" s="12">
        <v>11.44</v>
      </c>
      <c r="Q27" s="12">
        <v>5</v>
      </c>
      <c r="R27" s="12">
        <v>5</v>
      </c>
      <c r="S27" s="12">
        <v>10</v>
      </c>
      <c r="T27" s="12">
        <v>30</v>
      </c>
      <c r="U27" s="12">
        <v>108</v>
      </c>
      <c r="V27" s="65" t="s">
        <v>886</v>
      </c>
      <c r="W27" s="44" t="str">
        <f t="shared" si="2"/>
        <v>OK</v>
      </c>
      <c r="X27" s="47" t="str">
        <f t="shared" si="4"/>
        <v/>
      </c>
      <c r="Y27" s="3"/>
      <c r="Z27" s="127"/>
    </row>
    <row r="28" spans="1:26" ht="14.4" hidden="1" outlineLevel="1" x14ac:dyDescent="0.3">
      <c r="A28" s="3"/>
      <c r="B28" s="61" t="s">
        <v>446</v>
      </c>
      <c r="C28" s="62">
        <v>11</v>
      </c>
      <c r="D28" s="62" t="s">
        <v>94</v>
      </c>
      <c r="E28" s="12">
        <f t="shared" si="8"/>
        <v>263</v>
      </c>
      <c r="F28" s="101">
        <f t="shared" si="10"/>
        <v>263</v>
      </c>
      <c r="G28" s="119"/>
      <c r="H28" s="103" t="s">
        <v>37</v>
      </c>
      <c r="I28" s="63"/>
      <c r="J28" s="64"/>
      <c r="K28" s="12"/>
      <c r="L28" s="62" t="str">
        <f t="shared" si="3"/>
        <v/>
      </c>
      <c r="M28" s="12">
        <v>131.99</v>
      </c>
      <c r="N28" s="12">
        <v>24.57</v>
      </c>
      <c r="O28" s="12">
        <v>12</v>
      </c>
      <c r="P28" s="12">
        <v>1.44</v>
      </c>
      <c r="Q28" s="12">
        <v>5</v>
      </c>
      <c r="R28" s="12">
        <v>5</v>
      </c>
      <c r="S28" s="12">
        <v>10</v>
      </c>
      <c r="T28" s="12">
        <v>30</v>
      </c>
      <c r="U28" s="12">
        <v>43</v>
      </c>
      <c r="V28" s="65" t="s">
        <v>882</v>
      </c>
      <c r="W28" s="44" t="str">
        <f t="shared" si="2"/>
        <v>OK</v>
      </c>
      <c r="X28" s="47" t="str">
        <f t="shared" si="4"/>
        <v/>
      </c>
      <c r="Y28" s="3"/>
      <c r="Z28" s="127"/>
    </row>
    <row r="29" spans="1:26" ht="14.4" hidden="1" outlineLevel="1" x14ac:dyDescent="0.3">
      <c r="A29" s="3"/>
      <c r="B29" s="10" t="s">
        <v>447</v>
      </c>
      <c r="C29" s="62">
        <v>11</v>
      </c>
      <c r="D29" s="62" t="s">
        <v>94</v>
      </c>
      <c r="E29" s="12">
        <f t="shared" si="8"/>
        <v>332.69</v>
      </c>
      <c r="F29" s="101">
        <f t="shared" si="10"/>
        <v>332.69</v>
      </c>
      <c r="G29" s="119"/>
      <c r="H29" s="103" t="s">
        <v>37</v>
      </c>
      <c r="I29" s="63"/>
      <c r="J29" s="64"/>
      <c r="K29" s="12"/>
      <c r="L29" s="62" t="str">
        <f t="shared" si="3"/>
        <v/>
      </c>
      <c r="M29" s="12">
        <v>116.68</v>
      </c>
      <c r="N29" s="12">
        <v>24.57</v>
      </c>
      <c r="O29" s="12">
        <v>12</v>
      </c>
      <c r="P29" s="12">
        <v>1.44</v>
      </c>
      <c r="Q29" s="12">
        <v>5</v>
      </c>
      <c r="R29" s="12">
        <v>10</v>
      </c>
      <c r="S29" s="12">
        <v>10</v>
      </c>
      <c r="T29" s="12">
        <v>30</v>
      </c>
      <c r="U29" s="12">
        <v>123</v>
      </c>
      <c r="V29" s="65" t="s">
        <v>884</v>
      </c>
      <c r="W29" s="44" t="str">
        <f t="shared" si="2"/>
        <v>OK</v>
      </c>
      <c r="X29" s="47" t="str">
        <f t="shared" si="4"/>
        <v/>
      </c>
      <c r="Y29" s="3"/>
      <c r="Z29" s="127"/>
    </row>
    <row r="30" spans="1:26" ht="14.4" hidden="1" outlineLevel="1" x14ac:dyDescent="0.3">
      <c r="A30" s="3"/>
      <c r="B30" s="10" t="s">
        <v>448</v>
      </c>
      <c r="C30" s="62">
        <v>11</v>
      </c>
      <c r="D30" s="62" t="s">
        <v>94</v>
      </c>
      <c r="E30" s="12">
        <f t="shared" si="8"/>
        <v>201.69</v>
      </c>
      <c r="F30" s="101">
        <f t="shared" si="10"/>
        <v>201.69</v>
      </c>
      <c r="G30" s="119"/>
      <c r="H30" s="103" t="s">
        <v>37</v>
      </c>
      <c r="I30" s="63"/>
      <c r="J30" s="64"/>
      <c r="K30" s="12"/>
      <c r="L30" s="62" t="str">
        <f t="shared" si="3"/>
        <v/>
      </c>
      <c r="M30" s="12">
        <v>70.680000000000007</v>
      </c>
      <c r="N30" s="12">
        <v>24.57</v>
      </c>
      <c r="O30" s="12">
        <v>12</v>
      </c>
      <c r="P30" s="12">
        <v>1.44</v>
      </c>
      <c r="Q30" s="12"/>
      <c r="R30" s="12">
        <v>10</v>
      </c>
      <c r="S30" s="12">
        <v>10</v>
      </c>
      <c r="T30" s="12">
        <v>30</v>
      </c>
      <c r="U30" s="12">
        <v>43</v>
      </c>
      <c r="V30" s="65" t="s">
        <v>882</v>
      </c>
      <c r="W30" s="44" t="str">
        <f t="shared" si="2"/>
        <v>OK</v>
      </c>
      <c r="X30" s="47" t="str">
        <f t="shared" si="4"/>
        <v/>
      </c>
      <c r="Y30" s="3"/>
      <c r="Z30" s="127"/>
    </row>
    <row r="31" spans="1:26" ht="14.4" hidden="1" outlineLevel="1" x14ac:dyDescent="0.3">
      <c r="A31" s="3"/>
      <c r="B31" s="61" t="s">
        <v>449</v>
      </c>
      <c r="C31" s="62">
        <v>15</v>
      </c>
      <c r="D31" s="62" t="s">
        <v>94</v>
      </c>
      <c r="E31" s="12">
        <f t="shared" si="8"/>
        <v>302.44</v>
      </c>
      <c r="F31" s="101">
        <f t="shared" si="10"/>
        <v>302.44</v>
      </c>
      <c r="G31" s="119"/>
      <c r="H31" s="103" t="s">
        <v>37</v>
      </c>
      <c r="I31" s="63"/>
      <c r="J31" s="64"/>
      <c r="K31" s="12"/>
      <c r="L31" s="62">
        <f t="shared" si="3"/>
        <v>1</v>
      </c>
      <c r="M31" s="12">
        <v>104.43</v>
      </c>
      <c r="N31" s="12">
        <v>24.57</v>
      </c>
      <c r="O31" s="12">
        <v>12</v>
      </c>
      <c r="P31" s="12">
        <v>1.44</v>
      </c>
      <c r="Q31" s="12">
        <v>5</v>
      </c>
      <c r="R31" s="12"/>
      <c r="S31" s="12">
        <v>10</v>
      </c>
      <c r="T31" s="12">
        <v>10</v>
      </c>
      <c r="U31" s="12">
        <v>135</v>
      </c>
      <c r="V31" s="65" t="s">
        <v>887</v>
      </c>
      <c r="W31" s="44" t="str">
        <f t="shared" si="2"/>
        <v>OK</v>
      </c>
      <c r="X31" s="47" t="str">
        <f t="shared" si="4"/>
        <v/>
      </c>
      <c r="Y31" s="3"/>
      <c r="Z31" s="127"/>
    </row>
    <row r="32" spans="1:26" ht="14.4" hidden="1" outlineLevel="1" x14ac:dyDescent="0.3">
      <c r="A32" s="3"/>
      <c r="B32" s="61" t="s">
        <v>450</v>
      </c>
      <c r="C32" s="62">
        <v>15</v>
      </c>
      <c r="D32" s="62" t="s">
        <v>94</v>
      </c>
      <c r="E32" s="12">
        <f t="shared" si="8"/>
        <v>210.44</v>
      </c>
      <c r="F32" s="101">
        <f t="shared" si="10"/>
        <v>210.44</v>
      </c>
      <c r="G32" s="119"/>
      <c r="H32" s="103" t="s">
        <v>37</v>
      </c>
      <c r="I32" s="63"/>
      <c r="J32" s="64"/>
      <c r="K32" s="12"/>
      <c r="L32" s="62">
        <f t="shared" si="3"/>
        <v>1</v>
      </c>
      <c r="M32" s="12">
        <v>104.43</v>
      </c>
      <c r="N32" s="12">
        <v>24.57</v>
      </c>
      <c r="O32" s="12">
        <v>12</v>
      </c>
      <c r="P32" s="12">
        <v>1.44</v>
      </c>
      <c r="Q32" s="12">
        <v>5</v>
      </c>
      <c r="R32" s="12"/>
      <c r="S32" s="12">
        <v>10</v>
      </c>
      <c r="T32" s="12">
        <v>10</v>
      </c>
      <c r="U32" s="12">
        <v>43</v>
      </c>
      <c r="V32" s="65" t="s">
        <v>882</v>
      </c>
      <c r="W32" s="44" t="str">
        <f t="shared" si="2"/>
        <v>OK</v>
      </c>
      <c r="X32" s="47" t="str">
        <f t="shared" si="4"/>
        <v/>
      </c>
      <c r="Y32" s="3"/>
      <c r="Z32" s="127"/>
    </row>
    <row r="33" spans="1:26" ht="14.4" hidden="1" outlineLevel="1" x14ac:dyDescent="0.3">
      <c r="A33" s="3"/>
      <c r="B33" s="10" t="s">
        <v>451</v>
      </c>
      <c r="C33" s="62">
        <v>10</v>
      </c>
      <c r="D33" s="62" t="s">
        <v>94</v>
      </c>
      <c r="E33" s="12">
        <f t="shared" si="8"/>
        <v>242.01</v>
      </c>
      <c r="F33" s="101">
        <f t="shared" si="10"/>
        <v>242.01</v>
      </c>
      <c r="G33" s="119"/>
      <c r="H33" s="103" t="s">
        <v>37</v>
      </c>
      <c r="I33" s="63"/>
      <c r="J33" s="64"/>
      <c r="K33" s="12"/>
      <c r="L33" s="62" t="str">
        <f t="shared" si="3"/>
        <v/>
      </c>
      <c r="M33" s="12">
        <v>156</v>
      </c>
      <c r="N33" s="12">
        <v>24.57</v>
      </c>
      <c r="O33" s="12">
        <v>12</v>
      </c>
      <c r="P33" s="12">
        <v>1.44</v>
      </c>
      <c r="Q33" s="12">
        <v>5</v>
      </c>
      <c r="R33" s="12"/>
      <c r="S33" s="12"/>
      <c r="T33" s="12"/>
      <c r="U33" s="12">
        <v>43</v>
      </c>
      <c r="V33" s="65" t="s">
        <v>882</v>
      </c>
      <c r="W33" s="44" t="str">
        <f t="shared" si="2"/>
        <v>OK</v>
      </c>
      <c r="X33" s="47" t="str">
        <f t="shared" si="4"/>
        <v/>
      </c>
      <c r="Y33" s="3"/>
      <c r="Z33" s="127"/>
    </row>
    <row r="34" spans="1:26" ht="14.4" hidden="1" outlineLevel="1" x14ac:dyDescent="0.3">
      <c r="A34" s="3"/>
      <c r="B34" s="10" t="s">
        <v>452</v>
      </c>
      <c r="C34" s="62">
        <v>10</v>
      </c>
      <c r="D34" s="62" t="s">
        <v>94</v>
      </c>
      <c r="E34" s="12">
        <f t="shared" si="8"/>
        <v>342.01</v>
      </c>
      <c r="F34" s="101">
        <f t="shared" si="10"/>
        <v>342.01</v>
      </c>
      <c r="G34" s="119"/>
      <c r="H34" s="103" t="s">
        <v>37</v>
      </c>
      <c r="I34" s="63"/>
      <c r="J34" s="64"/>
      <c r="K34" s="12"/>
      <c r="L34" s="62" t="str">
        <f t="shared" si="3"/>
        <v/>
      </c>
      <c r="M34" s="12">
        <v>156</v>
      </c>
      <c r="N34" s="12">
        <v>24.57</v>
      </c>
      <c r="O34" s="12">
        <v>12</v>
      </c>
      <c r="P34" s="12">
        <v>11.44</v>
      </c>
      <c r="Q34" s="12">
        <v>5</v>
      </c>
      <c r="R34" s="12">
        <v>10</v>
      </c>
      <c r="S34" s="12"/>
      <c r="T34" s="12"/>
      <c r="U34" s="12">
        <v>123</v>
      </c>
      <c r="V34" s="65" t="s">
        <v>884</v>
      </c>
      <c r="W34" s="44" t="str">
        <f t="shared" si="2"/>
        <v>OK</v>
      </c>
      <c r="X34" s="47" t="str">
        <f t="shared" si="4"/>
        <v/>
      </c>
      <c r="Y34" s="3"/>
      <c r="Z34" s="127"/>
    </row>
    <row r="35" spans="1:26" ht="14.4" hidden="1" outlineLevel="1" x14ac:dyDescent="0.3">
      <c r="A35" s="3"/>
      <c r="B35" s="61" t="s">
        <v>453</v>
      </c>
      <c r="C35" s="62"/>
      <c r="D35" s="62" t="s">
        <v>104</v>
      </c>
      <c r="E35" s="12">
        <f t="shared" si="8"/>
        <v>483.4</v>
      </c>
      <c r="F35" s="101"/>
      <c r="G35" s="119"/>
      <c r="H35" s="103"/>
      <c r="I35" s="63"/>
      <c r="J35" s="64"/>
      <c r="K35" s="12"/>
      <c r="L35" s="62" t="str">
        <f t="shared" si="3"/>
        <v/>
      </c>
      <c r="M35" s="12">
        <v>48.43</v>
      </c>
      <c r="N35" s="12">
        <v>24.57</v>
      </c>
      <c r="O35" s="12">
        <v>12</v>
      </c>
      <c r="P35" s="12">
        <v>2</v>
      </c>
      <c r="Q35" s="12">
        <v>0</v>
      </c>
      <c r="R35" s="12">
        <v>0</v>
      </c>
      <c r="S35" s="12"/>
      <c r="T35" s="12"/>
      <c r="U35" s="12">
        <v>396.4</v>
      </c>
      <c r="V35" s="65" t="s">
        <v>888</v>
      </c>
      <c r="W35" s="44" t="str">
        <f t="shared" si="2"/>
        <v>Diferente</v>
      </c>
      <c r="X35" s="47">
        <f t="shared" si="4"/>
        <v>-483.4</v>
      </c>
      <c r="Y35" s="3"/>
      <c r="Z35" s="127"/>
    </row>
    <row r="36" spans="1:26" ht="14.4" hidden="1" outlineLevel="1" x14ac:dyDescent="0.3">
      <c r="A36" s="3"/>
      <c r="B36" s="10" t="s">
        <v>454</v>
      </c>
      <c r="C36" s="62">
        <v>5</v>
      </c>
      <c r="D36" s="62" t="s">
        <v>94</v>
      </c>
      <c r="E36" s="12">
        <f t="shared" si="8"/>
        <v>271.76</v>
      </c>
      <c r="F36" s="101">
        <f t="shared" ref="F36:F38" si="11">E36</f>
        <v>271.76</v>
      </c>
      <c r="G36" s="119"/>
      <c r="H36" s="103" t="s">
        <v>37</v>
      </c>
      <c r="I36" s="63"/>
      <c r="J36" s="64"/>
      <c r="K36" s="12"/>
      <c r="L36" s="62" t="str">
        <f t="shared" si="3"/>
        <v/>
      </c>
      <c r="M36" s="12">
        <v>132.19</v>
      </c>
      <c r="N36" s="12">
        <v>24.57</v>
      </c>
      <c r="O36" s="12">
        <v>12</v>
      </c>
      <c r="P36" s="12">
        <v>5</v>
      </c>
      <c r="Q36" s="12">
        <v>5</v>
      </c>
      <c r="R36" s="12">
        <v>10</v>
      </c>
      <c r="S36" s="12">
        <v>10</v>
      </c>
      <c r="T36" s="12">
        <v>30</v>
      </c>
      <c r="U36" s="12">
        <v>43</v>
      </c>
      <c r="V36" s="65" t="s">
        <v>882</v>
      </c>
      <c r="W36" s="44" t="str">
        <f t="shared" si="2"/>
        <v>OK</v>
      </c>
      <c r="X36" s="47" t="str">
        <f t="shared" si="4"/>
        <v/>
      </c>
      <c r="Y36" s="3"/>
      <c r="Z36" s="127"/>
    </row>
    <row r="37" spans="1:26" ht="14.4" hidden="1" outlineLevel="1" x14ac:dyDescent="0.3">
      <c r="A37" s="3"/>
      <c r="B37" s="61" t="s">
        <v>455</v>
      </c>
      <c r="C37" s="62">
        <v>9</v>
      </c>
      <c r="D37" s="62" t="s">
        <v>94</v>
      </c>
      <c r="E37" s="12">
        <f t="shared" si="8"/>
        <v>155.81</v>
      </c>
      <c r="F37" s="101">
        <f t="shared" si="11"/>
        <v>155.81</v>
      </c>
      <c r="G37" s="119"/>
      <c r="H37" s="103" t="s">
        <v>37</v>
      </c>
      <c r="I37" s="63"/>
      <c r="J37" s="64"/>
      <c r="K37" s="12"/>
      <c r="L37" s="62" t="str">
        <f t="shared" si="3"/>
        <v/>
      </c>
      <c r="M37" s="12">
        <v>74.739999999999995</v>
      </c>
      <c r="N37" s="12">
        <v>24.57</v>
      </c>
      <c r="O37" s="12">
        <v>12</v>
      </c>
      <c r="P37" s="12">
        <v>1.5</v>
      </c>
      <c r="Q37" s="12"/>
      <c r="R37" s="12"/>
      <c r="S37" s="12"/>
      <c r="T37" s="12"/>
      <c r="U37" s="12">
        <v>43</v>
      </c>
      <c r="V37" s="65" t="s">
        <v>882</v>
      </c>
      <c r="W37" s="44" t="str">
        <f t="shared" si="2"/>
        <v>OK</v>
      </c>
      <c r="X37" s="47" t="str">
        <f t="shared" si="4"/>
        <v/>
      </c>
      <c r="Y37" s="3"/>
      <c r="Z37" s="127"/>
    </row>
    <row r="38" spans="1:26" ht="14.4" hidden="1" outlineLevel="1" x14ac:dyDescent="0.3">
      <c r="A38" s="3"/>
      <c r="B38" s="61" t="s">
        <v>456</v>
      </c>
      <c r="C38" s="62">
        <v>9</v>
      </c>
      <c r="D38" s="62" t="s">
        <v>94</v>
      </c>
      <c r="E38" s="12">
        <f t="shared" si="8"/>
        <v>185.81</v>
      </c>
      <c r="F38" s="101">
        <f t="shared" si="11"/>
        <v>185.81</v>
      </c>
      <c r="G38" s="119"/>
      <c r="H38" s="103" t="s">
        <v>37</v>
      </c>
      <c r="I38" s="63"/>
      <c r="J38" s="64"/>
      <c r="K38" s="12"/>
      <c r="L38" s="62" t="str">
        <f t="shared" si="3"/>
        <v/>
      </c>
      <c r="M38" s="12">
        <v>74.739999999999995</v>
      </c>
      <c r="N38" s="12">
        <v>24.57</v>
      </c>
      <c r="O38" s="12">
        <v>12</v>
      </c>
      <c r="P38" s="12">
        <v>1.5</v>
      </c>
      <c r="Q38" s="12"/>
      <c r="R38" s="12"/>
      <c r="S38" s="12"/>
      <c r="T38" s="12"/>
      <c r="U38" s="12">
        <v>73</v>
      </c>
      <c r="V38" s="65" t="s">
        <v>881</v>
      </c>
      <c r="W38" s="44" t="str">
        <f t="shared" si="2"/>
        <v>OK</v>
      </c>
      <c r="X38" s="47" t="str">
        <f t="shared" si="4"/>
        <v/>
      </c>
      <c r="Y38" s="3"/>
      <c r="Z38" s="127"/>
    </row>
    <row r="39" spans="1:26" ht="14.4" hidden="1" outlineLevel="1" x14ac:dyDescent="0.3">
      <c r="A39" s="3"/>
      <c r="B39" s="10" t="s">
        <v>457</v>
      </c>
      <c r="C39" s="62">
        <v>11</v>
      </c>
      <c r="D39" s="62" t="s">
        <v>94</v>
      </c>
      <c r="E39" s="12">
        <f t="shared" si="8"/>
        <v>189.44</v>
      </c>
      <c r="F39" s="101">
        <f t="shared" ref="F39:F43" si="12">SUM(M39:U39)</f>
        <v>189.44</v>
      </c>
      <c r="G39" s="119"/>
      <c r="H39" s="103" t="s">
        <v>37</v>
      </c>
      <c r="I39" s="63"/>
      <c r="J39" s="64"/>
      <c r="K39" s="12"/>
      <c r="L39" s="62" t="str">
        <f t="shared" si="3"/>
        <v/>
      </c>
      <c r="M39" s="12">
        <v>103.43</v>
      </c>
      <c r="N39" s="12">
        <v>24.57</v>
      </c>
      <c r="O39" s="12">
        <v>12</v>
      </c>
      <c r="P39" s="12">
        <v>1.44</v>
      </c>
      <c r="Q39" s="12"/>
      <c r="R39" s="12">
        <v>5</v>
      </c>
      <c r="S39" s="12"/>
      <c r="T39" s="12"/>
      <c r="U39" s="12">
        <v>43</v>
      </c>
      <c r="V39" s="65" t="s">
        <v>882</v>
      </c>
      <c r="W39" s="44" t="str">
        <f t="shared" si="2"/>
        <v>OK</v>
      </c>
      <c r="X39" s="47" t="str">
        <f t="shared" si="4"/>
        <v/>
      </c>
      <c r="Y39" s="3"/>
      <c r="Z39" s="127"/>
    </row>
    <row r="40" spans="1:26" ht="14.4" hidden="1" outlineLevel="1" x14ac:dyDescent="0.3">
      <c r="A40" s="3"/>
      <c r="B40" s="10" t="s">
        <v>458</v>
      </c>
      <c r="C40" s="62">
        <v>11</v>
      </c>
      <c r="D40" s="62" t="s">
        <v>94</v>
      </c>
      <c r="E40" s="12">
        <f t="shared" si="8"/>
        <v>194.44</v>
      </c>
      <c r="F40" s="101">
        <f t="shared" si="12"/>
        <v>194.44</v>
      </c>
      <c r="G40" s="119"/>
      <c r="H40" s="103" t="s">
        <v>37</v>
      </c>
      <c r="I40" s="63"/>
      <c r="J40" s="64"/>
      <c r="K40" s="12"/>
      <c r="L40" s="62" t="str">
        <f t="shared" si="3"/>
        <v/>
      </c>
      <c r="M40" s="12">
        <v>103.43</v>
      </c>
      <c r="N40" s="12">
        <v>24.57</v>
      </c>
      <c r="O40" s="12">
        <v>12</v>
      </c>
      <c r="P40" s="12">
        <v>1.44</v>
      </c>
      <c r="Q40" s="12">
        <v>5</v>
      </c>
      <c r="R40" s="12">
        <v>5</v>
      </c>
      <c r="S40" s="12"/>
      <c r="T40" s="12"/>
      <c r="U40" s="12">
        <v>43</v>
      </c>
      <c r="V40" s="65" t="s">
        <v>882</v>
      </c>
      <c r="W40" s="44" t="str">
        <f t="shared" si="2"/>
        <v>OK</v>
      </c>
      <c r="X40" s="47" t="str">
        <f t="shared" si="4"/>
        <v/>
      </c>
      <c r="Y40" s="3"/>
      <c r="Z40" s="127"/>
    </row>
    <row r="41" spans="1:26" ht="14.4" hidden="1" outlineLevel="1" x14ac:dyDescent="0.3">
      <c r="A41" s="3"/>
      <c r="B41" s="10" t="s">
        <v>459</v>
      </c>
      <c r="C41" s="62">
        <v>11</v>
      </c>
      <c r="D41" s="62" t="s">
        <v>94</v>
      </c>
      <c r="E41" s="12">
        <f t="shared" si="8"/>
        <v>194.44</v>
      </c>
      <c r="F41" s="101">
        <f t="shared" si="12"/>
        <v>194.44</v>
      </c>
      <c r="G41" s="119"/>
      <c r="H41" s="103" t="s">
        <v>37</v>
      </c>
      <c r="I41" s="63"/>
      <c r="J41" s="64"/>
      <c r="K41" s="12"/>
      <c r="L41" s="62" t="str">
        <f t="shared" si="3"/>
        <v/>
      </c>
      <c r="M41" s="12">
        <v>103.43</v>
      </c>
      <c r="N41" s="12">
        <v>24.57</v>
      </c>
      <c r="O41" s="12">
        <v>12</v>
      </c>
      <c r="P41" s="12">
        <v>1.44</v>
      </c>
      <c r="Q41" s="12">
        <v>5</v>
      </c>
      <c r="R41" s="12">
        <v>5</v>
      </c>
      <c r="S41" s="12"/>
      <c r="T41" s="12"/>
      <c r="U41" s="12">
        <v>43</v>
      </c>
      <c r="V41" s="65" t="s">
        <v>882</v>
      </c>
      <c r="W41" s="44" t="str">
        <f t="shared" si="2"/>
        <v>OK</v>
      </c>
      <c r="X41" s="47" t="str">
        <f t="shared" si="4"/>
        <v/>
      </c>
      <c r="Y41" s="3"/>
      <c r="Z41" s="127"/>
    </row>
    <row r="42" spans="1:26" ht="14.4" hidden="1" outlineLevel="1" x14ac:dyDescent="0.3">
      <c r="A42" s="3"/>
      <c r="B42" s="10" t="s">
        <v>460</v>
      </c>
      <c r="C42" s="62">
        <v>11</v>
      </c>
      <c r="D42" s="62" t="s">
        <v>94</v>
      </c>
      <c r="E42" s="12">
        <f t="shared" si="8"/>
        <v>112.59</v>
      </c>
      <c r="F42" s="101">
        <f t="shared" si="12"/>
        <v>112.59</v>
      </c>
      <c r="G42" s="119"/>
      <c r="H42" s="103" t="s">
        <v>37</v>
      </c>
      <c r="I42" s="63"/>
      <c r="J42" s="64"/>
      <c r="K42" s="12"/>
      <c r="L42" s="62" t="str">
        <f t="shared" si="3"/>
        <v/>
      </c>
      <c r="M42" s="12">
        <v>31.58</v>
      </c>
      <c r="N42" s="12">
        <v>24.57</v>
      </c>
      <c r="O42" s="12">
        <v>12</v>
      </c>
      <c r="P42" s="12">
        <v>1.44</v>
      </c>
      <c r="Q42" s="12"/>
      <c r="R42" s="12"/>
      <c r="S42" s="12"/>
      <c r="T42" s="12"/>
      <c r="U42" s="12">
        <v>43</v>
      </c>
      <c r="V42" s="65" t="s">
        <v>882</v>
      </c>
      <c r="W42" s="44" t="str">
        <f t="shared" si="2"/>
        <v>OK</v>
      </c>
      <c r="X42" s="47" t="str">
        <f t="shared" si="4"/>
        <v/>
      </c>
      <c r="Y42" s="3"/>
      <c r="Z42" s="127"/>
    </row>
    <row r="43" spans="1:26" ht="14.4" hidden="1" outlineLevel="1" x14ac:dyDescent="0.3">
      <c r="A43" s="3"/>
      <c r="B43" s="61" t="s">
        <v>461</v>
      </c>
      <c r="C43" s="62">
        <v>7</v>
      </c>
      <c r="D43" s="62" t="s">
        <v>129</v>
      </c>
      <c r="E43" s="12">
        <v>243</v>
      </c>
      <c r="F43" s="101">
        <f t="shared" si="12"/>
        <v>418</v>
      </c>
      <c r="G43" s="119"/>
      <c r="H43" s="103" t="s">
        <v>37</v>
      </c>
      <c r="I43" s="63"/>
      <c r="J43" s="64"/>
      <c r="K43" s="12"/>
      <c r="L43" s="62" t="str">
        <f t="shared" si="3"/>
        <v/>
      </c>
      <c r="M43" s="12">
        <f>151.99*2</f>
        <v>303.98</v>
      </c>
      <c r="N43" s="12">
        <f>24.57*2</f>
        <v>49.14</v>
      </c>
      <c r="O43" s="12">
        <f>12*2</f>
        <v>24</v>
      </c>
      <c r="P43" s="12">
        <f>1.44*2</f>
        <v>2.88</v>
      </c>
      <c r="Q43" s="12"/>
      <c r="R43" s="12">
        <f t="shared" ref="R43:S43" si="13">5*2</f>
        <v>10</v>
      </c>
      <c r="S43" s="12">
        <f t="shared" si="13"/>
        <v>10</v>
      </c>
      <c r="T43" s="12"/>
      <c r="U43" s="12">
        <v>18</v>
      </c>
      <c r="V43" s="65" t="s">
        <v>882</v>
      </c>
      <c r="W43" s="44" t="str">
        <f t="shared" si="2"/>
        <v>OK</v>
      </c>
      <c r="X43" s="47" t="str">
        <f t="shared" si="4"/>
        <v/>
      </c>
      <c r="Y43" s="3"/>
      <c r="Z43" s="127"/>
    </row>
    <row r="44" spans="1:26" ht="14.4" hidden="1" outlineLevel="1" x14ac:dyDescent="0.3">
      <c r="A44" s="3"/>
      <c r="B44" s="10" t="s">
        <v>462</v>
      </c>
      <c r="C44" s="62">
        <v>11</v>
      </c>
      <c r="D44" s="62" t="s">
        <v>94</v>
      </c>
      <c r="E44" s="12">
        <f t="shared" ref="E44:E64" si="14">SUM(M44:U44)</f>
        <v>341.89</v>
      </c>
      <c r="F44" s="101">
        <f t="shared" ref="F44:F51" si="15">E44</f>
        <v>341.89</v>
      </c>
      <c r="G44" s="119"/>
      <c r="H44" s="103" t="s">
        <v>37</v>
      </c>
      <c r="I44" s="63"/>
      <c r="J44" s="64"/>
      <c r="K44" s="12"/>
      <c r="L44" s="62" t="str">
        <f t="shared" si="3"/>
        <v/>
      </c>
      <c r="M44" s="12">
        <v>125.88</v>
      </c>
      <c r="N44" s="12">
        <v>24.57</v>
      </c>
      <c r="O44" s="12">
        <v>12</v>
      </c>
      <c r="P44" s="12">
        <v>1.44</v>
      </c>
      <c r="Q44" s="12">
        <v>5</v>
      </c>
      <c r="R44" s="12">
        <v>10</v>
      </c>
      <c r="S44" s="12">
        <v>20</v>
      </c>
      <c r="T44" s="12">
        <v>100</v>
      </c>
      <c r="U44" s="12">
        <v>43</v>
      </c>
      <c r="V44" s="65" t="s">
        <v>882</v>
      </c>
      <c r="W44" s="44" t="str">
        <f t="shared" si="2"/>
        <v>OK</v>
      </c>
      <c r="X44" s="47" t="str">
        <f t="shared" si="4"/>
        <v/>
      </c>
      <c r="Y44" s="3"/>
      <c r="Z44" s="127"/>
    </row>
    <row r="45" spans="1:26" ht="14.4" hidden="1" outlineLevel="1" x14ac:dyDescent="0.3">
      <c r="A45" s="3"/>
      <c r="B45" s="10" t="s">
        <v>463</v>
      </c>
      <c r="C45" s="62">
        <v>11</v>
      </c>
      <c r="D45" s="62" t="s">
        <v>94</v>
      </c>
      <c r="E45" s="12">
        <f t="shared" si="14"/>
        <v>205.44</v>
      </c>
      <c r="F45" s="101">
        <f t="shared" si="15"/>
        <v>205.44</v>
      </c>
      <c r="G45" s="119"/>
      <c r="H45" s="103" t="s">
        <v>37</v>
      </c>
      <c r="I45" s="63"/>
      <c r="J45" s="64"/>
      <c r="K45" s="12"/>
      <c r="L45" s="62" t="str">
        <f t="shared" si="3"/>
        <v/>
      </c>
      <c r="M45" s="12">
        <v>99.43</v>
      </c>
      <c r="N45" s="12">
        <v>24.57</v>
      </c>
      <c r="O45" s="12">
        <v>12</v>
      </c>
      <c r="P45" s="12">
        <v>1.44</v>
      </c>
      <c r="Q45" s="12">
        <v>5</v>
      </c>
      <c r="R45" s="12"/>
      <c r="S45" s="12">
        <v>20</v>
      </c>
      <c r="T45" s="12"/>
      <c r="U45" s="12">
        <v>43</v>
      </c>
      <c r="V45" s="65" t="s">
        <v>882</v>
      </c>
      <c r="W45" s="44" t="str">
        <f t="shared" si="2"/>
        <v>OK</v>
      </c>
      <c r="X45" s="47" t="str">
        <f t="shared" si="4"/>
        <v/>
      </c>
      <c r="Y45" s="3"/>
      <c r="Z45" s="127"/>
    </row>
    <row r="46" spans="1:26" ht="14.4" hidden="1" outlineLevel="1" x14ac:dyDescent="0.3">
      <c r="A46" s="3"/>
      <c r="B46" s="61" t="s">
        <v>464</v>
      </c>
      <c r="C46" s="62">
        <v>1</v>
      </c>
      <c r="D46" s="62" t="s">
        <v>94</v>
      </c>
      <c r="E46" s="12">
        <f t="shared" si="14"/>
        <v>195</v>
      </c>
      <c r="F46" s="101">
        <f t="shared" si="15"/>
        <v>195</v>
      </c>
      <c r="G46" s="119"/>
      <c r="H46" s="103" t="s">
        <v>37</v>
      </c>
      <c r="I46" s="63"/>
      <c r="J46" s="64"/>
      <c r="K46" s="12"/>
      <c r="L46" s="62" t="str">
        <f t="shared" si="3"/>
        <v/>
      </c>
      <c r="M46" s="12">
        <v>93.43</v>
      </c>
      <c r="N46" s="12">
        <v>24.57</v>
      </c>
      <c r="O46" s="12">
        <v>12</v>
      </c>
      <c r="P46" s="12">
        <v>2</v>
      </c>
      <c r="Q46" s="12">
        <v>5</v>
      </c>
      <c r="R46" s="12">
        <v>5</v>
      </c>
      <c r="S46" s="12">
        <v>10</v>
      </c>
      <c r="T46" s="12"/>
      <c r="U46" s="12">
        <v>43</v>
      </c>
      <c r="V46" s="65" t="s">
        <v>882</v>
      </c>
      <c r="W46" s="44" t="str">
        <f t="shared" si="2"/>
        <v>OK</v>
      </c>
      <c r="X46" s="47" t="str">
        <f t="shared" si="4"/>
        <v/>
      </c>
      <c r="Y46" s="3"/>
      <c r="Z46" s="127"/>
    </row>
    <row r="47" spans="1:26" ht="14.4" hidden="1" outlineLevel="1" x14ac:dyDescent="0.3">
      <c r="A47" s="3"/>
      <c r="B47" s="61" t="s">
        <v>465</v>
      </c>
      <c r="C47" s="62">
        <v>1</v>
      </c>
      <c r="D47" s="62" t="s">
        <v>94</v>
      </c>
      <c r="E47" s="12">
        <f t="shared" si="14"/>
        <v>130</v>
      </c>
      <c r="F47" s="101">
        <f t="shared" si="15"/>
        <v>130</v>
      </c>
      <c r="G47" s="119"/>
      <c r="H47" s="103" t="s">
        <v>37</v>
      </c>
      <c r="I47" s="63"/>
      <c r="J47" s="64"/>
      <c r="K47" s="12"/>
      <c r="L47" s="62" t="str">
        <f t="shared" si="3"/>
        <v/>
      </c>
      <c r="M47" s="12">
        <v>43.93</v>
      </c>
      <c r="N47" s="12">
        <v>24.57</v>
      </c>
      <c r="O47" s="12">
        <v>12</v>
      </c>
      <c r="P47" s="12">
        <v>1.5</v>
      </c>
      <c r="Q47" s="12"/>
      <c r="R47" s="12"/>
      <c r="S47" s="12">
        <v>5</v>
      </c>
      <c r="T47" s="12"/>
      <c r="U47" s="12">
        <v>43</v>
      </c>
      <c r="V47" s="65" t="s">
        <v>882</v>
      </c>
      <c r="W47" s="44" t="str">
        <f t="shared" si="2"/>
        <v>OK</v>
      </c>
      <c r="X47" s="47" t="str">
        <f t="shared" si="4"/>
        <v/>
      </c>
      <c r="Y47" s="3"/>
      <c r="Z47" s="127"/>
    </row>
    <row r="48" spans="1:26" ht="14.4" hidden="1" outlineLevel="1" x14ac:dyDescent="0.3">
      <c r="A48" s="3"/>
      <c r="B48" s="10" t="s">
        <v>466</v>
      </c>
      <c r="C48" s="62">
        <v>10</v>
      </c>
      <c r="D48" s="62" t="s">
        <v>94</v>
      </c>
      <c r="E48" s="12">
        <f t="shared" si="14"/>
        <v>275</v>
      </c>
      <c r="F48" s="101">
        <f t="shared" si="15"/>
        <v>275</v>
      </c>
      <c r="G48" s="119"/>
      <c r="H48" s="103" t="s">
        <v>37</v>
      </c>
      <c r="I48" s="63"/>
      <c r="J48" s="64"/>
      <c r="K48" s="12"/>
      <c r="L48" s="62" t="str">
        <f t="shared" si="3"/>
        <v/>
      </c>
      <c r="M48" s="12">
        <v>118.99</v>
      </c>
      <c r="N48" s="12">
        <v>24.57</v>
      </c>
      <c r="O48" s="12">
        <v>12</v>
      </c>
      <c r="P48" s="12">
        <v>11.44</v>
      </c>
      <c r="Q48" s="12">
        <v>5</v>
      </c>
      <c r="R48" s="12">
        <v>10</v>
      </c>
      <c r="S48" s="12"/>
      <c r="T48" s="12"/>
      <c r="U48" s="12">
        <v>93</v>
      </c>
      <c r="V48" s="65" t="s">
        <v>889</v>
      </c>
      <c r="W48" s="44" t="str">
        <f t="shared" si="2"/>
        <v>OK</v>
      </c>
      <c r="X48" s="47" t="str">
        <f t="shared" si="4"/>
        <v/>
      </c>
      <c r="Y48" s="3"/>
      <c r="Z48" s="127"/>
    </row>
    <row r="49" spans="1:26" ht="14.4" hidden="1" outlineLevel="1" x14ac:dyDescent="0.3">
      <c r="A49" s="3"/>
      <c r="B49" s="10" t="s">
        <v>467</v>
      </c>
      <c r="C49" s="62">
        <v>10</v>
      </c>
      <c r="D49" s="62" t="s">
        <v>94</v>
      </c>
      <c r="E49" s="12">
        <f t="shared" si="14"/>
        <v>136.74</v>
      </c>
      <c r="F49" s="101">
        <f t="shared" si="15"/>
        <v>136.74</v>
      </c>
      <c r="G49" s="119"/>
      <c r="H49" s="103" t="s">
        <v>37</v>
      </c>
      <c r="I49" s="63"/>
      <c r="J49" s="64"/>
      <c r="K49" s="12"/>
      <c r="L49" s="62" t="str">
        <f t="shared" si="3"/>
        <v/>
      </c>
      <c r="M49" s="12">
        <v>55.73</v>
      </c>
      <c r="N49" s="12">
        <v>24.57</v>
      </c>
      <c r="O49" s="12">
        <v>12</v>
      </c>
      <c r="P49" s="12">
        <v>1.44</v>
      </c>
      <c r="Q49" s="12"/>
      <c r="R49" s="12"/>
      <c r="S49" s="12"/>
      <c r="T49" s="12"/>
      <c r="U49" s="12">
        <v>43</v>
      </c>
      <c r="V49" s="65" t="s">
        <v>882</v>
      </c>
      <c r="W49" s="44" t="str">
        <f t="shared" si="2"/>
        <v>OK</v>
      </c>
      <c r="X49" s="47" t="str">
        <f t="shared" si="4"/>
        <v/>
      </c>
      <c r="Y49" s="3"/>
      <c r="Z49" s="127"/>
    </row>
    <row r="50" spans="1:26" ht="14.4" hidden="1" outlineLevel="1" x14ac:dyDescent="0.3">
      <c r="A50" s="3"/>
      <c r="B50" s="61" t="s">
        <v>468</v>
      </c>
      <c r="C50" s="62">
        <v>10</v>
      </c>
      <c r="D50" s="62" t="s">
        <v>94</v>
      </c>
      <c r="E50" s="12">
        <f t="shared" si="14"/>
        <v>137.76</v>
      </c>
      <c r="F50" s="101">
        <f t="shared" si="15"/>
        <v>137.76</v>
      </c>
      <c r="G50" s="119"/>
      <c r="H50" s="103" t="s">
        <v>37</v>
      </c>
      <c r="I50" s="63"/>
      <c r="J50" s="64"/>
      <c r="K50" s="12"/>
      <c r="L50" s="62" t="str">
        <f t="shared" si="3"/>
        <v/>
      </c>
      <c r="M50" s="12">
        <v>58.19</v>
      </c>
      <c r="N50" s="12">
        <v>24.57</v>
      </c>
      <c r="O50" s="12">
        <v>12</v>
      </c>
      <c r="P50" s="12" t="s">
        <v>43</v>
      </c>
      <c r="Q50" s="12" t="s">
        <v>43</v>
      </c>
      <c r="R50" s="12" t="s">
        <v>43</v>
      </c>
      <c r="S50" s="12" t="s">
        <v>43</v>
      </c>
      <c r="T50" s="12"/>
      <c r="U50" s="12">
        <v>43</v>
      </c>
      <c r="V50" s="65" t="s">
        <v>882</v>
      </c>
      <c r="W50" s="44" t="str">
        <f t="shared" si="2"/>
        <v>OK</v>
      </c>
      <c r="X50" s="47" t="str">
        <f t="shared" si="4"/>
        <v/>
      </c>
      <c r="Y50" s="3"/>
      <c r="Z50" s="127"/>
    </row>
    <row r="51" spans="1:26" ht="14.4" hidden="1" outlineLevel="1" x14ac:dyDescent="0.3">
      <c r="A51" s="3"/>
      <c r="B51" s="61" t="s">
        <v>469</v>
      </c>
      <c r="C51" s="62">
        <v>10</v>
      </c>
      <c r="D51" s="62" t="s">
        <v>94</v>
      </c>
      <c r="E51" s="12">
        <f t="shared" si="14"/>
        <v>113.45</v>
      </c>
      <c r="F51" s="101">
        <f t="shared" si="15"/>
        <v>113.45</v>
      </c>
      <c r="G51" s="119"/>
      <c r="H51" s="103" t="s">
        <v>37</v>
      </c>
      <c r="I51" s="63"/>
      <c r="J51" s="64"/>
      <c r="K51" s="12"/>
      <c r="L51" s="62" t="str">
        <f t="shared" si="3"/>
        <v/>
      </c>
      <c r="M51" s="12">
        <v>33.880000000000003</v>
      </c>
      <c r="N51" s="12">
        <v>24.57</v>
      </c>
      <c r="O51" s="12">
        <v>12</v>
      </c>
      <c r="P51" s="12" t="s">
        <v>43</v>
      </c>
      <c r="Q51" s="12"/>
      <c r="R51" s="12" t="s">
        <v>43</v>
      </c>
      <c r="S51" s="12"/>
      <c r="T51" s="12"/>
      <c r="U51" s="12">
        <v>43</v>
      </c>
      <c r="V51" s="65" t="s">
        <v>882</v>
      </c>
      <c r="W51" s="44" t="str">
        <f t="shared" si="2"/>
        <v>OK</v>
      </c>
      <c r="X51" s="47" t="str">
        <f t="shared" si="4"/>
        <v/>
      </c>
      <c r="Y51" s="3"/>
      <c r="Z51" s="127"/>
    </row>
    <row r="52" spans="1:26" ht="14.4" hidden="1" outlineLevel="1" x14ac:dyDescent="0.3">
      <c r="A52" s="3"/>
      <c r="B52" s="10" t="s">
        <v>470</v>
      </c>
      <c r="C52" s="62"/>
      <c r="D52" s="62" t="s">
        <v>104</v>
      </c>
      <c r="E52" s="12">
        <f t="shared" si="14"/>
        <v>234.69</v>
      </c>
      <c r="F52" s="101"/>
      <c r="G52" s="119"/>
      <c r="H52" s="103"/>
      <c r="I52" s="63"/>
      <c r="J52" s="64"/>
      <c r="K52" s="12"/>
      <c r="L52" s="62" t="str">
        <f t="shared" si="3"/>
        <v/>
      </c>
      <c r="M52" s="12">
        <v>93.62</v>
      </c>
      <c r="N52" s="12">
        <v>24.57</v>
      </c>
      <c r="O52" s="12">
        <v>12</v>
      </c>
      <c r="P52" s="12">
        <v>1.5</v>
      </c>
      <c r="Q52" s="12"/>
      <c r="R52" s="12"/>
      <c r="S52" s="12">
        <v>10</v>
      </c>
      <c r="T52" s="12"/>
      <c r="U52" s="12">
        <v>93</v>
      </c>
      <c r="V52" s="65" t="s">
        <v>889</v>
      </c>
      <c r="W52" s="44" t="str">
        <f t="shared" si="2"/>
        <v>Diferente</v>
      </c>
      <c r="X52" s="47">
        <f t="shared" si="4"/>
        <v>-234.69</v>
      </c>
      <c r="Y52" s="3"/>
      <c r="Z52" s="127"/>
    </row>
    <row r="53" spans="1:26" ht="14.4" hidden="1" outlineLevel="1" x14ac:dyDescent="0.3">
      <c r="A53" s="3"/>
      <c r="B53" s="10" t="s">
        <v>472</v>
      </c>
      <c r="C53" s="62"/>
      <c r="D53" s="62" t="s">
        <v>104</v>
      </c>
      <c r="E53" s="12">
        <f t="shared" si="14"/>
        <v>174.69</v>
      </c>
      <c r="F53" s="101"/>
      <c r="G53" s="119"/>
      <c r="H53" s="103"/>
      <c r="I53" s="63"/>
      <c r="J53" s="64"/>
      <c r="K53" s="12"/>
      <c r="L53" s="62" t="str">
        <f t="shared" si="3"/>
        <v/>
      </c>
      <c r="M53" s="12">
        <v>93.62</v>
      </c>
      <c r="N53" s="12">
        <v>24.57</v>
      </c>
      <c r="O53" s="12">
        <v>12</v>
      </c>
      <c r="P53" s="12">
        <v>1.5</v>
      </c>
      <c r="Q53" s="12"/>
      <c r="R53" s="12"/>
      <c r="S53" s="12"/>
      <c r="T53" s="12"/>
      <c r="U53" s="12">
        <v>43</v>
      </c>
      <c r="V53" s="65" t="s">
        <v>882</v>
      </c>
      <c r="W53" s="44" t="str">
        <f t="shared" si="2"/>
        <v>Diferente</v>
      </c>
      <c r="X53" s="47">
        <f t="shared" si="4"/>
        <v>-174.69</v>
      </c>
      <c r="Y53" s="3"/>
      <c r="Z53" s="127"/>
    </row>
    <row r="54" spans="1:26" ht="14.4" hidden="1" outlineLevel="1" x14ac:dyDescent="0.3">
      <c r="A54" s="3"/>
      <c r="B54" s="61" t="s">
        <v>473</v>
      </c>
      <c r="C54" s="62">
        <v>3</v>
      </c>
      <c r="D54" s="62" t="s">
        <v>94</v>
      </c>
      <c r="E54" s="12">
        <f t="shared" si="14"/>
        <v>225.44</v>
      </c>
      <c r="F54" s="101">
        <f t="shared" ref="F54:F56" si="16">E54</f>
        <v>225.44</v>
      </c>
      <c r="G54" s="119"/>
      <c r="H54" s="63" t="s">
        <v>37</v>
      </c>
      <c r="I54" s="63"/>
      <c r="J54" s="64"/>
      <c r="K54" s="12"/>
      <c r="L54" s="62" t="str">
        <f t="shared" si="3"/>
        <v/>
      </c>
      <c r="M54" s="12">
        <v>139.43</v>
      </c>
      <c r="N54" s="12">
        <v>24.57</v>
      </c>
      <c r="O54" s="12">
        <v>12</v>
      </c>
      <c r="P54" s="12">
        <v>1.44</v>
      </c>
      <c r="Q54" s="12">
        <v>5</v>
      </c>
      <c r="R54" s="12"/>
      <c r="S54" s="12"/>
      <c r="T54" s="12"/>
      <c r="U54" s="12">
        <v>43</v>
      </c>
      <c r="V54" s="65" t="s">
        <v>882</v>
      </c>
      <c r="W54" s="44" t="str">
        <f t="shared" si="2"/>
        <v>OK</v>
      </c>
      <c r="X54" s="47" t="str">
        <f t="shared" si="4"/>
        <v/>
      </c>
      <c r="Y54" s="3"/>
      <c r="Z54" s="127"/>
    </row>
    <row r="55" spans="1:26" ht="14.4" hidden="1" outlineLevel="1" x14ac:dyDescent="0.3">
      <c r="A55" s="3"/>
      <c r="B55" s="10" t="s">
        <v>474</v>
      </c>
      <c r="C55" s="62">
        <v>3</v>
      </c>
      <c r="D55" s="62" t="s">
        <v>94</v>
      </c>
      <c r="E55" s="12">
        <f t="shared" si="14"/>
        <v>689.29</v>
      </c>
      <c r="F55" s="101">
        <f t="shared" si="16"/>
        <v>689.29</v>
      </c>
      <c r="G55" s="119"/>
      <c r="H55" s="63" t="s">
        <v>37</v>
      </c>
      <c r="I55" s="63"/>
      <c r="J55" s="64"/>
      <c r="K55" s="12"/>
      <c r="L55" s="62" t="str">
        <f t="shared" si="3"/>
        <v/>
      </c>
      <c r="M55" s="12">
        <v>98.28</v>
      </c>
      <c r="N55" s="12">
        <v>24.57</v>
      </c>
      <c r="O55" s="12">
        <v>12</v>
      </c>
      <c r="P55" s="12">
        <v>1.44</v>
      </c>
      <c r="Q55" s="12"/>
      <c r="R55" s="12">
        <v>10</v>
      </c>
      <c r="S55" s="12"/>
      <c r="T55" s="12">
        <v>100</v>
      </c>
      <c r="U55" s="12">
        <v>443</v>
      </c>
      <c r="V55" s="65" t="s">
        <v>890</v>
      </c>
      <c r="W55" s="44" t="str">
        <f t="shared" si="2"/>
        <v>OK</v>
      </c>
      <c r="X55" s="47" t="str">
        <f t="shared" si="4"/>
        <v/>
      </c>
      <c r="Y55" s="3"/>
      <c r="Z55" s="127"/>
    </row>
    <row r="56" spans="1:26" ht="14.4" hidden="1" outlineLevel="1" x14ac:dyDescent="0.3">
      <c r="A56" s="3"/>
      <c r="B56" s="10" t="s">
        <v>476</v>
      </c>
      <c r="C56" s="62">
        <v>3</v>
      </c>
      <c r="D56" s="62" t="s">
        <v>94</v>
      </c>
      <c r="E56" s="12">
        <f t="shared" si="14"/>
        <v>189.29</v>
      </c>
      <c r="F56" s="101">
        <f t="shared" si="16"/>
        <v>189.29</v>
      </c>
      <c r="G56" s="119"/>
      <c r="H56" s="63" t="s">
        <v>37</v>
      </c>
      <c r="I56" s="63"/>
      <c r="J56" s="64"/>
      <c r="K56" s="12"/>
      <c r="L56" s="62" t="str">
        <f t="shared" si="3"/>
        <v/>
      </c>
      <c r="M56" s="12">
        <v>98.28</v>
      </c>
      <c r="N56" s="12">
        <v>24.57</v>
      </c>
      <c r="O56" s="12">
        <v>12</v>
      </c>
      <c r="P56" s="12">
        <v>1.44</v>
      </c>
      <c r="Q56" s="12"/>
      <c r="R56" s="12">
        <v>10</v>
      </c>
      <c r="S56" s="12"/>
      <c r="T56" s="12"/>
      <c r="U56" s="12">
        <v>43</v>
      </c>
      <c r="V56" s="65" t="s">
        <v>882</v>
      </c>
      <c r="W56" s="44" t="str">
        <f t="shared" si="2"/>
        <v>OK</v>
      </c>
      <c r="X56" s="47" t="str">
        <f t="shared" si="4"/>
        <v/>
      </c>
      <c r="Y56" s="3"/>
      <c r="Z56" s="127"/>
    </row>
    <row r="57" spans="1:26" ht="14.4" hidden="1" outlineLevel="1" x14ac:dyDescent="0.3">
      <c r="A57" s="3"/>
      <c r="B57" s="61" t="s">
        <v>477</v>
      </c>
      <c r="C57" s="62"/>
      <c r="D57" s="62" t="s">
        <v>104</v>
      </c>
      <c r="E57" s="12">
        <f t="shared" si="14"/>
        <v>100</v>
      </c>
      <c r="F57" s="101"/>
      <c r="G57" s="67"/>
      <c r="H57" s="63"/>
      <c r="I57" s="63"/>
      <c r="J57" s="64"/>
      <c r="K57" s="12"/>
      <c r="L57" s="62" t="str">
        <f t="shared" si="3"/>
        <v/>
      </c>
      <c r="M57" s="12">
        <v>13.93</v>
      </c>
      <c r="N57" s="12">
        <v>24.57</v>
      </c>
      <c r="O57" s="12">
        <v>12</v>
      </c>
      <c r="P57" s="12">
        <v>1.5</v>
      </c>
      <c r="Q57" s="12">
        <v>5</v>
      </c>
      <c r="R57" s="12"/>
      <c r="S57" s="12"/>
      <c r="T57" s="12"/>
      <c r="U57" s="12">
        <v>43</v>
      </c>
      <c r="V57" s="65" t="s">
        <v>882</v>
      </c>
      <c r="W57" s="44" t="str">
        <f t="shared" si="2"/>
        <v>Diferente</v>
      </c>
      <c r="X57" s="47">
        <f t="shared" si="4"/>
        <v>-100</v>
      </c>
      <c r="Y57" s="3"/>
      <c r="Z57" s="127"/>
    </row>
    <row r="58" spans="1:26" ht="14.4" hidden="1" outlineLevel="1" x14ac:dyDescent="0.3">
      <c r="A58" s="3"/>
      <c r="B58" s="10" t="s">
        <v>478</v>
      </c>
      <c r="C58" s="62">
        <v>10</v>
      </c>
      <c r="D58" s="62" t="s">
        <v>94</v>
      </c>
      <c r="E58" s="12">
        <f t="shared" si="14"/>
        <v>183.5</v>
      </c>
      <c r="F58" s="101">
        <f t="shared" ref="F58:F60" si="17">E58</f>
        <v>183.5</v>
      </c>
      <c r="G58" s="67"/>
      <c r="H58" s="63" t="s">
        <v>37</v>
      </c>
      <c r="I58" s="63"/>
      <c r="J58" s="64"/>
      <c r="K58" s="12"/>
      <c r="L58" s="62" t="str">
        <f t="shared" si="3"/>
        <v/>
      </c>
      <c r="M58" s="12">
        <v>93.43</v>
      </c>
      <c r="N58" s="12">
        <v>24.57</v>
      </c>
      <c r="O58" s="12">
        <v>12</v>
      </c>
      <c r="P58" s="12">
        <v>1.5</v>
      </c>
      <c r="Q58" s="12"/>
      <c r="R58" s="12">
        <v>0</v>
      </c>
      <c r="S58" s="12">
        <v>4</v>
      </c>
      <c r="T58" s="12">
        <v>5</v>
      </c>
      <c r="U58" s="12">
        <v>43</v>
      </c>
      <c r="V58" s="65" t="s">
        <v>882</v>
      </c>
      <c r="W58" s="44" t="str">
        <f t="shared" si="2"/>
        <v>OK</v>
      </c>
      <c r="X58" s="47" t="str">
        <f t="shared" si="4"/>
        <v/>
      </c>
      <c r="Y58" s="3"/>
      <c r="Z58" s="127"/>
    </row>
    <row r="59" spans="1:26" ht="14.4" hidden="1" outlineLevel="1" x14ac:dyDescent="0.3">
      <c r="A59" s="3"/>
      <c r="B59" s="10" t="s">
        <v>479</v>
      </c>
      <c r="C59" s="62">
        <v>10</v>
      </c>
      <c r="D59" s="62" t="s">
        <v>94</v>
      </c>
      <c r="E59" s="12">
        <f t="shared" si="14"/>
        <v>182.5</v>
      </c>
      <c r="F59" s="101">
        <f t="shared" si="17"/>
        <v>182.5</v>
      </c>
      <c r="G59" s="67"/>
      <c r="H59" s="63" t="s">
        <v>37</v>
      </c>
      <c r="I59" s="63"/>
      <c r="J59" s="64"/>
      <c r="K59" s="12"/>
      <c r="L59" s="62" t="str">
        <f t="shared" si="3"/>
        <v/>
      </c>
      <c r="M59" s="12">
        <v>93.43</v>
      </c>
      <c r="N59" s="12">
        <v>24.57</v>
      </c>
      <c r="O59" s="12">
        <v>12</v>
      </c>
      <c r="P59" s="12">
        <v>1.5</v>
      </c>
      <c r="Q59" s="12"/>
      <c r="R59" s="12">
        <v>0</v>
      </c>
      <c r="S59" s="12">
        <v>3</v>
      </c>
      <c r="T59" s="12">
        <v>5</v>
      </c>
      <c r="U59" s="12">
        <v>43</v>
      </c>
      <c r="V59" s="65" t="s">
        <v>882</v>
      </c>
      <c r="W59" s="44" t="str">
        <f t="shared" si="2"/>
        <v>OK</v>
      </c>
      <c r="X59" s="47" t="str">
        <f t="shared" si="4"/>
        <v/>
      </c>
      <c r="Y59" s="3"/>
      <c r="Z59" s="127"/>
    </row>
    <row r="60" spans="1:26" ht="14.4" hidden="1" outlineLevel="1" x14ac:dyDescent="0.3">
      <c r="A60" s="3"/>
      <c r="B60" s="61" t="s">
        <v>480</v>
      </c>
      <c r="C60" s="62">
        <v>3</v>
      </c>
      <c r="D60" s="62" t="s">
        <v>94</v>
      </c>
      <c r="E60" s="12">
        <f t="shared" si="14"/>
        <v>100</v>
      </c>
      <c r="F60" s="101">
        <f t="shared" si="17"/>
        <v>100</v>
      </c>
      <c r="G60" s="67"/>
      <c r="H60" s="63" t="s">
        <v>37</v>
      </c>
      <c r="I60" s="63"/>
      <c r="J60" s="64"/>
      <c r="K60" s="12"/>
      <c r="L60" s="62" t="str">
        <f t="shared" si="3"/>
        <v/>
      </c>
      <c r="M60" s="12">
        <v>61.93</v>
      </c>
      <c r="N60" s="12">
        <v>24.57</v>
      </c>
      <c r="O60" s="12">
        <v>12</v>
      </c>
      <c r="P60" s="12">
        <v>1.5</v>
      </c>
      <c r="Q60" s="12"/>
      <c r="R60" s="12"/>
      <c r="S60" s="12"/>
      <c r="T60" s="12"/>
      <c r="U60" s="12"/>
      <c r="V60" s="65"/>
      <c r="W60" s="44" t="str">
        <f t="shared" si="2"/>
        <v>OK</v>
      </c>
      <c r="X60" s="47" t="str">
        <f t="shared" si="4"/>
        <v/>
      </c>
      <c r="Y60" s="3"/>
      <c r="Z60" s="127"/>
    </row>
    <row r="61" spans="1:26" ht="14.4" hidden="1" outlineLevel="1" x14ac:dyDescent="0.3">
      <c r="A61" s="3"/>
      <c r="B61" s="10" t="s">
        <v>481</v>
      </c>
      <c r="C61" s="62"/>
      <c r="D61" s="62" t="s">
        <v>104</v>
      </c>
      <c r="E61" s="12">
        <f t="shared" si="14"/>
        <v>105.37</v>
      </c>
      <c r="F61" s="101"/>
      <c r="G61" s="67"/>
      <c r="H61" s="63"/>
      <c r="I61" s="63"/>
      <c r="J61" s="64"/>
      <c r="K61" s="12"/>
      <c r="L61" s="62" t="str">
        <f t="shared" si="3"/>
        <v/>
      </c>
      <c r="M61" s="12">
        <v>19.36</v>
      </c>
      <c r="N61" s="12">
        <v>24.57</v>
      </c>
      <c r="O61" s="12">
        <v>12</v>
      </c>
      <c r="P61" s="12">
        <v>1.44</v>
      </c>
      <c r="Q61" s="12">
        <v>5</v>
      </c>
      <c r="R61" s="12"/>
      <c r="S61" s="12"/>
      <c r="T61" s="12"/>
      <c r="U61" s="12">
        <v>43</v>
      </c>
      <c r="V61" s="65" t="s">
        <v>882</v>
      </c>
      <c r="W61" s="44" t="str">
        <f t="shared" si="2"/>
        <v>Diferente</v>
      </c>
      <c r="X61" s="47">
        <f t="shared" si="4"/>
        <v>-105.37</v>
      </c>
      <c r="Y61" s="3"/>
      <c r="Z61" s="127"/>
    </row>
    <row r="62" spans="1:26" ht="14.4" hidden="1" outlineLevel="1" x14ac:dyDescent="0.3">
      <c r="A62" s="3"/>
      <c r="B62" s="61" t="s">
        <v>482</v>
      </c>
      <c r="C62" s="62"/>
      <c r="D62" s="62" t="s">
        <v>104</v>
      </c>
      <c r="E62" s="12">
        <f t="shared" si="14"/>
        <v>115.75</v>
      </c>
      <c r="F62" s="101"/>
      <c r="G62" s="67"/>
      <c r="H62" s="63"/>
      <c r="I62" s="63"/>
      <c r="J62" s="64"/>
      <c r="K62" s="12"/>
      <c r="L62" s="62" t="str">
        <f t="shared" si="3"/>
        <v/>
      </c>
      <c r="M62" s="12">
        <v>29.74</v>
      </c>
      <c r="N62" s="12">
        <v>24.57</v>
      </c>
      <c r="O62" s="12">
        <v>12</v>
      </c>
      <c r="P62" s="12">
        <v>1.44</v>
      </c>
      <c r="Q62" s="12">
        <v>5</v>
      </c>
      <c r="R62" s="12"/>
      <c r="S62" s="12"/>
      <c r="T62" s="12"/>
      <c r="U62" s="12">
        <v>43</v>
      </c>
      <c r="V62" s="65" t="s">
        <v>882</v>
      </c>
      <c r="W62" s="44" t="str">
        <f t="shared" si="2"/>
        <v>Diferente</v>
      </c>
      <c r="X62" s="47">
        <f t="shared" si="4"/>
        <v>-115.75</v>
      </c>
      <c r="Y62" s="3"/>
      <c r="Z62" s="127"/>
    </row>
    <row r="63" spans="1:26" ht="14.4" hidden="1" outlineLevel="1" x14ac:dyDescent="0.3">
      <c r="A63" s="3"/>
      <c r="B63" s="61" t="s">
        <v>483</v>
      </c>
      <c r="C63" s="62"/>
      <c r="D63" s="62" t="s">
        <v>104</v>
      </c>
      <c r="E63" s="12">
        <f t="shared" si="14"/>
        <v>116</v>
      </c>
      <c r="F63" s="101"/>
      <c r="G63" s="67"/>
      <c r="H63" s="63"/>
      <c r="I63" s="63"/>
      <c r="J63" s="64"/>
      <c r="K63" s="12"/>
      <c r="L63" s="62" t="str">
        <f t="shared" si="3"/>
        <v/>
      </c>
      <c r="M63" s="12">
        <v>29.93</v>
      </c>
      <c r="N63" s="12">
        <v>24.57</v>
      </c>
      <c r="O63" s="12">
        <v>12</v>
      </c>
      <c r="P63" s="12">
        <v>1.5</v>
      </c>
      <c r="Q63" s="12">
        <v>5</v>
      </c>
      <c r="R63" s="12"/>
      <c r="S63" s="12"/>
      <c r="T63" s="12"/>
      <c r="U63" s="12">
        <v>43</v>
      </c>
      <c r="V63" s="65" t="s">
        <v>882</v>
      </c>
      <c r="W63" s="44" t="str">
        <f t="shared" si="2"/>
        <v>Diferente</v>
      </c>
      <c r="X63" s="47">
        <f t="shared" si="4"/>
        <v>-116</v>
      </c>
      <c r="Y63" s="3"/>
      <c r="Z63" s="127"/>
    </row>
    <row r="64" spans="1:26" ht="14.4" hidden="1" outlineLevel="1" x14ac:dyDescent="0.3">
      <c r="A64" s="3"/>
      <c r="B64" s="10" t="s">
        <v>484</v>
      </c>
      <c r="C64" s="62"/>
      <c r="D64" s="62" t="s">
        <v>104</v>
      </c>
      <c r="E64" s="12">
        <f t="shared" si="14"/>
        <v>193</v>
      </c>
      <c r="F64" s="101"/>
      <c r="G64" s="67"/>
      <c r="H64" s="63"/>
      <c r="I64" s="63"/>
      <c r="J64" s="64"/>
      <c r="K64" s="12"/>
      <c r="L64" s="62" t="str">
        <f t="shared" si="3"/>
        <v/>
      </c>
      <c r="M64" s="12">
        <v>61.99</v>
      </c>
      <c r="N64" s="12">
        <v>24.57</v>
      </c>
      <c r="O64" s="12">
        <v>12</v>
      </c>
      <c r="P64" s="12">
        <v>1.44</v>
      </c>
      <c r="Q64" s="12"/>
      <c r="R64" s="12"/>
      <c r="S64" s="12"/>
      <c r="T64" s="12"/>
      <c r="U64" s="12">
        <v>93</v>
      </c>
      <c r="V64" s="65" t="s">
        <v>891</v>
      </c>
      <c r="W64" s="44" t="str">
        <f t="shared" si="2"/>
        <v>Diferente</v>
      </c>
      <c r="X64" s="47">
        <f t="shared" si="4"/>
        <v>-193</v>
      </c>
      <c r="Y64" s="3"/>
      <c r="Z64" s="127"/>
    </row>
    <row r="65" spans="1:26" ht="14.4" hidden="1" outlineLevel="1" x14ac:dyDescent="0.3">
      <c r="A65" s="3"/>
      <c r="B65" s="61" t="s">
        <v>488</v>
      </c>
      <c r="C65" s="62">
        <v>7</v>
      </c>
      <c r="D65" s="62" t="s">
        <v>129</v>
      </c>
      <c r="E65" s="12">
        <v>181.07</v>
      </c>
      <c r="F65" s="101">
        <f>SUM(M65:U65)</f>
        <v>338.07</v>
      </c>
      <c r="G65" s="70" t="s">
        <v>892</v>
      </c>
      <c r="H65" s="63" t="s">
        <v>38</v>
      </c>
      <c r="I65" s="63"/>
      <c r="J65" s="64"/>
      <c r="K65" s="12"/>
      <c r="L65" s="62" t="str">
        <f t="shared" si="3"/>
        <v/>
      </c>
      <c r="M65" s="12">
        <f>100+157</f>
        <v>257</v>
      </c>
      <c r="N65" s="12">
        <v>24.57</v>
      </c>
      <c r="O65" s="12">
        <v>12</v>
      </c>
      <c r="P65" s="12">
        <v>1.5</v>
      </c>
      <c r="Q65" s="12"/>
      <c r="R65" s="12"/>
      <c r="S65" s="12"/>
      <c r="T65" s="12"/>
      <c r="U65" s="12">
        <v>43</v>
      </c>
      <c r="V65" s="65" t="s">
        <v>882</v>
      </c>
      <c r="W65" s="44" t="str">
        <f t="shared" si="2"/>
        <v>OK</v>
      </c>
      <c r="X65" s="47" t="str">
        <f t="shared" si="4"/>
        <v/>
      </c>
      <c r="Y65" s="3"/>
      <c r="Z65" s="127"/>
    </row>
    <row r="66" spans="1:26" ht="14.4" hidden="1" outlineLevel="1" x14ac:dyDescent="0.3">
      <c r="A66" s="3"/>
      <c r="B66" s="10" t="s">
        <v>489</v>
      </c>
      <c r="C66" s="62">
        <v>1</v>
      </c>
      <c r="D66" s="62" t="s">
        <v>94</v>
      </c>
      <c r="E66" s="12">
        <f t="shared" ref="E66:E67" si="18">SUM(M66:U66)</f>
        <v>311.82</v>
      </c>
      <c r="F66" s="101">
        <f t="shared" ref="F66:F67" si="19">E66</f>
        <v>311.82</v>
      </c>
      <c r="G66" s="67"/>
      <c r="H66" s="63" t="s">
        <v>37</v>
      </c>
      <c r="I66" s="63"/>
      <c r="J66" s="64"/>
      <c r="K66" s="12"/>
      <c r="L66" s="62" t="str">
        <f t="shared" si="3"/>
        <v/>
      </c>
      <c r="M66" s="12">
        <v>122.25</v>
      </c>
      <c r="N66" s="12">
        <v>24.57</v>
      </c>
      <c r="O66" s="12">
        <v>12</v>
      </c>
      <c r="P66" s="12">
        <v>10</v>
      </c>
      <c r="Q66" s="12">
        <v>5</v>
      </c>
      <c r="R66" s="12">
        <v>5</v>
      </c>
      <c r="S66" s="12">
        <v>15</v>
      </c>
      <c r="T66" s="12">
        <v>25</v>
      </c>
      <c r="U66" s="12">
        <v>93</v>
      </c>
      <c r="V66" s="65" t="s">
        <v>889</v>
      </c>
      <c r="W66" s="44" t="str">
        <f t="shared" si="2"/>
        <v>OK</v>
      </c>
      <c r="X66" s="47" t="str">
        <f t="shared" si="4"/>
        <v/>
      </c>
      <c r="Y66" s="3"/>
      <c r="Z66" s="127"/>
    </row>
    <row r="67" spans="1:26" ht="14.4" hidden="1" outlineLevel="1" x14ac:dyDescent="0.3">
      <c r="A67" s="3"/>
      <c r="B67" s="10" t="s">
        <v>490</v>
      </c>
      <c r="C67" s="62">
        <v>1</v>
      </c>
      <c r="D67" s="62" t="s">
        <v>94</v>
      </c>
      <c r="E67" s="12">
        <f t="shared" si="18"/>
        <v>261.82</v>
      </c>
      <c r="F67" s="101">
        <f t="shared" si="19"/>
        <v>261.82</v>
      </c>
      <c r="G67" s="67"/>
      <c r="H67" s="63" t="s">
        <v>37</v>
      </c>
      <c r="I67" s="63"/>
      <c r="J67" s="64"/>
      <c r="K67" s="12"/>
      <c r="L67" s="62" t="str">
        <f t="shared" si="3"/>
        <v/>
      </c>
      <c r="M67" s="12">
        <v>122.25</v>
      </c>
      <c r="N67" s="12">
        <v>24.57</v>
      </c>
      <c r="O67" s="12">
        <v>12</v>
      </c>
      <c r="P67" s="12">
        <v>10</v>
      </c>
      <c r="Q67" s="12">
        <v>5</v>
      </c>
      <c r="R67" s="12">
        <v>5</v>
      </c>
      <c r="S67" s="12">
        <v>15</v>
      </c>
      <c r="T67" s="12">
        <v>25</v>
      </c>
      <c r="U67" s="12">
        <v>43</v>
      </c>
      <c r="V67" s="65" t="s">
        <v>882</v>
      </c>
      <c r="W67" s="44" t="str">
        <f t="shared" si="2"/>
        <v>OK</v>
      </c>
      <c r="X67" s="47" t="str">
        <f t="shared" si="4"/>
        <v/>
      </c>
      <c r="Y67" s="3"/>
      <c r="Z67" s="127"/>
    </row>
    <row r="68" spans="1:26" ht="14.4" hidden="1" outlineLevel="1" x14ac:dyDescent="0.3">
      <c r="A68" s="3"/>
      <c r="B68" s="61" t="s">
        <v>491</v>
      </c>
      <c r="C68" s="62">
        <v>1</v>
      </c>
      <c r="D68" s="62" t="s">
        <v>94</v>
      </c>
      <c r="E68" s="12">
        <v>274.44</v>
      </c>
      <c r="F68" s="101">
        <f>SUM(M68:U68)</f>
        <v>558.88</v>
      </c>
      <c r="G68" s="67"/>
      <c r="H68" s="63" t="s">
        <v>37</v>
      </c>
      <c r="I68" s="63"/>
      <c r="J68" s="64"/>
      <c r="K68" s="12"/>
      <c r="L68" s="62" t="str">
        <f t="shared" si="3"/>
        <v/>
      </c>
      <c r="M68" s="12">
        <f>113.43+284.44</f>
        <v>397.87</v>
      </c>
      <c r="N68" s="12">
        <v>24.57</v>
      </c>
      <c r="O68" s="12">
        <v>12</v>
      </c>
      <c r="P68" s="12">
        <v>1.44</v>
      </c>
      <c r="Q68" s="12">
        <v>5</v>
      </c>
      <c r="R68" s="12">
        <v>20</v>
      </c>
      <c r="S68" s="12">
        <v>5</v>
      </c>
      <c r="T68" s="12"/>
      <c r="U68" s="12">
        <v>93</v>
      </c>
      <c r="V68" s="65" t="s">
        <v>893</v>
      </c>
      <c r="W68" s="44" t="str">
        <f t="shared" si="2"/>
        <v>OK</v>
      </c>
      <c r="X68" s="47" t="str">
        <f t="shared" si="4"/>
        <v/>
      </c>
      <c r="Y68" s="3"/>
      <c r="Z68" s="127"/>
    </row>
    <row r="69" spans="1:26" ht="14.4" hidden="1" outlineLevel="1" x14ac:dyDescent="0.3">
      <c r="A69" s="3"/>
      <c r="B69" s="10" t="s">
        <v>492</v>
      </c>
      <c r="C69" s="62">
        <v>18</v>
      </c>
      <c r="D69" s="62" t="s">
        <v>94</v>
      </c>
      <c r="E69" s="12">
        <f t="shared" ref="E69:E104" si="20">SUM(M69:U69)</f>
        <v>108.67</v>
      </c>
      <c r="F69" s="101">
        <f t="shared" ref="F69:F70" si="21">E69</f>
        <v>108.67</v>
      </c>
      <c r="G69" s="67"/>
      <c r="H69" s="63" t="s">
        <v>37</v>
      </c>
      <c r="I69" s="63"/>
      <c r="J69" s="64"/>
      <c r="K69" s="12"/>
      <c r="L69" s="62">
        <f t="shared" si="3"/>
        <v>1</v>
      </c>
      <c r="M69" s="12">
        <v>27.66</v>
      </c>
      <c r="N69" s="12">
        <v>24.57</v>
      </c>
      <c r="O69" s="12">
        <v>12</v>
      </c>
      <c r="P69" s="12">
        <v>1.44</v>
      </c>
      <c r="Q69" s="12"/>
      <c r="R69" s="12"/>
      <c r="S69" s="12"/>
      <c r="T69" s="12"/>
      <c r="U69" s="12">
        <v>43</v>
      </c>
      <c r="V69" s="65" t="s">
        <v>882</v>
      </c>
      <c r="W69" s="44" t="str">
        <f t="shared" si="2"/>
        <v>OK</v>
      </c>
      <c r="X69" s="47" t="str">
        <f t="shared" si="4"/>
        <v/>
      </c>
      <c r="Y69" s="3"/>
      <c r="Z69" s="127"/>
    </row>
    <row r="70" spans="1:26" ht="14.4" hidden="1" outlineLevel="1" x14ac:dyDescent="0.3">
      <c r="A70" s="3"/>
      <c r="B70" s="61" t="s">
        <v>493</v>
      </c>
      <c r="C70" s="62">
        <v>11</v>
      </c>
      <c r="D70" s="62" t="s">
        <v>94</v>
      </c>
      <c r="E70" s="12">
        <f t="shared" si="20"/>
        <v>163</v>
      </c>
      <c r="F70" s="101">
        <f t="shared" si="21"/>
        <v>163</v>
      </c>
      <c r="G70" s="67"/>
      <c r="H70" s="63" t="s">
        <v>37</v>
      </c>
      <c r="I70" s="63"/>
      <c r="J70" s="64"/>
      <c r="K70" s="12"/>
      <c r="L70" s="62" t="str">
        <f t="shared" si="3"/>
        <v/>
      </c>
      <c r="M70" s="12">
        <v>81.93</v>
      </c>
      <c r="N70" s="12">
        <v>24.57</v>
      </c>
      <c r="O70" s="12">
        <v>12</v>
      </c>
      <c r="P70" s="12">
        <v>1.5</v>
      </c>
      <c r="Q70" s="12"/>
      <c r="R70" s="12"/>
      <c r="S70" s="12"/>
      <c r="T70" s="12"/>
      <c r="U70" s="12">
        <v>43</v>
      </c>
      <c r="V70" s="65" t="s">
        <v>882</v>
      </c>
      <c r="W70" s="44" t="str">
        <f t="shared" si="2"/>
        <v>OK</v>
      </c>
      <c r="X70" s="47" t="str">
        <f t="shared" si="4"/>
        <v/>
      </c>
      <c r="Y70" s="3"/>
      <c r="Z70" s="127"/>
    </row>
    <row r="71" spans="1:26" ht="14.4" hidden="1" outlineLevel="1" x14ac:dyDescent="0.3">
      <c r="A71" s="3"/>
      <c r="B71" s="10" t="s">
        <v>494</v>
      </c>
      <c r="C71" s="62"/>
      <c r="D71" s="62" t="s">
        <v>104</v>
      </c>
      <c r="E71" s="12">
        <f t="shared" si="20"/>
        <v>125</v>
      </c>
      <c r="F71" s="101"/>
      <c r="G71" s="67"/>
      <c r="H71" s="63"/>
      <c r="I71" s="63"/>
      <c r="J71" s="64"/>
      <c r="K71" s="12"/>
      <c r="L71" s="62" t="str">
        <f t="shared" si="3"/>
        <v/>
      </c>
      <c r="M71" s="12">
        <v>13.93</v>
      </c>
      <c r="N71" s="12">
        <v>24.57</v>
      </c>
      <c r="O71" s="12">
        <v>12</v>
      </c>
      <c r="P71" s="12">
        <v>1.5</v>
      </c>
      <c r="Q71" s="12"/>
      <c r="R71" s="12"/>
      <c r="S71" s="12"/>
      <c r="T71" s="12"/>
      <c r="U71" s="12">
        <v>73</v>
      </c>
      <c r="V71" s="65" t="s">
        <v>881</v>
      </c>
      <c r="W71" s="44" t="str">
        <f t="shared" si="2"/>
        <v>Diferente</v>
      </c>
      <c r="X71" s="47">
        <f t="shared" si="4"/>
        <v>-125</v>
      </c>
      <c r="Y71" s="3"/>
      <c r="Z71" s="127"/>
    </row>
    <row r="72" spans="1:26" ht="14.4" hidden="1" outlineLevel="1" x14ac:dyDescent="0.3">
      <c r="A72" s="3"/>
      <c r="B72" s="10" t="s">
        <v>495</v>
      </c>
      <c r="C72" s="62"/>
      <c r="D72" s="62" t="s">
        <v>104</v>
      </c>
      <c r="E72" s="12">
        <f t="shared" si="20"/>
        <v>95</v>
      </c>
      <c r="F72" s="101"/>
      <c r="G72" s="67"/>
      <c r="H72" s="63"/>
      <c r="I72" s="63"/>
      <c r="J72" s="64"/>
      <c r="K72" s="12"/>
      <c r="L72" s="62" t="str">
        <f t="shared" si="3"/>
        <v/>
      </c>
      <c r="M72" s="12">
        <v>13.93</v>
      </c>
      <c r="N72" s="12">
        <v>24.57</v>
      </c>
      <c r="O72" s="12">
        <v>12</v>
      </c>
      <c r="P72" s="12">
        <v>1.5</v>
      </c>
      <c r="Q72" s="12"/>
      <c r="R72" s="12"/>
      <c r="S72" s="12"/>
      <c r="T72" s="12"/>
      <c r="U72" s="12">
        <v>43</v>
      </c>
      <c r="V72" s="65" t="s">
        <v>882</v>
      </c>
      <c r="W72" s="44" t="str">
        <f t="shared" si="2"/>
        <v>Diferente</v>
      </c>
      <c r="X72" s="47">
        <f t="shared" si="4"/>
        <v>-95</v>
      </c>
      <c r="Y72" s="3"/>
      <c r="Z72" s="127"/>
    </row>
    <row r="73" spans="1:26" ht="14.4" hidden="1" outlineLevel="1" x14ac:dyDescent="0.3">
      <c r="A73" s="3"/>
      <c r="B73" s="61" t="s">
        <v>496</v>
      </c>
      <c r="C73" s="62">
        <v>10</v>
      </c>
      <c r="D73" s="62" t="s">
        <v>94</v>
      </c>
      <c r="E73" s="12">
        <f t="shared" si="20"/>
        <v>143</v>
      </c>
      <c r="F73" s="101">
        <f t="shared" ref="F73:F74" si="22">E73</f>
        <v>143</v>
      </c>
      <c r="G73" s="67"/>
      <c r="H73" s="63" t="s">
        <v>37</v>
      </c>
      <c r="I73" s="63"/>
      <c r="J73" s="64"/>
      <c r="K73" s="12"/>
      <c r="L73" s="62" t="str">
        <f t="shared" si="3"/>
        <v/>
      </c>
      <c r="M73" s="12">
        <v>56.93</v>
      </c>
      <c r="N73" s="12">
        <v>24.57</v>
      </c>
      <c r="O73" s="12">
        <v>12</v>
      </c>
      <c r="P73" s="12">
        <v>1.5</v>
      </c>
      <c r="Q73" s="12">
        <v>5</v>
      </c>
      <c r="R73" s="12"/>
      <c r="S73" s="12"/>
      <c r="T73" s="12"/>
      <c r="U73" s="12">
        <v>43</v>
      </c>
      <c r="V73" s="65" t="s">
        <v>882</v>
      </c>
      <c r="W73" s="44" t="str">
        <f t="shared" si="2"/>
        <v>OK</v>
      </c>
      <c r="X73" s="47" t="str">
        <f t="shared" si="4"/>
        <v/>
      </c>
      <c r="Y73" s="3"/>
      <c r="Z73" s="127"/>
    </row>
    <row r="74" spans="1:26" ht="14.4" hidden="1" outlineLevel="1" x14ac:dyDescent="0.3">
      <c r="A74" s="3"/>
      <c r="B74" s="10" t="s">
        <v>497</v>
      </c>
      <c r="C74" s="62">
        <v>11</v>
      </c>
      <c r="D74" s="62" t="s">
        <v>94</v>
      </c>
      <c r="E74" s="12">
        <f t="shared" si="20"/>
        <v>243</v>
      </c>
      <c r="F74" s="101">
        <f t="shared" si="22"/>
        <v>243</v>
      </c>
      <c r="G74" s="67"/>
      <c r="H74" s="63" t="s">
        <v>37</v>
      </c>
      <c r="I74" s="63"/>
      <c r="J74" s="64"/>
      <c r="K74" s="12"/>
      <c r="L74" s="62" t="str">
        <f t="shared" si="3"/>
        <v/>
      </c>
      <c r="M74" s="12">
        <v>148.43</v>
      </c>
      <c r="N74" s="12">
        <v>24.57</v>
      </c>
      <c r="O74" s="12">
        <v>12</v>
      </c>
      <c r="P74" s="12">
        <v>5</v>
      </c>
      <c r="Q74" s="12">
        <v>10</v>
      </c>
      <c r="R74" s="12"/>
      <c r="S74" s="12"/>
      <c r="T74" s="12"/>
      <c r="U74" s="12">
        <v>43</v>
      </c>
      <c r="V74" s="65" t="s">
        <v>882</v>
      </c>
      <c r="W74" s="44" t="str">
        <f t="shared" si="2"/>
        <v>OK</v>
      </c>
      <c r="X74" s="47" t="str">
        <f t="shared" si="4"/>
        <v/>
      </c>
      <c r="Y74" s="3"/>
      <c r="Z74" s="127"/>
    </row>
    <row r="75" spans="1:26" ht="14.4" hidden="1" outlineLevel="1" x14ac:dyDescent="0.3">
      <c r="A75" s="3"/>
      <c r="B75" s="61" t="s">
        <v>498</v>
      </c>
      <c r="C75" s="62"/>
      <c r="D75" s="62" t="s">
        <v>104</v>
      </c>
      <c r="E75" s="12">
        <f t="shared" si="20"/>
        <v>100.39</v>
      </c>
      <c r="F75" s="101"/>
      <c r="G75" s="67"/>
      <c r="H75" s="63"/>
      <c r="I75" s="63"/>
      <c r="J75" s="64"/>
      <c r="K75" s="12"/>
      <c r="L75" s="62" t="str">
        <f t="shared" si="3"/>
        <v/>
      </c>
      <c r="M75" s="12">
        <v>19.32</v>
      </c>
      <c r="N75" s="12">
        <v>24.57</v>
      </c>
      <c r="O75" s="12">
        <v>12</v>
      </c>
      <c r="P75" s="12">
        <v>1.5</v>
      </c>
      <c r="Q75" s="12"/>
      <c r="R75" s="12"/>
      <c r="S75" s="12"/>
      <c r="T75" s="12"/>
      <c r="U75" s="12">
        <v>43</v>
      </c>
      <c r="V75" s="65" t="s">
        <v>882</v>
      </c>
      <c r="W75" s="44" t="str">
        <f t="shared" si="2"/>
        <v>Diferente</v>
      </c>
      <c r="X75" s="47">
        <f t="shared" si="4"/>
        <v>-100.39</v>
      </c>
      <c r="Y75" s="3"/>
      <c r="Z75" s="127"/>
    </row>
    <row r="76" spans="1:26" ht="14.4" hidden="1" outlineLevel="1" x14ac:dyDescent="0.3">
      <c r="A76" s="3"/>
      <c r="B76" s="10" t="s">
        <v>499</v>
      </c>
      <c r="C76" s="62"/>
      <c r="D76" s="62" t="s">
        <v>104</v>
      </c>
      <c r="E76" s="12">
        <f t="shared" si="20"/>
        <v>110.74000000000001</v>
      </c>
      <c r="F76" s="101"/>
      <c r="G76" s="67"/>
      <c r="H76" s="63"/>
      <c r="I76" s="63"/>
      <c r="J76" s="64"/>
      <c r="K76" s="12"/>
      <c r="L76" s="62" t="str">
        <f t="shared" si="3"/>
        <v/>
      </c>
      <c r="M76" s="12">
        <v>29.67</v>
      </c>
      <c r="N76" s="12">
        <v>24.57</v>
      </c>
      <c r="O76" s="12">
        <v>12</v>
      </c>
      <c r="P76" s="12">
        <v>1.5</v>
      </c>
      <c r="Q76" s="12"/>
      <c r="R76" s="12"/>
      <c r="S76" s="12"/>
      <c r="T76" s="12"/>
      <c r="U76" s="12">
        <v>43</v>
      </c>
      <c r="V76" s="65" t="s">
        <v>882</v>
      </c>
      <c r="W76" s="44" t="str">
        <f t="shared" si="2"/>
        <v>Diferente</v>
      </c>
      <c r="X76" s="47">
        <f t="shared" si="4"/>
        <v>-110.74000000000001</v>
      </c>
      <c r="Y76" s="3"/>
      <c r="Z76" s="127"/>
    </row>
    <row r="77" spans="1:26" ht="14.4" hidden="1" outlineLevel="1" x14ac:dyDescent="0.3">
      <c r="A77" s="3"/>
      <c r="B77" s="61" t="s">
        <v>500</v>
      </c>
      <c r="C77" s="62">
        <v>20</v>
      </c>
      <c r="D77" s="62" t="s">
        <v>94</v>
      </c>
      <c r="E77" s="12">
        <f t="shared" si="20"/>
        <v>137.43</v>
      </c>
      <c r="F77" s="101">
        <f t="shared" ref="F77:F85" si="23">E77</f>
        <v>137.43</v>
      </c>
      <c r="G77" s="67"/>
      <c r="H77" s="63" t="s">
        <v>37</v>
      </c>
      <c r="I77" s="63"/>
      <c r="J77" s="64"/>
      <c r="K77" s="12"/>
      <c r="L77" s="62">
        <f t="shared" si="3"/>
        <v>1</v>
      </c>
      <c r="M77" s="12">
        <v>50.86</v>
      </c>
      <c r="N77" s="12">
        <v>24.57</v>
      </c>
      <c r="O77" s="12">
        <v>12</v>
      </c>
      <c r="P77" s="12">
        <v>2</v>
      </c>
      <c r="Q77" s="12">
        <v>5</v>
      </c>
      <c r="R77" s="12"/>
      <c r="S77" s="12"/>
      <c r="T77" s="12"/>
      <c r="U77" s="12">
        <v>43</v>
      </c>
      <c r="V77" s="65" t="s">
        <v>882</v>
      </c>
      <c r="W77" s="44" t="str">
        <f t="shared" si="2"/>
        <v>OK</v>
      </c>
      <c r="X77" s="47" t="str">
        <f t="shared" si="4"/>
        <v/>
      </c>
      <c r="Y77" s="3"/>
      <c r="Z77" s="127"/>
    </row>
    <row r="78" spans="1:26" ht="14.4" hidden="1" outlineLevel="1" x14ac:dyDescent="0.3">
      <c r="A78" s="3"/>
      <c r="B78" s="61" t="s">
        <v>501</v>
      </c>
      <c r="C78" s="62">
        <v>20</v>
      </c>
      <c r="D78" s="62" t="s">
        <v>94</v>
      </c>
      <c r="E78" s="12">
        <f t="shared" si="20"/>
        <v>136.57</v>
      </c>
      <c r="F78" s="101">
        <f t="shared" si="23"/>
        <v>136.57</v>
      </c>
      <c r="G78" s="67"/>
      <c r="H78" s="63" t="s">
        <v>37</v>
      </c>
      <c r="I78" s="63"/>
      <c r="J78" s="64"/>
      <c r="K78" s="12"/>
      <c r="L78" s="62">
        <f t="shared" si="3"/>
        <v>1</v>
      </c>
      <c r="M78" s="12">
        <v>50</v>
      </c>
      <c r="N78" s="12">
        <v>24.57</v>
      </c>
      <c r="O78" s="12">
        <v>12</v>
      </c>
      <c r="P78" s="12">
        <v>2</v>
      </c>
      <c r="Q78" s="12">
        <v>5</v>
      </c>
      <c r="R78" s="12"/>
      <c r="S78" s="12"/>
      <c r="T78" s="12"/>
      <c r="U78" s="12">
        <v>43</v>
      </c>
      <c r="V78" s="65" t="s">
        <v>882</v>
      </c>
      <c r="W78" s="44" t="str">
        <f t="shared" si="2"/>
        <v>OK</v>
      </c>
      <c r="X78" s="47" t="str">
        <f t="shared" si="4"/>
        <v/>
      </c>
      <c r="Y78" s="3"/>
      <c r="Z78" s="127"/>
    </row>
    <row r="79" spans="1:26" ht="14.4" hidden="1" outlineLevel="1" x14ac:dyDescent="0.3">
      <c r="A79" s="3"/>
      <c r="B79" s="10" t="s">
        <v>502</v>
      </c>
      <c r="C79" s="62">
        <v>6</v>
      </c>
      <c r="D79" s="62" t="s">
        <v>94</v>
      </c>
      <c r="E79" s="12">
        <f t="shared" si="20"/>
        <v>174.69</v>
      </c>
      <c r="F79" s="101">
        <f t="shared" si="23"/>
        <v>174.69</v>
      </c>
      <c r="G79" s="67"/>
      <c r="H79" s="63" t="s">
        <v>37</v>
      </c>
      <c r="I79" s="63"/>
      <c r="J79" s="64"/>
      <c r="K79" s="12"/>
      <c r="L79" s="62" t="str">
        <f t="shared" si="3"/>
        <v/>
      </c>
      <c r="M79" s="12">
        <v>93.62</v>
      </c>
      <c r="N79" s="12">
        <v>24.57</v>
      </c>
      <c r="O79" s="12">
        <v>12</v>
      </c>
      <c r="P79" s="12">
        <v>1.5</v>
      </c>
      <c r="Q79" s="12"/>
      <c r="R79" s="12"/>
      <c r="S79" s="12"/>
      <c r="T79" s="12"/>
      <c r="U79" s="12">
        <v>43</v>
      </c>
      <c r="V79" s="65" t="s">
        <v>882</v>
      </c>
      <c r="W79" s="44" t="str">
        <f t="shared" si="2"/>
        <v>OK</v>
      </c>
      <c r="X79" s="47" t="str">
        <f t="shared" si="4"/>
        <v/>
      </c>
      <c r="Y79" s="3"/>
      <c r="Z79" s="127"/>
    </row>
    <row r="80" spans="1:26" ht="14.4" hidden="1" outlineLevel="1" x14ac:dyDescent="0.3">
      <c r="A80" s="3"/>
      <c r="B80" s="10" t="s">
        <v>503</v>
      </c>
      <c r="C80" s="62">
        <v>6</v>
      </c>
      <c r="D80" s="62" t="s">
        <v>94</v>
      </c>
      <c r="E80" s="12">
        <f t="shared" si="20"/>
        <v>174.69</v>
      </c>
      <c r="F80" s="101">
        <f t="shared" si="23"/>
        <v>174.69</v>
      </c>
      <c r="G80" s="67"/>
      <c r="H80" s="63" t="s">
        <v>37</v>
      </c>
      <c r="I80" s="63"/>
      <c r="J80" s="64"/>
      <c r="K80" s="12"/>
      <c r="L80" s="62" t="str">
        <f t="shared" si="3"/>
        <v/>
      </c>
      <c r="M80" s="12">
        <v>93.62</v>
      </c>
      <c r="N80" s="12">
        <v>24.57</v>
      </c>
      <c r="O80" s="12">
        <v>12</v>
      </c>
      <c r="P80" s="12">
        <v>1.5</v>
      </c>
      <c r="Q80" s="12"/>
      <c r="R80" s="12"/>
      <c r="S80" s="12"/>
      <c r="T80" s="12"/>
      <c r="U80" s="12">
        <v>43</v>
      </c>
      <c r="V80" s="65" t="s">
        <v>882</v>
      </c>
      <c r="W80" s="44" t="str">
        <f t="shared" si="2"/>
        <v>OK</v>
      </c>
      <c r="X80" s="47" t="str">
        <f t="shared" si="4"/>
        <v/>
      </c>
      <c r="Y80" s="3"/>
      <c r="Z80" s="127"/>
    </row>
    <row r="81" spans="1:26" ht="14.4" hidden="1" outlineLevel="1" x14ac:dyDescent="0.3">
      <c r="A81" s="3"/>
      <c r="B81" s="61" t="s">
        <v>504</v>
      </c>
      <c r="C81" s="62">
        <v>18</v>
      </c>
      <c r="D81" s="62" t="s">
        <v>94</v>
      </c>
      <c r="E81" s="12">
        <f t="shared" si="20"/>
        <v>186.57</v>
      </c>
      <c r="F81" s="101">
        <f t="shared" si="23"/>
        <v>186.57</v>
      </c>
      <c r="G81" s="67"/>
      <c r="H81" s="63" t="s">
        <v>37</v>
      </c>
      <c r="I81" s="63"/>
      <c r="J81" s="64"/>
      <c r="K81" s="12"/>
      <c r="L81" s="62">
        <f t="shared" si="3"/>
        <v>1</v>
      </c>
      <c r="M81" s="12">
        <v>100</v>
      </c>
      <c r="N81" s="12">
        <v>24.57</v>
      </c>
      <c r="O81" s="12">
        <v>12</v>
      </c>
      <c r="P81" s="12">
        <v>2</v>
      </c>
      <c r="Q81" s="12"/>
      <c r="R81" s="12"/>
      <c r="S81" s="12">
        <v>5</v>
      </c>
      <c r="T81" s="12"/>
      <c r="U81" s="12">
        <v>43</v>
      </c>
      <c r="V81" s="65" t="s">
        <v>882</v>
      </c>
      <c r="W81" s="44" t="str">
        <f t="shared" si="2"/>
        <v>OK</v>
      </c>
      <c r="X81" s="47" t="str">
        <f t="shared" si="4"/>
        <v/>
      </c>
      <c r="Y81" s="3"/>
      <c r="Z81" s="127"/>
    </row>
    <row r="82" spans="1:26" ht="14.4" hidden="1" outlineLevel="1" x14ac:dyDescent="0.3">
      <c r="A82" s="3"/>
      <c r="B82" s="61" t="s">
        <v>506</v>
      </c>
      <c r="C82" s="62">
        <v>18</v>
      </c>
      <c r="D82" s="62" t="s">
        <v>94</v>
      </c>
      <c r="E82" s="12">
        <f t="shared" si="20"/>
        <v>186.57</v>
      </c>
      <c r="F82" s="101">
        <f t="shared" si="23"/>
        <v>186.57</v>
      </c>
      <c r="G82" s="67"/>
      <c r="H82" s="63" t="s">
        <v>37</v>
      </c>
      <c r="I82" s="63"/>
      <c r="J82" s="64"/>
      <c r="K82" s="12"/>
      <c r="L82" s="62">
        <f t="shared" si="3"/>
        <v>1</v>
      </c>
      <c r="M82" s="12">
        <v>100</v>
      </c>
      <c r="N82" s="12">
        <v>24.57</v>
      </c>
      <c r="O82" s="12">
        <v>12</v>
      </c>
      <c r="P82" s="12">
        <v>2</v>
      </c>
      <c r="Q82" s="12"/>
      <c r="R82" s="12"/>
      <c r="S82" s="12">
        <v>5</v>
      </c>
      <c r="T82" s="12"/>
      <c r="U82" s="12">
        <v>43</v>
      </c>
      <c r="V82" s="65" t="s">
        <v>882</v>
      </c>
      <c r="W82" s="44" t="str">
        <f t="shared" si="2"/>
        <v>OK</v>
      </c>
      <c r="X82" s="47" t="str">
        <f t="shared" si="4"/>
        <v/>
      </c>
      <c r="Y82" s="3"/>
      <c r="Z82" s="127"/>
    </row>
    <row r="83" spans="1:26" ht="14.4" hidden="1" outlineLevel="1" x14ac:dyDescent="0.3">
      <c r="A83" s="3"/>
      <c r="B83" s="10" t="s">
        <v>507</v>
      </c>
      <c r="C83" s="62">
        <v>9</v>
      </c>
      <c r="D83" s="62" t="s">
        <v>94</v>
      </c>
      <c r="E83" s="12">
        <f t="shared" si="20"/>
        <v>293</v>
      </c>
      <c r="F83" s="101">
        <f t="shared" si="23"/>
        <v>293</v>
      </c>
      <c r="G83" s="67"/>
      <c r="H83" s="63" t="s">
        <v>37</v>
      </c>
      <c r="I83" s="63"/>
      <c r="J83" s="64"/>
      <c r="K83" s="12"/>
      <c r="L83" s="62" t="str">
        <f t="shared" si="3"/>
        <v/>
      </c>
      <c r="M83" s="12">
        <v>196.43</v>
      </c>
      <c r="N83" s="12">
        <v>24.57</v>
      </c>
      <c r="O83" s="12">
        <v>12</v>
      </c>
      <c r="P83" s="12">
        <v>2</v>
      </c>
      <c r="Q83" s="12"/>
      <c r="R83" s="12"/>
      <c r="S83" s="12">
        <v>5</v>
      </c>
      <c r="T83" s="12">
        <v>10</v>
      </c>
      <c r="U83" s="12">
        <v>43</v>
      </c>
      <c r="V83" s="65" t="s">
        <v>882</v>
      </c>
      <c r="W83" s="44" t="str">
        <f t="shared" si="2"/>
        <v>OK</v>
      </c>
      <c r="X83" s="47" t="str">
        <f t="shared" si="4"/>
        <v/>
      </c>
      <c r="Y83" s="3"/>
      <c r="Z83" s="127"/>
    </row>
    <row r="84" spans="1:26" ht="14.4" hidden="1" outlineLevel="1" x14ac:dyDescent="0.3">
      <c r="A84" s="3"/>
      <c r="B84" s="61" t="s">
        <v>508</v>
      </c>
      <c r="C84" s="62">
        <v>1</v>
      </c>
      <c r="D84" s="62" t="s">
        <v>94</v>
      </c>
      <c r="E84" s="12">
        <f t="shared" si="20"/>
        <v>290</v>
      </c>
      <c r="F84" s="101">
        <f t="shared" si="23"/>
        <v>290</v>
      </c>
      <c r="G84" s="67"/>
      <c r="H84" s="63" t="s">
        <v>37</v>
      </c>
      <c r="I84" s="63"/>
      <c r="J84" s="64"/>
      <c r="K84" s="12"/>
      <c r="L84" s="62" t="str">
        <f t="shared" si="3"/>
        <v/>
      </c>
      <c r="M84" s="12">
        <v>138.43</v>
      </c>
      <c r="N84" s="12">
        <v>24.57</v>
      </c>
      <c r="O84" s="12">
        <v>12</v>
      </c>
      <c r="P84" s="12">
        <v>2</v>
      </c>
      <c r="Q84" s="12">
        <v>5</v>
      </c>
      <c r="R84" s="12">
        <v>5</v>
      </c>
      <c r="S84" s="12">
        <v>10</v>
      </c>
      <c r="T84" s="12"/>
      <c r="U84" s="12">
        <v>93</v>
      </c>
      <c r="V84" s="65" t="s">
        <v>889</v>
      </c>
      <c r="W84" s="44" t="str">
        <f t="shared" si="2"/>
        <v>OK</v>
      </c>
      <c r="X84" s="47" t="str">
        <f t="shared" si="4"/>
        <v/>
      </c>
      <c r="Y84" s="3"/>
      <c r="Z84" s="127"/>
    </row>
    <row r="85" spans="1:26" ht="14.4" hidden="1" outlineLevel="1" x14ac:dyDescent="0.3">
      <c r="A85" s="3"/>
      <c r="B85" s="61" t="s">
        <v>509</v>
      </c>
      <c r="C85" s="62">
        <v>1</v>
      </c>
      <c r="D85" s="62" t="s">
        <v>94</v>
      </c>
      <c r="E85" s="12">
        <f t="shared" si="20"/>
        <v>240</v>
      </c>
      <c r="F85" s="101">
        <f t="shared" si="23"/>
        <v>240</v>
      </c>
      <c r="G85" s="67"/>
      <c r="H85" s="63" t="s">
        <v>37</v>
      </c>
      <c r="I85" s="63"/>
      <c r="J85" s="64"/>
      <c r="K85" s="12"/>
      <c r="L85" s="62" t="str">
        <f t="shared" si="3"/>
        <v/>
      </c>
      <c r="M85" s="12">
        <v>138.43</v>
      </c>
      <c r="N85" s="12">
        <v>24.57</v>
      </c>
      <c r="O85" s="12">
        <v>12</v>
      </c>
      <c r="P85" s="12">
        <v>2</v>
      </c>
      <c r="Q85" s="12">
        <v>5</v>
      </c>
      <c r="R85" s="12">
        <v>5</v>
      </c>
      <c r="S85" s="12">
        <v>10</v>
      </c>
      <c r="T85" s="12"/>
      <c r="U85" s="12">
        <v>43</v>
      </c>
      <c r="V85" s="65" t="s">
        <v>882</v>
      </c>
      <c r="W85" s="44" t="str">
        <f t="shared" si="2"/>
        <v>OK</v>
      </c>
      <c r="X85" s="47" t="str">
        <f t="shared" si="4"/>
        <v/>
      </c>
      <c r="Y85" s="3"/>
      <c r="Z85" s="127"/>
    </row>
    <row r="86" spans="1:26" ht="14.4" hidden="1" outlineLevel="1" x14ac:dyDescent="0.3">
      <c r="A86" s="3"/>
      <c r="B86" s="10" t="s">
        <v>510</v>
      </c>
      <c r="C86" s="62"/>
      <c r="D86" s="62" t="s">
        <v>104</v>
      </c>
      <c r="E86" s="12">
        <f t="shared" si="20"/>
        <v>112.22999999999999</v>
      </c>
      <c r="F86" s="101"/>
      <c r="G86" s="67"/>
      <c r="H86" s="63"/>
      <c r="I86" s="63"/>
      <c r="J86" s="64"/>
      <c r="K86" s="12"/>
      <c r="L86" s="62" t="str">
        <f t="shared" si="3"/>
        <v/>
      </c>
      <c r="M86" s="12">
        <v>33.93</v>
      </c>
      <c r="N86" s="12">
        <v>24.57</v>
      </c>
      <c r="O86" s="12">
        <v>12</v>
      </c>
      <c r="P86" s="12">
        <v>1.5</v>
      </c>
      <c r="Q86" s="12"/>
      <c r="R86" s="12"/>
      <c r="S86" s="12"/>
      <c r="T86" s="12"/>
      <c r="U86" s="12">
        <v>40.229999999999997</v>
      </c>
      <c r="V86" s="65" t="s">
        <v>894</v>
      </c>
      <c r="W86" s="44" t="str">
        <f t="shared" si="2"/>
        <v>Diferente</v>
      </c>
      <c r="X86" s="47">
        <f t="shared" si="4"/>
        <v>-112.22999999999999</v>
      </c>
      <c r="Y86" s="3"/>
      <c r="Z86" s="127"/>
    </row>
    <row r="87" spans="1:26" ht="14.4" hidden="1" outlineLevel="1" x14ac:dyDescent="0.3">
      <c r="A87" s="3"/>
      <c r="B87" s="61" t="s">
        <v>512</v>
      </c>
      <c r="C87" s="62">
        <v>7</v>
      </c>
      <c r="D87" s="62" t="s">
        <v>94</v>
      </c>
      <c r="E87" s="12">
        <f t="shared" si="20"/>
        <v>206.57</v>
      </c>
      <c r="F87" s="101">
        <f t="shared" ref="F87:F94" si="24">E87</f>
        <v>206.57</v>
      </c>
      <c r="G87" s="67"/>
      <c r="H87" s="63" t="s">
        <v>37</v>
      </c>
      <c r="I87" s="63"/>
      <c r="J87" s="64"/>
      <c r="K87" s="12"/>
      <c r="L87" s="62" t="str">
        <f t="shared" si="3"/>
        <v/>
      </c>
      <c r="M87" s="12">
        <v>120</v>
      </c>
      <c r="N87" s="12">
        <v>24.57</v>
      </c>
      <c r="O87" s="12">
        <v>12</v>
      </c>
      <c r="P87" s="12">
        <v>2</v>
      </c>
      <c r="Q87" s="12"/>
      <c r="R87" s="12"/>
      <c r="S87" s="12">
        <v>5</v>
      </c>
      <c r="T87" s="12"/>
      <c r="U87" s="12">
        <v>43</v>
      </c>
      <c r="V87" s="65" t="s">
        <v>882</v>
      </c>
      <c r="W87" s="44" t="str">
        <f t="shared" si="2"/>
        <v>OK</v>
      </c>
      <c r="X87" s="47" t="str">
        <f t="shared" si="4"/>
        <v/>
      </c>
      <c r="Y87" s="3"/>
      <c r="Z87" s="127"/>
    </row>
    <row r="88" spans="1:26" ht="14.4" hidden="1" outlineLevel="1" x14ac:dyDescent="0.3">
      <c r="A88" s="3"/>
      <c r="B88" s="61" t="s">
        <v>513</v>
      </c>
      <c r="C88" s="62">
        <v>7</v>
      </c>
      <c r="D88" s="62" t="s">
        <v>94</v>
      </c>
      <c r="E88" s="12">
        <f t="shared" si="20"/>
        <v>206.57</v>
      </c>
      <c r="F88" s="101">
        <f t="shared" si="24"/>
        <v>206.57</v>
      </c>
      <c r="G88" s="67"/>
      <c r="H88" s="63" t="s">
        <v>37</v>
      </c>
      <c r="I88" s="63"/>
      <c r="J88" s="64"/>
      <c r="K88" s="12"/>
      <c r="L88" s="62" t="str">
        <f t="shared" si="3"/>
        <v/>
      </c>
      <c r="M88" s="12">
        <v>120</v>
      </c>
      <c r="N88" s="12">
        <v>24.57</v>
      </c>
      <c r="O88" s="12">
        <v>12</v>
      </c>
      <c r="P88" s="12">
        <v>2</v>
      </c>
      <c r="Q88" s="12"/>
      <c r="R88" s="12"/>
      <c r="S88" s="12">
        <v>5</v>
      </c>
      <c r="T88" s="12"/>
      <c r="U88" s="12">
        <v>43</v>
      </c>
      <c r="V88" s="65" t="s">
        <v>882</v>
      </c>
      <c r="W88" s="44" t="str">
        <f t="shared" si="2"/>
        <v>OK</v>
      </c>
      <c r="X88" s="47" t="str">
        <f t="shared" si="4"/>
        <v/>
      </c>
      <c r="Y88" s="3"/>
      <c r="Z88" s="127"/>
    </row>
    <row r="89" spans="1:26" ht="14.4" hidden="1" outlineLevel="1" x14ac:dyDescent="0.3">
      <c r="A89" s="3"/>
      <c r="B89" s="10" t="s">
        <v>514</v>
      </c>
      <c r="C89" s="62">
        <v>17</v>
      </c>
      <c r="D89" s="62" t="s">
        <v>94</v>
      </c>
      <c r="E89" s="12">
        <f t="shared" si="20"/>
        <v>195</v>
      </c>
      <c r="F89" s="101">
        <f t="shared" si="24"/>
        <v>195</v>
      </c>
      <c r="G89" s="67"/>
      <c r="H89" s="63" t="s">
        <v>37</v>
      </c>
      <c r="I89" s="63"/>
      <c r="J89" s="64"/>
      <c r="K89" s="12"/>
      <c r="L89" s="62">
        <f t="shared" si="3"/>
        <v>1</v>
      </c>
      <c r="M89" s="12">
        <v>108.43</v>
      </c>
      <c r="N89" s="12">
        <v>24.57</v>
      </c>
      <c r="O89" s="12">
        <v>12</v>
      </c>
      <c r="P89" s="12">
        <v>2</v>
      </c>
      <c r="Q89" s="12"/>
      <c r="R89" s="12"/>
      <c r="S89" s="12">
        <v>5</v>
      </c>
      <c r="T89" s="12"/>
      <c r="U89" s="12">
        <v>43</v>
      </c>
      <c r="V89" s="65" t="s">
        <v>882</v>
      </c>
      <c r="W89" s="44" t="str">
        <f t="shared" si="2"/>
        <v>OK</v>
      </c>
      <c r="X89" s="47" t="str">
        <f t="shared" si="4"/>
        <v/>
      </c>
      <c r="Y89" s="3"/>
      <c r="Z89" s="127"/>
    </row>
    <row r="90" spans="1:26" ht="14.4" hidden="1" outlineLevel="1" x14ac:dyDescent="0.3">
      <c r="A90" s="3"/>
      <c r="B90" s="61" t="s">
        <v>515</v>
      </c>
      <c r="C90" s="62">
        <v>12</v>
      </c>
      <c r="D90" s="62" t="s">
        <v>94</v>
      </c>
      <c r="E90" s="12">
        <f t="shared" si="20"/>
        <v>144.5</v>
      </c>
      <c r="F90" s="101">
        <f t="shared" si="24"/>
        <v>144.5</v>
      </c>
      <c r="G90" s="67"/>
      <c r="H90" s="63" t="s">
        <v>37</v>
      </c>
      <c r="I90" s="63"/>
      <c r="J90" s="64"/>
      <c r="K90" s="12"/>
      <c r="L90" s="62" t="str">
        <f t="shared" si="3"/>
        <v/>
      </c>
      <c r="M90" s="12">
        <v>63.43</v>
      </c>
      <c r="N90" s="12">
        <v>24.57</v>
      </c>
      <c r="O90" s="12">
        <v>12</v>
      </c>
      <c r="P90" s="12">
        <v>1.5</v>
      </c>
      <c r="Q90" s="12"/>
      <c r="R90" s="12"/>
      <c r="S90" s="12"/>
      <c r="T90" s="12"/>
      <c r="U90" s="12">
        <v>43</v>
      </c>
      <c r="V90" s="65" t="s">
        <v>882</v>
      </c>
      <c r="W90" s="44" t="str">
        <f t="shared" si="2"/>
        <v>OK</v>
      </c>
      <c r="X90" s="47" t="str">
        <f t="shared" si="4"/>
        <v/>
      </c>
      <c r="Y90" s="3"/>
      <c r="Z90" s="127"/>
    </row>
    <row r="91" spans="1:26" ht="14.4" hidden="1" outlineLevel="1" x14ac:dyDescent="0.3">
      <c r="A91" s="3"/>
      <c r="B91" s="61" t="s">
        <v>516</v>
      </c>
      <c r="C91" s="62">
        <v>12</v>
      </c>
      <c r="D91" s="62" t="s">
        <v>94</v>
      </c>
      <c r="E91" s="12">
        <f t="shared" si="20"/>
        <v>194.5</v>
      </c>
      <c r="F91" s="101">
        <f t="shared" si="24"/>
        <v>194.5</v>
      </c>
      <c r="G91" s="67"/>
      <c r="H91" s="63" t="s">
        <v>37</v>
      </c>
      <c r="I91" s="63"/>
      <c r="J91" s="64"/>
      <c r="K91" s="12"/>
      <c r="L91" s="62" t="str">
        <f t="shared" si="3"/>
        <v/>
      </c>
      <c r="M91" s="12">
        <v>63.43</v>
      </c>
      <c r="N91" s="12">
        <v>24.57</v>
      </c>
      <c r="O91" s="12">
        <v>12</v>
      </c>
      <c r="P91" s="12">
        <v>1.5</v>
      </c>
      <c r="Q91" s="12"/>
      <c r="R91" s="12"/>
      <c r="S91" s="12"/>
      <c r="T91" s="12"/>
      <c r="U91" s="12">
        <v>93</v>
      </c>
      <c r="V91" s="65" t="s">
        <v>889</v>
      </c>
      <c r="W91" s="44" t="str">
        <f t="shared" si="2"/>
        <v>OK</v>
      </c>
      <c r="X91" s="47" t="str">
        <f t="shared" si="4"/>
        <v/>
      </c>
      <c r="Y91" s="3"/>
      <c r="Z91" s="127"/>
    </row>
    <row r="92" spans="1:26" ht="14.4" hidden="1" outlineLevel="1" x14ac:dyDescent="0.3">
      <c r="A92" s="3"/>
      <c r="B92" s="10" t="s">
        <v>517</v>
      </c>
      <c r="C92" s="62">
        <v>12</v>
      </c>
      <c r="D92" s="62" t="s">
        <v>94</v>
      </c>
      <c r="E92" s="12">
        <f t="shared" si="20"/>
        <v>190</v>
      </c>
      <c r="F92" s="101">
        <f t="shared" si="24"/>
        <v>190</v>
      </c>
      <c r="G92" s="67"/>
      <c r="H92" s="63" t="s">
        <v>37</v>
      </c>
      <c r="I92" s="63"/>
      <c r="J92" s="64"/>
      <c r="K92" s="12"/>
      <c r="L92" s="62" t="str">
        <f t="shared" si="3"/>
        <v/>
      </c>
      <c r="M92" s="12">
        <v>93.93</v>
      </c>
      <c r="N92" s="12">
        <v>24.57</v>
      </c>
      <c r="O92" s="12">
        <v>12</v>
      </c>
      <c r="P92" s="12">
        <v>1.5</v>
      </c>
      <c r="Q92" s="12">
        <v>5</v>
      </c>
      <c r="R92" s="12"/>
      <c r="S92" s="12">
        <v>10</v>
      </c>
      <c r="T92" s="12"/>
      <c r="U92" s="12">
        <v>43</v>
      </c>
      <c r="V92" s="65" t="s">
        <v>882</v>
      </c>
      <c r="W92" s="44" t="str">
        <f t="shared" si="2"/>
        <v>OK</v>
      </c>
      <c r="X92" s="47" t="str">
        <f t="shared" si="4"/>
        <v/>
      </c>
      <c r="Y92" s="3"/>
      <c r="Z92" s="127"/>
    </row>
    <row r="93" spans="1:26" ht="14.4" hidden="1" outlineLevel="1" x14ac:dyDescent="0.3">
      <c r="A93" s="3"/>
      <c r="B93" s="61" t="s">
        <v>518</v>
      </c>
      <c r="C93" s="62">
        <v>15</v>
      </c>
      <c r="D93" s="62" t="s">
        <v>94</v>
      </c>
      <c r="E93" s="12">
        <f t="shared" si="20"/>
        <v>195</v>
      </c>
      <c r="F93" s="101">
        <f t="shared" si="24"/>
        <v>195</v>
      </c>
      <c r="G93" s="67"/>
      <c r="H93" s="63" t="s">
        <v>37</v>
      </c>
      <c r="I93" s="63"/>
      <c r="J93" s="64"/>
      <c r="K93" s="12"/>
      <c r="L93" s="62">
        <f t="shared" si="3"/>
        <v>1</v>
      </c>
      <c r="M93" s="12">
        <v>108.43</v>
      </c>
      <c r="N93" s="12">
        <v>24.57</v>
      </c>
      <c r="O93" s="12">
        <v>12</v>
      </c>
      <c r="P93" s="12">
        <v>2</v>
      </c>
      <c r="Q93" s="12"/>
      <c r="R93" s="12"/>
      <c r="S93" s="12">
        <v>5</v>
      </c>
      <c r="T93" s="12"/>
      <c r="U93" s="12">
        <v>43</v>
      </c>
      <c r="V93" s="65" t="s">
        <v>882</v>
      </c>
      <c r="W93" s="44" t="str">
        <f t="shared" si="2"/>
        <v>OK</v>
      </c>
      <c r="X93" s="47" t="str">
        <f t="shared" si="4"/>
        <v/>
      </c>
      <c r="Y93" s="3"/>
      <c r="Z93" s="127"/>
    </row>
    <row r="94" spans="1:26" ht="14.4" hidden="1" outlineLevel="1" x14ac:dyDescent="0.3">
      <c r="A94" s="3"/>
      <c r="B94" s="10" t="s">
        <v>519</v>
      </c>
      <c r="C94" s="62">
        <v>6</v>
      </c>
      <c r="D94" s="62" t="s">
        <v>94</v>
      </c>
      <c r="E94" s="12">
        <f t="shared" si="20"/>
        <v>193</v>
      </c>
      <c r="F94" s="101">
        <f t="shared" si="24"/>
        <v>193</v>
      </c>
      <c r="G94" s="67"/>
      <c r="H94" s="63" t="s">
        <v>37</v>
      </c>
      <c r="I94" s="63"/>
      <c r="J94" s="64"/>
      <c r="K94" s="12"/>
      <c r="L94" s="62" t="str">
        <f t="shared" si="3"/>
        <v/>
      </c>
      <c r="M94" s="12">
        <v>113.43</v>
      </c>
      <c r="N94" s="12">
        <v>24.57</v>
      </c>
      <c r="O94" s="12">
        <v>12</v>
      </c>
      <c r="P94" s="12"/>
      <c r="Q94" s="12"/>
      <c r="R94" s="12"/>
      <c r="S94" s="12"/>
      <c r="T94" s="12"/>
      <c r="U94" s="12">
        <v>43</v>
      </c>
      <c r="V94" s="65" t="s">
        <v>882</v>
      </c>
      <c r="W94" s="44" t="str">
        <f t="shared" si="2"/>
        <v>OK</v>
      </c>
      <c r="X94" s="47" t="str">
        <f t="shared" si="4"/>
        <v/>
      </c>
      <c r="Y94" s="3"/>
      <c r="Z94" s="127"/>
    </row>
    <row r="95" spans="1:26" ht="14.4" hidden="1" outlineLevel="1" x14ac:dyDescent="0.3">
      <c r="A95" s="3"/>
      <c r="B95" s="61" t="s">
        <v>520</v>
      </c>
      <c r="C95" s="62"/>
      <c r="D95" s="62" t="s">
        <v>104</v>
      </c>
      <c r="E95" s="12">
        <f t="shared" si="20"/>
        <v>24</v>
      </c>
      <c r="F95" s="101"/>
      <c r="G95" s="67"/>
      <c r="H95" s="63"/>
      <c r="I95" s="63"/>
      <c r="J95" s="64"/>
      <c r="K95" s="12"/>
      <c r="L95" s="62" t="str">
        <f t="shared" si="3"/>
        <v/>
      </c>
      <c r="M95" s="12">
        <v>-12.57</v>
      </c>
      <c r="N95" s="12">
        <v>24.57</v>
      </c>
      <c r="O95" s="12">
        <v>12</v>
      </c>
      <c r="P95" s="12"/>
      <c r="Q95" s="12"/>
      <c r="R95" s="12"/>
      <c r="S95" s="12"/>
      <c r="T95" s="12"/>
      <c r="U95" s="12">
        <v>0</v>
      </c>
      <c r="V95" s="65"/>
      <c r="W95" s="44" t="str">
        <f t="shared" si="2"/>
        <v>Diferente</v>
      </c>
      <c r="X95" s="47">
        <f t="shared" si="4"/>
        <v>-24</v>
      </c>
      <c r="Y95" s="3"/>
      <c r="Z95" s="127"/>
    </row>
    <row r="96" spans="1:26" ht="14.4" hidden="1" outlineLevel="1" x14ac:dyDescent="0.3">
      <c r="A96" s="3"/>
      <c r="B96" s="10" t="s">
        <v>522</v>
      </c>
      <c r="C96" s="62">
        <v>4</v>
      </c>
      <c r="D96" s="62" t="s">
        <v>94</v>
      </c>
      <c r="E96" s="12">
        <f t="shared" si="20"/>
        <v>168</v>
      </c>
      <c r="F96" s="101">
        <f t="shared" ref="F96:F99" si="25">E96</f>
        <v>168</v>
      </c>
      <c r="G96" s="67"/>
      <c r="H96" s="63" t="s">
        <v>37</v>
      </c>
      <c r="I96" s="63"/>
      <c r="J96" s="64"/>
      <c r="K96" s="12"/>
      <c r="L96" s="62" t="str">
        <f t="shared" si="3"/>
        <v/>
      </c>
      <c r="M96" s="12">
        <v>88.43</v>
      </c>
      <c r="N96" s="12">
        <v>24.57</v>
      </c>
      <c r="O96" s="12">
        <v>12</v>
      </c>
      <c r="P96" s="12"/>
      <c r="Q96" s="12"/>
      <c r="R96" s="12"/>
      <c r="S96" s="12"/>
      <c r="T96" s="12"/>
      <c r="U96" s="12">
        <v>43</v>
      </c>
      <c r="V96" s="65" t="s">
        <v>882</v>
      </c>
      <c r="W96" s="44" t="str">
        <f t="shared" si="2"/>
        <v>OK</v>
      </c>
      <c r="X96" s="47" t="str">
        <f t="shared" si="4"/>
        <v/>
      </c>
      <c r="Y96" s="3"/>
      <c r="Z96" s="127"/>
    </row>
    <row r="97" spans="1:26" ht="14.4" hidden="1" outlineLevel="1" x14ac:dyDescent="0.3">
      <c r="A97" s="3"/>
      <c r="B97" s="61" t="s">
        <v>523</v>
      </c>
      <c r="C97" s="80">
        <v>15</v>
      </c>
      <c r="D97" s="62" t="s">
        <v>94</v>
      </c>
      <c r="E97" s="12">
        <f t="shared" si="20"/>
        <v>93</v>
      </c>
      <c r="F97" s="101">
        <f t="shared" si="25"/>
        <v>93</v>
      </c>
      <c r="G97" s="67"/>
      <c r="H97" s="63" t="s">
        <v>37</v>
      </c>
      <c r="I97" s="63"/>
      <c r="J97" s="64"/>
      <c r="K97" s="12"/>
      <c r="L97" s="62">
        <f t="shared" si="3"/>
        <v>1</v>
      </c>
      <c r="M97" s="12">
        <v>13.43</v>
      </c>
      <c r="N97" s="12">
        <v>24.57</v>
      </c>
      <c r="O97" s="12">
        <v>12</v>
      </c>
      <c r="P97" s="12"/>
      <c r="Q97" s="12"/>
      <c r="R97" s="12"/>
      <c r="S97" s="12"/>
      <c r="T97" s="12"/>
      <c r="U97" s="12">
        <v>43</v>
      </c>
      <c r="V97" s="65" t="s">
        <v>882</v>
      </c>
      <c r="W97" s="44" t="str">
        <f t="shared" si="2"/>
        <v>OK</v>
      </c>
      <c r="X97" s="47" t="str">
        <f t="shared" si="4"/>
        <v/>
      </c>
      <c r="Y97" s="3"/>
      <c r="Z97" s="127"/>
    </row>
    <row r="98" spans="1:26" ht="14.4" hidden="1" outlineLevel="1" x14ac:dyDescent="0.3">
      <c r="A98" s="3"/>
      <c r="B98" s="10" t="s">
        <v>524</v>
      </c>
      <c r="C98" s="62">
        <v>10</v>
      </c>
      <c r="D98" s="62" t="s">
        <v>94</v>
      </c>
      <c r="E98" s="12">
        <f t="shared" si="20"/>
        <v>173</v>
      </c>
      <c r="F98" s="101">
        <f t="shared" si="25"/>
        <v>173</v>
      </c>
      <c r="G98" s="67"/>
      <c r="H98" s="63" t="s">
        <v>37</v>
      </c>
      <c r="I98" s="63"/>
      <c r="J98" s="64"/>
      <c r="K98" s="12"/>
      <c r="L98" s="62" t="str">
        <f t="shared" si="3"/>
        <v/>
      </c>
      <c r="M98" s="12">
        <v>91.93</v>
      </c>
      <c r="N98" s="12">
        <v>24.57</v>
      </c>
      <c r="O98" s="12">
        <v>12</v>
      </c>
      <c r="P98" s="12">
        <v>1.5</v>
      </c>
      <c r="Q98" s="12"/>
      <c r="R98" s="12"/>
      <c r="S98" s="12"/>
      <c r="T98" s="12"/>
      <c r="U98" s="12">
        <v>43</v>
      </c>
      <c r="V98" s="65" t="s">
        <v>882</v>
      </c>
      <c r="W98" s="44" t="str">
        <f t="shared" si="2"/>
        <v>OK</v>
      </c>
      <c r="X98" s="47" t="str">
        <f t="shared" si="4"/>
        <v/>
      </c>
      <c r="Y98" s="3"/>
      <c r="Z98" s="127"/>
    </row>
    <row r="99" spans="1:26" ht="14.4" hidden="1" outlineLevel="1" x14ac:dyDescent="0.3">
      <c r="A99" s="3"/>
      <c r="B99" s="10" t="s">
        <v>525</v>
      </c>
      <c r="C99" s="62">
        <v>10</v>
      </c>
      <c r="D99" s="62" t="s">
        <v>94</v>
      </c>
      <c r="E99" s="12">
        <f t="shared" si="20"/>
        <v>173</v>
      </c>
      <c r="F99" s="101">
        <f t="shared" si="25"/>
        <v>173</v>
      </c>
      <c r="G99" s="67"/>
      <c r="H99" s="63" t="s">
        <v>37</v>
      </c>
      <c r="I99" s="63"/>
      <c r="J99" s="64"/>
      <c r="K99" s="12"/>
      <c r="L99" s="62" t="str">
        <f t="shared" si="3"/>
        <v/>
      </c>
      <c r="M99" s="12">
        <v>91.93</v>
      </c>
      <c r="N99" s="12">
        <v>24.57</v>
      </c>
      <c r="O99" s="12">
        <v>12</v>
      </c>
      <c r="P99" s="12">
        <v>1.5</v>
      </c>
      <c r="Q99" s="12"/>
      <c r="R99" s="12"/>
      <c r="S99" s="12"/>
      <c r="T99" s="12"/>
      <c r="U99" s="12">
        <v>43</v>
      </c>
      <c r="V99" s="65" t="s">
        <v>882</v>
      </c>
      <c r="W99" s="44" t="str">
        <f t="shared" si="2"/>
        <v>OK</v>
      </c>
      <c r="X99" s="47" t="str">
        <f t="shared" si="4"/>
        <v/>
      </c>
      <c r="Y99" s="3"/>
      <c r="Z99" s="127"/>
    </row>
    <row r="100" spans="1:26" ht="14.4" hidden="1" outlineLevel="1" x14ac:dyDescent="0.3">
      <c r="A100" s="3"/>
      <c r="B100" s="61" t="s">
        <v>526</v>
      </c>
      <c r="C100" s="62"/>
      <c r="D100" s="62" t="s">
        <v>104</v>
      </c>
      <c r="E100" s="12">
        <f t="shared" si="20"/>
        <v>108</v>
      </c>
      <c r="F100" s="101"/>
      <c r="G100" s="67"/>
      <c r="H100" s="63"/>
      <c r="I100" s="63"/>
      <c r="J100" s="64"/>
      <c r="K100" s="12"/>
      <c r="L100" s="62" t="str">
        <f t="shared" si="3"/>
        <v/>
      </c>
      <c r="M100" s="12">
        <v>26.43</v>
      </c>
      <c r="N100" s="12">
        <v>24.57</v>
      </c>
      <c r="O100" s="12">
        <v>12</v>
      </c>
      <c r="P100" s="12">
        <v>2</v>
      </c>
      <c r="Q100" s="12"/>
      <c r="R100" s="12"/>
      <c r="S100" s="12"/>
      <c r="T100" s="12"/>
      <c r="U100" s="12">
        <v>43</v>
      </c>
      <c r="V100" s="65" t="s">
        <v>882</v>
      </c>
      <c r="W100" s="44" t="str">
        <f t="shared" si="2"/>
        <v>Diferente</v>
      </c>
      <c r="X100" s="47">
        <f t="shared" si="4"/>
        <v>-108</v>
      </c>
      <c r="Y100" s="3"/>
      <c r="Z100" s="3"/>
    </row>
    <row r="101" spans="1:26" ht="14.4" hidden="1" outlineLevel="1" x14ac:dyDescent="0.3">
      <c r="A101" s="3"/>
      <c r="B101" s="10" t="s">
        <v>527</v>
      </c>
      <c r="C101" s="62">
        <v>5</v>
      </c>
      <c r="D101" s="62" t="s">
        <v>94</v>
      </c>
      <c r="E101" s="12">
        <f t="shared" si="20"/>
        <v>182</v>
      </c>
      <c r="F101" s="101">
        <f t="shared" ref="F101:F104" si="26">E101</f>
        <v>182</v>
      </c>
      <c r="G101" s="67"/>
      <c r="H101" s="63" t="s">
        <v>37</v>
      </c>
      <c r="I101" s="63"/>
      <c r="J101" s="64"/>
      <c r="K101" s="62"/>
      <c r="L101" s="62" t="str">
        <f t="shared" si="3"/>
        <v/>
      </c>
      <c r="M101" s="12">
        <v>100.43</v>
      </c>
      <c r="N101" s="12">
        <v>24.57</v>
      </c>
      <c r="O101" s="12">
        <v>12</v>
      </c>
      <c r="P101" s="12">
        <v>2</v>
      </c>
      <c r="Q101" s="12"/>
      <c r="R101" s="12"/>
      <c r="S101" s="12"/>
      <c r="T101" s="12"/>
      <c r="U101" s="12">
        <v>43</v>
      </c>
      <c r="V101" s="65" t="s">
        <v>882</v>
      </c>
      <c r="W101" s="44" t="str">
        <f t="shared" si="2"/>
        <v>OK</v>
      </c>
      <c r="X101" s="47" t="str">
        <f t="shared" si="4"/>
        <v/>
      </c>
      <c r="Y101" s="3"/>
      <c r="Z101" s="3"/>
    </row>
    <row r="102" spans="1:26" ht="14.4" hidden="1" outlineLevel="1" x14ac:dyDescent="0.3">
      <c r="A102" s="3"/>
      <c r="B102" s="61" t="s">
        <v>712</v>
      </c>
      <c r="C102" s="62">
        <v>6</v>
      </c>
      <c r="D102" s="62" t="s">
        <v>94</v>
      </c>
      <c r="E102" s="12">
        <f t="shared" si="20"/>
        <v>113</v>
      </c>
      <c r="F102" s="101">
        <f t="shared" si="26"/>
        <v>113</v>
      </c>
      <c r="G102" s="67"/>
      <c r="H102" s="63" t="s">
        <v>37</v>
      </c>
      <c r="I102" s="63"/>
      <c r="J102" s="64"/>
      <c r="K102" s="62"/>
      <c r="L102" s="62" t="str">
        <f t="shared" si="3"/>
        <v/>
      </c>
      <c r="M102" s="12">
        <v>31.43</v>
      </c>
      <c r="N102" s="12">
        <v>24.57</v>
      </c>
      <c r="O102" s="12">
        <v>12</v>
      </c>
      <c r="P102" s="12">
        <v>2</v>
      </c>
      <c r="Q102" s="12"/>
      <c r="R102" s="12"/>
      <c r="S102" s="12"/>
      <c r="T102" s="12"/>
      <c r="U102" s="12">
        <v>43</v>
      </c>
      <c r="V102" s="65" t="s">
        <v>882</v>
      </c>
      <c r="W102" s="44" t="str">
        <f t="shared" si="2"/>
        <v>OK</v>
      </c>
      <c r="X102" s="47" t="str">
        <f t="shared" si="4"/>
        <v/>
      </c>
      <c r="Y102" s="3"/>
      <c r="Z102" s="3"/>
    </row>
    <row r="103" spans="1:26" ht="14.4" hidden="1" outlineLevel="1" x14ac:dyDescent="0.3">
      <c r="A103" s="3"/>
      <c r="B103" s="10" t="s">
        <v>895</v>
      </c>
      <c r="C103" s="62">
        <v>10</v>
      </c>
      <c r="D103" s="62" t="s">
        <v>94</v>
      </c>
      <c r="E103" s="12">
        <f t="shared" si="20"/>
        <v>173.57</v>
      </c>
      <c r="F103" s="12">
        <f t="shared" si="26"/>
        <v>173.57</v>
      </c>
      <c r="G103" s="67"/>
      <c r="H103" s="63" t="s">
        <v>37</v>
      </c>
      <c r="I103" s="63"/>
      <c r="J103" s="64"/>
      <c r="K103" s="62"/>
      <c r="L103" s="62" t="str">
        <f t="shared" si="3"/>
        <v/>
      </c>
      <c r="M103" s="12">
        <v>94</v>
      </c>
      <c r="N103" s="12">
        <v>24.57</v>
      </c>
      <c r="O103" s="12">
        <v>12</v>
      </c>
      <c r="P103" s="12">
        <v>0</v>
      </c>
      <c r="Q103" s="12"/>
      <c r="R103" s="12"/>
      <c r="S103" s="12"/>
      <c r="T103" s="12"/>
      <c r="U103" s="12">
        <v>43</v>
      </c>
      <c r="V103" s="65" t="s">
        <v>882</v>
      </c>
      <c r="W103" s="44" t="str">
        <f t="shared" si="2"/>
        <v>OK</v>
      </c>
      <c r="X103" s="47" t="str">
        <f t="shared" si="4"/>
        <v/>
      </c>
      <c r="Y103" s="3"/>
      <c r="Z103" s="3"/>
    </row>
    <row r="104" spans="1:26" ht="14.4" hidden="1" outlineLevel="1" x14ac:dyDescent="0.3">
      <c r="A104" s="3"/>
      <c r="B104" s="10" t="s">
        <v>896</v>
      </c>
      <c r="C104" s="62">
        <v>10</v>
      </c>
      <c r="D104" s="62" t="s">
        <v>94</v>
      </c>
      <c r="E104" s="12">
        <f t="shared" si="20"/>
        <v>173.57</v>
      </c>
      <c r="F104" s="12">
        <f t="shared" si="26"/>
        <v>173.57</v>
      </c>
      <c r="G104" s="67"/>
      <c r="H104" s="63" t="s">
        <v>37</v>
      </c>
      <c r="I104" s="63"/>
      <c r="J104" s="64"/>
      <c r="K104" s="62"/>
      <c r="L104" s="62" t="str">
        <f t="shared" si="3"/>
        <v/>
      </c>
      <c r="M104" s="12">
        <v>94</v>
      </c>
      <c r="N104" s="12">
        <v>24.57</v>
      </c>
      <c r="O104" s="12">
        <v>12</v>
      </c>
      <c r="P104" s="12">
        <v>0</v>
      </c>
      <c r="Q104" s="12"/>
      <c r="R104" s="12"/>
      <c r="S104" s="12"/>
      <c r="T104" s="12"/>
      <c r="U104" s="12">
        <v>43</v>
      </c>
      <c r="V104" s="65" t="s">
        <v>882</v>
      </c>
      <c r="W104" s="44" t="str">
        <f t="shared" si="2"/>
        <v>OK</v>
      </c>
      <c r="X104" s="47" t="str">
        <f t="shared" si="4"/>
        <v/>
      </c>
      <c r="Y104" s="3"/>
      <c r="Z104" s="3"/>
    </row>
    <row r="105" spans="1:26" ht="14.4" hidden="1" outlineLevel="1" x14ac:dyDescent="0.3">
      <c r="A105" s="3"/>
      <c r="B105" s="10"/>
      <c r="C105" s="62"/>
      <c r="D105" s="62"/>
      <c r="E105" s="12"/>
      <c r="F105" s="12"/>
      <c r="G105" s="67"/>
      <c r="H105" s="63"/>
      <c r="I105" s="63"/>
      <c r="J105" s="64"/>
      <c r="K105" s="62"/>
      <c r="L105" s="62" t="str">
        <f t="shared" si="3"/>
        <v/>
      </c>
      <c r="M105" s="12"/>
      <c r="N105" s="12"/>
      <c r="O105" s="12"/>
      <c r="P105" s="12"/>
      <c r="Q105" s="12"/>
      <c r="R105" s="12"/>
      <c r="S105" s="12"/>
      <c r="T105" s="12"/>
      <c r="U105" s="12"/>
      <c r="V105" s="62"/>
      <c r="W105" s="44" t="str">
        <f t="shared" si="2"/>
        <v>OK</v>
      </c>
      <c r="X105" s="47" t="str">
        <f t="shared" si="4"/>
        <v/>
      </c>
      <c r="Y105" s="3"/>
      <c r="Z105" s="3"/>
    </row>
    <row r="106" spans="1:26" ht="14.4" hidden="1" outlineLevel="1" x14ac:dyDescent="0.3">
      <c r="A106" s="3"/>
      <c r="B106" s="10"/>
      <c r="C106" s="62"/>
      <c r="D106" s="62"/>
      <c r="E106" s="12"/>
      <c r="F106" s="12"/>
      <c r="G106" s="67"/>
      <c r="H106" s="63"/>
      <c r="I106" s="63"/>
      <c r="J106" s="64"/>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4.4" hidden="1" outlineLevel="1" x14ac:dyDescent="0.3">
      <c r="A107" s="3"/>
      <c r="B107" s="10"/>
      <c r="C107" s="62"/>
      <c r="D107" s="62"/>
      <c r="E107" s="12"/>
      <c r="F107" s="12"/>
      <c r="G107" s="67"/>
      <c r="H107" s="63"/>
      <c r="I107" s="63"/>
      <c r="J107" s="64"/>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4.4" hidden="1" outlineLevel="1" x14ac:dyDescent="0.3">
      <c r="A108" s="3"/>
      <c r="B108" s="10"/>
      <c r="C108" s="62"/>
      <c r="D108" s="62"/>
      <c r="E108" s="12"/>
      <c r="F108" s="12"/>
      <c r="G108" s="67"/>
      <c r="H108" s="63"/>
      <c r="I108" s="63"/>
      <c r="J108" s="64"/>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4.4" hidden="1" outlineLevel="1" x14ac:dyDescent="0.3">
      <c r="A109" s="3"/>
      <c r="B109" s="10"/>
      <c r="C109" s="62"/>
      <c r="D109" s="62"/>
      <c r="E109" s="12"/>
      <c r="F109" s="12"/>
      <c r="G109" s="67"/>
      <c r="H109" s="63"/>
      <c r="I109" s="63"/>
      <c r="J109" s="64"/>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4.4" hidden="1" outlineLevel="1" x14ac:dyDescent="0.3">
      <c r="A110" s="3"/>
      <c r="B110" s="10"/>
      <c r="C110" s="62"/>
      <c r="D110" s="62"/>
      <c r="E110" s="12"/>
      <c r="F110" s="12"/>
      <c r="G110" s="67"/>
      <c r="H110" s="63"/>
      <c r="I110" s="63"/>
      <c r="J110" s="64"/>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4.4" hidden="1" outlineLevel="1" x14ac:dyDescent="0.3">
      <c r="A111" s="3"/>
      <c r="B111" s="10"/>
      <c r="C111" s="62"/>
      <c r="D111" s="62"/>
      <c r="E111" s="12"/>
      <c r="F111" s="12"/>
      <c r="G111" s="67"/>
      <c r="H111" s="63"/>
      <c r="I111" s="63"/>
      <c r="J111" s="64"/>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4.4" hidden="1" outlineLevel="1" x14ac:dyDescent="0.3">
      <c r="A112" s="3"/>
      <c r="B112" s="10"/>
      <c r="C112" s="62"/>
      <c r="D112" s="62"/>
      <c r="E112" s="12"/>
      <c r="F112" s="12"/>
      <c r="G112" s="67"/>
      <c r="H112" s="63"/>
      <c r="I112" s="63"/>
      <c r="J112" s="64"/>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4.4" hidden="1" outlineLevel="1" x14ac:dyDescent="0.3">
      <c r="A113" s="3"/>
      <c r="B113" s="10"/>
      <c r="C113" s="62"/>
      <c r="D113" s="62"/>
      <c r="E113" s="12"/>
      <c r="F113" s="12"/>
      <c r="G113" s="67"/>
      <c r="H113" s="63"/>
      <c r="I113" s="63"/>
      <c r="J113" s="64"/>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4.4" hidden="1" outlineLevel="1" x14ac:dyDescent="0.3">
      <c r="A114" s="3"/>
      <c r="B114" s="10"/>
      <c r="C114" s="62"/>
      <c r="D114" s="62"/>
      <c r="E114" s="12"/>
      <c r="F114" s="12"/>
      <c r="G114" s="67"/>
      <c r="H114" s="63"/>
      <c r="I114" s="63"/>
      <c r="J114" s="64"/>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4.4" hidden="1" outlineLevel="1" x14ac:dyDescent="0.3">
      <c r="A115" s="3"/>
      <c r="B115" s="10"/>
      <c r="C115" s="62"/>
      <c r="D115" s="62"/>
      <c r="E115" s="12"/>
      <c r="F115" s="12"/>
      <c r="G115" s="67"/>
      <c r="H115" s="63"/>
      <c r="I115" s="63"/>
      <c r="J115" s="64"/>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4.4" hidden="1" outlineLevel="1" x14ac:dyDescent="0.3">
      <c r="A116" s="3"/>
      <c r="B116" s="10"/>
      <c r="C116" s="62"/>
      <c r="D116" s="62"/>
      <c r="E116" s="12"/>
      <c r="F116" s="12"/>
      <c r="G116" s="67"/>
      <c r="H116" s="63"/>
      <c r="I116" s="63"/>
      <c r="J116" s="64"/>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4.4" hidden="1" outlineLevel="1" x14ac:dyDescent="0.3">
      <c r="A117" s="3"/>
      <c r="B117" s="10"/>
      <c r="C117" s="62"/>
      <c r="D117" s="62"/>
      <c r="E117" s="12"/>
      <c r="F117" s="12"/>
      <c r="G117" s="67"/>
      <c r="H117" s="63"/>
      <c r="I117" s="63"/>
      <c r="J117" s="64"/>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4.4" hidden="1" outlineLevel="1" x14ac:dyDescent="0.3">
      <c r="A118" s="3"/>
      <c r="B118" s="10"/>
      <c r="C118" s="62"/>
      <c r="D118" s="62"/>
      <c r="E118" s="12"/>
      <c r="F118" s="12"/>
      <c r="G118" s="67"/>
      <c r="H118" s="63"/>
      <c r="I118" s="63"/>
      <c r="J118" s="64"/>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4.4" hidden="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4.4" hidden="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4.4" hidden="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4.4" hidden="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4.4" hidden="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4.4" hidden="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row>
    <row r="125" spans="1:26" ht="14.4" hidden="1" outlineLevel="1" x14ac:dyDescent="0.3">
      <c r="A125" s="3"/>
      <c r="B125" s="10"/>
      <c r="C125" s="62"/>
      <c r="D125" s="62"/>
      <c r="E125" s="12"/>
      <c r="F125" s="12"/>
      <c r="G125" s="67"/>
      <c r="H125" s="63"/>
      <c r="I125" s="63"/>
      <c r="J125" s="64"/>
      <c r="K125" s="62"/>
      <c r="L125" s="62" t="str">
        <f t="shared" si="3"/>
        <v/>
      </c>
      <c r="M125" s="12"/>
      <c r="N125" s="12"/>
      <c r="O125" s="12"/>
      <c r="P125" s="12"/>
      <c r="Q125" s="12"/>
      <c r="R125" s="12"/>
      <c r="S125" s="12"/>
      <c r="T125" s="12"/>
      <c r="U125" s="12"/>
      <c r="V125" s="62"/>
      <c r="W125" s="44" t="str">
        <f t="shared" si="2"/>
        <v>OK</v>
      </c>
      <c r="X125" s="47" t="str">
        <f t="shared" si="4"/>
        <v/>
      </c>
      <c r="Y125" s="3"/>
      <c r="Z125" s="3"/>
    </row>
    <row r="126" spans="1:26" ht="14.4" hidden="1" outlineLevel="1" x14ac:dyDescent="0.3">
      <c r="A126" s="3"/>
      <c r="B126" s="10"/>
      <c r="C126" s="62"/>
      <c r="D126" s="62"/>
      <c r="E126" s="12"/>
      <c r="F126" s="12"/>
      <c r="G126" s="67"/>
      <c r="H126" s="63"/>
      <c r="I126" s="63"/>
      <c r="J126" s="64"/>
      <c r="K126" s="62"/>
      <c r="L126" s="62"/>
      <c r="M126" s="12"/>
      <c r="N126" s="12"/>
      <c r="O126" s="12"/>
      <c r="P126" s="12"/>
      <c r="Q126" s="12"/>
      <c r="R126" s="12"/>
      <c r="S126" s="12"/>
      <c r="T126" s="12"/>
      <c r="U126" s="12"/>
      <c r="V126" s="62"/>
      <c r="W126" s="44" t="str">
        <f t="shared" si="2"/>
        <v>OK</v>
      </c>
      <c r="X126" s="47" t="str">
        <f t="shared" si="4"/>
        <v/>
      </c>
      <c r="Y126" s="3"/>
      <c r="Z126" s="3"/>
    </row>
    <row r="127" spans="1:26" ht="20.399999999999999" collapsed="1" x14ac:dyDescent="0.3">
      <c r="A127" s="3"/>
      <c r="B127" s="73" t="s">
        <v>62</v>
      </c>
      <c r="C127" s="56" t="s">
        <v>43</v>
      </c>
      <c r="D127" s="56" t="s">
        <v>43</v>
      </c>
      <c r="E127" s="57">
        <f t="shared" ref="E127:F127" si="27">SUM(E128,E131,,E135,E140,E147)</f>
        <v>0</v>
      </c>
      <c r="F127" s="57">
        <f t="shared" si="27"/>
        <v>4931.63</v>
      </c>
      <c r="G127" s="58" t="s">
        <v>43</v>
      </c>
      <c r="H127" s="74"/>
      <c r="I127" s="74"/>
      <c r="J127" s="3"/>
      <c r="K127" s="3"/>
      <c r="L127" s="3"/>
      <c r="M127" s="3"/>
      <c r="N127" s="3"/>
      <c r="O127" s="3"/>
      <c r="P127" s="3"/>
      <c r="Q127" s="3"/>
      <c r="R127" s="3"/>
      <c r="S127" s="3"/>
      <c r="T127" s="3"/>
      <c r="U127" s="3"/>
      <c r="V127" s="3"/>
      <c r="W127" s="44"/>
      <c r="X127" s="41"/>
      <c r="Y127" s="3"/>
      <c r="Z127" s="3"/>
    </row>
    <row r="128" spans="1:26" hidden="1" outlineLevel="1" x14ac:dyDescent="0.3">
      <c r="A128" s="3"/>
      <c r="B128" s="75" t="s">
        <v>230</v>
      </c>
      <c r="C128" s="76" t="s">
        <v>43</v>
      </c>
      <c r="D128" s="76" t="s">
        <v>43</v>
      </c>
      <c r="E128" s="77">
        <f>SUM(E129:E130)</f>
        <v>0</v>
      </c>
      <c r="F128" s="77">
        <f>SUMIF(D129:D130,"OK",F129:F130)</f>
        <v>382.24</v>
      </c>
      <c r="G128" s="78" t="s">
        <v>43</v>
      </c>
      <c r="H128" s="79"/>
      <c r="I128" s="79"/>
      <c r="J128" s="3"/>
      <c r="K128" s="3"/>
      <c r="L128" s="3"/>
      <c r="M128" s="3"/>
      <c r="N128" s="3"/>
      <c r="O128" s="3"/>
      <c r="P128" s="3"/>
      <c r="Q128" s="3"/>
      <c r="R128" s="3"/>
      <c r="S128" s="3"/>
      <c r="T128" s="3"/>
      <c r="U128" s="3"/>
      <c r="V128" s="3"/>
      <c r="W128" s="44"/>
      <c r="X128" s="41"/>
      <c r="Y128" s="3"/>
      <c r="Z128" s="3"/>
    </row>
    <row r="129" spans="1:26" ht="14.4" hidden="1" outlineLevel="1" x14ac:dyDescent="0.3">
      <c r="A129" s="3"/>
      <c r="B129" s="10" t="s">
        <v>231</v>
      </c>
      <c r="C129" s="62">
        <v>20</v>
      </c>
      <c r="D129" s="62" t="s">
        <v>94</v>
      </c>
      <c r="E129" s="12">
        <v>0</v>
      </c>
      <c r="F129" s="12">
        <v>382.24</v>
      </c>
      <c r="G129" s="67"/>
      <c r="H129" s="63" t="s">
        <v>37</v>
      </c>
      <c r="I129" s="63"/>
      <c r="J129" s="3"/>
      <c r="K129" s="3"/>
      <c r="L129" s="3"/>
      <c r="M129" s="3"/>
      <c r="N129" s="3"/>
      <c r="O129" s="3"/>
      <c r="P129" s="3"/>
      <c r="Q129" s="3"/>
      <c r="R129" s="3"/>
      <c r="S129" s="3"/>
      <c r="T129" s="3"/>
      <c r="U129" s="3"/>
      <c r="V129" s="3"/>
      <c r="W129" s="44"/>
      <c r="X129" s="41"/>
      <c r="Y129" s="3"/>
      <c r="Z129" s="3"/>
    </row>
    <row r="130" spans="1:26" ht="14.4" hidden="1" outlineLevel="1" x14ac:dyDescent="0.3">
      <c r="A130" s="3"/>
      <c r="B130" s="10" t="s">
        <v>61</v>
      </c>
      <c r="C130" s="62"/>
      <c r="D130" s="62"/>
      <c r="E130" s="12">
        <v>0</v>
      </c>
      <c r="F130" s="12">
        <v>0</v>
      </c>
      <c r="G130" s="67"/>
      <c r="H130" s="63"/>
      <c r="I130" s="63"/>
      <c r="J130" s="3"/>
      <c r="K130" s="3"/>
      <c r="L130" s="3"/>
      <c r="M130" s="3"/>
      <c r="N130" s="3"/>
      <c r="O130" s="3"/>
      <c r="P130" s="3"/>
      <c r="Q130" s="3"/>
      <c r="R130" s="3"/>
      <c r="S130" s="3"/>
      <c r="T130" s="3"/>
      <c r="U130" s="3"/>
      <c r="V130" s="3"/>
      <c r="W130" s="44"/>
      <c r="X130" s="41"/>
      <c r="Y130" s="3"/>
      <c r="Z130" s="3"/>
    </row>
    <row r="131" spans="1:26" hidden="1" outlineLevel="1" x14ac:dyDescent="0.3">
      <c r="A131" s="3"/>
      <c r="B131" s="75" t="s">
        <v>232</v>
      </c>
      <c r="C131" s="76" t="s">
        <v>43</v>
      </c>
      <c r="D131" s="76" t="s">
        <v>43</v>
      </c>
      <c r="E131" s="77">
        <f>SUM(E132:E134)</f>
        <v>0</v>
      </c>
      <c r="F131" s="77">
        <f>SUMIF(D132:D134,"OK",F132:F134)</f>
        <v>1083.6199999999999</v>
      </c>
      <c r="G131" s="78" t="s">
        <v>43</v>
      </c>
      <c r="H131" s="79"/>
      <c r="I131" s="79"/>
      <c r="J131" s="3"/>
      <c r="K131" s="3"/>
      <c r="L131" s="3"/>
      <c r="M131" s="3"/>
      <c r="N131" s="3"/>
      <c r="O131" s="3"/>
      <c r="P131" s="3"/>
      <c r="Q131" s="3"/>
      <c r="R131" s="3"/>
      <c r="S131" s="3"/>
      <c r="T131" s="3"/>
      <c r="U131" s="3"/>
      <c r="V131" s="3"/>
      <c r="W131" s="44"/>
      <c r="X131" s="41"/>
      <c r="Y131" s="3"/>
      <c r="Z131" s="3"/>
    </row>
    <row r="132" spans="1:26" ht="14.4" hidden="1" outlineLevel="1" x14ac:dyDescent="0.3">
      <c r="A132" s="3"/>
      <c r="B132" s="10" t="s">
        <v>715</v>
      </c>
      <c r="C132" s="62"/>
      <c r="D132" s="62"/>
      <c r="E132" s="12">
        <v>0</v>
      </c>
      <c r="F132" s="12">
        <v>0</v>
      </c>
      <c r="G132" s="69"/>
      <c r="H132" s="63"/>
      <c r="I132" s="63"/>
      <c r="J132" s="3"/>
      <c r="K132" s="3"/>
      <c r="L132" s="3"/>
      <c r="M132" s="3"/>
      <c r="N132" s="3"/>
      <c r="O132" s="3"/>
      <c r="P132" s="3"/>
      <c r="Q132" s="3"/>
      <c r="R132" s="3"/>
      <c r="S132" s="3"/>
      <c r="T132" s="3"/>
      <c r="U132" s="3"/>
      <c r="V132" s="3"/>
      <c r="W132" s="44"/>
      <c r="X132" s="41"/>
      <c r="Y132" s="3"/>
      <c r="Z132" s="3"/>
    </row>
    <row r="133" spans="1:26" ht="14.4" hidden="1" outlineLevel="1" x14ac:dyDescent="0.3">
      <c r="A133" s="3"/>
      <c r="B133" s="10" t="s">
        <v>529</v>
      </c>
      <c r="C133" s="62" t="s">
        <v>641</v>
      </c>
      <c r="D133" s="62" t="s">
        <v>94</v>
      </c>
      <c r="E133" s="12">
        <v>0</v>
      </c>
      <c r="F133" s="12">
        <v>1058.5</v>
      </c>
      <c r="G133" s="70"/>
      <c r="H133" s="63" t="s">
        <v>39</v>
      </c>
      <c r="I133" s="63"/>
      <c r="J133" s="3"/>
      <c r="K133" s="3"/>
      <c r="L133" s="3"/>
      <c r="M133" s="3"/>
      <c r="N133" s="3"/>
      <c r="O133" s="3"/>
      <c r="P133" s="3"/>
      <c r="Q133" s="3"/>
      <c r="R133" s="3"/>
      <c r="S133" s="3"/>
      <c r="T133" s="3"/>
      <c r="U133" s="3"/>
      <c r="V133" s="3"/>
      <c r="W133" s="44"/>
      <c r="X133" s="41"/>
      <c r="Y133" s="3"/>
      <c r="Z133" s="3"/>
    </row>
    <row r="134" spans="1:26" ht="14.4" hidden="1" outlineLevel="1" x14ac:dyDescent="0.3">
      <c r="A134" s="3"/>
      <c r="B134" s="10" t="s">
        <v>897</v>
      </c>
      <c r="C134" s="62" t="s">
        <v>898</v>
      </c>
      <c r="D134" s="62" t="s">
        <v>94</v>
      </c>
      <c r="E134" s="12">
        <v>0</v>
      </c>
      <c r="F134" s="12">
        <f>25.12</f>
        <v>25.12</v>
      </c>
      <c r="G134" s="69"/>
      <c r="H134" s="63" t="s">
        <v>38</v>
      </c>
      <c r="I134" s="63"/>
      <c r="J134" s="3"/>
      <c r="K134" s="3"/>
      <c r="L134" s="3"/>
      <c r="M134" s="3"/>
      <c r="N134" s="3"/>
      <c r="O134" s="3"/>
      <c r="P134" s="3"/>
      <c r="Q134" s="3"/>
      <c r="R134" s="3"/>
      <c r="S134" s="3"/>
      <c r="T134" s="3"/>
      <c r="U134" s="3"/>
      <c r="V134" s="3"/>
      <c r="W134" s="44"/>
      <c r="X134" s="41"/>
      <c r="Y134" s="3"/>
      <c r="Z134" s="3"/>
    </row>
    <row r="135" spans="1:26" hidden="1" outlineLevel="1" x14ac:dyDescent="0.3">
      <c r="A135" s="3"/>
      <c r="B135" s="75" t="s">
        <v>651</v>
      </c>
      <c r="C135" s="76" t="s">
        <v>43</v>
      </c>
      <c r="D135" s="76" t="s">
        <v>43</v>
      </c>
      <c r="E135" s="77">
        <f>SUM(E136:E138)</f>
        <v>0</v>
      </c>
      <c r="F135" s="77">
        <f>SUMIF(D136:D139,"OK",F136:F139)</f>
        <v>2485.77</v>
      </c>
      <c r="G135" s="78" t="s">
        <v>43</v>
      </c>
      <c r="H135" s="79"/>
      <c r="I135" s="79"/>
      <c r="J135" s="3"/>
      <c r="K135" s="3"/>
      <c r="L135" s="3"/>
      <c r="M135" s="3"/>
      <c r="N135" s="3"/>
      <c r="O135" s="3"/>
      <c r="P135" s="3"/>
      <c r="Q135" s="3"/>
      <c r="R135" s="3"/>
      <c r="S135" s="3"/>
      <c r="T135" s="3"/>
      <c r="U135" s="3"/>
      <c r="V135" s="3"/>
      <c r="W135" s="44"/>
      <c r="X135" s="41"/>
      <c r="Y135" s="3"/>
      <c r="Z135" s="3"/>
    </row>
    <row r="136" spans="1:26" ht="14.4" hidden="1" outlineLevel="1" x14ac:dyDescent="0.3">
      <c r="A136" s="3"/>
      <c r="B136" s="10" t="s">
        <v>715</v>
      </c>
      <c r="C136" s="62"/>
      <c r="D136" s="62"/>
      <c r="E136" s="12">
        <v>0</v>
      </c>
      <c r="F136" s="12">
        <v>0</v>
      </c>
      <c r="G136" s="69"/>
      <c r="H136" s="63"/>
      <c r="I136" s="63"/>
      <c r="J136" s="3"/>
      <c r="K136" s="3"/>
      <c r="L136" s="3"/>
      <c r="M136" s="3"/>
      <c r="N136" s="3"/>
      <c r="O136" s="3"/>
      <c r="P136" s="3"/>
      <c r="Q136" s="3"/>
      <c r="R136" s="3"/>
      <c r="S136" s="3"/>
      <c r="T136" s="3"/>
      <c r="U136" s="3"/>
      <c r="V136" s="3"/>
      <c r="W136" s="44"/>
      <c r="X136" s="41"/>
      <c r="Y136" s="3"/>
      <c r="Z136" s="3"/>
    </row>
    <row r="137" spans="1:26" ht="14.4" hidden="1" outlineLevel="1" x14ac:dyDescent="0.3">
      <c r="A137" s="3"/>
      <c r="B137" s="10" t="s">
        <v>531</v>
      </c>
      <c r="C137" s="62">
        <v>8</v>
      </c>
      <c r="D137" s="62" t="s">
        <v>94</v>
      </c>
      <c r="E137" s="12">
        <v>0</v>
      </c>
      <c r="F137" s="12">
        <v>6</v>
      </c>
      <c r="G137" s="70"/>
      <c r="H137" s="63" t="s">
        <v>37</v>
      </c>
      <c r="I137" s="63"/>
      <c r="J137" s="3"/>
      <c r="K137" s="3"/>
      <c r="L137" s="3"/>
      <c r="M137" s="3"/>
      <c r="N137" s="3"/>
      <c r="O137" s="3"/>
      <c r="P137" s="3"/>
      <c r="Q137" s="3"/>
      <c r="R137" s="3"/>
      <c r="S137" s="3"/>
      <c r="T137" s="3"/>
      <c r="U137" s="3"/>
      <c r="V137" s="3"/>
      <c r="W137" s="44"/>
      <c r="X137" s="41"/>
      <c r="Y137" s="3"/>
      <c r="Z137" s="3"/>
    </row>
    <row r="138" spans="1:26" ht="14.4" hidden="1" outlineLevel="1" x14ac:dyDescent="0.3">
      <c r="A138" s="3"/>
      <c r="B138" s="10" t="s">
        <v>532</v>
      </c>
      <c r="C138" s="62">
        <v>8</v>
      </c>
      <c r="D138" s="62" t="s">
        <v>94</v>
      </c>
      <c r="E138" s="12">
        <v>0</v>
      </c>
      <c r="F138" s="12">
        <f>11.75+11.75+12.73+28.74</f>
        <v>64.97</v>
      </c>
      <c r="G138" s="69"/>
      <c r="H138" s="63" t="s">
        <v>38</v>
      </c>
      <c r="I138" s="63"/>
      <c r="J138" s="3"/>
      <c r="K138" s="3"/>
      <c r="L138" s="3"/>
      <c r="M138" s="3"/>
      <c r="N138" s="3"/>
      <c r="O138" s="3"/>
      <c r="P138" s="3"/>
      <c r="Q138" s="3"/>
      <c r="R138" s="3"/>
      <c r="S138" s="3"/>
      <c r="T138" s="3"/>
      <c r="U138" s="3"/>
      <c r="V138" s="3"/>
      <c r="W138" s="44"/>
      <c r="X138" s="41"/>
      <c r="Y138" s="3"/>
      <c r="Z138" s="3"/>
    </row>
    <row r="139" spans="1:26" ht="14.4" hidden="1" outlineLevel="1" x14ac:dyDescent="0.3">
      <c r="A139" s="3"/>
      <c r="B139" s="10" t="s">
        <v>529</v>
      </c>
      <c r="C139" s="62" t="s">
        <v>899</v>
      </c>
      <c r="D139" s="62" t="s">
        <v>94</v>
      </c>
      <c r="E139" s="12">
        <v>0</v>
      </c>
      <c r="F139" s="12">
        <f>2676.8-262</f>
        <v>2414.8000000000002</v>
      </c>
      <c r="G139" s="69" t="s">
        <v>900</v>
      </c>
      <c r="H139" s="63" t="s">
        <v>39</v>
      </c>
      <c r="I139" s="63"/>
      <c r="J139" s="3"/>
      <c r="K139" s="3"/>
      <c r="L139" s="3"/>
      <c r="M139" s="3"/>
      <c r="N139" s="3"/>
      <c r="O139" s="3"/>
      <c r="P139" s="3"/>
      <c r="Q139" s="3"/>
      <c r="R139" s="3"/>
      <c r="S139" s="3"/>
      <c r="T139" s="3"/>
      <c r="U139" s="3"/>
      <c r="V139" s="3"/>
      <c r="W139" s="44"/>
      <c r="X139" s="41"/>
      <c r="Y139" s="3"/>
      <c r="Z139" s="3"/>
    </row>
    <row r="140" spans="1:26" hidden="1" outlineLevel="1" x14ac:dyDescent="0.3">
      <c r="A140" s="3"/>
      <c r="B140" s="75" t="s">
        <v>901</v>
      </c>
      <c r="C140" s="76" t="s">
        <v>43</v>
      </c>
      <c r="D140" s="76" t="s">
        <v>43</v>
      </c>
      <c r="E140" s="77">
        <f>SUM(E141:E146)</f>
        <v>0</v>
      </c>
      <c r="F140" s="77">
        <f>SUMIF(D141:D146,"OK",F141:F146)</f>
        <v>850</v>
      </c>
      <c r="G140" s="78" t="s">
        <v>43</v>
      </c>
      <c r="H140" s="79"/>
      <c r="I140" s="79"/>
      <c r="J140" s="3"/>
      <c r="K140" s="3"/>
      <c r="L140" s="3"/>
      <c r="M140" s="3"/>
      <c r="N140" s="3"/>
      <c r="O140" s="3"/>
      <c r="P140" s="3"/>
      <c r="Q140" s="3"/>
      <c r="R140" s="3"/>
      <c r="S140" s="3"/>
      <c r="T140" s="3"/>
      <c r="U140" s="3"/>
      <c r="V140" s="3"/>
      <c r="W140" s="44"/>
      <c r="X140" s="41"/>
      <c r="Y140" s="3"/>
      <c r="Z140" s="3"/>
    </row>
    <row r="141" spans="1:26" ht="14.4" hidden="1" outlineLevel="1" x14ac:dyDescent="0.3">
      <c r="A141" s="3"/>
      <c r="B141" s="10" t="s">
        <v>902</v>
      </c>
      <c r="C141" s="62" t="s">
        <v>903</v>
      </c>
      <c r="D141" s="62" t="s">
        <v>94</v>
      </c>
      <c r="E141" s="12">
        <v>0</v>
      </c>
      <c r="F141" s="12">
        <v>112</v>
      </c>
      <c r="G141" s="67"/>
      <c r="H141" s="63" t="s">
        <v>39</v>
      </c>
      <c r="I141" s="63"/>
      <c r="J141" s="3"/>
      <c r="K141" s="3"/>
      <c r="L141" s="3"/>
      <c r="M141" s="3"/>
      <c r="N141" s="3"/>
      <c r="O141" s="3"/>
      <c r="P141" s="3"/>
      <c r="Q141" s="3"/>
      <c r="R141" s="3"/>
      <c r="S141" s="3"/>
      <c r="T141" s="3"/>
      <c r="U141" s="3"/>
      <c r="V141" s="3"/>
      <c r="W141" s="44"/>
      <c r="X141" s="41"/>
      <c r="Y141" s="3"/>
      <c r="Z141" s="3"/>
    </row>
    <row r="142" spans="1:26" ht="14.4" hidden="1" outlineLevel="1" x14ac:dyDescent="0.3">
      <c r="A142" s="3"/>
      <c r="B142" s="10" t="s">
        <v>904</v>
      </c>
      <c r="C142" s="62" t="s">
        <v>898</v>
      </c>
      <c r="D142" s="62" t="s">
        <v>94</v>
      </c>
      <c r="E142" s="12">
        <v>0</v>
      </c>
      <c r="F142" s="12">
        <v>738</v>
      </c>
      <c r="G142" s="67"/>
      <c r="H142" s="63" t="s">
        <v>38</v>
      </c>
      <c r="I142" s="63"/>
      <c r="J142" s="3"/>
      <c r="K142" s="3"/>
      <c r="L142" s="3"/>
      <c r="M142" s="3"/>
      <c r="N142" s="3"/>
      <c r="O142" s="3"/>
      <c r="P142" s="3"/>
      <c r="Q142" s="3"/>
      <c r="R142" s="3"/>
      <c r="S142" s="3"/>
      <c r="T142" s="3"/>
      <c r="U142" s="3"/>
      <c r="V142" s="3"/>
      <c r="W142" s="44"/>
      <c r="X142" s="41"/>
      <c r="Y142" s="3"/>
      <c r="Z142" s="3"/>
    </row>
    <row r="143" spans="1:26" ht="14.4" hidden="1" outlineLevel="1" x14ac:dyDescent="0.3">
      <c r="A143" s="3"/>
      <c r="B143" s="10" t="s">
        <v>905</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4.4" hidden="1" outlineLevel="1" x14ac:dyDescent="0.3">
      <c r="A144" s="3"/>
      <c r="B144" s="10" t="s">
        <v>906</v>
      </c>
      <c r="C144" s="62"/>
      <c r="D144" s="62"/>
      <c r="E144" s="12">
        <v>0</v>
      </c>
      <c r="F144" s="12">
        <v>0</v>
      </c>
      <c r="G144" s="67"/>
      <c r="H144" s="63"/>
      <c r="I144" s="63"/>
      <c r="J144" s="3"/>
      <c r="K144" s="3"/>
      <c r="L144" s="3"/>
      <c r="M144" s="3"/>
      <c r="N144" s="3"/>
      <c r="O144" s="3"/>
      <c r="P144" s="3"/>
      <c r="Q144" s="3"/>
      <c r="R144" s="3"/>
      <c r="S144" s="3"/>
      <c r="T144" s="3"/>
      <c r="U144" s="3"/>
      <c r="V144" s="3"/>
      <c r="W144" s="44"/>
      <c r="X144" s="41"/>
      <c r="Y144" s="3"/>
      <c r="Z144" s="3"/>
    </row>
    <row r="145" spans="1:26" ht="14.4" hidden="1" outlineLevel="1" x14ac:dyDescent="0.3">
      <c r="A145" s="3"/>
      <c r="B145" s="10" t="s">
        <v>907</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row>
    <row r="146" spans="1:26" ht="14.4" hidden="1" outlineLevel="1" x14ac:dyDescent="0.3">
      <c r="A146" s="3"/>
      <c r="B146" s="10" t="s">
        <v>908</v>
      </c>
      <c r="C146" s="62"/>
      <c r="D146" s="62"/>
      <c r="E146" s="12">
        <v>0</v>
      </c>
      <c r="F146" s="12">
        <v>0</v>
      </c>
      <c r="G146" s="67"/>
      <c r="H146" s="63"/>
      <c r="I146" s="63"/>
      <c r="J146" s="3"/>
      <c r="K146" s="3"/>
      <c r="L146" s="3"/>
      <c r="M146" s="3"/>
      <c r="N146" s="3"/>
      <c r="O146" s="3"/>
      <c r="P146" s="3"/>
      <c r="Q146" s="3"/>
      <c r="R146" s="3"/>
      <c r="S146" s="3"/>
      <c r="T146" s="3"/>
      <c r="U146" s="3"/>
      <c r="V146" s="3"/>
      <c r="W146" s="44"/>
      <c r="X146" s="41"/>
      <c r="Y146" s="3"/>
      <c r="Z146" s="3"/>
    </row>
    <row r="147" spans="1:26" hidden="1" outlineLevel="1" x14ac:dyDescent="0.3">
      <c r="A147" s="3"/>
      <c r="B147" s="75" t="s">
        <v>62</v>
      </c>
      <c r="C147" s="76" t="s">
        <v>43</v>
      </c>
      <c r="D147" s="76" t="s">
        <v>43</v>
      </c>
      <c r="E147" s="77">
        <f>SUM(E148:E150)</f>
        <v>0</v>
      </c>
      <c r="F147" s="77">
        <f>SUMIF(D148:D150,"OK",F148:F150)</f>
        <v>130</v>
      </c>
      <c r="G147" s="78" t="s">
        <v>43</v>
      </c>
      <c r="H147" s="79"/>
      <c r="I147" s="79"/>
      <c r="J147" s="3"/>
      <c r="K147" s="3"/>
      <c r="L147" s="3"/>
      <c r="M147" s="3"/>
      <c r="N147" s="3"/>
      <c r="O147" s="3"/>
      <c r="P147" s="3"/>
      <c r="Q147" s="3"/>
      <c r="R147" s="3"/>
      <c r="S147" s="3"/>
      <c r="T147" s="3"/>
      <c r="U147" s="3"/>
      <c r="V147" s="3"/>
      <c r="W147" s="44"/>
      <c r="X147" s="41"/>
      <c r="Y147" s="3"/>
      <c r="Z147" s="3"/>
    </row>
    <row r="148" spans="1:26" ht="14.4" hidden="1" outlineLevel="1" x14ac:dyDescent="0.3">
      <c r="A148" s="3"/>
      <c r="B148" s="10" t="s">
        <v>537</v>
      </c>
      <c r="C148" s="62">
        <v>19</v>
      </c>
      <c r="D148" s="62" t="s">
        <v>94</v>
      </c>
      <c r="E148" s="12">
        <v>0</v>
      </c>
      <c r="F148" s="12">
        <v>130</v>
      </c>
      <c r="G148" s="67"/>
      <c r="H148" s="63" t="s">
        <v>38</v>
      </c>
      <c r="I148" s="63"/>
      <c r="J148" s="3"/>
      <c r="K148" s="3"/>
      <c r="L148" s="3"/>
      <c r="M148" s="3"/>
      <c r="N148" s="3"/>
      <c r="O148" s="3"/>
      <c r="P148" s="3"/>
      <c r="Q148" s="3"/>
      <c r="R148" s="3"/>
      <c r="S148" s="3"/>
      <c r="T148" s="3"/>
      <c r="U148" s="3"/>
      <c r="V148" s="3"/>
      <c r="W148" s="44"/>
      <c r="X148" s="41"/>
      <c r="Y148" s="3"/>
      <c r="Z148" s="3"/>
    </row>
    <row r="149" spans="1:26" ht="14.4" hidden="1" outlineLevel="1" x14ac:dyDescent="0.3">
      <c r="A149" s="3"/>
      <c r="B149" s="10" t="s">
        <v>63</v>
      </c>
      <c r="C149" s="62"/>
      <c r="D149" s="62"/>
      <c r="E149" s="12">
        <v>0</v>
      </c>
      <c r="F149" s="12">
        <v>0</v>
      </c>
      <c r="G149" s="67"/>
      <c r="H149" s="63"/>
      <c r="I149" s="63"/>
      <c r="J149" s="3"/>
      <c r="K149" s="3"/>
      <c r="L149" s="3"/>
      <c r="M149" s="3"/>
      <c r="N149" s="3"/>
      <c r="O149" s="3"/>
      <c r="P149" s="3"/>
      <c r="Q149" s="3"/>
      <c r="R149" s="3"/>
      <c r="S149" s="3"/>
      <c r="T149" s="3"/>
      <c r="U149" s="3"/>
      <c r="V149" s="3"/>
      <c r="W149" s="44"/>
      <c r="X149" s="41"/>
      <c r="Y149" s="3"/>
      <c r="Z149" s="3"/>
    </row>
    <row r="150" spans="1:26" ht="14.4" hidden="1" outlineLevel="1" x14ac:dyDescent="0.3">
      <c r="A150" s="3"/>
      <c r="B150" s="10" t="s">
        <v>61</v>
      </c>
      <c r="C150" s="62"/>
      <c r="D150" s="62"/>
      <c r="E150" s="12">
        <v>0</v>
      </c>
      <c r="F150" s="12">
        <v>0</v>
      </c>
      <c r="G150" s="67"/>
      <c r="H150" s="63"/>
      <c r="I150" s="63"/>
      <c r="J150" s="3"/>
      <c r="K150" s="3"/>
      <c r="L150" s="3"/>
      <c r="M150" s="3"/>
      <c r="N150" s="3"/>
      <c r="O150" s="3"/>
      <c r="P150" s="3"/>
      <c r="Q150" s="3"/>
      <c r="R150" s="3"/>
      <c r="S150" s="3"/>
      <c r="T150" s="3"/>
      <c r="U150" s="3"/>
      <c r="V150" s="3"/>
      <c r="W150" s="44"/>
      <c r="X150" s="41"/>
      <c r="Y150" s="3"/>
      <c r="Z150" s="3"/>
    </row>
    <row r="151" spans="1:26" ht="20.399999999999999" collapsed="1" x14ac:dyDescent="0.3">
      <c r="A151" s="3"/>
      <c r="B151" s="73" t="s">
        <v>239</v>
      </c>
      <c r="C151" s="56" t="s">
        <v>43</v>
      </c>
      <c r="D151" s="56" t="s">
        <v>43</v>
      </c>
      <c r="E151" s="57">
        <f t="shared" ref="E151:F151" si="28">SUM(E152,E157,E162,E166)</f>
        <v>0</v>
      </c>
      <c r="F151" s="57">
        <f t="shared" si="28"/>
        <v>3434</v>
      </c>
      <c r="G151" s="58" t="s">
        <v>43</v>
      </c>
      <c r="H151" s="74"/>
      <c r="I151" s="74"/>
      <c r="J151" s="3"/>
      <c r="K151" s="3"/>
      <c r="L151" s="3"/>
      <c r="M151" s="3"/>
      <c r="N151" s="3"/>
      <c r="O151" s="3"/>
      <c r="P151" s="3"/>
      <c r="Q151" s="3"/>
      <c r="R151" s="3"/>
      <c r="S151" s="3"/>
      <c r="T151" s="3"/>
      <c r="U151" s="3"/>
      <c r="V151" s="3"/>
      <c r="W151" s="44"/>
      <c r="X151" s="41"/>
      <c r="Y151" s="3"/>
      <c r="Z151" s="3"/>
    </row>
    <row r="152" spans="1:26" hidden="1" outlineLevel="1" x14ac:dyDescent="0.3">
      <c r="A152" s="3"/>
      <c r="B152" s="75" t="s">
        <v>240</v>
      </c>
      <c r="C152" s="76" t="s">
        <v>43</v>
      </c>
      <c r="D152" s="76" t="s">
        <v>43</v>
      </c>
      <c r="E152" s="77">
        <f>SUM(E153:E156)</f>
        <v>0</v>
      </c>
      <c r="F152" s="77">
        <f>SUMIF(D153:D156,"OK",F153:F156)</f>
        <v>668</v>
      </c>
      <c r="G152" s="78" t="s">
        <v>43</v>
      </c>
      <c r="H152" s="79"/>
      <c r="I152" s="79"/>
      <c r="J152" s="3"/>
      <c r="K152" s="3"/>
      <c r="L152" s="3"/>
      <c r="M152" s="3"/>
      <c r="N152" s="3"/>
      <c r="O152" s="3"/>
      <c r="P152" s="3"/>
      <c r="Q152" s="3"/>
      <c r="R152" s="3"/>
      <c r="S152" s="3"/>
      <c r="T152" s="3"/>
      <c r="U152" s="3"/>
      <c r="V152" s="3"/>
      <c r="W152" s="44"/>
      <c r="X152" s="41"/>
      <c r="Y152" s="3"/>
      <c r="Z152" s="3"/>
    </row>
    <row r="153" spans="1:26" ht="14.4" hidden="1" outlineLevel="1" x14ac:dyDescent="0.3">
      <c r="A153" s="3"/>
      <c r="B153" s="10" t="s">
        <v>241</v>
      </c>
      <c r="C153" s="62">
        <v>1</v>
      </c>
      <c r="D153" s="62" t="s">
        <v>94</v>
      </c>
      <c r="E153" s="12">
        <v>0</v>
      </c>
      <c r="F153" s="12">
        <f>50+50+5+20+40+10+5+10+10+10+10+20+11+30+10+15</f>
        <v>306</v>
      </c>
      <c r="G153" s="67"/>
      <c r="H153" s="63" t="s">
        <v>37</v>
      </c>
      <c r="I153" s="63"/>
      <c r="J153" s="3"/>
      <c r="K153" s="3"/>
      <c r="L153" s="3"/>
      <c r="M153" s="3"/>
      <c r="N153" s="3"/>
      <c r="O153" s="3"/>
      <c r="P153" s="3"/>
      <c r="Q153" s="3"/>
      <c r="R153" s="3"/>
      <c r="S153" s="3"/>
      <c r="T153" s="3"/>
      <c r="U153" s="3"/>
      <c r="V153" s="3"/>
      <c r="W153" s="44"/>
      <c r="X153" s="41"/>
      <c r="Y153" s="3"/>
      <c r="Z153" s="3"/>
    </row>
    <row r="154" spans="1:26" ht="14.4" hidden="1" outlineLevel="1" x14ac:dyDescent="0.3">
      <c r="A154" s="3"/>
      <c r="B154" s="10" t="s">
        <v>242</v>
      </c>
      <c r="C154" s="62">
        <v>1</v>
      </c>
      <c r="D154" s="62" t="s">
        <v>94</v>
      </c>
      <c r="E154" s="12">
        <v>0</v>
      </c>
      <c r="F154" s="12">
        <v>5</v>
      </c>
      <c r="G154" s="67"/>
      <c r="H154" s="63" t="s">
        <v>36</v>
      </c>
      <c r="I154" s="63"/>
      <c r="J154" s="3"/>
      <c r="K154" s="3"/>
      <c r="L154" s="3"/>
      <c r="M154" s="3"/>
      <c r="N154" s="3"/>
      <c r="O154" s="3"/>
      <c r="P154" s="3"/>
      <c r="Q154" s="3"/>
      <c r="R154" s="3"/>
      <c r="S154" s="3"/>
      <c r="T154" s="3"/>
      <c r="U154" s="3"/>
      <c r="V154" s="3"/>
      <c r="W154" s="44"/>
      <c r="X154" s="41"/>
      <c r="Y154" s="3"/>
      <c r="Z154" s="3"/>
    </row>
    <row r="155" spans="1:26" ht="14.4" hidden="1" outlineLevel="1" x14ac:dyDescent="0.3">
      <c r="A155" s="3"/>
      <c r="B155" s="10" t="s">
        <v>243</v>
      </c>
      <c r="C155" s="62">
        <v>15</v>
      </c>
      <c r="D155" s="62" t="s">
        <v>94</v>
      </c>
      <c r="E155" s="12">
        <v>0</v>
      </c>
      <c r="F155" s="12">
        <f>10+10+50+10+20+10+20+20+50+14+25+5+20+20+10+10+10+10+6</f>
        <v>330</v>
      </c>
      <c r="G155" s="67"/>
      <c r="H155" s="63" t="s">
        <v>37</v>
      </c>
      <c r="I155" s="63"/>
      <c r="J155" s="3"/>
      <c r="K155" s="3"/>
      <c r="L155" s="3"/>
      <c r="M155" s="3"/>
      <c r="N155" s="3"/>
      <c r="O155" s="3"/>
      <c r="P155" s="3"/>
      <c r="Q155" s="3"/>
      <c r="R155" s="3"/>
      <c r="S155" s="3"/>
      <c r="T155" s="3"/>
      <c r="U155" s="3"/>
      <c r="V155" s="3"/>
      <c r="W155" s="44"/>
      <c r="X155" s="41"/>
      <c r="Y155" s="3"/>
      <c r="Z155" s="3"/>
    </row>
    <row r="156" spans="1:26" ht="14.4" hidden="1" outlineLevel="1" x14ac:dyDescent="0.3">
      <c r="A156" s="3"/>
      <c r="B156" s="10" t="s">
        <v>244</v>
      </c>
      <c r="C156" s="62">
        <v>15</v>
      </c>
      <c r="D156" s="62" t="s">
        <v>94</v>
      </c>
      <c r="E156" s="12">
        <v>0</v>
      </c>
      <c r="F156" s="12">
        <v>27</v>
      </c>
      <c r="G156" s="67"/>
      <c r="H156" s="63" t="s">
        <v>36</v>
      </c>
      <c r="I156" s="63"/>
      <c r="J156" s="3"/>
      <c r="K156" s="3"/>
      <c r="L156" s="3"/>
      <c r="M156" s="3"/>
      <c r="N156" s="3"/>
      <c r="O156" s="3"/>
      <c r="P156" s="3"/>
      <c r="Q156" s="3"/>
      <c r="R156" s="3"/>
      <c r="S156" s="3"/>
      <c r="T156" s="3"/>
      <c r="U156" s="3"/>
      <c r="V156" s="3"/>
      <c r="W156" s="44"/>
      <c r="X156" s="41"/>
      <c r="Y156" s="3"/>
      <c r="Z156" s="3"/>
    </row>
    <row r="157" spans="1:26" hidden="1" outlineLevel="1" x14ac:dyDescent="0.3">
      <c r="A157" s="3"/>
      <c r="B157" s="75" t="s">
        <v>245</v>
      </c>
      <c r="C157" s="76" t="s">
        <v>43</v>
      </c>
      <c r="D157" s="76" t="s">
        <v>43</v>
      </c>
      <c r="E157" s="77">
        <f>SUM(E158:E161)</f>
        <v>0</v>
      </c>
      <c r="F157" s="77">
        <f>SUMIF(D158:D161,"OK",F158:F161)</f>
        <v>440</v>
      </c>
      <c r="G157" s="78" t="s">
        <v>43</v>
      </c>
      <c r="H157" s="79"/>
      <c r="I157" s="79"/>
      <c r="J157" s="3"/>
      <c r="K157" s="3"/>
      <c r="L157" s="3"/>
      <c r="M157" s="3"/>
      <c r="N157" s="3"/>
      <c r="O157" s="3"/>
      <c r="P157" s="3"/>
      <c r="Q157" s="3"/>
      <c r="R157" s="3"/>
      <c r="S157" s="3"/>
      <c r="T157" s="3"/>
      <c r="U157" s="3"/>
      <c r="V157" s="3"/>
      <c r="W157" s="44"/>
      <c r="X157" s="41"/>
      <c r="Y157" s="3"/>
      <c r="Z157" s="3"/>
    </row>
    <row r="158" spans="1:26" ht="14.4" hidden="1" outlineLevel="1" x14ac:dyDescent="0.3">
      <c r="A158" s="3"/>
      <c r="B158" s="10" t="s">
        <v>241</v>
      </c>
      <c r="C158" s="62"/>
      <c r="D158" s="62"/>
      <c r="E158" s="12">
        <v>0</v>
      </c>
      <c r="F158" s="12">
        <v>0</v>
      </c>
      <c r="G158" s="69"/>
      <c r="H158" s="63" t="s">
        <v>37</v>
      </c>
      <c r="I158" s="63"/>
      <c r="J158" s="3"/>
      <c r="K158" s="3"/>
      <c r="L158" s="3"/>
      <c r="M158" s="3"/>
      <c r="N158" s="3"/>
      <c r="O158" s="3"/>
      <c r="P158" s="3"/>
      <c r="Q158" s="3"/>
      <c r="R158" s="3"/>
      <c r="S158" s="3"/>
      <c r="T158" s="3"/>
      <c r="U158" s="3"/>
      <c r="V158" s="3"/>
      <c r="W158" s="44"/>
      <c r="X158" s="41"/>
      <c r="Y158" s="3"/>
      <c r="Z158" s="3"/>
    </row>
    <row r="159" spans="1:26" ht="14.4" hidden="1" outlineLevel="1" x14ac:dyDescent="0.3">
      <c r="A159" s="3"/>
      <c r="B159" s="10" t="s">
        <v>242</v>
      </c>
      <c r="C159" s="62"/>
      <c r="D159" s="62"/>
      <c r="E159" s="12">
        <v>0</v>
      </c>
      <c r="F159" s="12">
        <v>0</v>
      </c>
      <c r="G159" s="67"/>
      <c r="H159" s="63" t="s">
        <v>36</v>
      </c>
      <c r="I159" s="63"/>
      <c r="J159" s="3"/>
      <c r="K159" s="3"/>
      <c r="L159" s="3"/>
      <c r="M159" s="3"/>
      <c r="N159" s="3"/>
      <c r="O159" s="3"/>
      <c r="P159" s="3"/>
      <c r="Q159" s="3"/>
      <c r="R159" s="3"/>
      <c r="S159" s="3"/>
      <c r="T159" s="3"/>
      <c r="U159" s="3"/>
      <c r="V159" s="3"/>
      <c r="W159" s="44"/>
      <c r="X159" s="41"/>
      <c r="Y159" s="3"/>
      <c r="Z159" s="3"/>
    </row>
    <row r="160" spans="1:26" ht="14.4" hidden="1" outlineLevel="1" x14ac:dyDescent="0.3">
      <c r="A160" s="3"/>
      <c r="B160" s="10" t="s">
        <v>243</v>
      </c>
      <c r="C160" s="62" t="s">
        <v>909</v>
      </c>
      <c r="D160" s="62" t="s">
        <v>94</v>
      </c>
      <c r="E160" s="12">
        <v>0</v>
      </c>
      <c r="F160" s="12">
        <f>30+10+30+10+10+10+20+20+20+50+20+10+40+20+10+30+10+20+10+10+10+30</f>
        <v>430</v>
      </c>
      <c r="G160" s="67"/>
      <c r="H160" s="63" t="s">
        <v>37</v>
      </c>
      <c r="I160" s="63"/>
      <c r="J160" s="3"/>
      <c r="K160" s="3"/>
      <c r="L160" s="3"/>
      <c r="M160" s="3"/>
      <c r="N160" s="3"/>
      <c r="O160" s="3"/>
      <c r="P160" s="3"/>
      <c r="Q160" s="3"/>
      <c r="R160" s="3"/>
      <c r="S160" s="3"/>
      <c r="T160" s="3"/>
      <c r="U160" s="3"/>
      <c r="V160" s="3"/>
      <c r="W160" s="44"/>
      <c r="X160" s="41"/>
      <c r="Y160" s="3"/>
      <c r="Z160" s="3"/>
    </row>
    <row r="161" spans="1:26" ht="14.4" hidden="1" outlineLevel="1" x14ac:dyDescent="0.3">
      <c r="A161" s="3"/>
      <c r="B161" s="10" t="s">
        <v>244</v>
      </c>
      <c r="C161" s="62">
        <v>15</v>
      </c>
      <c r="D161" s="62" t="s">
        <v>94</v>
      </c>
      <c r="E161" s="12">
        <v>0</v>
      </c>
      <c r="F161" s="12">
        <v>10</v>
      </c>
      <c r="G161" s="67"/>
      <c r="H161" s="63" t="s">
        <v>36</v>
      </c>
      <c r="I161" s="63"/>
      <c r="J161" s="3"/>
      <c r="K161" s="3"/>
      <c r="L161" s="3"/>
      <c r="M161" s="3"/>
      <c r="N161" s="3"/>
      <c r="O161" s="3"/>
      <c r="P161" s="3"/>
      <c r="Q161" s="3"/>
      <c r="R161" s="3"/>
      <c r="S161" s="3"/>
      <c r="T161" s="3"/>
      <c r="U161" s="3"/>
      <c r="V161" s="3"/>
      <c r="W161" s="44"/>
      <c r="X161" s="41"/>
      <c r="Y161" s="3"/>
      <c r="Z161" s="3"/>
    </row>
    <row r="162" spans="1:26" hidden="1" outlineLevel="1" x14ac:dyDescent="0.3">
      <c r="A162" s="3"/>
      <c r="B162" s="75" t="s">
        <v>61</v>
      </c>
      <c r="C162" s="76" t="s">
        <v>43</v>
      </c>
      <c r="D162" s="76" t="s">
        <v>43</v>
      </c>
      <c r="E162" s="77">
        <f>SUM(E163:E165)</f>
        <v>0</v>
      </c>
      <c r="F162" s="77">
        <f>SUMIF(D163:D165,"OK",F163:F165)</f>
        <v>2276</v>
      </c>
      <c r="G162" s="78" t="s">
        <v>43</v>
      </c>
      <c r="H162" s="79"/>
      <c r="I162" s="79"/>
      <c r="J162" s="3"/>
      <c r="K162" s="3"/>
      <c r="L162" s="3"/>
      <c r="M162" s="3"/>
      <c r="N162" s="3"/>
      <c r="O162" s="3"/>
      <c r="P162" s="3"/>
      <c r="Q162" s="3"/>
      <c r="R162" s="3"/>
      <c r="S162" s="3"/>
      <c r="T162" s="3"/>
      <c r="U162" s="3"/>
      <c r="V162" s="3"/>
      <c r="W162" s="44"/>
      <c r="X162" s="41"/>
      <c r="Y162" s="3"/>
      <c r="Z162" s="3"/>
    </row>
    <row r="163" spans="1:26" ht="14.4" hidden="1" outlineLevel="1" x14ac:dyDescent="0.3">
      <c r="A163" s="3"/>
      <c r="B163" s="10" t="s">
        <v>910</v>
      </c>
      <c r="C163" s="80" t="s">
        <v>911</v>
      </c>
      <c r="D163" s="62" t="s">
        <v>94</v>
      </c>
      <c r="E163" s="12">
        <v>0</v>
      </c>
      <c r="F163" s="12">
        <f>105+35+70+35+70+105+140+140+70+105+70+70+140+70+35+35+70+105+70+70+140+70+105+35+35+105+70+105</f>
        <v>2275</v>
      </c>
      <c r="G163" s="69" t="s">
        <v>912</v>
      </c>
      <c r="H163" s="63" t="s">
        <v>37</v>
      </c>
      <c r="I163" s="63"/>
      <c r="J163" s="3"/>
      <c r="K163" s="3"/>
      <c r="L163" s="3"/>
      <c r="M163" s="3"/>
      <c r="N163" s="3"/>
      <c r="O163" s="3"/>
      <c r="P163" s="3"/>
      <c r="Q163" s="3"/>
      <c r="R163" s="3"/>
      <c r="S163" s="3"/>
      <c r="T163" s="3"/>
      <c r="U163" s="3"/>
      <c r="V163" s="3"/>
      <c r="W163" s="44"/>
      <c r="X163" s="41"/>
      <c r="Y163" s="3"/>
      <c r="Z163" s="3"/>
    </row>
    <row r="164" spans="1:26" ht="24" hidden="1" outlineLevel="1" x14ac:dyDescent="0.3">
      <c r="A164" s="3"/>
      <c r="B164" s="10" t="s">
        <v>913</v>
      </c>
      <c r="C164" s="80">
        <v>7</v>
      </c>
      <c r="D164" s="62" t="s">
        <v>94</v>
      </c>
      <c r="E164" s="12">
        <v>0</v>
      </c>
      <c r="F164" s="12">
        <v>1</v>
      </c>
      <c r="G164" s="69" t="s">
        <v>914</v>
      </c>
      <c r="H164" s="63" t="s">
        <v>36</v>
      </c>
      <c r="I164" s="63"/>
      <c r="J164" s="3"/>
      <c r="K164" s="3"/>
      <c r="L164" s="3"/>
      <c r="M164" s="3"/>
      <c r="N164" s="3"/>
      <c r="O164" s="3"/>
      <c r="P164" s="3"/>
      <c r="Q164" s="3"/>
      <c r="R164" s="3"/>
      <c r="S164" s="3"/>
      <c r="T164" s="3"/>
      <c r="U164" s="3"/>
      <c r="V164" s="3"/>
      <c r="W164" s="44"/>
      <c r="X164" s="41"/>
      <c r="Y164" s="3"/>
      <c r="Z164" s="3"/>
    </row>
    <row r="165" spans="1:26" ht="14.4" hidden="1" outlineLevel="1" x14ac:dyDescent="0.3">
      <c r="A165" s="3"/>
      <c r="B165" s="10" t="s">
        <v>42</v>
      </c>
      <c r="C165" s="62"/>
      <c r="D165" s="62"/>
      <c r="E165" s="12">
        <v>0</v>
      </c>
      <c r="F165" s="12">
        <v>0</v>
      </c>
      <c r="G165" s="69"/>
      <c r="H165" s="63"/>
      <c r="I165" s="63"/>
      <c r="J165" s="3"/>
      <c r="K165" s="3"/>
      <c r="L165" s="3"/>
      <c r="M165" s="3"/>
      <c r="N165" s="3"/>
      <c r="O165" s="3"/>
      <c r="P165" s="3"/>
      <c r="Q165" s="3"/>
      <c r="R165" s="3"/>
      <c r="S165" s="3"/>
      <c r="T165" s="3"/>
      <c r="U165" s="3"/>
      <c r="V165" s="3"/>
      <c r="W165" s="44"/>
      <c r="X165" s="41"/>
      <c r="Y165" s="3"/>
      <c r="Z165" s="3"/>
    </row>
    <row r="166" spans="1:26" hidden="1" outlineLevel="1" x14ac:dyDescent="0.3">
      <c r="A166" s="3"/>
      <c r="B166" s="75" t="s">
        <v>61</v>
      </c>
      <c r="C166" s="76" t="s">
        <v>43</v>
      </c>
      <c r="D166" s="76" t="s">
        <v>43</v>
      </c>
      <c r="E166" s="77">
        <f>SUM(E167:E173)</f>
        <v>0</v>
      </c>
      <c r="F166" s="77">
        <f>SUMIF(D167:D174,"OK",F167:F174)</f>
        <v>50</v>
      </c>
      <c r="G166" s="78" t="s">
        <v>43</v>
      </c>
      <c r="H166" s="79"/>
      <c r="I166" s="79"/>
      <c r="J166" s="3"/>
      <c r="K166" s="3"/>
      <c r="L166" s="3"/>
      <c r="M166" s="3"/>
      <c r="N166" s="3"/>
      <c r="O166" s="3"/>
      <c r="P166" s="3"/>
      <c r="Q166" s="3"/>
      <c r="R166" s="3"/>
      <c r="S166" s="3"/>
      <c r="T166" s="3"/>
      <c r="U166" s="3"/>
      <c r="V166" s="3"/>
      <c r="W166" s="44"/>
      <c r="X166" s="41"/>
      <c r="Y166" s="3"/>
      <c r="Z166" s="3"/>
    </row>
    <row r="167" spans="1:26" ht="14.4" hidden="1" outlineLevel="1" x14ac:dyDescent="0.3">
      <c r="A167" s="3"/>
      <c r="B167" s="10" t="s">
        <v>722</v>
      </c>
      <c r="C167" s="80">
        <v>1</v>
      </c>
      <c r="D167" s="62" t="s">
        <v>94</v>
      </c>
      <c r="E167" s="12">
        <v>0</v>
      </c>
      <c r="F167" s="12">
        <v>50</v>
      </c>
      <c r="G167" s="70" t="s">
        <v>915</v>
      </c>
      <c r="H167" s="63" t="s">
        <v>37</v>
      </c>
      <c r="I167" s="63"/>
      <c r="J167" s="3"/>
      <c r="K167" s="3"/>
      <c r="L167" s="3"/>
      <c r="M167" s="3"/>
      <c r="N167" s="3"/>
      <c r="O167" s="3"/>
      <c r="P167" s="3"/>
      <c r="Q167" s="3"/>
      <c r="R167" s="3"/>
      <c r="S167" s="3"/>
      <c r="T167" s="3"/>
      <c r="U167" s="3"/>
      <c r="V167" s="3"/>
      <c r="W167" s="44"/>
      <c r="X167" s="41"/>
      <c r="Y167" s="3"/>
      <c r="Z167" s="3"/>
    </row>
    <row r="168" spans="1:26" ht="14.4" hidden="1" outlineLevel="1" x14ac:dyDescent="0.3">
      <c r="A168" s="3"/>
      <c r="B168" s="10" t="s">
        <v>42</v>
      </c>
      <c r="C168" s="80"/>
      <c r="D168" s="62"/>
      <c r="E168" s="12">
        <v>0</v>
      </c>
      <c r="F168" s="12">
        <v>0</v>
      </c>
      <c r="G168" s="70"/>
      <c r="H168" s="63"/>
      <c r="I168" s="63"/>
      <c r="J168" s="3"/>
      <c r="K168" s="3"/>
      <c r="L168" s="3"/>
      <c r="M168" s="3"/>
      <c r="N168" s="3"/>
      <c r="O168" s="3"/>
      <c r="P168" s="3"/>
      <c r="Q168" s="3"/>
      <c r="R168" s="3"/>
      <c r="S168" s="3"/>
      <c r="T168" s="3"/>
      <c r="U168" s="3"/>
      <c r="V168" s="3"/>
      <c r="W168" s="44"/>
      <c r="X168" s="41"/>
      <c r="Y168" s="3"/>
      <c r="Z168" s="3"/>
    </row>
    <row r="169" spans="1:26" ht="14.4" hidden="1" outlineLevel="1" x14ac:dyDescent="0.3">
      <c r="A169" s="3"/>
      <c r="B169" s="10" t="s">
        <v>42</v>
      </c>
      <c r="C169" s="62"/>
      <c r="D169" s="62"/>
      <c r="E169" s="12">
        <v>0</v>
      </c>
      <c r="F169" s="12">
        <v>0</v>
      </c>
      <c r="G169" s="69"/>
      <c r="H169" s="63"/>
      <c r="I169" s="63"/>
      <c r="J169" s="3"/>
      <c r="K169" s="3"/>
      <c r="L169" s="3"/>
      <c r="M169" s="3"/>
      <c r="N169" s="3"/>
      <c r="O169" s="3"/>
      <c r="P169" s="3"/>
      <c r="Q169" s="3"/>
      <c r="R169" s="3"/>
      <c r="S169" s="3"/>
      <c r="T169" s="3"/>
      <c r="U169" s="3"/>
      <c r="V169" s="3"/>
      <c r="W169" s="44"/>
      <c r="X169" s="41"/>
      <c r="Y169" s="3"/>
      <c r="Z169" s="3"/>
    </row>
    <row r="170" spans="1:26" ht="14.4" hidden="1" outlineLevel="1" x14ac:dyDescent="0.3">
      <c r="A170" s="3"/>
      <c r="B170" s="10" t="s">
        <v>42</v>
      </c>
      <c r="C170" s="62"/>
      <c r="D170" s="62"/>
      <c r="E170" s="12">
        <v>0</v>
      </c>
      <c r="F170" s="12">
        <v>0</v>
      </c>
      <c r="G170" s="69"/>
      <c r="H170" s="63"/>
      <c r="I170" s="63"/>
      <c r="J170" s="3"/>
      <c r="K170" s="3"/>
      <c r="L170" s="3"/>
      <c r="M170" s="3"/>
      <c r="N170" s="3"/>
      <c r="O170" s="3"/>
      <c r="P170" s="3"/>
      <c r="Q170" s="3"/>
      <c r="R170" s="3"/>
      <c r="S170" s="3"/>
      <c r="T170" s="3"/>
      <c r="U170" s="3"/>
      <c r="V170" s="3"/>
      <c r="W170" s="44"/>
      <c r="X170" s="41"/>
      <c r="Y170" s="3"/>
      <c r="Z170" s="3"/>
    </row>
    <row r="171" spans="1:26" ht="14.4" hidden="1" outlineLevel="1" x14ac:dyDescent="0.3">
      <c r="A171" s="3"/>
      <c r="B171" s="10" t="s">
        <v>42</v>
      </c>
      <c r="C171" s="62"/>
      <c r="D171" s="62"/>
      <c r="E171" s="12">
        <v>0</v>
      </c>
      <c r="F171" s="12">
        <v>0</v>
      </c>
      <c r="G171" s="69"/>
      <c r="H171" s="63"/>
      <c r="I171" s="63"/>
      <c r="J171" s="3"/>
      <c r="K171" s="3"/>
      <c r="L171" s="3"/>
      <c r="M171" s="3"/>
      <c r="N171" s="3"/>
      <c r="O171" s="3"/>
      <c r="P171" s="3"/>
      <c r="Q171" s="3"/>
      <c r="R171" s="3"/>
      <c r="S171" s="3"/>
      <c r="T171" s="3"/>
      <c r="U171" s="3"/>
      <c r="V171" s="3"/>
      <c r="W171" s="44"/>
      <c r="X171" s="41"/>
      <c r="Y171" s="3"/>
      <c r="Z171" s="3"/>
    </row>
    <row r="172" spans="1:26" ht="14.4" hidden="1" outlineLevel="1" x14ac:dyDescent="0.3">
      <c r="A172" s="3"/>
      <c r="B172" s="10" t="s">
        <v>42</v>
      </c>
      <c r="C172" s="62"/>
      <c r="D172" s="62"/>
      <c r="E172" s="12">
        <v>0</v>
      </c>
      <c r="F172" s="12">
        <v>0</v>
      </c>
      <c r="G172" s="69"/>
      <c r="H172" s="63"/>
      <c r="I172" s="63"/>
      <c r="J172" s="3"/>
      <c r="K172" s="3"/>
      <c r="L172" s="3"/>
      <c r="M172" s="3"/>
      <c r="N172" s="3"/>
      <c r="O172" s="3"/>
      <c r="P172" s="3"/>
      <c r="Q172" s="3"/>
      <c r="R172" s="3"/>
      <c r="S172" s="3"/>
      <c r="T172" s="3"/>
      <c r="U172" s="3"/>
      <c r="V172" s="3"/>
      <c r="W172" s="44"/>
      <c r="X172" s="41"/>
      <c r="Y172" s="3"/>
      <c r="Z172" s="3"/>
    </row>
    <row r="173" spans="1:26" ht="14.4" hidden="1" outlineLevel="1" x14ac:dyDescent="0.3">
      <c r="A173" s="3"/>
      <c r="B173" s="10" t="s">
        <v>42</v>
      </c>
      <c r="C173" s="62"/>
      <c r="D173" s="62"/>
      <c r="E173" s="12">
        <v>0</v>
      </c>
      <c r="F173" s="12">
        <v>0</v>
      </c>
      <c r="G173" s="69"/>
      <c r="H173" s="63"/>
      <c r="I173" s="63"/>
      <c r="J173" s="3"/>
      <c r="K173" s="3"/>
      <c r="L173" s="3"/>
      <c r="M173" s="3"/>
      <c r="N173" s="3"/>
      <c r="O173" s="3"/>
      <c r="P173" s="3"/>
      <c r="Q173" s="3"/>
      <c r="R173" s="3"/>
      <c r="S173" s="3"/>
      <c r="T173" s="3"/>
      <c r="U173" s="3"/>
      <c r="V173" s="3"/>
      <c r="W173" s="44"/>
      <c r="X173" s="41"/>
      <c r="Y173" s="3"/>
      <c r="Z173" s="3"/>
    </row>
    <row r="174" spans="1:26" ht="14.4" hidden="1" outlineLevel="1" x14ac:dyDescent="0.3">
      <c r="A174" s="3"/>
      <c r="B174" s="10" t="s">
        <v>42</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row>
    <row r="175" spans="1:26" ht="20.399999999999999" collapsed="1" x14ac:dyDescent="0.3">
      <c r="A175" s="3"/>
      <c r="B175" s="73" t="s">
        <v>63</v>
      </c>
      <c r="C175" s="56" t="s">
        <v>43</v>
      </c>
      <c r="D175" s="56" t="s">
        <v>43</v>
      </c>
      <c r="E175" s="57">
        <f>SUM(E176:E178)</f>
        <v>0</v>
      </c>
      <c r="F175" s="57">
        <f>SUMIF(D176:D178,"OK",F176:F178)</f>
        <v>0</v>
      </c>
      <c r="G175" s="58" t="s">
        <v>43</v>
      </c>
      <c r="H175" s="74"/>
      <c r="I175" s="74"/>
      <c r="J175" s="3"/>
      <c r="K175" s="3"/>
      <c r="L175" s="3"/>
      <c r="M175" s="3"/>
      <c r="N175" s="3"/>
      <c r="O175" s="3"/>
      <c r="P175" s="3"/>
      <c r="Q175" s="3"/>
      <c r="R175" s="3"/>
      <c r="S175" s="3"/>
      <c r="T175" s="3"/>
      <c r="U175" s="3"/>
      <c r="V175" s="3"/>
      <c r="W175" s="44"/>
      <c r="X175" s="41"/>
      <c r="Y175" s="3"/>
      <c r="Z175" s="3"/>
    </row>
    <row r="176" spans="1:26" ht="14.4" hidden="1" outlineLevel="1" x14ac:dyDescent="0.3">
      <c r="A176" s="3"/>
      <c r="B176" s="10" t="s">
        <v>63</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4.4" hidden="1" outlineLevel="1" x14ac:dyDescent="0.3">
      <c r="A177" s="3"/>
      <c r="B177" s="10" t="s">
        <v>63</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4.4" hidden="1" outlineLevel="1" x14ac:dyDescent="0.3">
      <c r="A178" s="3"/>
      <c r="B178" s="10" t="s">
        <v>63</v>
      </c>
      <c r="C178" s="62"/>
      <c r="D178" s="62"/>
      <c r="E178" s="12">
        <v>0</v>
      </c>
      <c r="F178" s="12">
        <v>0</v>
      </c>
      <c r="G178" s="67"/>
      <c r="H178" s="63"/>
      <c r="I178" s="63"/>
      <c r="J178" s="3"/>
      <c r="K178" s="3"/>
      <c r="L178" s="3"/>
      <c r="M178" s="3"/>
      <c r="N178" s="3"/>
      <c r="O178" s="3"/>
      <c r="P178" s="3"/>
      <c r="Q178" s="3"/>
      <c r="R178" s="3"/>
      <c r="S178" s="3"/>
      <c r="T178" s="3"/>
      <c r="U178" s="3"/>
      <c r="V178" s="3"/>
      <c r="W178" s="44"/>
      <c r="X178" s="41"/>
      <c r="Y178" s="3"/>
      <c r="Z178" s="3"/>
    </row>
    <row r="179" spans="1:26" ht="20.399999999999999" collapsed="1" x14ac:dyDescent="0.3">
      <c r="A179" s="3"/>
      <c r="B179" s="73" t="s">
        <v>259</v>
      </c>
      <c r="C179" s="56" t="s">
        <v>43</v>
      </c>
      <c r="D179" s="56" t="s">
        <v>43</v>
      </c>
      <c r="E179" s="57">
        <f>SUM(E180:E186)</f>
        <v>0</v>
      </c>
      <c r="F179" s="57">
        <f>SUMIF(D180:D186,"OK",F180:F186)</f>
        <v>5.16</v>
      </c>
      <c r="G179" s="58" t="s">
        <v>43</v>
      </c>
      <c r="H179" s="74"/>
      <c r="I179" s="74"/>
      <c r="J179" s="3"/>
      <c r="K179" s="3"/>
      <c r="L179" s="3"/>
      <c r="M179" s="3"/>
      <c r="N179" s="3"/>
      <c r="O179" s="3"/>
      <c r="P179" s="3"/>
      <c r="Q179" s="3"/>
      <c r="R179" s="3"/>
      <c r="S179" s="3"/>
      <c r="T179" s="3"/>
      <c r="U179" s="3"/>
      <c r="V179" s="3"/>
      <c r="W179" s="44"/>
      <c r="X179" s="41"/>
      <c r="Y179" s="3"/>
      <c r="Z179" s="3"/>
    </row>
    <row r="180" spans="1:26" ht="15.75" hidden="1" customHeight="1" outlineLevel="1" x14ac:dyDescent="0.3">
      <c r="A180" s="3"/>
      <c r="B180" s="10" t="s">
        <v>260</v>
      </c>
      <c r="C180" s="62"/>
      <c r="D180" s="62"/>
      <c r="E180" s="12">
        <v>0</v>
      </c>
      <c r="F180" s="12">
        <v>0</v>
      </c>
      <c r="G180" s="67"/>
      <c r="H180" s="63" t="s">
        <v>37</v>
      </c>
      <c r="I180" s="63"/>
      <c r="J180" s="3"/>
      <c r="K180" s="3"/>
      <c r="L180" s="3"/>
      <c r="M180" s="3"/>
      <c r="N180" s="3"/>
      <c r="O180" s="3"/>
      <c r="P180" s="3"/>
      <c r="Q180" s="3"/>
      <c r="R180" s="3"/>
      <c r="S180" s="3"/>
      <c r="T180" s="3"/>
      <c r="U180" s="3"/>
      <c r="V180" s="3"/>
      <c r="W180" s="44"/>
      <c r="X180" s="41"/>
      <c r="Y180" s="3"/>
      <c r="Z180" s="3"/>
    </row>
    <row r="181" spans="1:26" ht="15.75" hidden="1" customHeight="1" outlineLevel="1" x14ac:dyDescent="0.3">
      <c r="A181" s="3"/>
      <c r="B181" s="10" t="s">
        <v>261</v>
      </c>
      <c r="C181" s="62" t="s">
        <v>713</v>
      </c>
      <c r="D181" s="62" t="s">
        <v>94</v>
      </c>
      <c r="E181" s="12">
        <v>0</v>
      </c>
      <c r="F181" s="12">
        <f>0.55+4.08+0.53</f>
        <v>5.16</v>
      </c>
      <c r="G181" s="69"/>
      <c r="H181" s="63" t="s">
        <v>38</v>
      </c>
      <c r="I181" s="63"/>
      <c r="J181" s="3"/>
      <c r="K181" s="3"/>
      <c r="L181" s="3"/>
      <c r="M181" s="3"/>
      <c r="N181" s="3"/>
      <c r="O181" s="3"/>
      <c r="P181" s="3"/>
      <c r="Q181" s="3"/>
      <c r="R181" s="3"/>
      <c r="S181" s="3"/>
      <c r="T181" s="3"/>
      <c r="U181" s="3"/>
      <c r="V181" s="3"/>
      <c r="W181" s="44"/>
      <c r="X181" s="41"/>
      <c r="Y181" s="3"/>
      <c r="Z181" s="3"/>
    </row>
    <row r="182" spans="1:26" ht="15.75" hidden="1" customHeight="1" outlineLevel="1" x14ac:dyDescent="0.3">
      <c r="A182" s="3"/>
      <c r="B182" s="10" t="s">
        <v>263</v>
      </c>
      <c r="C182" s="62"/>
      <c r="D182" s="62"/>
      <c r="E182" s="12">
        <v>0</v>
      </c>
      <c r="F182" s="12">
        <v>0</v>
      </c>
      <c r="G182" s="67"/>
      <c r="H182" s="63" t="s">
        <v>234</v>
      </c>
      <c r="I182" s="63"/>
      <c r="J182" s="3"/>
      <c r="K182" s="3"/>
      <c r="L182" s="3"/>
      <c r="M182" s="3"/>
      <c r="N182" s="3"/>
      <c r="O182" s="3"/>
      <c r="P182" s="3"/>
      <c r="Q182" s="3"/>
      <c r="R182" s="3"/>
      <c r="S182" s="3"/>
      <c r="T182" s="3"/>
      <c r="U182" s="3"/>
      <c r="V182" s="3"/>
      <c r="W182" s="44"/>
      <c r="X182" s="41"/>
      <c r="Y182" s="3"/>
      <c r="Z182" s="3"/>
    </row>
    <row r="183" spans="1:26" ht="15.75" hidden="1" customHeight="1" outlineLevel="1" x14ac:dyDescent="0.3">
      <c r="A183" s="3"/>
      <c r="B183" s="10" t="s">
        <v>264</v>
      </c>
      <c r="C183" s="62"/>
      <c r="D183" s="62"/>
      <c r="E183" s="12">
        <v>0</v>
      </c>
      <c r="F183" s="12">
        <v>0</v>
      </c>
      <c r="G183" s="67"/>
      <c r="H183" s="63" t="s">
        <v>265</v>
      </c>
      <c r="I183" s="63"/>
      <c r="J183" s="3"/>
      <c r="K183" s="3"/>
      <c r="L183" s="3"/>
      <c r="M183" s="3"/>
      <c r="N183" s="3"/>
      <c r="O183" s="3"/>
      <c r="P183" s="3"/>
      <c r="Q183" s="3"/>
      <c r="R183" s="3"/>
      <c r="S183" s="3"/>
      <c r="T183" s="3"/>
      <c r="U183" s="3"/>
      <c r="V183" s="3"/>
      <c r="W183" s="44"/>
      <c r="X183" s="41"/>
      <c r="Y183" s="3"/>
      <c r="Z183" s="3"/>
    </row>
    <row r="184" spans="1:26" ht="15.75" hidden="1" customHeight="1" outlineLevel="1" x14ac:dyDescent="0.3">
      <c r="A184" s="3"/>
      <c r="B184" s="10" t="s">
        <v>551</v>
      </c>
      <c r="C184" s="62"/>
      <c r="D184" s="62"/>
      <c r="E184" s="12">
        <v>0</v>
      </c>
      <c r="F184" s="12">
        <v>0</v>
      </c>
      <c r="G184" s="67"/>
      <c r="H184" s="63" t="s">
        <v>39</v>
      </c>
      <c r="I184" s="63"/>
      <c r="J184" s="3"/>
      <c r="K184" s="3"/>
      <c r="L184" s="3"/>
      <c r="M184" s="3"/>
      <c r="N184" s="3"/>
      <c r="O184" s="3"/>
      <c r="P184" s="3"/>
      <c r="Q184" s="3"/>
      <c r="R184" s="3"/>
      <c r="S184" s="3"/>
      <c r="T184" s="3"/>
      <c r="U184" s="3"/>
      <c r="V184" s="3"/>
      <c r="W184" s="44"/>
      <c r="X184" s="41"/>
      <c r="Y184" s="3"/>
      <c r="Z184" s="3"/>
    </row>
    <row r="185" spans="1:26" ht="15.75" hidden="1" customHeight="1" outlineLevel="1" x14ac:dyDescent="0.3">
      <c r="A185" s="3"/>
      <c r="B185" s="10" t="s">
        <v>916</v>
      </c>
      <c r="C185" s="62"/>
      <c r="D185" s="62"/>
      <c r="E185" s="12">
        <v>0</v>
      </c>
      <c r="F185" s="12">
        <v>0</v>
      </c>
      <c r="G185" s="67"/>
      <c r="H185" s="63"/>
      <c r="I185" s="63"/>
      <c r="J185" s="3"/>
      <c r="K185" s="3"/>
      <c r="L185" s="3"/>
      <c r="M185" s="3"/>
      <c r="N185" s="3"/>
      <c r="O185" s="3"/>
      <c r="P185" s="3"/>
      <c r="Q185" s="3"/>
      <c r="R185" s="3"/>
      <c r="S185" s="3"/>
      <c r="T185" s="3"/>
      <c r="U185" s="3"/>
      <c r="V185" s="3"/>
      <c r="W185" s="44"/>
      <c r="X185" s="41"/>
      <c r="Y185" s="3"/>
      <c r="Z185" s="3"/>
    </row>
    <row r="186" spans="1:26" ht="15.75" hidden="1" customHeight="1" outlineLevel="1" x14ac:dyDescent="0.3">
      <c r="A186" s="3"/>
      <c r="B186" s="10" t="s">
        <v>916</v>
      </c>
      <c r="C186" s="62"/>
      <c r="D186" s="62"/>
      <c r="E186" s="12">
        <v>0</v>
      </c>
      <c r="F186" s="12">
        <v>0</v>
      </c>
      <c r="G186" s="67"/>
      <c r="H186" s="63"/>
      <c r="I186" s="63"/>
      <c r="J186" s="3"/>
      <c r="K186" s="3"/>
      <c r="L186" s="3"/>
      <c r="M186" s="3"/>
      <c r="N186" s="3"/>
      <c r="O186" s="3"/>
      <c r="P186" s="3"/>
      <c r="Q186" s="3"/>
      <c r="R186" s="3"/>
      <c r="S186" s="3"/>
      <c r="T186" s="3"/>
      <c r="U186" s="3"/>
      <c r="V186" s="3"/>
      <c r="W186" s="44"/>
      <c r="X186" s="41"/>
      <c r="Y186" s="3"/>
      <c r="Z186" s="3"/>
    </row>
    <row r="187" spans="1:26" ht="15.75" customHeight="1" collapsed="1" x14ac:dyDescent="0.3">
      <c r="A187" s="3"/>
      <c r="B187" s="3"/>
      <c r="C187" s="37"/>
      <c r="D187" s="37"/>
      <c r="E187" s="37"/>
      <c r="F187" s="37"/>
      <c r="G187" s="123"/>
      <c r="H187" s="37"/>
      <c r="I187" s="37"/>
      <c r="J187" s="37"/>
      <c r="K187" s="37"/>
      <c r="L187" s="37"/>
      <c r="M187" s="37"/>
      <c r="N187" s="37"/>
      <c r="O187" s="37"/>
      <c r="P187" s="37"/>
      <c r="Q187" s="37"/>
      <c r="R187" s="37"/>
      <c r="S187" s="37"/>
      <c r="T187" s="37"/>
      <c r="U187" s="37"/>
      <c r="V187" s="37"/>
      <c r="W187" s="44"/>
      <c r="X187" s="41"/>
    </row>
    <row r="188" spans="1:26" ht="15.75" customHeight="1" x14ac:dyDescent="0.3">
      <c r="A188" s="3"/>
      <c r="B188" s="3"/>
      <c r="C188" s="37"/>
      <c r="D188" s="37"/>
      <c r="E188" s="37"/>
      <c r="F188" s="111"/>
      <c r="G188" s="123"/>
      <c r="H188" s="37"/>
      <c r="I188" s="37"/>
      <c r="J188" s="37"/>
      <c r="K188" s="37"/>
      <c r="L188" s="37"/>
      <c r="M188" s="37"/>
      <c r="N188" s="37"/>
      <c r="O188" s="37"/>
      <c r="P188" s="37"/>
      <c r="Q188" s="37"/>
      <c r="R188" s="37"/>
      <c r="S188" s="37"/>
      <c r="T188" s="37"/>
      <c r="U188" s="37"/>
      <c r="V188" s="37"/>
      <c r="W188" s="44"/>
      <c r="X188" s="41"/>
    </row>
    <row r="189" spans="1:26" ht="15.75" customHeight="1" x14ac:dyDescent="0.3">
      <c r="A189" s="3"/>
      <c r="B189" s="3"/>
      <c r="C189" s="37"/>
      <c r="D189" s="37"/>
      <c r="E189" s="37"/>
      <c r="F189" s="37"/>
      <c r="G189" s="123"/>
      <c r="H189" s="37"/>
      <c r="I189" s="37"/>
      <c r="J189" s="37"/>
      <c r="K189" s="37"/>
      <c r="L189" s="37"/>
      <c r="M189" s="37"/>
      <c r="N189" s="37"/>
      <c r="O189" s="37"/>
      <c r="P189" s="37"/>
      <c r="Q189" s="37"/>
      <c r="R189" s="37"/>
      <c r="S189" s="37"/>
      <c r="T189" s="37"/>
      <c r="U189" s="37"/>
      <c r="V189" s="37"/>
      <c r="W189" s="44"/>
      <c r="X189" s="41"/>
    </row>
    <row r="190" spans="1:26" ht="15.75" customHeight="1" x14ac:dyDescent="0.3">
      <c r="A190" s="3"/>
      <c r="B190" s="3"/>
      <c r="C190" s="37"/>
      <c r="D190" s="37"/>
      <c r="E190" s="37"/>
      <c r="F190" s="37"/>
      <c r="G190" s="123"/>
      <c r="H190" s="37"/>
      <c r="I190" s="37"/>
      <c r="J190" s="37"/>
      <c r="K190" s="37"/>
      <c r="L190" s="37"/>
      <c r="M190" s="37"/>
      <c r="N190" s="37"/>
      <c r="O190" s="37"/>
      <c r="P190" s="37"/>
      <c r="Q190" s="37"/>
      <c r="R190" s="37"/>
      <c r="S190" s="37"/>
      <c r="T190" s="37"/>
      <c r="U190" s="37"/>
      <c r="V190" s="37"/>
      <c r="W190" s="44"/>
      <c r="X190" s="41"/>
    </row>
    <row r="191" spans="1:26" ht="15.75" customHeight="1" x14ac:dyDescent="0.3">
      <c r="A191" s="3"/>
      <c r="B191" s="3"/>
      <c r="C191" s="37"/>
      <c r="D191" s="37"/>
      <c r="E191" s="37"/>
      <c r="F191" s="37"/>
      <c r="G191" s="123"/>
      <c r="H191" s="37"/>
      <c r="I191" s="37"/>
      <c r="J191" s="37"/>
      <c r="K191" s="37"/>
      <c r="L191" s="37"/>
      <c r="M191" s="37"/>
      <c r="N191" s="37"/>
      <c r="O191" s="37"/>
      <c r="P191" s="37"/>
      <c r="Q191" s="37"/>
      <c r="R191" s="37"/>
      <c r="S191" s="37"/>
      <c r="T191" s="37"/>
      <c r="U191" s="37"/>
      <c r="V191" s="37"/>
      <c r="W191" s="44"/>
      <c r="X191" s="41"/>
    </row>
    <row r="192" spans="1:26" ht="15.75" customHeight="1" x14ac:dyDescent="0.3">
      <c r="A192" s="3"/>
      <c r="B192" s="3"/>
      <c r="C192" s="37"/>
      <c r="D192" s="37"/>
      <c r="E192" s="37"/>
      <c r="F192" s="37"/>
      <c r="G192" s="123"/>
      <c r="H192" s="37"/>
      <c r="I192" s="37"/>
      <c r="J192" s="37"/>
      <c r="K192" s="37"/>
      <c r="L192" s="37"/>
      <c r="M192" s="37"/>
      <c r="N192" s="37"/>
      <c r="O192" s="37"/>
      <c r="P192" s="37"/>
      <c r="Q192" s="37"/>
      <c r="R192" s="37"/>
      <c r="S192" s="37"/>
      <c r="T192" s="37"/>
      <c r="U192" s="37"/>
      <c r="V192" s="37"/>
      <c r="W192" s="44"/>
      <c r="X192" s="41"/>
    </row>
    <row r="193" spans="1:24" ht="15.75" customHeight="1" x14ac:dyDescent="0.3">
      <c r="A193" s="3"/>
      <c r="B193" s="3"/>
      <c r="C193" s="37"/>
      <c r="D193" s="37"/>
      <c r="E193" s="37"/>
      <c r="F193" s="37"/>
      <c r="G193" s="123"/>
      <c r="H193" s="37"/>
      <c r="I193" s="37"/>
      <c r="J193" s="37"/>
      <c r="K193" s="37"/>
      <c r="L193" s="37"/>
      <c r="M193" s="37"/>
      <c r="N193" s="37"/>
      <c r="O193" s="37"/>
      <c r="P193" s="37"/>
      <c r="Q193" s="37"/>
      <c r="R193" s="37"/>
      <c r="S193" s="37"/>
      <c r="T193" s="37"/>
      <c r="U193" s="37"/>
      <c r="V193" s="37"/>
      <c r="W193" s="44"/>
      <c r="X193" s="41"/>
    </row>
    <row r="194" spans="1:24" ht="15.75" customHeight="1" x14ac:dyDescent="0.3">
      <c r="A194" s="3"/>
      <c r="B194" s="3"/>
      <c r="C194" s="37"/>
      <c r="D194" s="37"/>
      <c r="E194" s="37"/>
      <c r="F194" s="37"/>
      <c r="G194" s="123"/>
      <c r="H194" s="37"/>
      <c r="I194" s="37"/>
      <c r="J194" s="37"/>
      <c r="K194" s="37"/>
      <c r="L194" s="37"/>
      <c r="M194" s="37"/>
      <c r="N194" s="37"/>
      <c r="O194" s="37"/>
      <c r="P194" s="37"/>
      <c r="Q194" s="37"/>
      <c r="R194" s="37"/>
      <c r="S194" s="37"/>
      <c r="T194" s="37"/>
      <c r="U194" s="37"/>
      <c r="V194" s="37"/>
      <c r="W194" s="44"/>
      <c r="X194" s="41"/>
    </row>
    <row r="195" spans="1:24" ht="15.75" customHeight="1" x14ac:dyDescent="0.3">
      <c r="A195" s="3"/>
      <c r="B195" s="3"/>
      <c r="C195" s="37"/>
      <c r="D195" s="37"/>
      <c r="E195" s="37"/>
      <c r="F195" s="37"/>
      <c r="G195" s="123"/>
      <c r="H195" s="37"/>
      <c r="I195" s="37"/>
      <c r="J195" s="37"/>
      <c r="K195" s="37"/>
      <c r="L195" s="37"/>
      <c r="M195" s="37"/>
      <c r="N195" s="37"/>
      <c r="O195" s="37"/>
      <c r="P195" s="37"/>
      <c r="Q195" s="37"/>
      <c r="R195" s="37"/>
      <c r="S195" s="37"/>
      <c r="T195" s="37"/>
      <c r="U195" s="37"/>
      <c r="V195" s="37"/>
      <c r="W195" s="44"/>
      <c r="X195" s="41"/>
    </row>
    <row r="196" spans="1:24" ht="15.75" customHeight="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4" ht="15.75" customHeight="1" x14ac:dyDescent="0.3">
      <c r="A197" s="3"/>
      <c r="B197" s="3"/>
      <c r="C197" s="37"/>
      <c r="D197" s="37"/>
      <c r="E197" s="37"/>
      <c r="F197" s="37"/>
      <c r="G197" s="123"/>
      <c r="H197" s="37"/>
      <c r="I197" s="37"/>
      <c r="J197" s="37"/>
      <c r="K197" s="37"/>
      <c r="L197" s="37"/>
      <c r="M197" s="37"/>
      <c r="N197" s="37"/>
      <c r="O197" s="37"/>
      <c r="P197" s="37"/>
      <c r="Q197" s="37"/>
      <c r="R197" s="37"/>
      <c r="S197" s="37"/>
      <c r="T197" s="37"/>
      <c r="U197" s="37"/>
      <c r="V197" s="37"/>
      <c r="W197" s="44"/>
      <c r="X197" s="41"/>
    </row>
    <row r="198" spans="1:24"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4"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4"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4"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4"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4"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4"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4"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4"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4"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4"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row r="388" spans="1:24" ht="15.75" customHeight="1" x14ac:dyDescent="0.3"/>
    <row r="389" spans="1:24" ht="15.75" customHeight="1" x14ac:dyDescent="0.3"/>
    <row r="390" spans="1:24" ht="15.75" customHeight="1" x14ac:dyDescent="0.3"/>
    <row r="391" spans="1:24" ht="15.75" customHeight="1" x14ac:dyDescent="0.3"/>
    <row r="392" spans="1:24" ht="15.75" customHeight="1" x14ac:dyDescent="0.3"/>
    <row r="393" spans="1:24" ht="15.75" customHeight="1" x14ac:dyDescent="0.3"/>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86" xr:uid="{00000000-0009-0000-0000-00000B000000}"/>
  <mergeCells count="6">
    <mergeCell ref="G15:G16"/>
    <mergeCell ref="B2:B3"/>
    <mergeCell ref="B4:B5"/>
    <mergeCell ref="H4:H5"/>
    <mergeCell ref="I4:I5"/>
    <mergeCell ref="G7:G10"/>
  </mergeCells>
  <conditionalFormatting sqref="W6:W126">
    <cfRule type="cellIs" dxfId="27" priority="1" operator="equal">
      <formula>"Diferente"</formula>
    </cfRule>
    <cfRule type="cellIs" dxfId="26" priority="2" operator="equal">
      <formula>"OK"</formula>
    </cfRule>
  </conditionalFormatting>
  <dataValidations count="1">
    <dataValidation type="list" allowBlank="1" showErrorMessage="1" sqref="D7:D126 D129:D130 D132:D134 D136:D139 D141:D146 D148:D150 D153:D156 D158:D161 D163:D165 D167:D174 D176:D178 D180:D186" xr:uid="{00000000-0002-0000-0B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'Plano de contas DG'!$C$5:$C$38</xm:f>
          </x14:formula1>
          <xm:sqref>I6:I186</xm:sqref>
        </x14:dataValidation>
        <x14:dataValidation type="list" allowBlank="1" showErrorMessage="1" xr:uid="{00000000-0002-0000-0B00-000001000000}">
          <x14:formula1>
            <xm:f>Caixa!$B$5:$B$8</xm:f>
          </x14:formula1>
          <xm:sqref>H7:H126 H129:H130 H132:H134 H136:H139 H141:H146 H148:H150 H153:H156 H158:H161 H163:H165 H167:H174 H176:H178 H180:H186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Z1014"/>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2"/>
      <c r="H2" s="82"/>
      <c r="I2" s="83"/>
      <c r="J2" s="82"/>
      <c r="K2" s="37"/>
      <c r="L2" s="37"/>
      <c r="M2" s="37"/>
      <c r="N2" s="37"/>
      <c r="O2" s="37"/>
      <c r="P2" s="37"/>
      <c r="Q2" s="37"/>
      <c r="R2" s="37"/>
      <c r="S2" s="37"/>
      <c r="T2" s="37"/>
      <c r="U2" s="3"/>
    </row>
    <row r="3" spans="1:26" ht="14.4" x14ac:dyDescent="0.3">
      <c r="A3" s="3"/>
      <c r="B3" s="206"/>
      <c r="C3" s="240"/>
      <c r="D3" s="241"/>
      <c r="E3" s="241"/>
      <c r="F3" s="242"/>
      <c r="G3" s="82"/>
      <c r="H3" s="82"/>
      <c r="I3" s="83"/>
      <c r="J3" s="82"/>
      <c r="K3" s="37"/>
      <c r="L3" s="37"/>
      <c r="M3" s="37"/>
      <c r="N3" s="37"/>
      <c r="O3" s="37"/>
      <c r="P3" s="37"/>
      <c r="Q3" s="37"/>
      <c r="R3" s="37"/>
      <c r="S3" s="37"/>
      <c r="T3" s="37"/>
      <c r="U3" s="3"/>
    </row>
    <row r="4" spans="1:26" ht="14.4" x14ac:dyDescent="0.3">
      <c r="A4" s="3"/>
      <c r="B4" s="227" t="s">
        <v>73</v>
      </c>
      <c r="C4" s="48" t="s">
        <v>43</v>
      </c>
      <c r="D4" s="48" t="s">
        <v>43</v>
      </c>
      <c r="E4" s="26">
        <f>SUBTOTAL(9,E16,E63,E38,E146,E173,E179,E93,E6,E34,E235,E276,E185,E195,E205,E215,E225,E119)</f>
        <v>28</v>
      </c>
      <c r="F4" s="26">
        <f>SUBTOTAL(9,F16,F63,F38,F136,F146,F173,F179,F93,F6,F34,F235,F276,F185,F195,F205,F215,F225,F119)</f>
        <v>29007.510000000002</v>
      </c>
      <c r="G4" s="48" t="s">
        <v>43</v>
      </c>
      <c r="H4" s="237" t="s">
        <v>1</v>
      </c>
      <c r="I4" s="243" t="s">
        <v>270</v>
      </c>
      <c r="J4" s="237" t="s">
        <v>74</v>
      </c>
      <c r="K4" s="37"/>
      <c r="L4" s="37"/>
      <c r="M4" s="37"/>
      <c r="N4" s="37"/>
      <c r="O4" s="37"/>
      <c r="P4" s="37"/>
      <c r="Q4" s="37"/>
      <c r="R4" s="37"/>
      <c r="S4" s="37"/>
      <c r="T4" s="37"/>
      <c r="U4" s="3"/>
      <c r="W4" s="3"/>
      <c r="X4" s="3"/>
      <c r="Y4" s="3"/>
      <c r="Z4" s="3"/>
    </row>
    <row r="5" spans="1:26" ht="14.4"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900.44</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v>2</v>
      </c>
      <c r="D7" s="62" t="s">
        <v>94</v>
      </c>
      <c r="E7" s="12">
        <v>0</v>
      </c>
      <c r="F7" s="12">
        <v>419.99</v>
      </c>
      <c r="G7" s="89"/>
      <c r="H7" s="65" t="s">
        <v>37</v>
      </c>
      <c r="I7" s="112" t="s">
        <v>917</v>
      </c>
      <c r="J7" s="65"/>
      <c r="K7" s="37"/>
      <c r="L7" s="37"/>
      <c r="M7" s="37"/>
      <c r="N7" s="37"/>
      <c r="O7" s="37"/>
      <c r="P7" s="37"/>
      <c r="Q7" s="37"/>
      <c r="R7" s="37"/>
      <c r="S7" s="37"/>
      <c r="T7" s="37"/>
      <c r="U7" s="3"/>
      <c r="W7" s="3"/>
      <c r="X7" s="3"/>
      <c r="Y7" s="3"/>
      <c r="Z7" s="3"/>
    </row>
    <row r="8" spans="1:26" ht="14.4" hidden="1" outlineLevel="1" x14ac:dyDescent="0.3">
      <c r="A8" s="3"/>
      <c r="B8" s="10" t="s">
        <v>277</v>
      </c>
      <c r="C8" s="62"/>
      <c r="D8" s="62"/>
      <c r="E8" s="12">
        <v>0</v>
      </c>
      <c r="F8" s="12">
        <v>0</v>
      </c>
      <c r="G8" s="65"/>
      <c r="H8" s="65"/>
      <c r="I8" s="89"/>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65"/>
      <c r="H9" s="65"/>
      <c r="I9" s="112"/>
      <c r="J9" s="65"/>
      <c r="K9" s="37"/>
      <c r="L9" s="37"/>
      <c r="M9" s="37"/>
      <c r="N9" s="37"/>
      <c r="O9" s="37"/>
      <c r="P9" s="37"/>
      <c r="Q9" s="37"/>
      <c r="R9" s="37"/>
      <c r="S9" s="37"/>
      <c r="T9" s="37"/>
      <c r="U9" s="3"/>
      <c r="W9" s="3"/>
      <c r="X9" s="3"/>
      <c r="Y9" s="3"/>
      <c r="Z9" s="3"/>
    </row>
    <row r="10" spans="1:26" ht="14.4" hidden="1" outlineLevel="1" x14ac:dyDescent="0.3">
      <c r="A10" s="3"/>
      <c r="B10" s="10" t="s">
        <v>281</v>
      </c>
      <c r="C10" s="62">
        <v>10</v>
      </c>
      <c r="D10" s="62" t="s">
        <v>94</v>
      </c>
      <c r="E10" s="12">
        <v>0</v>
      </c>
      <c r="F10" s="12">
        <v>306.18</v>
      </c>
      <c r="G10" s="89" t="s">
        <v>739</v>
      </c>
      <c r="H10" s="65" t="s">
        <v>37</v>
      </c>
      <c r="I10" s="112" t="s">
        <v>918</v>
      </c>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v>10</v>
      </c>
      <c r="D11" s="62" t="s">
        <v>94</v>
      </c>
      <c r="E11" s="12">
        <v>0</v>
      </c>
      <c r="F11" s="12">
        <v>48.78</v>
      </c>
      <c r="G11" s="89" t="s">
        <v>919</v>
      </c>
      <c r="H11" s="65" t="s">
        <v>37</v>
      </c>
      <c r="I11" s="112" t="s">
        <v>920</v>
      </c>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v>10</v>
      </c>
      <c r="D12" s="62" t="s">
        <v>94</v>
      </c>
      <c r="E12" s="12">
        <v>0</v>
      </c>
      <c r="F12" s="12">
        <v>69.39</v>
      </c>
      <c r="G12" s="89" t="s">
        <v>737</v>
      </c>
      <c r="H12" s="65" t="s">
        <v>37</v>
      </c>
      <c r="I12" s="112" t="s">
        <v>921</v>
      </c>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v>1</v>
      </c>
      <c r="D14" s="62" t="s">
        <v>94</v>
      </c>
      <c r="E14" s="12">
        <v>0</v>
      </c>
      <c r="F14" s="12">
        <v>56.1</v>
      </c>
      <c r="G14" s="65"/>
      <c r="H14" s="65" t="s">
        <v>37</v>
      </c>
      <c r="I14" s="112" t="s">
        <v>922</v>
      </c>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c r="D15" s="62"/>
      <c r="E15" s="12">
        <v>0</v>
      </c>
      <c r="F15" s="12">
        <v>0</v>
      </c>
      <c r="G15" s="89"/>
      <c r="H15" s="65"/>
      <c r="I15" s="112"/>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8576.93</v>
      </c>
      <c r="G16" s="87"/>
      <c r="H16" s="87"/>
      <c r="I16" s="88"/>
      <c r="J16" s="87"/>
      <c r="K16" s="37"/>
      <c r="L16" s="37"/>
      <c r="M16" s="37"/>
      <c r="N16" s="37"/>
      <c r="O16" s="37"/>
      <c r="P16" s="37"/>
      <c r="Q16" s="37"/>
      <c r="R16" s="37"/>
      <c r="S16" s="37"/>
      <c r="T16" s="37"/>
      <c r="U16" s="3"/>
    </row>
    <row r="17" spans="1:22" ht="14.4" hidden="1" outlineLevel="1" x14ac:dyDescent="0.3">
      <c r="A17" s="3"/>
      <c r="B17" s="10" t="s">
        <v>561</v>
      </c>
      <c r="C17" s="62">
        <v>27</v>
      </c>
      <c r="D17" s="62" t="s">
        <v>94</v>
      </c>
      <c r="E17" s="12">
        <v>0</v>
      </c>
      <c r="F17" s="12">
        <v>1409.24</v>
      </c>
      <c r="G17" s="249" t="s">
        <v>923</v>
      </c>
      <c r="H17" s="65" t="s">
        <v>37</v>
      </c>
      <c r="I17" s="246" t="s">
        <v>924</v>
      </c>
      <c r="J17" s="65"/>
      <c r="K17" s="37"/>
      <c r="L17" s="37"/>
      <c r="M17" s="37"/>
      <c r="N17" s="37"/>
      <c r="O17" s="37"/>
      <c r="P17" s="37"/>
      <c r="Q17" s="37"/>
      <c r="R17" s="37"/>
      <c r="S17" s="37"/>
      <c r="T17" s="37"/>
      <c r="U17" s="3"/>
    </row>
    <row r="18" spans="1:22" ht="14.4" hidden="1" outlineLevel="1" x14ac:dyDescent="0.3">
      <c r="A18" s="3"/>
      <c r="B18" s="10" t="s">
        <v>563</v>
      </c>
      <c r="C18" s="62">
        <v>27</v>
      </c>
      <c r="D18" s="62" t="s">
        <v>94</v>
      </c>
      <c r="E18" s="12">
        <v>0</v>
      </c>
      <c r="F18" s="12">
        <v>802.62</v>
      </c>
      <c r="G18" s="215"/>
      <c r="H18" s="65" t="s">
        <v>37</v>
      </c>
      <c r="I18" s="215"/>
      <c r="J18" s="65"/>
      <c r="K18" s="37"/>
      <c r="L18" s="37"/>
      <c r="M18" s="37"/>
      <c r="N18" s="37"/>
      <c r="O18" s="37"/>
      <c r="P18" s="37"/>
      <c r="Q18" s="37"/>
      <c r="R18" s="37"/>
      <c r="S18" s="37"/>
      <c r="T18" s="37"/>
      <c r="U18" s="3"/>
    </row>
    <row r="19" spans="1:22" ht="14.4" hidden="1" outlineLevel="1" x14ac:dyDescent="0.3">
      <c r="A19" s="3"/>
      <c r="B19" s="10" t="s">
        <v>564</v>
      </c>
      <c r="C19" s="62">
        <v>27</v>
      </c>
      <c r="D19" s="62" t="s">
        <v>94</v>
      </c>
      <c r="E19" s="12">
        <v>0</v>
      </c>
      <c r="F19" s="12">
        <v>98</v>
      </c>
      <c r="G19" s="215"/>
      <c r="H19" s="65" t="s">
        <v>37</v>
      </c>
      <c r="I19" s="215"/>
      <c r="J19" s="65"/>
      <c r="K19" s="37"/>
      <c r="L19" s="37"/>
      <c r="M19" s="37"/>
      <c r="N19" s="37"/>
      <c r="O19" s="37"/>
      <c r="P19" s="37"/>
      <c r="Q19" s="37"/>
      <c r="R19" s="37"/>
      <c r="S19" s="37"/>
      <c r="T19" s="37"/>
      <c r="U19" s="3"/>
    </row>
    <row r="20" spans="1:22" ht="14.4" hidden="1" outlineLevel="1" x14ac:dyDescent="0.3">
      <c r="A20" s="3"/>
      <c r="B20" s="10" t="s">
        <v>565</v>
      </c>
      <c r="C20" s="62">
        <v>27</v>
      </c>
      <c r="D20" s="62" t="s">
        <v>94</v>
      </c>
      <c r="E20" s="12">
        <v>0</v>
      </c>
      <c r="F20" s="12">
        <v>98</v>
      </c>
      <c r="G20" s="215"/>
      <c r="H20" s="65" t="s">
        <v>37</v>
      </c>
      <c r="I20" s="215"/>
      <c r="J20" s="65"/>
      <c r="K20" s="37"/>
      <c r="L20" s="37"/>
      <c r="M20" s="37"/>
      <c r="N20" s="37"/>
      <c r="O20" s="37"/>
      <c r="P20" s="37"/>
      <c r="Q20" s="37"/>
      <c r="R20" s="37"/>
      <c r="S20" s="37"/>
      <c r="T20" s="37"/>
      <c r="U20" s="3"/>
    </row>
    <row r="21" spans="1:22" ht="14.4" hidden="1" outlineLevel="1" x14ac:dyDescent="0.3">
      <c r="A21" s="3"/>
      <c r="B21" s="10" t="s">
        <v>566</v>
      </c>
      <c r="C21" s="62">
        <v>27</v>
      </c>
      <c r="D21" s="62" t="s">
        <v>94</v>
      </c>
      <c r="E21" s="12">
        <v>0</v>
      </c>
      <c r="F21" s="12">
        <v>392</v>
      </c>
      <c r="G21" s="216"/>
      <c r="H21" s="65" t="s">
        <v>37</v>
      </c>
      <c r="I21" s="216"/>
      <c r="J21" s="65"/>
      <c r="K21" s="37"/>
      <c r="L21" s="37"/>
      <c r="M21" s="37"/>
      <c r="N21" s="37"/>
      <c r="O21" s="37"/>
      <c r="P21" s="37"/>
      <c r="Q21" s="37"/>
      <c r="R21" s="37"/>
      <c r="S21" s="37"/>
      <c r="T21" s="37"/>
      <c r="U21" s="3"/>
    </row>
    <row r="22" spans="1:22" ht="14.4" hidden="1" outlineLevel="1" x14ac:dyDescent="0.3">
      <c r="A22" s="3"/>
      <c r="B22" s="10" t="s">
        <v>567</v>
      </c>
      <c r="C22" s="62">
        <v>14</v>
      </c>
      <c r="D22" s="62" t="s">
        <v>94</v>
      </c>
      <c r="E22" s="12">
        <v>0</v>
      </c>
      <c r="F22" s="12">
        <v>156.80000000000001</v>
      </c>
      <c r="G22" s="249" t="s">
        <v>568</v>
      </c>
      <c r="H22" s="65" t="s">
        <v>37</v>
      </c>
      <c r="I22" s="246" t="s">
        <v>925</v>
      </c>
      <c r="J22" s="65"/>
      <c r="K22" s="37"/>
      <c r="L22" s="37"/>
      <c r="M22" s="37"/>
      <c r="N22" s="37"/>
      <c r="O22" s="37"/>
      <c r="P22" s="37"/>
      <c r="Q22" s="37"/>
      <c r="R22" s="37"/>
      <c r="S22" s="37"/>
      <c r="T22" s="37"/>
      <c r="U22" s="3"/>
      <c r="V22" s="18"/>
    </row>
    <row r="23" spans="1:22" ht="14.4" hidden="1" outlineLevel="1" x14ac:dyDescent="0.3">
      <c r="A23" s="3"/>
      <c r="B23" s="10" t="s">
        <v>570</v>
      </c>
      <c r="C23" s="62">
        <v>14</v>
      </c>
      <c r="D23" s="62" t="s">
        <v>94</v>
      </c>
      <c r="E23" s="12">
        <v>0</v>
      </c>
      <c r="F23" s="12">
        <v>470.4</v>
      </c>
      <c r="G23" s="215"/>
      <c r="H23" s="65" t="s">
        <v>37</v>
      </c>
      <c r="I23" s="215"/>
      <c r="J23" s="65"/>
      <c r="K23" s="37"/>
      <c r="L23" s="37"/>
      <c r="M23" s="37"/>
      <c r="N23" s="37"/>
      <c r="O23" s="37"/>
      <c r="P23" s="37"/>
      <c r="Q23" s="37"/>
      <c r="R23" s="37"/>
      <c r="S23" s="37"/>
      <c r="T23" s="37"/>
      <c r="U23" s="3"/>
      <c r="V23" s="18"/>
    </row>
    <row r="24" spans="1:22" ht="14.4" hidden="1" outlineLevel="1" x14ac:dyDescent="0.3">
      <c r="A24" s="3"/>
      <c r="B24" s="10" t="s">
        <v>571</v>
      </c>
      <c r="C24" s="62">
        <v>14</v>
      </c>
      <c r="D24" s="62" t="s">
        <v>94</v>
      </c>
      <c r="E24" s="12">
        <v>0</v>
      </c>
      <c r="F24" s="12">
        <v>519.4</v>
      </c>
      <c r="G24" s="215"/>
      <c r="H24" s="65" t="s">
        <v>37</v>
      </c>
      <c r="I24" s="215"/>
      <c r="J24" s="65"/>
      <c r="K24" s="37"/>
      <c r="L24" s="37"/>
      <c r="M24" s="37"/>
      <c r="N24" s="37"/>
      <c r="O24" s="37"/>
      <c r="P24" s="37"/>
      <c r="Q24" s="37"/>
      <c r="R24" s="37"/>
      <c r="S24" s="37"/>
      <c r="T24" s="37"/>
      <c r="U24" s="3"/>
      <c r="V24" s="18"/>
    </row>
    <row r="25" spans="1:22" ht="14.4" hidden="1" outlineLevel="1" x14ac:dyDescent="0.3">
      <c r="A25" s="3"/>
      <c r="B25" s="10" t="s">
        <v>572</v>
      </c>
      <c r="C25" s="62">
        <v>14</v>
      </c>
      <c r="D25" s="62" t="s">
        <v>94</v>
      </c>
      <c r="E25" s="12">
        <v>0</v>
      </c>
      <c r="F25" s="12">
        <v>29.4</v>
      </c>
      <c r="G25" s="215"/>
      <c r="H25" s="65" t="s">
        <v>37</v>
      </c>
      <c r="I25" s="215"/>
      <c r="J25" s="65"/>
      <c r="K25" s="37"/>
      <c r="L25" s="37"/>
      <c r="M25" s="37"/>
      <c r="N25" s="37"/>
      <c r="O25" s="37"/>
      <c r="P25" s="37"/>
      <c r="Q25" s="37"/>
      <c r="R25" s="37"/>
      <c r="S25" s="37"/>
      <c r="T25" s="37"/>
      <c r="U25" s="3"/>
      <c r="V25" s="18"/>
    </row>
    <row r="26" spans="1:22" ht="14.4" hidden="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4.4" hidden="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4.4" hidden="1" outlineLevel="1" x14ac:dyDescent="0.3">
      <c r="A28" s="3"/>
      <c r="B28" s="10" t="s">
        <v>575</v>
      </c>
      <c r="C28" s="62"/>
      <c r="D28" s="62"/>
      <c r="E28" s="12">
        <v>0</v>
      </c>
      <c r="F28" s="12">
        <v>0</v>
      </c>
      <c r="G28" s="216"/>
      <c r="H28" s="65"/>
      <c r="I28" s="216"/>
      <c r="J28" s="65"/>
      <c r="K28" s="37"/>
      <c r="L28" s="37"/>
      <c r="M28" s="37"/>
      <c r="N28" s="37"/>
      <c r="O28" s="37"/>
      <c r="P28" s="37"/>
      <c r="Q28" s="37"/>
      <c r="R28" s="37"/>
      <c r="S28" s="37"/>
      <c r="T28" s="37"/>
      <c r="U28" s="3"/>
      <c r="V28" s="18"/>
    </row>
    <row r="29" spans="1:22" ht="14.4" hidden="1" outlineLevel="1" x14ac:dyDescent="0.3">
      <c r="A29" s="3"/>
      <c r="B29" s="10" t="s">
        <v>292</v>
      </c>
      <c r="C29" s="62">
        <v>11</v>
      </c>
      <c r="D29" s="62" t="s">
        <v>94</v>
      </c>
      <c r="E29" s="12">
        <v>0</v>
      </c>
      <c r="F29" s="12">
        <v>117</v>
      </c>
      <c r="G29" s="65" t="s">
        <v>926</v>
      </c>
      <c r="H29" s="65" t="s">
        <v>37</v>
      </c>
      <c r="I29" s="112" t="s">
        <v>927</v>
      </c>
      <c r="J29" s="65"/>
      <c r="K29" s="37"/>
      <c r="L29" s="37"/>
      <c r="M29" s="37"/>
      <c r="N29" s="37"/>
      <c r="O29" s="37"/>
      <c r="P29" s="37"/>
      <c r="Q29" s="37"/>
      <c r="R29" s="37"/>
      <c r="S29" s="37"/>
      <c r="T29" s="37"/>
      <c r="U29" s="3"/>
      <c r="V29" s="18"/>
    </row>
    <row r="30" spans="1:22" ht="14.4" hidden="1" outlineLevel="1" x14ac:dyDescent="0.3">
      <c r="A30" s="3"/>
      <c r="B30" s="10" t="s">
        <v>294</v>
      </c>
      <c r="C30" s="62">
        <v>1</v>
      </c>
      <c r="D30" s="62" t="s">
        <v>94</v>
      </c>
      <c r="E30" s="12">
        <v>0</v>
      </c>
      <c r="F30" s="12">
        <f>2128-80</f>
        <v>2048</v>
      </c>
      <c r="G30" s="89" t="s">
        <v>928</v>
      </c>
      <c r="H30" s="65" t="s">
        <v>37</v>
      </c>
      <c r="I30" s="112" t="s">
        <v>929</v>
      </c>
      <c r="J30" s="65"/>
      <c r="K30" s="37"/>
      <c r="L30" s="37"/>
      <c r="M30" s="37"/>
      <c r="N30" s="37"/>
      <c r="O30" s="37"/>
      <c r="P30" s="37"/>
      <c r="Q30" s="37"/>
      <c r="R30" s="37"/>
      <c r="S30" s="37"/>
      <c r="T30" s="37"/>
      <c r="U30" s="3"/>
    </row>
    <row r="31" spans="1:22" ht="24" hidden="1" outlineLevel="1" x14ac:dyDescent="0.3">
      <c r="A31" s="3"/>
      <c r="B31" s="10" t="s">
        <v>294</v>
      </c>
      <c r="C31" s="62">
        <v>28</v>
      </c>
      <c r="D31" s="62" t="s">
        <v>94</v>
      </c>
      <c r="E31" s="12">
        <v>0</v>
      </c>
      <c r="F31" s="12">
        <f>2641.82-80-640</f>
        <v>1921.8200000000002</v>
      </c>
      <c r="G31" s="89" t="s">
        <v>930</v>
      </c>
      <c r="H31" s="65" t="s">
        <v>37</v>
      </c>
      <c r="I31" s="112" t="s">
        <v>931</v>
      </c>
      <c r="J31" s="65"/>
      <c r="K31" s="37"/>
      <c r="L31" s="37"/>
      <c r="M31" s="37"/>
      <c r="N31" s="37"/>
      <c r="O31" s="37"/>
      <c r="P31" s="37"/>
      <c r="Q31" s="37"/>
      <c r="R31" s="37"/>
      <c r="S31" s="37"/>
      <c r="T31" s="37"/>
      <c r="U31" s="3"/>
    </row>
    <row r="32" spans="1:22" ht="14.4" hidden="1" outlineLevel="1" x14ac:dyDescent="0.3">
      <c r="A32" s="3"/>
      <c r="B32" s="10" t="s">
        <v>932</v>
      </c>
      <c r="C32" s="62">
        <v>10</v>
      </c>
      <c r="D32" s="62" t="s">
        <v>94</v>
      </c>
      <c r="E32" s="12">
        <v>0</v>
      </c>
      <c r="F32" s="12">
        <v>360</v>
      </c>
      <c r="G32" s="89" t="s">
        <v>933</v>
      </c>
      <c r="H32" s="65" t="s">
        <v>37</v>
      </c>
      <c r="I32" s="112" t="s">
        <v>934</v>
      </c>
      <c r="J32" s="65"/>
      <c r="K32" s="37"/>
      <c r="L32" s="37"/>
      <c r="M32" s="37"/>
      <c r="N32" s="37"/>
      <c r="O32" s="37"/>
      <c r="P32" s="37"/>
      <c r="Q32" s="37"/>
      <c r="R32" s="37"/>
      <c r="S32" s="37"/>
      <c r="T32" s="37"/>
      <c r="U32" s="3"/>
    </row>
    <row r="33" spans="1:26" ht="14.4" hidden="1" outlineLevel="1" x14ac:dyDescent="0.3">
      <c r="A33" s="3"/>
      <c r="B33" s="10" t="s">
        <v>749</v>
      </c>
      <c r="C33" s="62">
        <v>14</v>
      </c>
      <c r="D33" s="62" t="s">
        <v>94</v>
      </c>
      <c r="E33" s="12">
        <v>0</v>
      </c>
      <c r="F33" s="12">
        <v>154.25</v>
      </c>
      <c r="G33" s="89" t="s">
        <v>935</v>
      </c>
      <c r="H33" s="65" t="s">
        <v>37</v>
      </c>
      <c r="I33" s="112" t="s">
        <v>936</v>
      </c>
      <c r="J33" s="65"/>
      <c r="K33" s="37"/>
      <c r="L33" s="37"/>
      <c r="M33" s="37"/>
      <c r="N33" s="37"/>
      <c r="O33" s="37"/>
      <c r="P33" s="37"/>
      <c r="Q33" s="37"/>
      <c r="R33" s="37"/>
      <c r="S33" s="37"/>
      <c r="T33" s="37"/>
      <c r="U33" s="3"/>
    </row>
    <row r="34" spans="1:26" ht="20.399999999999999" collapsed="1" x14ac:dyDescent="0.3">
      <c r="A34" s="3"/>
      <c r="B34" s="84" t="s">
        <v>300</v>
      </c>
      <c r="C34" s="85" t="s">
        <v>43</v>
      </c>
      <c r="D34" s="85" t="s">
        <v>43</v>
      </c>
      <c r="E34" s="86">
        <f>SUM(E35:E37)</f>
        <v>0</v>
      </c>
      <c r="F34" s="86">
        <f>SUMIF(D35:D37,"OK",F35:F37)</f>
        <v>1.46</v>
      </c>
      <c r="G34" s="87"/>
      <c r="H34" s="87"/>
      <c r="I34" s="88"/>
      <c r="J34" s="87"/>
      <c r="K34" s="37"/>
      <c r="L34" s="37"/>
      <c r="M34" s="37"/>
      <c r="N34" s="37"/>
      <c r="O34" s="37"/>
      <c r="P34" s="37"/>
      <c r="Q34" s="37"/>
      <c r="R34" s="37"/>
      <c r="S34" s="37"/>
      <c r="T34" s="37"/>
      <c r="U34" s="3"/>
      <c r="W34" s="3"/>
      <c r="X34" s="3"/>
      <c r="Y34" s="3"/>
      <c r="Z34" s="3"/>
    </row>
    <row r="35" spans="1:26" ht="14.4" hidden="1" outlineLevel="1" x14ac:dyDescent="0.3">
      <c r="A35" s="3"/>
      <c r="B35" s="10" t="s">
        <v>583</v>
      </c>
      <c r="C35" s="62" t="s">
        <v>713</v>
      </c>
      <c r="D35" s="62" t="s">
        <v>94</v>
      </c>
      <c r="E35" s="12">
        <v>0</v>
      </c>
      <c r="F35" s="12">
        <f>0.03+0.12+0.24+0.92+0.03+0.12</f>
        <v>1.46</v>
      </c>
      <c r="G35" s="65"/>
      <c r="H35" s="65" t="s">
        <v>38</v>
      </c>
      <c r="I35" s="112" t="s">
        <v>937</v>
      </c>
      <c r="J35" s="65"/>
      <c r="K35" s="37"/>
      <c r="L35" s="37"/>
      <c r="M35" s="37"/>
      <c r="N35" s="37"/>
      <c r="O35" s="37"/>
      <c r="P35" s="37"/>
      <c r="Q35" s="37"/>
      <c r="R35" s="37"/>
      <c r="S35" s="37"/>
      <c r="T35" s="37"/>
      <c r="U35" s="3"/>
      <c r="W35" s="3"/>
      <c r="X35" s="3"/>
      <c r="Y35" s="3"/>
      <c r="Z35" s="3"/>
    </row>
    <row r="36" spans="1:26" ht="14.4" hidden="1" outlineLevel="1" x14ac:dyDescent="0.3">
      <c r="A36" s="3"/>
      <c r="B36" s="10" t="s">
        <v>753</v>
      </c>
      <c r="C36" s="62"/>
      <c r="D36" s="62"/>
      <c r="E36" s="12">
        <v>0</v>
      </c>
      <c r="F36" s="12">
        <v>0</v>
      </c>
      <c r="G36" s="65"/>
      <c r="H36" s="65"/>
      <c r="I36" s="112"/>
      <c r="J36" s="65"/>
      <c r="K36" s="37"/>
      <c r="L36" s="37"/>
      <c r="M36" s="37"/>
      <c r="N36" s="37"/>
      <c r="O36" s="37"/>
      <c r="P36" s="37"/>
      <c r="Q36" s="37"/>
      <c r="R36" s="37"/>
      <c r="S36" s="37"/>
      <c r="T36" s="37"/>
      <c r="U36" s="3"/>
      <c r="W36" s="3"/>
      <c r="X36" s="3"/>
      <c r="Y36" s="3"/>
      <c r="Z36" s="3"/>
    </row>
    <row r="37" spans="1:26" ht="14.4" hidden="1" outlineLevel="1" x14ac:dyDescent="0.3">
      <c r="A37" s="3"/>
      <c r="B37" s="10" t="s">
        <v>305</v>
      </c>
      <c r="C37" s="62"/>
      <c r="D37" s="62"/>
      <c r="E37" s="12">
        <v>0</v>
      </c>
      <c r="F37" s="12">
        <v>0</v>
      </c>
      <c r="G37" s="65"/>
      <c r="H37" s="65"/>
      <c r="I37" s="112"/>
      <c r="J37" s="65"/>
      <c r="K37" s="37"/>
      <c r="L37" s="37"/>
      <c r="M37" s="37"/>
      <c r="N37" s="37"/>
      <c r="O37" s="37"/>
      <c r="P37" s="37"/>
      <c r="Q37" s="37"/>
      <c r="R37" s="37"/>
      <c r="S37" s="37"/>
      <c r="T37" s="37"/>
      <c r="U37" s="3"/>
      <c r="W37" s="3"/>
      <c r="X37" s="3"/>
      <c r="Y37" s="3"/>
      <c r="Z37" s="3"/>
    </row>
    <row r="38" spans="1:26" ht="20.399999999999999" collapsed="1" x14ac:dyDescent="0.3">
      <c r="A38" s="3"/>
      <c r="B38" s="84" t="s">
        <v>306</v>
      </c>
      <c r="C38" s="85" t="s">
        <v>43</v>
      </c>
      <c r="D38" s="85" t="s">
        <v>43</v>
      </c>
      <c r="E38" s="86">
        <f>SUM(E39:E62)</f>
        <v>0</v>
      </c>
      <c r="F38" s="86">
        <f>SUMIF(D39:D62,"OK",F39:F62)</f>
        <v>2315.36</v>
      </c>
      <c r="G38" s="87"/>
      <c r="H38" s="87"/>
      <c r="I38" s="88"/>
      <c r="J38" s="87"/>
      <c r="K38" s="37"/>
      <c r="L38" s="37"/>
      <c r="M38" s="37"/>
      <c r="N38" s="37"/>
      <c r="O38" s="37"/>
      <c r="P38" s="37"/>
      <c r="Q38" s="37"/>
      <c r="R38" s="37"/>
      <c r="S38" s="37"/>
      <c r="T38" s="37"/>
      <c r="U38" s="3"/>
      <c r="W38" s="3"/>
      <c r="X38" s="3"/>
      <c r="Y38" s="3"/>
      <c r="Z38" s="3"/>
    </row>
    <row r="39" spans="1:26" ht="14.4" hidden="1" outlineLevel="1" x14ac:dyDescent="0.3">
      <c r="A39" s="3"/>
      <c r="B39" s="10" t="s">
        <v>307</v>
      </c>
      <c r="C39" s="62">
        <v>26</v>
      </c>
      <c r="D39" s="62" t="s">
        <v>94</v>
      </c>
      <c r="E39" s="12">
        <v>0</v>
      </c>
      <c r="F39" s="12">
        <v>782.61</v>
      </c>
      <c r="G39" s="65"/>
      <c r="H39" s="65" t="s">
        <v>37</v>
      </c>
      <c r="I39" s="112" t="s">
        <v>938</v>
      </c>
      <c r="J39" s="65"/>
      <c r="K39" s="37"/>
      <c r="L39" s="37"/>
      <c r="M39" s="37"/>
      <c r="N39" s="37"/>
      <c r="O39" s="37"/>
      <c r="P39" s="37"/>
      <c r="Q39" s="37"/>
      <c r="R39" s="37"/>
      <c r="S39" s="37"/>
      <c r="T39" s="37"/>
      <c r="U39" s="3"/>
      <c r="W39" s="3"/>
      <c r="X39" s="3"/>
      <c r="Y39" s="3"/>
      <c r="Z39" s="3"/>
    </row>
    <row r="40" spans="1:26" ht="14.4" hidden="1" outlineLevel="1" x14ac:dyDescent="0.3">
      <c r="A40" s="3"/>
      <c r="B40" s="10" t="s">
        <v>589</v>
      </c>
      <c r="C40" s="62">
        <v>16</v>
      </c>
      <c r="D40" s="62" t="s">
        <v>94</v>
      </c>
      <c r="E40" s="12">
        <v>0</v>
      </c>
      <c r="F40" s="12">
        <v>650</v>
      </c>
      <c r="G40" s="65"/>
      <c r="H40" s="65" t="s">
        <v>37</v>
      </c>
      <c r="I40" s="112" t="s">
        <v>939</v>
      </c>
      <c r="J40" s="65"/>
      <c r="K40" s="37"/>
      <c r="L40" s="37"/>
      <c r="M40" s="37"/>
      <c r="N40" s="37"/>
      <c r="O40" s="37"/>
      <c r="P40" s="37"/>
      <c r="Q40" s="37"/>
      <c r="R40" s="37"/>
      <c r="S40" s="37"/>
      <c r="T40" s="37"/>
      <c r="U40" s="3"/>
      <c r="W40" s="3"/>
      <c r="X40" s="3"/>
      <c r="Y40" s="3"/>
      <c r="Z40" s="3"/>
    </row>
    <row r="41" spans="1:26" ht="14.4" hidden="1" outlineLevel="1" x14ac:dyDescent="0.3">
      <c r="A41" s="3"/>
      <c r="B41" s="10" t="s">
        <v>756</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4.4" hidden="1" outlineLevel="1" x14ac:dyDescent="0.3">
      <c r="A42" s="3"/>
      <c r="B42" s="10" t="s">
        <v>312</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4.4" hidden="1" outlineLevel="1" x14ac:dyDescent="0.3">
      <c r="A43" s="3"/>
      <c r="B43" s="10" t="s">
        <v>314</v>
      </c>
      <c r="C43" s="62">
        <v>16</v>
      </c>
      <c r="D43" s="62" t="s">
        <v>94</v>
      </c>
      <c r="E43" s="12">
        <v>0</v>
      </c>
      <c r="F43" s="12">
        <v>84.9</v>
      </c>
      <c r="G43" s="65"/>
      <c r="H43" s="65" t="s">
        <v>37</v>
      </c>
      <c r="I43" s="112" t="s">
        <v>940</v>
      </c>
      <c r="J43" s="65"/>
      <c r="K43" s="37"/>
      <c r="L43" s="37"/>
      <c r="M43" s="37"/>
      <c r="N43" s="37"/>
      <c r="O43" s="37"/>
      <c r="P43" s="37"/>
      <c r="Q43" s="37"/>
      <c r="R43" s="37"/>
      <c r="S43" s="37"/>
      <c r="T43" s="37"/>
      <c r="U43" s="3"/>
      <c r="W43" s="3"/>
      <c r="X43" s="3"/>
      <c r="Y43" s="3"/>
      <c r="Z43" s="3"/>
    </row>
    <row r="44" spans="1:26" ht="14.4" hidden="1" outlineLevel="1" x14ac:dyDescent="0.3">
      <c r="A44" s="3"/>
      <c r="B44" s="10" t="s">
        <v>592</v>
      </c>
      <c r="C44" s="62">
        <v>25</v>
      </c>
      <c r="D44" s="62" t="s">
        <v>94</v>
      </c>
      <c r="E44" s="12">
        <v>0</v>
      </c>
      <c r="F44" s="12">
        <v>518</v>
      </c>
      <c r="G44" s="89" t="s">
        <v>941</v>
      </c>
      <c r="H44" s="65" t="s">
        <v>37</v>
      </c>
      <c r="I44" s="112" t="s">
        <v>942</v>
      </c>
      <c r="J44" s="65"/>
      <c r="K44" s="37"/>
      <c r="L44" s="37"/>
      <c r="M44" s="37"/>
      <c r="N44" s="37"/>
      <c r="O44" s="37"/>
      <c r="P44" s="37"/>
      <c r="Q44" s="37"/>
      <c r="R44" s="37"/>
      <c r="S44" s="37"/>
      <c r="T44" s="37"/>
      <c r="U44" s="3"/>
      <c r="W44" s="3"/>
      <c r="X44" s="3"/>
      <c r="Y44" s="3"/>
      <c r="Z44" s="3"/>
    </row>
    <row r="45" spans="1:26" ht="14.4" hidden="1" outlineLevel="1" x14ac:dyDescent="0.3">
      <c r="A45" s="3"/>
      <c r="B45" s="10" t="s">
        <v>595</v>
      </c>
      <c r="C45" s="62">
        <v>25</v>
      </c>
      <c r="D45" s="62" t="s">
        <v>94</v>
      </c>
      <c r="E45" s="12">
        <v>0</v>
      </c>
      <c r="F45" s="12">
        <v>212.9</v>
      </c>
      <c r="G45" s="89" t="s">
        <v>758</v>
      </c>
      <c r="H45" s="65" t="s">
        <v>37</v>
      </c>
      <c r="I45" s="112" t="s">
        <v>943</v>
      </c>
      <c r="J45" s="65"/>
      <c r="K45" s="37"/>
      <c r="L45" s="37"/>
      <c r="M45" s="37"/>
      <c r="N45" s="37"/>
      <c r="O45" s="37"/>
      <c r="P45" s="37"/>
      <c r="Q45" s="37"/>
      <c r="R45" s="37"/>
      <c r="S45" s="37"/>
      <c r="T45" s="37"/>
      <c r="U45" s="3"/>
      <c r="W45" s="3"/>
      <c r="X45" s="3"/>
      <c r="Y45" s="3"/>
      <c r="Z45" s="3"/>
    </row>
    <row r="46" spans="1:26" ht="24" hidden="1" outlineLevel="1" x14ac:dyDescent="0.3">
      <c r="A46" s="3"/>
      <c r="B46" s="10" t="s">
        <v>944</v>
      </c>
      <c r="C46" s="62">
        <v>7</v>
      </c>
      <c r="D46" s="62" t="s">
        <v>94</v>
      </c>
      <c r="E46" s="12">
        <v>0</v>
      </c>
      <c r="F46" s="12">
        <v>66.95</v>
      </c>
      <c r="G46" s="89" t="s">
        <v>945</v>
      </c>
      <c r="H46" s="65" t="s">
        <v>37</v>
      </c>
      <c r="I46" s="112" t="s">
        <v>946</v>
      </c>
      <c r="J46" s="65"/>
      <c r="K46" s="37"/>
      <c r="L46" s="37"/>
      <c r="M46" s="37"/>
      <c r="N46" s="37"/>
      <c r="O46" s="37"/>
      <c r="P46" s="37"/>
      <c r="Q46" s="37"/>
      <c r="R46" s="37"/>
      <c r="S46" s="37"/>
      <c r="T46" s="37"/>
      <c r="U46" s="3"/>
      <c r="W46" s="3"/>
      <c r="X46" s="3"/>
      <c r="Y46" s="3"/>
      <c r="Z46" s="3"/>
    </row>
    <row r="47" spans="1:26" ht="14.4" hidden="1" outlineLevel="1" x14ac:dyDescent="0.3">
      <c r="A47" s="3"/>
      <c r="B47" s="10" t="s">
        <v>50</v>
      </c>
      <c r="C47" s="62"/>
      <c r="D47" s="62"/>
      <c r="E47" s="12">
        <v>0</v>
      </c>
      <c r="F47" s="12">
        <v>0</v>
      </c>
      <c r="G47" s="65"/>
      <c r="H47" s="65"/>
      <c r="I47" s="112"/>
      <c r="J47" s="65"/>
      <c r="K47" s="37"/>
      <c r="L47" s="37"/>
      <c r="M47" s="37"/>
      <c r="N47" s="37"/>
      <c r="O47" s="37"/>
      <c r="P47" s="37"/>
      <c r="Q47" s="37"/>
      <c r="R47" s="37"/>
      <c r="S47" s="37"/>
      <c r="T47" s="37"/>
      <c r="U47" s="3"/>
      <c r="W47" s="3"/>
      <c r="X47" s="3"/>
      <c r="Y47" s="3"/>
      <c r="Z47" s="3"/>
    </row>
    <row r="48" spans="1:26" ht="14.4" hidden="1" outlineLevel="1" x14ac:dyDescent="0.3">
      <c r="A48" s="3"/>
      <c r="B48" s="10" t="s">
        <v>50</v>
      </c>
      <c r="C48" s="62"/>
      <c r="D48" s="62"/>
      <c r="E48" s="12">
        <v>0</v>
      </c>
      <c r="F48" s="12">
        <v>0</v>
      </c>
      <c r="G48" s="89"/>
      <c r="H48" s="65"/>
      <c r="I48" s="112"/>
      <c r="J48" s="65"/>
      <c r="K48" s="37"/>
      <c r="L48" s="37"/>
      <c r="M48" s="37"/>
      <c r="N48" s="37"/>
      <c r="O48" s="37"/>
      <c r="P48" s="37"/>
      <c r="Q48" s="37"/>
      <c r="R48" s="37"/>
      <c r="S48" s="37"/>
      <c r="T48" s="37"/>
      <c r="U48" s="3"/>
      <c r="W48" s="3"/>
      <c r="X48" s="3"/>
      <c r="Y48" s="3"/>
      <c r="Z48" s="3"/>
    </row>
    <row r="49" spans="1:26" ht="14.4" hidden="1" outlineLevel="1" x14ac:dyDescent="0.3">
      <c r="A49" s="3"/>
      <c r="B49" s="10" t="s">
        <v>50</v>
      </c>
      <c r="C49" s="62"/>
      <c r="D49" s="62"/>
      <c r="E49" s="12">
        <v>0</v>
      </c>
      <c r="F49" s="12">
        <v>0</v>
      </c>
      <c r="G49" s="89"/>
      <c r="H49" s="65"/>
      <c r="I49" s="112"/>
      <c r="J49" s="65"/>
      <c r="K49" s="37"/>
      <c r="L49" s="37"/>
      <c r="M49" s="37"/>
      <c r="N49" s="37"/>
      <c r="O49" s="37"/>
      <c r="P49" s="37"/>
      <c r="Q49" s="37"/>
      <c r="R49" s="37"/>
      <c r="S49" s="37"/>
      <c r="T49" s="37"/>
      <c r="U49" s="3"/>
      <c r="W49" s="3"/>
      <c r="X49" s="3"/>
      <c r="Y49" s="3"/>
      <c r="Z49" s="3"/>
    </row>
    <row r="50" spans="1:26" ht="14.4" hidden="1" outlineLevel="1" x14ac:dyDescent="0.3">
      <c r="A50" s="3"/>
      <c r="B50" s="10" t="s">
        <v>50</v>
      </c>
      <c r="C50" s="62"/>
      <c r="D50" s="62"/>
      <c r="E50" s="12">
        <v>0</v>
      </c>
      <c r="F50" s="12">
        <v>0</v>
      </c>
      <c r="G50" s="65"/>
      <c r="H50" s="65"/>
      <c r="I50" s="112"/>
      <c r="J50" s="65"/>
      <c r="K50" s="37"/>
      <c r="L50" s="37"/>
      <c r="M50" s="37"/>
      <c r="N50" s="37"/>
      <c r="O50" s="37"/>
      <c r="P50" s="37"/>
      <c r="Q50" s="37"/>
      <c r="R50" s="37"/>
      <c r="S50" s="37"/>
      <c r="T50" s="37"/>
      <c r="U50" s="3"/>
      <c r="W50" s="3"/>
      <c r="X50" s="3"/>
      <c r="Y50" s="3"/>
      <c r="Z50" s="3"/>
    </row>
    <row r="51" spans="1:26" ht="14.4" hidden="1" outlineLevel="1" x14ac:dyDescent="0.3">
      <c r="A51" s="3"/>
      <c r="B51" s="10" t="s">
        <v>50</v>
      </c>
      <c r="C51" s="62"/>
      <c r="D51" s="62"/>
      <c r="E51" s="12">
        <v>0</v>
      </c>
      <c r="F51" s="12">
        <v>0</v>
      </c>
      <c r="G51" s="65"/>
      <c r="H51" s="65"/>
      <c r="I51" s="112"/>
      <c r="J51" s="65"/>
      <c r="K51" s="37"/>
      <c r="L51" s="37"/>
      <c r="M51" s="37"/>
      <c r="N51" s="37"/>
      <c r="O51" s="37"/>
      <c r="P51" s="37"/>
      <c r="Q51" s="37"/>
      <c r="R51" s="37"/>
      <c r="S51" s="37"/>
      <c r="T51" s="37"/>
      <c r="U51" s="3"/>
      <c r="W51" s="3"/>
      <c r="X51" s="3"/>
      <c r="Y51" s="3"/>
      <c r="Z51" s="3"/>
    </row>
    <row r="52" spans="1:26" ht="14.4" hidden="1" outlineLevel="1" x14ac:dyDescent="0.3">
      <c r="A52" s="3"/>
      <c r="B52" s="10" t="s">
        <v>50</v>
      </c>
      <c r="C52" s="80"/>
      <c r="D52" s="62"/>
      <c r="E52" s="12">
        <v>0</v>
      </c>
      <c r="F52" s="12">
        <v>0</v>
      </c>
      <c r="G52" s="89"/>
      <c r="H52" s="65"/>
      <c r="I52" s="112"/>
      <c r="J52" s="65"/>
      <c r="K52" s="37"/>
      <c r="L52" s="37"/>
      <c r="M52" s="37"/>
      <c r="N52" s="37"/>
      <c r="O52" s="37"/>
      <c r="P52" s="37"/>
      <c r="Q52" s="37"/>
      <c r="R52" s="37"/>
      <c r="S52" s="37"/>
      <c r="T52" s="37"/>
      <c r="U52" s="3"/>
      <c r="W52" s="3"/>
      <c r="X52" s="3"/>
      <c r="Y52" s="3"/>
      <c r="Z52" s="3"/>
    </row>
    <row r="53" spans="1:26" ht="14.4" hidden="1" outlineLevel="1" x14ac:dyDescent="0.3">
      <c r="A53" s="3"/>
      <c r="B53" s="10" t="s">
        <v>50</v>
      </c>
      <c r="C53" s="62"/>
      <c r="D53" s="62"/>
      <c r="E53" s="12">
        <v>0</v>
      </c>
      <c r="F53" s="12">
        <v>0</v>
      </c>
      <c r="G53" s="65"/>
      <c r="H53" s="65"/>
      <c r="I53" s="112"/>
      <c r="J53" s="65"/>
      <c r="K53" s="37"/>
      <c r="L53" s="37"/>
      <c r="M53" s="37"/>
      <c r="N53" s="37"/>
      <c r="O53" s="37"/>
      <c r="P53" s="37"/>
      <c r="Q53" s="37"/>
      <c r="R53" s="37"/>
      <c r="S53" s="37"/>
      <c r="T53" s="37"/>
      <c r="U53" s="3"/>
      <c r="W53" s="3"/>
      <c r="X53" s="3"/>
      <c r="Y53" s="3"/>
      <c r="Z53" s="3"/>
    </row>
    <row r="54" spans="1:26" ht="14.4" hidden="1" outlineLevel="1" x14ac:dyDescent="0.3">
      <c r="A54" s="3"/>
      <c r="B54" s="10" t="s">
        <v>50</v>
      </c>
      <c r="C54" s="62"/>
      <c r="D54" s="62"/>
      <c r="E54" s="12">
        <v>0</v>
      </c>
      <c r="F54" s="12">
        <v>0</v>
      </c>
      <c r="G54" s="65"/>
      <c r="H54" s="65"/>
      <c r="I54" s="112"/>
      <c r="J54" s="65"/>
      <c r="K54" s="37"/>
      <c r="L54" s="37"/>
      <c r="M54" s="37"/>
      <c r="N54" s="37"/>
      <c r="O54" s="37"/>
      <c r="P54" s="37"/>
      <c r="Q54" s="37"/>
      <c r="R54" s="37"/>
      <c r="S54" s="37"/>
      <c r="T54" s="37"/>
      <c r="U54" s="3"/>
      <c r="W54" s="3"/>
      <c r="X54" s="3"/>
      <c r="Y54" s="3"/>
      <c r="Z54" s="3"/>
    </row>
    <row r="55" spans="1:26" ht="14.4" hidden="1" outlineLevel="1" x14ac:dyDescent="0.3">
      <c r="A55" s="3"/>
      <c r="B55" s="10" t="s">
        <v>50</v>
      </c>
      <c r="C55" s="62"/>
      <c r="D55" s="62"/>
      <c r="E55" s="12">
        <v>0</v>
      </c>
      <c r="F55" s="12">
        <v>0</v>
      </c>
      <c r="G55" s="89"/>
      <c r="H55" s="65"/>
      <c r="I55" s="112"/>
      <c r="J55" s="65"/>
      <c r="K55" s="37"/>
      <c r="L55" s="37"/>
      <c r="M55" s="37"/>
      <c r="N55" s="37"/>
      <c r="O55" s="37"/>
      <c r="P55" s="37"/>
      <c r="Q55" s="37"/>
      <c r="R55" s="37"/>
      <c r="S55" s="37"/>
      <c r="T55" s="37"/>
      <c r="U55" s="3"/>
      <c r="W55" s="3"/>
      <c r="X55" s="3"/>
      <c r="Y55" s="3"/>
      <c r="Z55" s="3"/>
    </row>
    <row r="56" spans="1:26" ht="14.4" hidden="1" outlineLevel="1" x14ac:dyDescent="0.3">
      <c r="A56" s="3"/>
      <c r="B56" s="10" t="s">
        <v>50</v>
      </c>
      <c r="C56" s="62"/>
      <c r="D56" s="62"/>
      <c r="E56" s="12">
        <v>0</v>
      </c>
      <c r="F56" s="12">
        <v>0</v>
      </c>
      <c r="G56" s="89"/>
      <c r="H56" s="65"/>
      <c r="I56" s="112"/>
      <c r="J56" s="65"/>
      <c r="K56" s="37"/>
      <c r="L56" s="37"/>
      <c r="M56" s="37"/>
      <c r="N56" s="37"/>
      <c r="O56" s="37"/>
      <c r="P56" s="37"/>
      <c r="Q56" s="37"/>
      <c r="R56" s="37"/>
      <c r="S56" s="37"/>
      <c r="T56" s="37"/>
      <c r="U56" s="3"/>
      <c r="W56" s="3"/>
      <c r="X56" s="3"/>
      <c r="Y56" s="3"/>
      <c r="Z56" s="3"/>
    </row>
    <row r="57" spans="1:26" ht="14.4" hidden="1" outlineLevel="1" x14ac:dyDescent="0.3">
      <c r="A57" s="3"/>
      <c r="B57" s="10" t="s">
        <v>50</v>
      </c>
      <c r="C57" s="62"/>
      <c r="D57" s="62"/>
      <c r="E57" s="12">
        <v>0</v>
      </c>
      <c r="F57" s="12">
        <v>0</v>
      </c>
      <c r="G57" s="89"/>
      <c r="H57" s="65"/>
      <c r="I57" s="112"/>
      <c r="J57" s="65"/>
      <c r="K57" s="37"/>
      <c r="L57" s="37"/>
      <c r="M57" s="37"/>
      <c r="N57" s="37"/>
      <c r="O57" s="37"/>
      <c r="P57" s="37"/>
      <c r="Q57" s="37"/>
      <c r="R57" s="37"/>
      <c r="S57" s="37"/>
      <c r="T57" s="37"/>
      <c r="U57" s="3"/>
      <c r="W57" s="3"/>
      <c r="X57" s="3"/>
      <c r="Y57" s="3"/>
      <c r="Z57" s="3"/>
    </row>
    <row r="58" spans="1:26" ht="14.4" hidden="1" outlineLevel="1" x14ac:dyDescent="0.3">
      <c r="A58" s="3"/>
      <c r="B58" s="10" t="s">
        <v>50</v>
      </c>
      <c r="C58" s="62"/>
      <c r="D58" s="62"/>
      <c r="E58" s="12">
        <v>0</v>
      </c>
      <c r="F58" s="12">
        <v>0</v>
      </c>
      <c r="G58" s="89"/>
      <c r="H58" s="65"/>
      <c r="I58" s="112"/>
      <c r="J58" s="65"/>
      <c r="K58" s="37"/>
      <c r="L58" s="37"/>
      <c r="M58" s="37"/>
      <c r="N58" s="37"/>
      <c r="O58" s="37"/>
      <c r="P58" s="37"/>
      <c r="Q58" s="37"/>
      <c r="R58" s="37"/>
      <c r="S58" s="37"/>
      <c r="T58" s="37"/>
      <c r="U58" s="3"/>
      <c r="W58" s="3"/>
      <c r="X58" s="3"/>
      <c r="Y58" s="3"/>
      <c r="Z58" s="3"/>
    </row>
    <row r="59" spans="1:26" ht="14.4" hidden="1" outlineLevel="1" x14ac:dyDescent="0.3">
      <c r="A59" s="3"/>
      <c r="B59" s="10" t="s">
        <v>50</v>
      </c>
      <c r="C59" s="62"/>
      <c r="D59" s="62"/>
      <c r="E59" s="12">
        <v>0</v>
      </c>
      <c r="F59" s="12">
        <v>0</v>
      </c>
      <c r="G59" s="89"/>
      <c r="H59" s="65"/>
      <c r="I59" s="112"/>
      <c r="J59" s="65"/>
      <c r="K59" s="37"/>
      <c r="L59" s="37"/>
      <c r="M59" s="37"/>
      <c r="N59" s="37"/>
      <c r="O59" s="37"/>
      <c r="P59" s="37"/>
      <c r="Q59" s="37"/>
      <c r="R59" s="37"/>
      <c r="S59" s="37"/>
      <c r="T59" s="37"/>
      <c r="U59" s="3"/>
      <c r="W59" s="3"/>
      <c r="X59" s="3"/>
      <c r="Y59" s="3"/>
      <c r="Z59" s="3"/>
    </row>
    <row r="60" spans="1:26" ht="14.4" hidden="1" outlineLevel="1" x14ac:dyDescent="0.3">
      <c r="A60" s="3"/>
      <c r="B60" s="10" t="s">
        <v>50</v>
      </c>
      <c r="C60" s="62"/>
      <c r="D60" s="62"/>
      <c r="E60" s="12">
        <v>0</v>
      </c>
      <c r="F60" s="12">
        <v>0</v>
      </c>
      <c r="G60" s="89"/>
      <c r="H60" s="65"/>
      <c r="I60" s="112"/>
      <c r="J60" s="65"/>
      <c r="K60" s="37"/>
      <c r="L60" s="37"/>
      <c r="M60" s="37"/>
      <c r="N60" s="37"/>
      <c r="O60" s="37"/>
      <c r="P60" s="37"/>
      <c r="Q60" s="37"/>
      <c r="R60" s="37"/>
      <c r="S60" s="37"/>
      <c r="T60" s="37"/>
      <c r="U60" s="3"/>
      <c r="W60" s="3"/>
      <c r="X60" s="3"/>
      <c r="Y60" s="3"/>
      <c r="Z60" s="3"/>
    </row>
    <row r="61" spans="1:26" ht="14.4" hidden="1" outlineLevel="1" x14ac:dyDescent="0.3">
      <c r="A61" s="3"/>
      <c r="B61" s="10" t="s">
        <v>50</v>
      </c>
      <c r="C61" s="62"/>
      <c r="D61" s="62"/>
      <c r="E61" s="12">
        <v>0</v>
      </c>
      <c r="F61" s="12">
        <v>0</v>
      </c>
      <c r="G61" s="89"/>
      <c r="H61" s="65"/>
      <c r="I61" s="112"/>
      <c r="J61" s="65"/>
      <c r="K61" s="37"/>
      <c r="L61" s="37"/>
      <c r="M61" s="37"/>
      <c r="N61" s="37"/>
      <c r="O61" s="37"/>
      <c r="P61" s="37"/>
      <c r="Q61" s="37"/>
      <c r="R61" s="37"/>
      <c r="S61" s="37"/>
      <c r="T61" s="37"/>
      <c r="U61" s="3"/>
      <c r="W61" s="3"/>
      <c r="X61" s="3"/>
      <c r="Y61" s="3"/>
      <c r="Z61" s="3"/>
    </row>
    <row r="62" spans="1:26" ht="14.4" hidden="1" outlineLevel="1" x14ac:dyDescent="0.3">
      <c r="A62" s="3"/>
      <c r="B62" s="10" t="s">
        <v>50</v>
      </c>
      <c r="C62" s="62"/>
      <c r="D62" s="62"/>
      <c r="E62" s="12">
        <v>0</v>
      </c>
      <c r="F62" s="12">
        <v>0</v>
      </c>
      <c r="G62" s="65"/>
      <c r="H62" s="65"/>
      <c r="I62" s="112"/>
      <c r="J62" s="65"/>
      <c r="K62" s="37"/>
      <c r="L62" s="37"/>
      <c r="M62" s="37"/>
      <c r="N62" s="37"/>
      <c r="O62" s="37"/>
      <c r="P62" s="37"/>
      <c r="Q62" s="37"/>
      <c r="R62" s="37"/>
      <c r="S62" s="37"/>
      <c r="T62" s="37"/>
      <c r="U62" s="3"/>
      <c r="W62" s="3"/>
      <c r="X62" s="3"/>
      <c r="Y62" s="3"/>
      <c r="Z62" s="3"/>
    </row>
    <row r="63" spans="1:26" ht="20.399999999999999" collapsed="1" x14ac:dyDescent="0.3">
      <c r="A63" s="3"/>
      <c r="B63" s="84" t="s">
        <v>329</v>
      </c>
      <c r="C63" s="85" t="s">
        <v>43</v>
      </c>
      <c r="D63" s="85" t="s">
        <v>43</v>
      </c>
      <c r="E63" s="86">
        <f>SUM(E64:E92)</f>
        <v>0</v>
      </c>
      <c r="F63" s="86">
        <f>SUMIF(D64:D92,"OK",F64:F92)</f>
        <v>1504.16</v>
      </c>
      <c r="G63" s="87"/>
      <c r="H63" s="87"/>
      <c r="I63" s="88"/>
      <c r="J63" s="87"/>
      <c r="K63" s="37"/>
      <c r="L63" s="37"/>
      <c r="M63" s="37"/>
      <c r="N63" s="37"/>
      <c r="O63" s="37"/>
      <c r="P63" s="37"/>
      <c r="Q63" s="37"/>
      <c r="R63" s="37"/>
      <c r="S63" s="37"/>
      <c r="T63" s="37"/>
      <c r="U63" s="3"/>
    </row>
    <row r="64" spans="1:26" ht="14.4" hidden="1" outlineLevel="1" x14ac:dyDescent="0.3">
      <c r="A64" s="3"/>
      <c r="B64" s="10" t="s">
        <v>602</v>
      </c>
      <c r="C64" s="80">
        <v>6</v>
      </c>
      <c r="D64" s="62" t="s">
        <v>94</v>
      </c>
      <c r="E64" s="12">
        <v>0</v>
      </c>
      <c r="F64" s="12">
        <v>72.8</v>
      </c>
      <c r="G64" s="89"/>
      <c r="H64" s="65" t="s">
        <v>37</v>
      </c>
      <c r="I64" s="112" t="s">
        <v>947</v>
      </c>
      <c r="J64" s="89"/>
      <c r="K64" s="37"/>
      <c r="L64" s="37"/>
      <c r="M64" s="37"/>
      <c r="N64" s="37"/>
      <c r="O64" s="37"/>
      <c r="P64" s="37"/>
      <c r="Q64" s="37"/>
      <c r="R64" s="37"/>
      <c r="S64" s="37"/>
      <c r="T64" s="37"/>
      <c r="U64" s="3"/>
      <c r="V64" s="18"/>
    </row>
    <row r="65" spans="1:26" ht="14.4" hidden="1" outlineLevel="1" x14ac:dyDescent="0.3">
      <c r="A65" s="3"/>
      <c r="B65" s="10" t="s">
        <v>602</v>
      </c>
      <c r="C65" s="80">
        <v>6</v>
      </c>
      <c r="D65" s="62" t="s">
        <v>94</v>
      </c>
      <c r="E65" s="12">
        <v>0</v>
      </c>
      <c r="F65" s="12">
        <v>148.86000000000001</v>
      </c>
      <c r="G65" s="89"/>
      <c r="H65" s="65" t="s">
        <v>37</v>
      </c>
      <c r="I65" s="112" t="s">
        <v>948</v>
      </c>
      <c r="J65" s="89"/>
      <c r="K65" s="37"/>
      <c r="L65" s="37"/>
      <c r="M65" s="37"/>
      <c r="N65" s="37"/>
      <c r="O65" s="37"/>
      <c r="P65" s="37"/>
      <c r="Q65" s="37"/>
      <c r="R65" s="37"/>
      <c r="S65" s="37"/>
      <c r="T65" s="37"/>
      <c r="U65" s="3"/>
      <c r="V65" s="18"/>
    </row>
    <row r="66" spans="1:26" ht="14.4" hidden="1" outlineLevel="1" x14ac:dyDescent="0.3">
      <c r="A66" s="3"/>
      <c r="B66" s="10" t="s">
        <v>602</v>
      </c>
      <c r="C66" s="80">
        <v>6</v>
      </c>
      <c r="D66" s="62" t="s">
        <v>94</v>
      </c>
      <c r="E66" s="12">
        <v>0</v>
      </c>
      <c r="F66" s="12">
        <v>47.1</v>
      </c>
      <c r="G66" s="65" t="s">
        <v>949</v>
      </c>
      <c r="H66" s="65" t="s">
        <v>37</v>
      </c>
      <c r="I66" s="112" t="s">
        <v>950</v>
      </c>
      <c r="J66" s="89"/>
      <c r="K66" s="37"/>
      <c r="L66" s="37"/>
      <c r="M66" s="37"/>
      <c r="N66" s="37"/>
      <c r="O66" s="37"/>
      <c r="P66" s="37"/>
      <c r="Q66" s="37"/>
      <c r="R66" s="37"/>
      <c r="S66" s="37"/>
      <c r="T66" s="37"/>
      <c r="U66" s="3"/>
      <c r="V66" s="18"/>
    </row>
    <row r="67" spans="1:26" ht="14.4" hidden="1" outlineLevel="1" x14ac:dyDescent="0.3">
      <c r="A67" s="3"/>
      <c r="B67" s="10" t="s">
        <v>602</v>
      </c>
      <c r="C67" s="80">
        <v>6</v>
      </c>
      <c r="D67" s="62" t="s">
        <v>94</v>
      </c>
      <c r="E67" s="12">
        <v>0</v>
      </c>
      <c r="F67" s="12">
        <v>251.15</v>
      </c>
      <c r="G67" s="65" t="s">
        <v>949</v>
      </c>
      <c r="H67" s="65" t="s">
        <v>37</v>
      </c>
      <c r="I67" s="112" t="s">
        <v>951</v>
      </c>
      <c r="J67" s="89"/>
      <c r="K67" s="37"/>
      <c r="L67" s="37"/>
      <c r="M67" s="37"/>
      <c r="N67" s="37"/>
      <c r="O67" s="37"/>
      <c r="P67" s="37"/>
      <c r="Q67" s="37"/>
      <c r="R67" s="37"/>
      <c r="S67" s="37"/>
      <c r="T67" s="37"/>
      <c r="U67" s="3"/>
      <c r="V67" s="18"/>
    </row>
    <row r="68" spans="1:26" ht="14.4" hidden="1" outlineLevel="1" x14ac:dyDescent="0.3">
      <c r="A68" s="3"/>
      <c r="B68" s="10" t="s">
        <v>602</v>
      </c>
      <c r="C68" s="80"/>
      <c r="D68" s="62"/>
      <c r="E68" s="12">
        <v>0</v>
      </c>
      <c r="F68" s="12">
        <v>0</v>
      </c>
      <c r="G68" s="89"/>
      <c r="H68" s="65"/>
      <c r="I68" s="112"/>
      <c r="J68" s="89"/>
      <c r="K68" s="37"/>
      <c r="L68" s="37"/>
      <c r="M68" s="37"/>
      <c r="N68" s="37"/>
      <c r="O68" s="37"/>
      <c r="P68" s="37"/>
      <c r="Q68" s="37"/>
      <c r="R68" s="37"/>
      <c r="S68" s="37"/>
      <c r="T68" s="37"/>
      <c r="U68" s="3"/>
      <c r="V68" s="18"/>
    </row>
    <row r="69" spans="1:26" ht="14.4" hidden="1" outlineLevel="1" x14ac:dyDescent="0.3">
      <c r="A69" s="3"/>
      <c r="B69" s="10" t="s">
        <v>602</v>
      </c>
      <c r="C69" s="80"/>
      <c r="D69" s="62"/>
      <c r="E69" s="12">
        <v>0</v>
      </c>
      <c r="F69" s="12">
        <v>0</v>
      </c>
      <c r="G69" s="89"/>
      <c r="H69" s="65"/>
      <c r="I69" s="112"/>
      <c r="J69" s="89"/>
      <c r="K69" s="37"/>
      <c r="L69" s="37"/>
      <c r="M69" s="37"/>
      <c r="N69" s="37"/>
      <c r="O69" s="37"/>
      <c r="P69" s="37"/>
      <c r="Q69" s="37"/>
      <c r="R69" s="37"/>
      <c r="S69" s="37"/>
      <c r="T69" s="37"/>
      <c r="U69" s="3"/>
      <c r="V69" s="18"/>
    </row>
    <row r="70" spans="1:26" ht="14.4" hidden="1" outlineLevel="1" x14ac:dyDescent="0.3">
      <c r="A70" s="3"/>
      <c r="B70" s="10" t="s">
        <v>602</v>
      </c>
      <c r="C70" s="80"/>
      <c r="D70" s="62"/>
      <c r="E70" s="12">
        <v>0</v>
      </c>
      <c r="F70" s="12">
        <v>0</v>
      </c>
      <c r="G70" s="89"/>
      <c r="H70" s="65"/>
      <c r="I70" s="112"/>
      <c r="J70" s="89"/>
      <c r="K70" s="37"/>
      <c r="L70" s="37"/>
      <c r="M70" s="37"/>
      <c r="N70" s="37"/>
      <c r="O70" s="37"/>
      <c r="P70" s="37"/>
      <c r="Q70" s="37"/>
      <c r="R70" s="37"/>
      <c r="S70" s="37"/>
      <c r="T70" s="37"/>
      <c r="U70" s="3"/>
      <c r="V70" s="18"/>
    </row>
    <row r="71" spans="1:26" ht="14.4" hidden="1" outlineLevel="1" x14ac:dyDescent="0.3">
      <c r="A71" s="3"/>
      <c r="B71" s="10" t="s">
        <v>602</v>
      </c>
      <c r="C71" s="80"/>
      <c r="D71" s="62"/>
      <c r="E71" s="12">
        <v>0</v>
      </c>
      <c r="F71" s="12">
        <v>0</v>
      </c>
      <c r="G71" s="89"/>
      <c r="H71" s="65"/>
      <c r="I71" s="112"/>
      <c r="J71" s="89"/>
      <c r="K71" s="37"/>
      <c r="L71" s="37"/>
      <c r="M71" s="37"/>
      <c r="N71" s="37"/>
      <c r="O71" s="37"/>
      <c r="P71" s="37"/>
      <c r="Q71" s="37"/>
      <c r="R71" s="37"/>
      <c r="S71" s="37"/>
      <c r="T71" s="37"/>
      <c r="U71" s="3"/>
      <c r="V71" s="18"/>
    </row>
    <row r="72" spans="1:26" ht="14.4" hidden="1" outlineLevel="1" x14ac:dyDescent="0.3">
      <c r="A72" s="3"/>
      <c r="B72" s="10" t="s">
        <v>612</v>
      </c>
      <c r="C72" s="80">
        <v>15</v>
      </c>
      <c r="D72" s="62" t="s">
        <v>94</v>
      </c>
      <c r="E72" s="12">
        <v>0</v>
      </c>
      <c r="F72" s="12">
        <v>105</v>
      </c>
      <c r="G72" s="89" t="s">
        <v>613</v>
      </c>
      <c r="H72" s="65" t="s">
        <v>37</v>
      </c>
      <c r="I72" s="112" t="s">
        <v>952</v>
      </c>
      <c r="J72" s="89"/>
      <c r="K72" s="37"/>
      <c r="L72" s="37"/>
      <c r="M72" s="37"/>
      <c r="N72" s="37"/>
      <c r="O72" s="37"/>
      <c r="P72" s="37"/>
      <c r="Q72" s="37"/>
      <c r="R72" s="37"/>
      <c r="S72" s="37"/>
      <c r="T72" s="37"/>
      <c r="U72" s="3"/>
      <c r="V72" s="18"/>
    </row>
    <row r="73" spans="1:26" ht="14.4" hidden="1" outlineLevel="1" x14ac:dyDescent="0.3">
      <c r="A73" s="3"/>
      <c r="B73" s="10" t="s">
        <v>612</v>
      </c>
      <c r="C73" s="80">
        <v>15</v>
      </c>
      <c r="D73" s="62" t="s">
        <v>94</v>
      </c>
      <c r="E73" s="12">
        <v>0</v>
      </c>
      <c r="F73" s="12">
        <v>42.4</v>
      </c>
      <c r="G73" s="89" t="s">
        <v>953</v>
      </c>
      <c r="H73" s="65" t="s">
        <v>37</v>
      </c>
      <c r="I73" s="112" t="s">
        <v>954</v>
      </c>
      <c r="J73" s="89"/>
      <c r="K73" s="37"/>
      <c r="L73" s="37"/>
      <c r="M73" s="37"/>
      <c r="N73" s="37"/>
      <c r="O73" s="37"/>
      <c r="P73" s="37"/>
      <c r="Q73" s="37"/>
      <c r="R73" s="37"/>
      <c r="S73" s="37"/>
      <c r="T73" s="37"/>
      <c r="U73" s="3"/>
      <c r="V73" s="18"/>
    </row>
    <row r="74" spans="1:26" ht="14.4" hidden="1" outlineLevel="1" x14ac:dyDescent="0.3">
      <c r="A74" s="3"/>
      <c r="B74" s="10" t="s">
        <v>612</v>
      </c>
      <c r="C74" s="80">
        <v>16</v>
      </c>
      <c r="D74" s="62" t="s">
        <v>94</v>
      </c>
      <c r="E74" s="12">
        <v>0</v>
      </c>
      <c r="F74" s="12">
        <v>170.05</v>
      </c>
      <c r="G74" s="89"/>
      <c r="H74" s="65" t="s">
        <v>37</v>
      </c>
      <c r="I74" s="112" t="s">
        <v>955</v>
      </c>
      <c r="J74" s="89"/>
      <c r="K74" s="37"/>
      <c r="L74" s="37"/>
      <c r="M74" s="37"/>
      <c r="N74" s="37"/>
      <c r="O74" s="37"/>
      <c r="P74" s="37"/>
      <c r="Q74" s="37"/>
      <c r="R74" s="37"/>
      <c r="S74" s="37"/>
      <c r="T74" s="37"/>
      <c r="U74" s="3"/>
      <c r="V74" s="18"/>
    </row>
    <row r="75" spans="1:26" ht="14.4" hidden="1" outlineLevel="1" x14ac:dyDescent="0.3">
      <c r="A75" s="3"/>
      <c r="B75" s="10" t="s">
        <v>612</v>
      </c>
      <c r="C75" s="62"/>
      <c r="D75" s="62"/>
      <c r="E75" s="12">
        <v>0</v>
      </c>
      <c r="F75" s="12">
        <v>0</v>
      </c>
      <c r="G75" s="124"/>
      <c r="H75" s="65"/>
      <c r="I75" s="112"/>
      <c r="J75" s="65"/>
      <c r="K75" s="37"/>
      <c r="L75" s="37"/>
      <c r="M75" s="37"/>
      <c r="N75" s="37"/>
      <c r="O75" s="37"/>
      <c r="P75" s="37"/>
      <c r="Q75" s="37"/>
      <c r="R75" s="37"/>
      <c r="S75" s="37"/>
      <c r="T75" s="37"/>
      <c r="U75" s="3"/>
    </row>
    <row r="76" spans="1:26" ht="14.4" hidden="1" outlineLevel="1" x14ac:dyDescent="0.3">
      <c r="A76" s="3"/>
      <c r="B76" s="10" t="s">
        <v>612</v>
      </c>
      <c r="C76" s="62"/>
      <c r="D76" s="62"/>
      <c r="E76" s="12">
        <v>0</v>
      </c>
      <c r="F76" s="12">
        <v>0</v>
      </c>
      <c r="G76" s="65"/>
      <c r="H76" s="65"/>
      <c r="I76" s="112"/>
      <c r="J76" s="65"/>
      <c r="K76" s="37"/>
      <c r="L76" s="37"/>
      <c r="M76" s="37"/>
      <c r="N76" s="37"/>
      <c r="O76" s="37"/>
      <c r="P76" s="37"/>
      <c r="Q76" s="37"/>
      <c r="R76" s="37"/>
      <c r="S76" s="37"/>
      <c r="T76" s="37"/>
      <c r="U76" s="3"/>
    </row>
    <row r="77" spans="1:26" ht="14.4" hidden="1" outlineLevel="1" x14ac:dyDescent="0.3">
      <c r="A77" s="3"/>
      <c r="B77" s="10" t="s">
        <v>612</v>
      </c>
      <c r="C77" s="80"/>
      <c r="D77" s="62"/>
      <c r="E77" s="12">
        <v>0</v>
      </c>
      <c r="F77" s="12">
        <v>0</v>
      </c>
      <c r="G77" s="89"/>
      <c r="H77" s="65"/>
      <c r="I77" s="112"/>
      <c r="J77" s="89"/>
      <c r="K77" s="37"/>
      <c r="L77" s="37"/>
      <c r="M77" s="37"/>
      <c r="N77" s="37"/>
      <c r="O77" s="37"/>
      <c r="P77" s="37"/>
      <c r="Q77" s="37"/>
      <c r="R77" s="37"/>
      <c r="S77" s="37"/>
      <c r="T77" s="37"/>
      <c r="U77" s="3"/>
    </row>
    <row r="78" spans="1:26" ht="14.4" hidden="1" outlineLevel="1" x14ac:dyDescent="0.3">
      <c r="A78" s="3"/>
      <c r="B78" s="10" t="s">
        <v>612</v>
      </c>
      <c r="C78" s="80"/>
      <c r="D78" s="62"/>
      <c r="E78" s="12">
        <v>0</v>
      </c>
      <c r="F78" s="12">
        <v>0</v>
      </c>
      <c r="G78" s="89"/>
      <c r="H78" s="65"/>
      <c r="I78" s="112"/>
      <c r="J78" s="89"/>
      <c r="K78" s="37"/>
      <c r="L78" s="37"/>
      <c r="M78" s="37"/>
      <c r="N78" s="37"/>
      <c r="O78" s="37"/>
      <c r="P78" s="37"/>
      <c r="Q78" s="37"/>
      <c r="R78" s="37"/>
      <c r="S78" s="37"/>
      <c r="T78" s="37"/>
      <c r="U78" s="3"/>
    </row>
    <row r="79" spans="1:26" ht="14.4" hidden="1" outlineLevel="1" x14ac:dyDescent="0.3">
      <c r="A79" s="3"/>
      <c r="B79" s="10" t="s">
        <v>612</v>
      </c>
      <c r="C79" s="80"/>
      <c r="D79" s="62"/>
      <c r="E79" s="12">
        <v>0</v>
      </c>
      <c r="F79" s="12">
        <v>0</v>
      </c>
      <c r="G79" s="89"/>
      <c r="H79" s="65"/>
      <c r="I79" s="112"/>
      <c r="J79" s="65"/>
      <c r="K79" s="37"/>
      <c r="L79" s="37"/>
      <c r="M79" s="37"/>
      <c r="N79" s="37"/>
      <c r="O79" s="37"/>
      <c r="P79" s="37"/>
      <c r="Q79" s="37"/>
      <c r="R79" s="37"/>
      <c r="S79" s="37"/>
      <c r="T79" s="37"/>
      <c r="U79" s="3"/>
      <c r="W79" s="3"/>
      <c r="X79" s="3"/>
      <c r="Y79" s="3"/>
      <c r="Z79" s="3"/>
    </row>
    <row r="80" spans="1:26" ht="14.4" hidden="1" outlineLevel="1" x14ac:dyDescent="0.3">
      <c r="A80" s="3"/>
      <c r="B80" s="10" t="s">
        <v>330</v>
      </c>
      <c r="C80" s="80">
        <v>16</v>
      </c>
      <c r="D80" s="62" t="s">
        <v>94</v>
      </c>
      <c r="E80" s="12">
        <v>0</v>
      </c>
      <c r="F80" s="12">
        <v>44.1</v>
      </c>
      <c r="G80" s="89" t="s">
        <v>956</v>
      </c>
      <c r="H80" s="65" t="s">
        <v>37</v>
      </c>
      <c r="I80" s="112" t="s">
        <v>957</v>
      </c>
      <c r="J80" s="89"/>
      <c r="K80" s="37"/>
      <c r="L80" s="37"/>
      <c r="M80" s="37"/>
      <c r="N80" s="37"/>
      <c r="O80" s="37"/>
      <c r="P80" s="37"/>
      <c r="Q80" s="37"/>
      <c r="R80" s="37"/>
      <c r="S80" s="37"/>
      <c r="T80" s="37"/>
      <c r="U80" s="3"/>
      <c r="V80" s="18"/>
    </row>
    <row r="81" spans="1:26" ht="14.4" hidden="1" outlineLevel="1" x14ac:dyDescent="0.3">
      <c r="A81" s="3"/>
      <c r="B81" s="10" t="s">
        <v>330</v>
      </c>
      <c r="C81" s="80"/>
      <c r="D81" s="62"/>
      <c r="E81" s="12">
        <v>0</v>
      </c>
      <c r="F81" s="12">
        <v>0</v>
      </c>
      <c r="G81" s="89"/>
      <c r="H81" s="65"/>
      <c r="I81" s="112"/>
      <c r="J81" s="89"/>
      <c r="K81" s="37"/>
      <c r="L81" s="37"/>
      <c r="M81" s="37"/>
      <c r="N81" s="37"/>
      <c r="O81" s="37"/>
      <c r="P81" s="37"/>
      <c r="Q81" s="37"/>
      <c r="R81" s="37"/>
      <c r="S81" s="37"/>
      <c r="T81" s="37"/>
      <c r="U81" s="3"/>
      <c r="V81" s="18"/>
    </row>
    <row r="82" spans="1:26" ht="14.4" hidden="1" outlineLevel="1" x14ac:dyDescent="0.3">
      <c r="A82" s="3"/>
      <c r="B82" s="10" t="s">
        <v>330</v>
      </c>
      <c r="C82" s="80"/>
      <c r="D82" s="62"/>
      <c r="E82" s="12">
        <v>0</v>
      </c>
      <c r="F82" s="12">
        <v>0</v>
      </c>
      <c r="G82" s="89"/>
      <c r="H82" s="65"/>
      <c r="I82" s="112"/>
      <c r="J82" s="89"/>
      <c r="K82" s="37"/>
      <c r="L82" s="37"/>
      <c r="M82" s="37"/>
      <c r="N82" s="37"/>
      <c r="O82" s="37"/>
      <c r="P82" s="37"/>
      <c r="Q82" s="37"/>
      <c r="R82" s="37"/>
      <c r="S82" s="37"/>
      <c r="T82" s="37"/>
      <c r="U82" s="3"/>
      <c r="V82" s="18"/>
    </row>
    <row r="83" spans="1:26" ht="14.4" hidden="1" outlineLevel="1" x14ac:dyDescent="0.3">
      <c r="A83" s="3"/>
      <c r="B83" s="10" t="s">
        <v>330</v>
      </c>
      <c r="C83" s="80"/>
      <c r="D83" s="62"/>
      <c r="E83" s="12">
        <v>0</v>
      </c>
      <c r="F83" s="12">
        <v>0</v>
      </c>
      <c r="G83" s="89"/>
      <c r="H83" s="65"/>
      <c r="I83" s="112"/>
      <c r="J83" s="89"/>
      <c r="K83" s="37"/>
      <c r="L83" s="37"/>
      <c r="M83" s="37"/>
      <c r="N83" s="37"/>
      <c r="O83" s="37"/>
      <c r="P83" s="37"/>
      <c r="Q83" s="37"/>
      <c r="R83" s="37"/>
      <c r="S83" s="37"/>
      <c r="T83" s="37"/>
      <c r="U83" s="3"/>
      <c r="V83" s="18"/>
    </row>
    <row r="84" spans="1:26" ht="14.4" hidden="1" outlineLevel="1" x14ac:dyDescent="0.3">
      <c r="A84" s="3"/>
      <c r="B84" s="10" t="s">
        <v>330</v>
      </c>
      <c r="C84" s="80"/>
      <c r="D84" s="62"/>
      <c r="E84" s="12">
        <v>0</v>
      </c>
      <c r="F84" s="12">
        <v>0</v>
      </c>
      <c r="G84" s="89"/>
      <c r="H84" s="65"/>
      <c r="I84" s="112"/>
      <c r="J84" s="89"/>
      <c r="K84" s="37"/>
      <c r="L84" s="37"/>
      <c r="M84" s="37"/>
      <c r="N84" s="37"/>
      <c r="O84" s="37"/>
      <c r="P84" s="37"/>
      <c r="Q84" s="37"/>
      <c r="R84" s="37"/>
      <c r="S84" s="37"/>
      <c r="T84" s="37"/>
      <c r="U84" s="3"/>
      <c r="V84" s="18"/>
    </row>
    <row r="85" spans="1:26" ht="14.4" hidden="1" outlineLevel="1" x14ac:dyDescent="0.3">
      <c r="A85" s="3"/>
      <c r="B85" s="10" t="s">
        <v>334</v>
      </c>
      <c r="C85" s="80">
        <v>11</v>
      </c>
      <c r="D85" s="62" t="s">
        <v>94</v>
      </c>
      <c r="E85" s="12">
        <v>0</v>
      </c>
      <c r="F85" s="12">
        <v>200</v>
      </c>
      <c r="G85" s="89"/>
      <c r="H85" s="65" t="s">
        <v>37</v>
      </c>
      <c r="I85" s="112" t="s">
        <v>958</v>
      </c>
      <c r="J85" s="89"/>
      <c r="K85" s="37"/>
      <c r="L85" s="37"/>
      <c r="M85" s="37"/>
      <c r="N85" s="37"/>
      <c r="O85" s="37"/>
      <c r="P85" s="37"/>
      <c r="Q85" s="37"/>
      <c r="R85" s="37"/>
      <c r="S85" s="37"/>
      <c r="T85" s="37"/>
      <c r="U85" s="3"/>
      <c r="V85" s="18"/>
    </row>
    <row r="86" spans="1:26" ht="14.4" hidden="1" outlineLevel="1" x14ac:dyDescent="0.3">
      <c r="A86" s="3"/>
      <c r="B86" s="10" t="s">
        <v>334</v>
      </c>
      <c r="C86" s="62"/>
      <c r="D86" s="62"/>
      <c r="E86" s="12">
        <v>0</v>
      </c>
      <c r="F86" s="12">
        <v>0</v>
      </c>
      <c r="G86" s="124"/>
      <c r="H86" s="65"/>
      <c r="I86" s="112"/>
      <c r="J86" s="65"/>
      <c r="K86" s="37"/>
      <c r="L86" s="37"/>
      <c r="M86" s="37"/>
      <c r="N86" s="37"/>
      <c r="O86" s="37"/>
      <c r="P86" s="37"/>
      <c r="Q86" s="37"/>
      <c r="R86" s="37"/>
      <c r="S86" s="37"/>
      <c r="T86" s="37"/>
      <c r="U86" s="3"/>
    </row>
    <row r="87" spans="1:26" ht="14.4" hidden="1" outlineLevel="1" x14ac:dyDescent="0.3">
      <c r="A87" s="3"/>
      <c r="B87" s="10" t="s">
        <v>627</v>
      </c>
      <c r="C87" s="62"/>
      <c r="D87" s="62"/>
      <c r="E87" s="12">
        <v>0</v>
      </c>
      <c r="F87" s="12">
        <v>0</v>
      </c>
      <c r="G87" s="65"/>
      <c r="H87" s="65"/>
      <c r="I87" s="112"/>
      <c r="J87" s="65"/>
      <c r="K87" s="37"/>
      <c r="L87" s="37"/>
      <c r="M87" s="37"/>
      <c r="N87" s="37"/>
      <c r="O87" s="37"/>
      <c r="P87" s="37"/>
      <c r="Q87" s="37"/>
      <c r="R87" s="37"/>
      <c r="S87" s="37"/>
      <c r="T87" s="37"/>
      <c r="U87" s="3"/>
    </row>
    <row r="88" spans="1:26" ht="14.4" hidden="1" outlineLevel="1" x14ac:dyDescent="0.3">
      <c r="A88" s="3"/>
      <c r="B88" s="10" t="s">
        <v>627</v>
      </c>
      <c r="C88" s="80"/>
      <c r="D88" s="62"/>
      <c r="E88" s="12">
        <v>0</v>
      </c>
      <c r="F88" s="12">
        <v>0</v>
      </c>
      <c r="G88" s="89"/>
      <c r="H88" s="65"/>
      <c r="I88" s="112"/>
      <c r="J88" s="89"/>
      <c r="K88" s="37"/>
      <c r="L88" s="37"/>
      <c r="M88" s="37"/>
      <c r="N88" s="37"/>
      <c r="O88" s="37"/>
      <c r="P88" s="37"/>
      <c r="Q88" s="37"/>
      <c r="R88" s="37"/>
      <c r="S88" s="37"/>
      <c r="T88" s="37"/>
      <c r="U88" s="3"/>
    </row>
    <row r="89" spans="1:26" ht="14.4" hidden="1" outlineLevel="1" x14ac:dyDescent="0.3">
      <c r="A89" s="3"/>
      <c r="B89" s="10" t="s">
        <v>629</v>
      </c>
      <c r="C89" s="80">
        <v>16</v>
      </c>
      <c r="D89" s="62" t="s">
        <v>94</v>
      </c>
      <c r="E89" s="12">
        <v>0</v>
      </c>
      <c r="F89" s="12">
        <v>422.7</v>
      </c>
      <c r="G89" s="89"/>
      <c r="H89" s="65" t="s">
        <v>37</v>
      </c>
      <c r="I89" s="112" t="s">
        <v>959</v>
      </c>
      <c r="J89" s="89"/>
      <c r="K89" s="37"/>
      <c r="L89" s="37"/>
      <c r="M89" s="37"/>
      <c r="N89" s="37"/>
      <c r="O89" s="37"/>
      <c r="P89" s="37"/>
      <c r="Q89" s="37"/>
      <c r="R89" s="37"/>
      <c r="S89" s="37"/>
      <c r="T89" s="37"/>
      <c r="U89" s="3"/>
    </row>
    <row r="90" spans="1:26" ht="14.4" hidden="1" outlineLevel="1" x14ac:dyDescent="0.3">
      <c r="A90" s="3"/>
      <c r="B90" s="10" t="s">
        <v>629</v>
      </c>
      <c r="C90" s="80"/>
      <c r="D90" s="62"/>
      <c r="E90" s="12">
        <v>0</v>
      </c>
      <c r="F90" s="12">
        <v>0</v>
      </c>
      <c r="G90" s="89"/>
      <c r="H90" s="65"/>
      <c r="I90" s="112"/>
      <c r="J90" s="65"/>
      <c r="K90" s="37"/>
      <c r="L90" s="37"/>
      <c r="M90" s="37"/>
      <c r="N90" s="37"/>
      <c r="O90" s="37"/>
      <c r="P90" s="37"/>
      <c r="Q90" s="37"/>
      <c r="R90" s="37"/>
      <c r="S90" s="37"/>
      <c r="T90" s="37"/>
      <c r="U90" s="3"/>
      <c r="W90" s="3"/>
      <c r="X90" s="3"/>
      <c r="Y90" s="3"/>
      <c r="Z90" s="3"/>
    </row>
    <row r="91" spans="1:26" ht="14.4" hidden="1" outlineLevel="1" x14ac:dyDescent="0.3">
      <c r="A91" s="3"/>
      <c r="B91" s="10" t="s">
        <v>631</v>
      </c>
      <c r="C91" s="62"/>
      <c r="D91" s="62"/>
      <c r="E91" s="12">
        <v>0</v>
      </c>
      <c r="F91" s="12">
        <v>0</v>
      </c>
      <c r="G91" s="89"/>
      <c r="H91" s="65"/>
      <c r="I91" s="112"/>
      <c r="J91" s="65"/>
      <c r="K91" s="37"/>
      <c r="L91" s="37"/>
      <c r="M91" s="37"/>
      <c r="N91" s="37"/>
      <c r="O91" s="37"/>
      <c r="P91" s="37"/>
      <c r="Q91" s="37"/>
      <c r="R91" s="37"/>
      <c r="S91" s="37"/>
      <c r="T91" s="37"/>
      <c r="U91" s="3"/>
      <c r="W91" s="3"/>
      <c r="X91" s="3"/>
      <c r="Y91" s="3"/>
      <c r="Z91" s="3"/>
    </row>
    <row r="92" spans="1:26" ht="14.4" hidden="1" outlineLevel="1" x14ac:dyDescent="0.3">
      <c r="A92" s="3"/>
      <c r="B92" s="10" t="s">
        <v>631</v>
      </c>
      <c r="C92" s="62"/>
      <c r="D92" s="62"/>
      <c r="E92" s="12">
        <v>0</v>
      </c>
      <c r="F92" s="12">
        <v>0</v>
      </c>
      <c r="G92" s="89"/>
      <c r="H92" s="65"/>
      <c r="I92" s="112"/>
      <c r="J92" s="65"/>
      <c r="K92" s="37"/>
      <c r="L92" s="37"/>
      <c r="M92" s="37"/>
      <c r="N92" s="37"/>
      <c r="O92" s="37"/>
      <c r="P92" s="37"/>
      <c r="Q92" s="37"/>
      <c r="R92" s="37"/>
      <c r="S92" s="37"/>
      <c r="T92" s="37"/>
      <c r="U92" s="3"/>
      <c r="W92" s="3"/>
      <c r="X92" s="3"/>
      <c r="Y92" s="3"/>
      <c r="Z92" s="3"/>
    </row>
    <row r="93" spans="1:26" ht="20.399999999999999" collapsed="1" x14ac:dyDescent="0.3">
      <c r="A93" s="3"/>
      <c r="B93" s="84" t="s">
        <v>348</v>
      </c>
      <c r="C93" s="85" t="s">
        <v>43</v>
      </c>
      <c r="D93" s="85" t="s">
        <v>43</v>
      </c>
      <c r="E93" s="86">
        <f t="shared" ref="E93:F93" si="0">SUM(E94,E110,E115)</f>
        <v>28</v>
      </c>
      <c r="F93" s="86">
        <f t="shared" si="0"/>
        <v>5172.17</v>
      </c>
      <c r="G93" s="87"/>
      <c r="H93" s="87"/>
      <c r="I93" s="88"/>
      <c r="J93" s="87"/>
      <c r="K93" s="37"/>
      <c r="L93" s="37"/>
      <c r="M93" s="37"/>
      <c r="N93" s="37"/>
      <c r="O93" s="37"/>
      <c r="P93" s="37"/>
      <c r="Q93" s="37"/>
      <c r="R93" s="37"/>
      <c r="S93" s="37"/>
      <c r="T93" s="37"/>
      <c r="U93" s="3"/>
      <c r="W93" s="3"/>
      <c r="X93" s="3"/>
      <c r="Y93" s="3"/>
      <c r="Z93" s="3"/>
    </row>
    <row r="94" spans="1:26" hidden="1" outlineLevel="1" x14ac:dyDescent="0.3">
      <c r="A94" s="3"/>
      <c r="B94" s="91" t="s">
        <v>349</v>
      </c>
      <c r="C94" s="92"/>
      <c r="D94" s="92"/>
      <c r="E94" s="93">
        <f>SUM(E95:E109)</f>
        <v>28</v>
      </c>
      <c r="F94" s="93">
        <f>SUMIF(D95:D109,"OK",F95:F109)</f>
        <v>4696.1900000000005</v>
      </c>
      <c r="G94" s="94"/>
      <c r="H94" s="94"/>
      <c r="I94" s="95"/>
      <c r="J94" s="94"/>
      <c r="K94" s="37"/>
      <c r="L94" s="37"/>
      <c r="M94" s="37"/>
      <c r="N94" s="37"/>
      <c r="O94" s="37"/>
      <c r="P94" s="37"/>
      <c r="Q94" s="37"/>
      <c r="R94" s="37"/>
      <c r="S94" s="37"/>
      <c r="T94" s="37"/>
      <c r="U94" s="3"/>
      <c r="W94" s="3"/>
      <c r="X94" s="3"/>
      <c r="Y94" s="3"/>
      <c r="Z94" s="3"/>
    </row>
    <row r="95" spans="1:26" ht="14.4" hidden="1" outlineLevel="1" x14ac:dyDescent="0.3">
      <c r="A95" s="3"/>
      <c r="B95" s="10" t="s">
        <v>362</v>
      </c>
      <c r="C95" s="62">
        <v>7</v>
      </c>
      <c r="D95" s="62" t="s">
        <v>94</v>
      </c>
      <c r="E95" s="12">
        <v>0</v>
      </c>
      <c r="F95" s="12">
        <v>530</v>
      </c>
      <c r="G95" s="65" t="s">
        <v>613</v>
      </c>
      <c r="H95" s="65" t="s">
        <v>37</v>
      </c>
      <c r="I95" s="112" t="s">
        <v>960</v>
      </c>
      <c r="J95" s="65"/>
      <c r="K95" s="37"/>
      <c r="L95" s="37"/>
      <c r="M95" s="37"/>
      <c r="N95" s="37"/>
      <c r="O95" s="37"/>
      <c r="P95" s="37"/>
      <c r="Q95" s="37"/>
      <c r="R95" s="37"/>
      <c r="S95" s="37"/>
      <c r="T95" s="37"/>
      <c r="U95" s="3"/>
      <c r="W95" s="3"/>
      <c r="X95" s="3"/>
      <c r="Y95" s="3"/>
      <c r="Z95" s="3"/>
    </row>
    <row r="96" spans="1:26" ht="14.4" hidden="1" outlineLevel="1" x14ac:dyDescent="0.3">
      <c r="A96" s="3"/>
      <c r="B96" s="10" t="s">
        <v>362</v>
      </c>
      <c r="C96" s="62">
        <v>7</v>
      </c>
      <c r="D96" s="62" t="s">
        <v>94</v>
      </c>
      <c r="E96" s="12">
        <v>0</v>
      </c>
      <c r="F96" s="12">
        <v>77.64</v>
      </c>
      <c r="G96" s="65"/>
      <c r="H96" s="65" t="s">
        <v>37</v>
      </c>
      <c r="I96" s="112" t="s">
        <v>961</v>
      </c>
      <c r="J96" s="65"/>
      <c r="K96" s="37"/>
      <c r="L96" s="37"/>
      <c r="M96" s="37"/>
      <c r="N96" s="37"/>
      <c r="O96" s="37"/>
      <c r="P96" s="37"/>
      <c r="Q96" s="37"/>
      <c r="R96" s="37"/>
      <c r="S96" s="37"/>
      <c r="T96" s="37"/>
      <c r="U96" s="3"/>
      <c r="W96" s="3"/>
      <c r="X96" s="3"/>
      <c r="Y96" s="3"/>
      <c r="Z96" s="3"/>
    </row>
    <row r="97" spans="1:26" ht="14.4" hidden="1" outlineLevel="1" x14ac:dyDescent="0.3">
      <c r="A97" s="3"/>
      <c r="B97" s="10" t="s">
        <v>362</v>
      </c>
      <c r="C97" s="62">
        <v>7</v>
      </c>
      <c r="D97" s="62" t="s">
        <v>94</v>
      </c>
      <c r="E97" s="12">
        <v>0</v>
      </c>
      <c r="F97" s="12">
        <v>754.52</v>
      </c>
      <c r="G97" s="65"/>
      <c r="H97" s="65" t="s">
        <v>37</v>
      </c>
      <c r="I97" s="112" t="s">
        <v>962</v>
      </c>
      <c r="J97" s="65"/>
      <c r="K97" s="37"/>
      <c r="L97" s="37"/>
      <c r="M97" s="37"/>
      <c r="N97" s="37"/>
      <c r="O97" s="37"/>
      <c r="P97" s="37"/>
      <c r="Q97" s="37"/>
      <c r="R97" s="37"/>
      <c r="S97" s="37"/>
      <c r="T97" s="37"/>
      <c r="U97" s="3"/>
      <c r="W97" s="3"/>
      <c r="X97" s="3"/>
      <c r="Y97" s="3"/>
      <c r="Z97" s="3"/>
    </row>
    <row r="98" spans="1:26" ht="14.4" hidden="1" outlineLevel="1" x14ac:dyDescent="0.3">
      <c r="A98" s="3"/>
      <c r="B98" s="10" t="s">
        <v>362</v>
      </c>
      <c r="C98" s="62">
        <v>7</v>
      </c>
      <c r="D98" s="62" t="s">
        <v>94</v>
      </c>
      <c r="E98" s="12">
        <v>0</v>
      </c>
      <c r="F98" s="12">
        <v>49.98</v>
      </c>
      <c r="G98" s="65"/>
      <c r="H98" s="65" t="s">
        <v>37</v>
      </c>
      <c r="I98" s="112" t="s">
        <v>963</v>
      </c>
      <c r="J98" s="65"/>
      <c r="K98" s="37"/>
      <c r="L98" s="37"/>
      <c r="M98" s="37"/>
      <c r="N98" s="37"/>
      <c r="O98" s="37"/>
      <c r="P98" s="37"/>
      <c r="Q98" s="37"/>
      <c r="R98" s="37"/>
      <c r="S98" s="37"/>
      <c r="T98" s="37"/>
      <c r="U98" s="3"/>
      <c r="W98" s="3"/>
      <c r="X98" s="3"/>
      <c r="Y98" s="3"/>
      <c r="Z98" s="3"/>
    </row>
    <row r="99" spans="1:26" ht="14.4" hidden="1" outlineLevel="1" x14ac:dyDescent="0.3">
      <c r="A99" s="3"/>
      <c r="B99" s="10" t="s">
        <v>362</v>
      </c>
      <c r="C99" s="62">
        <v>7</v>
      </c>
      <c r="D99" s="62" t="s">
        <v>94</v>
      </c>
      <c r="E99" s="12">
        <v>0</v>
      </c>
      <c r="F99" s="12">
        <v>311.61</v>
      </c>
      <c r="G99" s="65"/>
      <c r="H99" s="65" t="s">
        <v>37</v>
      </c>
      <c r="I99" s="112" t="s">
        <v>964</v>
      </c>
      <c r="J99" s="65"/>
      <c r="K99" s="37"/>
      <c r="L99" s="37"/>
      <c r="M99" s="37"/>
      <c r="N99" s="37"/>
      <c r="O99" s="37"/>
      <c r="P99" s="37"/>
      <c r="Q99" s="37"/>
      <c r="R99" s="37"/>
      <c r="S99" s="37"/>
      <c r="T99" s="37"/>
      <c r="U99" s="3"/>
      <c r="W99" s="3"/>
      <c r="X99" s="3"/>
      <c r="Y99" s="3"/>
      <c r="Z99" s="3"/>
    </row>
    <row r="100" spans="1:26" ht="14.4" hidden="1" outlineLevel="1" x14ac:dyDescent="0.3">
      <c r="A100" s="3"/>
      <c r="B100" s="10" t="s">
        <v>362</v>
      </c>
      <c r="C100" s="62">
        <v>7</v>
      </c>
      <c r="D100" s="62" t="s">
        <v>94</v>
      </c>
      <c r="E100" s="12">
        <v>0</v>
      </c>
      <c r="F100" s="12">
        <v>19</v>
      </c>
      <c r="G100" s="65"/>
      <c r="H100" s="65" t="s">
        <v>37</v>
      </c>
      <c r="I100" s="112" t="s">
        <v>965</v>
      </c>
      <c r="J100" s="65"/>
      <c r="K100" s="37"/>
      <c r="L100" s="37"/>
      <c r="M100" s="37"/>
      <c r="N100" s="37"/>
      <c r="O100" s="37"/>
      <c r="P100" s="37"/>
      <c r="Q100" s="37"/>
      <c r="R100" s="37"/>
      <c r="S100" s="37"/>
      <c r="T100" s="37"/>
      <c r="U100" s="3"/>
      <c r="W100" s="3"/>
      <c r="X100" s="3"/>
      <c r="Y100" s="3"/>
      <c r="Z100" s="3"/>
    </row>
    <row r="101" spans="1:26" ht="14.4" hidden="1" outlineLevel="1" x14ac:dyDescent="0.3">
      <c r="A101" s="3"/>
      <c r="B101" s="10" t="s">
        <v>362</v>
      </c>
      <c r="C101" s="62">
        <v>7</v>
      </c>
      <c r="D101" s="62" t="s">
        <v>94</v>
      </c>
      <c r="E101" s="12">
        <v>0</v>
      </c>
      <c r="F101" s="12">
        <v>298.26</v>
      </c>
      <c r="G101" s="65"/>
      <c r="H101" s="65" t="s">
        <v>37</v>
      </c>
      <c r="I101" s="112" t="s">
        <v>966</v>
      </c>
      <c r="J101" s="65"/>
      <c r="K101" s="37"/>
      <c r="L101" s="37"/>
      <c r="M101" s="37"/>
      <c r="N101" s="37"/>
      <c r="O101" s="37"/>
      <c r="P101" s="37"/>
      <c r="Q101" s="37"/>
      <c r="R101" s="37"/>
      <c r="S101" s="37"/>
      <c r="T101" s="37"/>
      <c r="U101" s="3"/>
      <c r="W101" s="3"/>
      <c r="X101" s="3"/>
      <c r="Y101" s="3"/>
      <c r="Z101" s="3"/>
    </row>
    <row r="102" spans="1:26" ht="14.4" hidden="1" outlineLevel="1" x14ac:dyDescent="0.3">
      <c r="A102" s="3"/>
      <c r="B102" s="10" t="s">
        <v>362</v>
      </c>
      <c r="C102" s="62">
        <v>7</v>
      </c>
      <c r="D102" s="62" t="s">
        <v>94</v>
      </c>
      <c r="E102" s="12">
        <v>0</v>
      </c>
      <c r="F102" s="12">
        <v>107.69</v>
      </c>
      <c r="G102" s="65"/>
      <c r="H102" s="65" t="s">
        <v>37</v>
      </c>
      <c r="I102" s="112" t="s">
        <v>967</v>
      </c>
      <c r="J102" s="65"/>
      <c r="K102" s="37"/>
      <c r="L102" s="37"/>
      <c r="M102" s="37"/>
      <c r="N102" s="37"/>
      <c r="O102" s="37"/>
      <c r="P102" s="37"/>
      <c r="Q102" s="37"/>
      <c r="R102" s="37"/>
      <c r="S102" s="37"/>
      <c r="T102" s="37"/>
      <c r="U102" s="3"/>
      <c r="W102" s="3"/>
      <c r="X102" s="3"/>
      <c r="Y102" s="3"/>
      <c r="Z102" s="3"/>
    </row>
    <row r="103" spans="1:26" ht="14.4" hidden="1" outlineLevel="1" x14ac:dyDescent="0.3">
      <c r="A103" s="3"/>
      <c r="B103" s="10" t="s">
        <v>362</v>
      </c>
      <c r="C103" s="62">
        <v>7</v>
      </c>
      <c r="D103" s="62" t="s">
        <v>94</v>
      </c>
      <c r="E103" s="12">
        <v>0</v>
      </c>
      <c r="F103" s="12">
        <v>370</v>
      </c>
      <c r="G103" s="65" t="s">
        <v>968</v>
      </c>
      <c r="H103" s="65" t="s">
        <v>37</v>
      </c>
      <c r="I103" s="112" t="s">
        <v>969</v>
      </c>
      <c r="J103" s="65"/>
      <c r="K103" s="37"/>
      <c r="L103" s="37"/>
      <c r="M103" s="37"/>
      <c r="N103" s="37"/>
      <c r="O103" s="37"/>
      <c r="P103" s="37"/>
      <c r="Q103" s="37"/>
      <c r="R103" s="37"/>
      <c r="S103" s="37"/>
      <c r="T103" s="37"/>
      <c r="U103" s="3"/>
      <c r="W103" s="3"/>
      <c r="X103" s="3"/>
      <c r="Y103" s="3"/>
      <c r="Z103" s="3"/>
    </row>
    <row r="104" spans="1:26" ht="14.4" hidden="1" outlineLevel="1" x14ac:dyDescent="0.3">
      <c r="A104" s="3"/>
      <c r="B104" s="10" t="s">
        <v>970</v>
      </c>
      <c r="C104" s="62">
        <v>7</v>
      </c>
      <c r="D104" s="62" t="s">
        <v>94</v>
      </c>
      <c r="E104" s="12">
        <v>0</v>
      </c>
      <c r="F104" s="12">
        <v>300</v>
      </c>
      <c r="G104" s="65"/>
      <c r="H104" s="65" t="s">
        <v>37</v>
      </c>
      <c r="I104" s="112" t="s">
        <v>971</v>
      </c>
      <c r="J104" s="65"/>
      <c r="K104" s="37"/>
      <c r="L104" s="37"/>
      <c r="M104" s="37"/>
      <c r="N104" s="37"/>
      <c r="O104" s="37"/>
      <c r="P104" s="37"/>
      <c r="Q104" s="37"/>
      <c r="R104" s="37"/>
      <c r="S104" s="37"/>
      <c r="T104" s="37"/>
      <c r="U104" s="3"/>
      <c r="W104" s="3"/>
      <c r="X104" s="3"/>
      <c r="Y104" s="3"/>
      <c r="Z104" s="3"/>
    </row>
    <row r="105" spans="1:26" ht="14.4" hidden="1" outlineLevel="1" x14ac:dyDescent="0.3">
      <c r="A105" s="3"/>
      <c r="B105" s="10" t="s">
        <v>330</v>
      </c>
      <c r="C105" s="62">
        <v>7</v>
      </c>
      <c r="D105" s="62" t="s">
        <v>94</v>
      </c>
      <c r="E105" s="12">
        <v>0</v>
      </c>
      <c r="F105" s="12">
        <v>9.8000000000000007</v>
      </c>
      <c r="G105" s="65"/>
      <c r="H105" s="65" t="s">
        <v>37</v>
      </c>
      <c r="I105" s="112" t="s">
        <v>972</v>
      </c>
      <c r="J105" s="65"/>
      <c r="K105" s="37"/>
      <c r="L105" s="37"/>
      <c r="M105" s="37"/>
      <c r="N105" s="37"/>
      <c r="O105" s="37"/>
      <c r="P105" s="37"/>
      <c r="Q105" s="37"/>
      <c r="R105" s="37"/>
      <c r="S105" s="37"/>
      <c r="T105" s="37"/>
      <c r="U105" s="3"/>
      <c r="W105" s="3"/>
      <c r="X105" s="3"/>
      <c r="Y105" s="3"/>
      <c r="Z105" s="3"/>
    </row>
    <row r="106" spans="1:26" ht="14.4" hidden="1" outlineLevel="1" x14ac:dyDescent="0.3">
      <c r="A106" s="3"/>
      <c r="B106" s="10" t="s">
        <v>330</v>
      </c>
      <c r="C106" s="62">
        <v>7</v>
      </c>
      <c r="D106" s="62" t="s">
        <v>94</v>
      </c>
      <c r="E106" s="12">
        <v>0</v>
      </c>
      <c r="F106" s="12">
        <v>606.52</v>
      </c>
      <c r="G106" s="65"/>
      <c r="H106" s="65" t="s">
        <v>37</v>
      </c>
      <c r="I106" s="112" t="s">
        <v>973</v>
      </c>
      <c r="J106" s="65"/>
      <c r="K106" s="37"/>
      <c r="L106" s="37"/>
      <c r="M106" s="37"/>
      <c r="N106" s="37"/>
      <c r="O106" s="37"/>
      <c r="P106" s="37"/>
      <c r="Q106" s="37"/>
      <c r="R106" s="37"/>
      <c r="S106" s="37"/>
      <c r="T106" s="37"/>
      <c r="U106" s="3"/>
      <c r="W106" s="3"/>
      <c r="X106" s="3"/>
      <c r="Y106" s="3"/>
      <c r="Z106" s="3"/>
    </row>
    <row r="107" spans="1:26" ht="14.4" hidden="1" outlineLevel="1" x14ac:dyDescent="0.3">
      <c r="A107" s="3"/>
      <c r="B107" s="10" t="s">
        <v>362</v>
      </c>
      <c r="C107" s="62">
        <v>8</v>
      </c>
      <c r="D107" s="62" t="s">
        <v>94</v>
      </c>
      <c r="E107" s="12">
        <v>0</v>
      </c>
      <c r="F107" s="12">
        <v>1226.17</v>
      </c>
      <c r="G107" s="65"/>
      <c r="H107" s="65" t="s">
        <v>37</v>
      </c>
      <c r="I107" s="112" t="s">
        <v>974</v>
      </c>
      <c r="J107" s="65"/>
      <c r="K107" s="37"/>
      <c r="L107" s="37"/>
      <c r="M107" s="37"/>
      <c r="N107" s="37"/>
      <c r="O107" s="37"/>
      <c r="P107" s="37"/>
      <c r="Q107" s="37"/>
      <c r="R107" s="37"/>
      <c r="S107" s="37"/>
      <c r="T107" s="37"/>
      <c r="U107" s="3"/>
      <c r="W107" s="3"/>
      <c r="X107" s="3"/>
      <c r="Y107" s="3"/>
      <c r="Z107" s="3"/>
    </row>
    <row r="108" spans="1:26" ht="14.4" hidden="1" outlineLevel="1" x14ac:dyDescent="0.3">
      <c r="A108" s="3"/>
      <c r="B108" s="10" t="s">
        <v>362</v>
      </c>
      <c r="C108" s="62"/>
      <c r="D108" s="62"/>
      <c r="E108" s="12">
        <v>28</v>
      </c>
      <c r="F108" s="12">
        <v>0</v>
      </c>
      <c r="G108" s="65" t="s">
        <v>975</v>
      </c>
      <c r="H108" s="65"/>
      <c r="I108" s="112"/>
      <c r="J108" s="65"/>
      <c r="K108" s="37"/>
      <c r="L108" s="37"/>
      <c r="M108" s="37"/>
      <c r="N108" s="37"/>
      <c r="O108" s="37"/>
      <c r="P108" s="37"/>
      <c r="Q108" s="37"/>
      <c r="R108" s="37"/>
      <c r="S108" s="37"/>
      <c r="T108" s="37"/>
      <c r="U108" s="3"/>
      <c r="W108" s="3"/>
      <c r="X108" s="3"/>
      <c r="Y108" s="3"/>
      <c r="Z108" s="3"/>
    </row>
    <row r="109" spans="1:26" ht="14.4" hidden="1" outlineLevel="1" x14ac:dyDescent="0.3">
      <c r="A109" s="3"/>
      <c r="B109" s="10" t="s">
        <v>362</v>
      </c>
      <c r="C109" s="62">
        <v>11</v>
      </c>
      <c r="D109" s="62" t="s">
        <v>94</v>
      </c>
      <c r="E109" s="12">
        <v>0</v>
      </c>
      <c r="F109" s="12">
        <v>35</v>
      </c>
      <c r="G109" s="65" t="s">
        <v>975</v>
      </c>
      <c r="H109" s="65" t="s">
        <v>37</v>
      </c>
      <c r="I109" s="112" t="s">
        <v>976</v>
      </c>
      <c r="J109" s="65"/>
      <c r="K109" s="37"/>
      <c r="L109" s="37"/>
      <c r="M109" s="37"/>
      <c r="N109" s="37"/>
      <c r="O109" s="37"/>
      <c r="P109" s="37"/>
      <c r="Q109" s="37"/>
      <c r="R109" s="37"/>
      <c r="S109" s="37"/>
      <c r="T109" s="37"/>
      <c r="U109" s="3"/>
      <c r="W109" s="3"/>
      <c r="X109" s="3"/>
      <c r="Y109" s="3"/>
      <c r="Z109" s="3"/>
    </row>
    <row r="110" spans="1:26" hidden="1" outlineLevel="1" x14ac:dyDescent="0.3">
      <c r="A110" s="3"/>
      <c r="B110" s="91" t="s">
        <v>977</v>
      </c>
      <c r="C110" s="92"/>
      <c r="D110" s="92"/>
      <c r="E110" s="93">
        <f>SUM(E111:E114)</f>
        <v>0</v>
      </c>
      <c r="F110" s="93">
        <f>SUMIF(D111:D114,"OK",F111:F114)</f>
        <v>475.98</v>
      </c>
      <c r="G110" s="94"/>
      <c r="H110" s="94"/>
      <c r="I110" s="95"/>
      <c r="J110" s="94"/>
      <c r="K110" s="37"/>
      <c r="L110" s="37"/>
      <c r="M110" s="37"/>
      <c r="N110" s="37"/>
      <c r="O110" s="37"/>
      <c r="P110" s="37"/>
      <c r="Q110" s="37"/>
      <c r="R110" s="37"/>
      <c r="S110" s="37"/>
      <c r="T110" s="37"/>
      <c r="U110" s="3"/>
      <c r="W110" s="3"/>
      <c r="X110" s="3"/>
      <c r="Y110" s="3"/>
      <c r="Z110" s="3"/>
    </row>
    <row r="111" spans="1:26" ht="14.4" hidden="1" outlineLevel="1" x14ac:dyDescent="0.3">
      <c r="A111" s="3"/>
      <c r="B111" s="10" t="s">
        <v>978</v>
      </c>
      <c r="C111" s="62">
        <v>10</v>
      </c>
      <c r="D111" s="62" t="s">
        <v>94</v>
      </c>
      <c r="E111" s="12">
        <v>0</v>
      </c>
      <c r="F111" s="12">
        <v>135.97999999999999</v>
      </c>
      <c r="G111" s="65"/>
      <c r="H111" s="65" t="s">
        <v>37</v>
      </c>
      <c r="I111" s="112" t="s">
        <v>979</v>
      </c>
      <c r="J111" s="65"/>
      <c r="K111" s="37"/>
      <c r="L111" s="37"/>
      <c r="M111" s="37"/>
      <c r="N111" s="37"/>
      <c r="O111" s="37"/>
      <c r="P111" s="37"/>
      <c r="Q111" s="37"/>
      <c r="R111" s="37"/>
      <c r="S111" s="37"/>
      <c r="T111" s="37"/>
      <c r="U111" s="3"/>
      <c r="W111" s="3"/>
      <c r="X111" s="3"/>
      <c r="Y111" s="3"/>
      <c r="Z111" s="3"/>
    </row>
    <row r="112" spans="1:26" ht="14.4" hidden="1" outlineLevel="1" x14ac:dyDescent="0.3">
      <c r="A112" s="3"/>
      <c r="B112" s="10" t="s">
        <v>980</v>
      </c>
      <c r="C112" s="62">
        <v>12</v>
      </c>
      <c r="D112" s="62" t="s">
        <v>94</v>
      </c>
      <c r="E112" s="12">
        <v>0</v>
      </c>
      <c r="F112" s="12">
        <v>140</v>
      </c>
      <c r="G112" s="65"/>
      <c r="H112" s="65" t="s">
        <v>37</v>
      </c>
      <c r="I112" s="112" t="s">
        <v>981</v>
      </c>
      <c r="J112" s="65"/>
      <c r="K112" s="37"/>
      <c r="L112" s="37"/>
      <c r="M112" s="37"/>
      <c r="N112" s="37"/>
      <c r="O112" s="37"/>
      <c r="P112" s="37"/>
      <c r="Q112" s="37"/>
      <c r="R112" s="37"/>
      <c r="S112" s="37"/>
      <c r="T112" s="37"/>
      <c r="U112" s="3"/>
      <c r="W112" s="3"/>
      <c r="X112" s="3"/>
      <c r="Y112" s="3"/>
      <c r="Z112" s="3"/>
    </row>
    <row r="113" spans="1:26" ht="14.4" hidden="1" outlineLevel="1" x14ac:dyDescent="0.3">
      <c r="A113" s="3"/>
      <c r="B113" s="10" t="s">
        <v>982</v>
      </c>
      <c r="C113" s="62">
        <v>12</v>
      </c>
      <c r="D113" s="62" t="s">
        <v>94</v>
      </c>
      <c r="E113" s="12">
        <v>0</v>
      </c>
      <c r="F113" s="12">
        <v>200</v>
      </c>
      <c r="G113" s="65" t="s">
        <v>983</v>
      </c>
      <c r="H113" s="65" t="s">
        <v>37</v>
      </c>
      <c r="I113" s="112" t="s">
        <v>984</v>
      </c>
      <c r="J113" s="65"/>
      <c r="K113" s="37"/>
      <c r="L113" s="37"/>
      <c r="M113" s="37"/>
      <c r="N113" s="37"/>
      <c r="O113" s="37"/>
      <c r="P113" s="37"/>
      <c r="Q113" s="37"/>
      <c r="R113" s="37"/>
      <c r="S113" s="37"/>
      <c r="T113" s="37"/>
      <c r="U113" s="3"/>
      <c r="W113" s="3"/>
      <c r="X113" s="3"/>
      <c r="Y113" s="3"/>
      <c r="Z113" s="3"/>
    </row>
    <row r="114" spans="1:26" ht="14.4" hidden="1" outlineLevel="1" x14ac:dyDescent="0.3">
      <c r="A114" s="3"/>
      <c r="B114" s="10" t="s">
        <v>50</v>
      </c>
      <c r="C114" s="62"/>
      <c r="D114" s="62"/>
      <c r="E114" s="12">
        <v>0</v>
      </c>
      <c r="F114" s="12">
        <v>0</v>
      </c>
      <c r="G114" s="89"/>
      <c r="H114" s="65"/>
      <c r="I114" s="112"/>
      <c r="J114" s="65"/>
      <c r="K114" s="37"/>
      <c r="L114" s="37"/>
      <c r="M114" s="37"/>
      <c r="N114" s="37"/>
      <c r="O114" s="37"/>
      <c r="P114" s="37"/>
      <c r="Q114" s="37"/>
      <c r="R114" s="37"/>
      <c r="S114" s="37"/>
      <c r="T114" s="37"/>
      <c r="U114" s="3"/>
      <c r="W114" s="3"/>
      <c r="X114" s="3"/>
      <c r="Y114" s="3"/>
      <c r="Z114" s="3"/>
    </row>
    <row r="115" spans="1:26" hidden="1" outlineLevel="1" x14ac:dyDescent="0.3">
      <c r="A115" s="3"/>
      <c r="B115" s="91" t="s">
        <v>356</v>
      </c>
      <c r="C115" s="92"/>
      <c r="D115" s="92"/>
      <c r="E115" s="93">
        <f>SUM(E116:E118)</f>
        <v>0</v>
      </c>
      <c r="F115" s="93">
        <f>SUMIF(D116:D118,"OK",F116:F118)</f>
        <v>0</v>
      </c>
      <c r="G115" s="94"/>
      <c r="H115" s="94"/>
      <c r="I115" s="95"/>
      <c r="J115" s="94"/>
      <c r="K115" s="37"/>
      <c r="L115" s="37"/>
      <c r="M115" s="37"/>
      <c r="N115" s="37"/>
      <c r="O115" s="37"/>
      <c r="P115" s="37"/>
      <c r="Q115" s="37"/>
      <c r="R115" s="37"/>
      <c r="S115" s="37"/>
      <c r="T115" s="37"/>
      <c r="U115" s="3"/>
      <c r="W115" s="3"/>
      <c r="X115" s="3"/>
      <c r="Y115" s="3"/>
      <c r="Z115" s="3"/>
    </row>
    <row r="116" spans="1:26" ht="14.4" hidden="1" outlineLevel="1" x14ac:dyDescent="0.3">
      <c r="A116" s="3"/>
      <c r="B116" s="10" t="s">
        <v>50</v>
      </c>
      <c r="C116" s="62"/>
      <c r="D116" s="62"/>
      <c r="E116" s="12">
        <v>0</v>
      </c>
      <c r="F116" s="12">
        <v>0</v>
      </c>
      <c r="G116" s="65"/>
      <c r="H116" s="65"/>
      <c r="I116" s="89"/>
      <c r="J116" s="65"/>
      <c r="K116" s="37"/>
      <c r="L116" s="37"/>
      <c r="M116" s="37"/>
      <c r="N116" s="37"/>
      <c r="O116" s="37"/>
      <c r="P116" s="37"/>
      <c r="Q116" s="37"/>
      <c r="R116" s="37"/>
      <c r="S116" s="37"/>
      <c r="T116" s="37"/>
      <c r="U116" s="3"/>
      <c r="W116" s="3"/>
      <c r="X116" s="3"/>
      <c r="Y116" s="3"/>
      <c r="Z116" s="3"/>
    </row>
    <row r="117" spans="1:26" ht="14.4" hidden="1" outlineLevel="1" x14ac:dyDescent="0.3">
      <c r="A117" s="3"/>
      <c r="B117" s="10" t="s">
        <v>50</v>
      </c>
      <c r="C117" s="62"/>
      <c r="D117" s="62"/>
      <c r="E117" s="12">
        <v>0</v>
      </c>
      <c r="F117" s="12">
        <v>0</v>
      </c>
      <c r="G117" s="65"/>
      <c r="H117" s="65"/>
      <c r="I117" s="89"/>
      <c r="J117" s="65"/>
      <c r="K117" s="37"/>
      <c r="L117" s="37"/>
      <c r="M117" s="37"/>
      <c r="N117" s="37"/>
      <c r="O117" s="37"/>
      <c r="P117" s="37"/>
      <c r="Q117" s="37"/>
      <c r="R117" s="37"/>
      <c r="S117" s="37"/>
      <c r="T117" s="37"/>
      <c r="U117" s="3"/>
      <c r="W117" s="3"/>
      <c r="X117" s="3"/>
      <c r="Y117" s="3"/>
      <c r="Z117" s="3"/>
    </row>
    <row r="118" spans="1:26" ht="14.4" hidden="1" outlineLevel="1" x14ac:dyDescent="0.3">
      <c r="A118" s="3"/>
      <c r="B118" s="10" t="s">
        <v>50</v>
      </c>
      <c r="C118" s="62"/>
      <c r="D118" s="62"/>
      <c r="E118" s="12">
        <v>0</v>
      </c>
      <c r="F118" s="12">
        <v>0</v>
      </c>
      <c r="G118" s="65"/>
      <c r="H118" s="65"/>
      <c r="I118" s="89"/>
      <c r="J118" s="65"/>
      <c r="K118" s="37"/>
      <c r="L118" s="37"/>
      <c r="M118" s="37"/>
      <c r="N118" s="37"/>
      <c r="O118" s="37"/>
      <c r="P118" s="37"/>
      <c r="Q118" s="37"/>
      <c r="R118" s="37"/>
      <c r="S118" s="37"/>
      <c r="T118" s="37"/>
      <c r="U118" s="3"/>
      <c r="W118" s="3"/>
      <c r="X118" s="3"/>
      <c r="Y118" s="3"/>
      <c r="Z118" s="3"/>
    </row>
    <row r="119" spans="1:26" ht="20.399999999999999" collapsed="1" x14ac:dyDescent="0.3">
      <c r="A119" s="3"/>
      <c r="B119" s="84" t="s">
        <v>357</v>
      </c>
      <c r="C119" s="85" t="s">
        <v>43</v>
      </c>
      <c r="D119" s="85" t="s">
        <v>43</v>
      </c>
      <c r="E119" s="86">
        <f t="shared" ref="E119:F119" si="1">SUM(E120,E126)</f>
        <v>0</v>
      </c>
      <c r="F119" s="86">
        <f t="shared" si="1"/>
        <v>3046.49</v>
      </c>
      <c r="G119" s="87"/>
      <c r="H119" s="87"/>
      <c r="I119" s="88"/>
      <c r="J119" s="87"/>
      <c r="K119" s="37"/>
      <c r="L119" s="37"/>
      <c r="M119" s="37"/>
      <c r="N119" s="37"/>
      <c r="O119" s="37"/>
      <c r="P119" s="37"/>
      <c r="Q119" s="37"/>
      <c r="R119" s="37"/>
      <c r="S119" s="37"/>
      <c r="T119" s="37"/>
      <c r="U119" s="3"/>
      <c r="W119" s="3"/>
      <c r="X119" s="3"/>
      <c r="Y119" s="3"/>
      <c r="Z119" s="3"/>
    </row>
    <row r="120" spans="1:26" hidden="1" outlineLevel="1" x14ac:dyDescent="0.3">
      <c r="A120" s="3"/>
      <c r="B120" s="91" t="s">
        <v>358</v>
      </c>
      <c r="C120" s="92"/>
      <c r="D120" s="92"/>
      <c r="E120" s="93">
        <f>SUM(E121:E125)</f>
        <v>0</v>
      </c>
      <c r="F120" s="93">
        <f>SUMIF(D121:D125,"OK",F121:F125)</f>
        <v>796.6</v>
      </c>
      <c r="G120" s="94"/>
      <c r="H120" s="94"/>
      <c r="I120" s="95"/>
      <c r="J120" s="94"/>
      <c r="K120" s="37"/>
      <c r="L120" s="37"/>
      <c r="M120" s="37"/>
      <c r="N120" s="37"/>
      <c r="O120" s="37"/>
      <c r="P120" s="37"/>
      <c r="Q120" s="37"/>
      <c r="R120" s="37"/>
      <c r="S120" s="37"/>
      <c r="T120" s="37"/>
      <c r="U120" s="3"/>
      <c r="W120" s="3"/>
      <c r="X120" s="3"/>
      <c r="Y120" s="3"/>
      <c r="Z120" s="3"/>
    </row>
    <row r="121" spans="1:26" ht="14.4" hidden="1" outlineLevel="1" x14ac:dyDescent="0.3">
      <c r="A121" s="3"/>
      <c r="B121" s="10" t="s">
        <v>359</v>
      </c>
      <c r="C121" s="62">
        <v>23</v>
      </c>
      <c r="D121" s="62" t="s">
        <v>94</v>
      </c>
      <c r="E121" s="12">
        <v>0</v>
      </c>
      <c r="F121" s="12">
        <v>160</v>
      </c>
      <c r="G121" s="65"/>
      <c r="H121" s="65" t="s">
        <v>37</v>
      </c>
      <c r="I121" s="112" t="s">
        <v>985</v>
      </c>
      <c r="J121" s="65"/>
      <c r="K121" s="37"/>
      <c r="L121" s="37"/>
      <c r="M121" s="37"/>
      <c r="N121" s="37"/>
      <c r="O121" s="37"/>
      <c r="P121" s="37"/>
      <c r="Q121" s="37"/>
      <c r="R121" s="37"/>
      <c r="S121" s="37"/>
      <c r="T121" s="37"/>
      <c r="U121" s="3"/>
      <c r="W121" s="3"/>
      <c r="X121" s="3"/>
      <c r="Y121" s="3"/>
      <c r="Z121" s="3"/>
    </row>
    <row r="122" spans="1:26" ht="14.4" hidden="1" outlineLevel="1" x14ac:dyDescent="0.3">
      <c r="A122" s="3"/>
      <c r="B122" s="10" t="s">
        <v>986</v>
      </c>
      <c r="C122" s="62">
        <v>28</v>
      </c>
      <c r="D122" s="62" t="s">
        <v>94</v>
      </c>
      <c r="E122" s="12">
        <v>0</v>
      </c>
      <c r="F122" s="12">
        <v>130</v>
      </c>
      <c r="G122" s="65" t="s">
        <v>649</v>
      </c>
      <c r="H122" s="65" t="s">
        <v>37</v>
      </c>
      <c r="I122" s="112" t="s">
        <v>987</v>
      </c>
      <c r="J122" s="65"/>
      <c r="K122" s="37"/>
      <c r="L122" s="37"/>
      <c r="M122" s="37"/>
      <c r="N122" s="37"/>
      <c r="O122" s="37"/>
      <c r="P122" s="37"/>
      <c r="Q122" s="37"/>
      <c r="R122" s="37"/>
      <c r="S122" s="37"/>
      <c r="T122" s="37"/>
      <c r="U122" s="3"/>
      <c r="W122" s="3"/>
      <c r="X122" s="3"/>
      <c r="Y122" s="3"/>
      <c r="Z122" s="3"/>
    </row>
    <row r="123" spans="1:26" ht="14.4" hidden="1" outlineLevel="1" x14ac:dyDescent="0.3">
      <c r="A123" s="3"/>
      <c r="B123" s="10" t="s">
        <v>986</v>
      </c>
      <c r="C123" s="62">
        <v>28</v>
      </c>
      <c r="D123" s="62" t="s">
        <v>94</v>
      </c>
      <c r="E123" s="12">
        <v>0</v>
      </c>
      <c r="F123" s="12">
        <v>158.6</v>
      </c>
      <c r="G123" s="65" t="s">
        <v>988</v>
      </c>
      <c r="H123" s="65" t="s">
        <v>37</v>
      </c>
      <c r="I123" s="112" t="s">
        <v>989</v>
      </c>
      <c r="J123" s="65"/>
      <c r="K123" s="37"/>
      <c r="L123" s="37"/>
      <c r="M123" s="37"/>
      <c r="N123" s="37"/>
      <c r="O123" s="37"/>
      <c r="P123" s="37"/>
      <c r="Q123" s="37"/>
      <c r="R123" s="37"/>
      <c r="S123" s="37"/>
      <c r="T123" s="37"/>
      <c r="U123" s="3"/>
      <c r="W123" s="3"/>
      <c r="X123" s="3"/>
      <c r="Y123" s="3"/>
      <c r="Z123" s="3"/>
    </row>
    <row r="124" spans="1:26" ht="14.4" hidden="1" outlineLevel="1" x14ac:dyDescent="0.3">
      <c r="A124" s="3"/>
      <c r="B124" s="10" t="s">
        <v>986</v>
      </c>
      <c r="C124" s="62">
        <v>31</v>
      </c>
      <c r="D124" s="62" t="s">
        <v>94</v>
      </c>
      <c r="E124" s="12">
        <v>0</v>
      </c>
      <c r="F124" s="12">
        <v>268</v>
      </c>
      <c r="G124" s="65"/>
      <c r="H124" s="65" t="s">
        <v>37</v>
      </c>
      <c r="I124" s="112" t="s">
        <v>990</v>
      </c>
      <c r="J124" s="65"/>
      <c r="K124" s="37"/>
      <c r="L124" s="37"/>
      <c r="M124" s="37"/>
      <c r="N124" s="37"/>
      <c r="O124" s="37"/>
      <c r="P124" s="37"/>
      <c r="Q124" s="37"/>
      <c r="R124" s="37"/>
      <c r="S124" s="37"/>
      <c r="T124" s="37"/>
      <c r="U124" s="3"/>
      <c r="W124" s="3"/>
      <c r="X124" s="3"/>
      <c r="Y124" s="3"/>
      <c r="Z124" s="3"/>
    </row>
    <row r="125" spans="1:26" ht="14.4" hidden="1" outlineLevel="1" x14ac:dyDescent="0.3">
      <c r="A125" s="3"/>
      <c r="B125" s="10" t="s">
        <v>986</v>
      </c>
      <c r="C125" s="62">
        <v>31</v>
      </c>
      <c r="D125" s="62" t="s">
        <v>94</v>
      </c>
      <c r="E125" s="12">
        <v>0</v>
      </c>
      <c r="F125" s="12">
        <v>80</v>
      </c>
      <c r="G125" s="65"/>
      <c r="H125" s="65" t="s">
        <v>37</v>
      </c>
      <c r="I125" s="112" t="s">
        <v>991</v>
      </c>
      <c r="J125" s="65"/>
      <c r="K125" s="37"/>
      <c r="L125" s="37"/>
      <c r="M125" s="37"/>
      <c r="N125" s="37"/>
      <c r="O125" s="37"/>
      <c r="P125" s="37"/>
      <c r="Q125" s="37"/>
      <c r="R125" s="37"/>
      <c r="S125" s="37"/>
      <c r="T125" s="37"/>
      <c r="U125" s="3"/>
      <c r="W125" s="3"/>
      <c r="X125" s="3"/>
      <c r="Y125" s="3"/>
      <c r="Z125" s="3"/>
    </row>
    <row r="126" spans="1:26" hidden="1" outlineLevel="1" x14ac:dyDescent="0.3">
      <c r="A126" s="3"/>
      <c r="B126" s="91" t="s">
        <v>632</v>
      </c>
      <c r="C126" s="92"/>
      <c r="D126" s="92"/>
      <c r="E126" s="93">
        <f>SUM(E127:E135)</f>
        <v>0</v>
      </c>
      <c r="F126" s="93">
        <f>SUMIF(D127:D135,"OK",F127:F135)</f>
        <v>2249.89</v>
      </c>
      <c r="G126" s="94"/>
      <c r="H126" s="94"/>
      <c r="I126" s="95"/>
      <c r="J126" s="94"/>
      <c r="K126" s="37"/>
      <c r="L126" s="37"/>
      <c r="M126" s="37"/>
      <c r="N126" s="37"/>
      <c r="O126" s="37"/>
      <c r="P126" s="37"/>
      <c r="Q126" s="37"/>
      <c r="R126" s="37"/>
      <c r="S126" s="37"/>
      <c r="T126" s="37"/>
      <c r="U126" s="3"/>
      <c r="W126" s="3"/>
      <c r="X126" s="3"/>
      <c r="Y126" s="3"/>
      <c r="Z126" s="3"/>
    </row>
    <row r="127" spans="1:26" ht="14.4" hidden="1" outlineLevel="1" x14ac:dyDescent="0.3">
      <c r="A127" s="3"/>
      <c r="B127" s="10" t="s">
        <v>992</v>
      </c>
      <c r="C127" s="62">
        <v>3</v>
      </c>
      <c r="D127" s="62" t="s">
        <v>94</v>
      </c>
      <c r="E127" s="12">
        <v>0</v>
      </c>
      <c r="F127" s="12">
        <v>250</v>
      </c>
      <c r="G127" s="89" t="s">
        <v>993</v>
      </c>
      <c r="H127" s="65" t="s">
        <v>37</v>
      </c>
      <c r="I127" s="112" t="s">
        <v>971</v>
      </c>
      <c r="J127" s="65"/>
      <c r="K127" s="37"/>
      <c r="L127" s="37"/>
      <c r="M127" s="37"/>
      <c r="N127" s="37"/>
      <c r="O127" s="37"/>
      <c r="P127" s="37"/>
      <c r="Q127" s="37"/>
      <c r="R127" s="37"/>
      <c r="S127" s="37"/>
      <c r="T127" s="37"/>
      <c r="U127" s="3"/>
      <c r="W127" s="3"/>
      <c r="X127" s="3"/>
      <c r="Y127" s="3"/>
      <c r="Z127" s="3"/>
    </row>
    <row r="128" spans="1:26" ht="14.4" hidden="1" outlineLevel="1" x14ac:dyDescent="0.3">
      <c r="A128" s="3"/>
      <c r="B128" s="10" t="s">
        <v>994</v>
      </c>
      <c r="C128" s="62">
        <v>4</v>
      </c>
      <c r="D128" s="62" t="s">
        <v>94</v>
      </c>
      <c r="E128" s="12">
        <v>0</v>
      </c>
      <c r="F128" s="12">
        <v>63</v>
      </c>
      <c r="G128" s="89" t="s">
        <v>975</v>
      </c>
      <c r="H128" s="65" t="s">
        <v>37</v>
      </c>
      <c r="I128" s="112" t="s">
        <v>995</v>
      </c>
      <c r="J128" s="65"/>
      <c r="K128" s="37"/>
      <c r="L128" s="37"/>
      <c r="M128" s="37"/>
      <c r="N128" s="37"/>
      <c r="O128" s="37"/>
      <c r="P128" s="37"/>
      <c r="Q128" s="37"/>
      <c r="R128" s="37"/>
      <c r="S128" s="37"/>
      <c r="T128" s="37"/>
      <c r="U128" s="3"/>
      <c r="W128" s="3"/>
      <c r="X128" s="3"/>
      <c r="Y128" s="3"/>
      <c r="Z128" s="3"/>
    </row>
    <row r="129" spans="1:26" ht="14.4" hidden="1" outlineLevel="1" x14ac:dyDescent="0.3">
      <c r="A129" s="3"/>
      <c r="B129" s="10" t="s">
        <v>994</v>
      </c>
      <c r="C129" s="62">
        <v>5</v>
      </c>
      <c r="D129" s="62" t="s">
        <v>94</v>
      </c>
      <c r="E129" s="12">
        <v>0</v>
      </c>
      <c r="F129" s="12">
        <v>805.04</v>
      </c>
      <c r="G129" s="65"/>
      <c r="H129" s="65" t="s">
        <v>37</v>
      </c>
      <c r="I129" s="112" t="s">
        <v>996</v>
      </c>
      <c r="J129" s="65"/>
      <c r="K129" s="37"/>
      <c r="L129" s="37"/>
      <c r="M129" s="37"/>
      <c r="N129" s="37"/>
      <c r="O129" s="37"/>
      <c r="P129" s="37"/>
      <c r="Q129" s="37"/>
      <c r="R129" s="37"/>
      <c r="S129" s="37"/>
      <c r="T129" s="37"/>
      <c r="U129" s="3"/>
      <c r="W129" s="3"/>
      <c r="X129" s="3"/>
      <c r="Y129" s="3"/>
      <c r="Z129" s="3"/>
    </row>
    <row r="130" spans="1:26" ht="14.4" hidden="1" outlineLevel="1" x14ac:dyDescent="0.3">
      <c r="A130" s="3"/>
      <c r="B130" s="10" t="s">
        <v>994</v>
      </c>
      <c r="C130" s="62">
        <v>6</v>
      </c>
      <c r="D130" s="62" t="s">
        <v>94</v>
      </c>
      <c r="E130" s="12">
        <v>0</v>
      </c>
      <c r="F130" s="12">
        <v>90</v>
      </c>
      <c r="G130" s="65"/>
      <c r="H130" s="65" t="s">
        <v>37</v>
      </c>
      <c r="I130" s="112" t="s">
        <v>997</v>
      </c>
      <c r="J130" s="65"/>
      <c r="K130" s="37"/>
      <c r="L130" s="37"/>
      <c r="M130" s="37"/>
      <c r="N130" s="37"/>
      <c r="O130" s="37"/>
      <c r="P130" s="37"/>
      <c r="Q130" s="37"/>
      <c r="R130" s="37"/>
      <c r="S130" s="37"/>
      <c r="T130" s="37"/>
      <c r="U130" s="3"/>
      <c r="W130" s="3"/>
      <c r="X130" s="3"/>
      <c r="Y130" s="3"/>
      <c r="Z130" s="3"/>
    </row>
    <row r="131" spans="1:26" ht="14.4" hidden="1" outlineLevel="1" x14ac:dyDescent="0.3">
      <c r="A131" s="3"/>
      <c r="B131" s="10" t="s">
        <v>994</v>
      </c>
      <c r="C131" s="62">
        <v>6</v>
      </c>
      <c r="D131" s="62" t="s">
        <v>94</v>
      </c>
      <c r="E131" s="12">
        <v>0</v>
      </c>
      <c r="F131" s="12">
        <v>42.4</v>
      </c>
      <c r="G131" s="65"/>
      <c r="H131" s="65" t="s">
        <v>37</v>
      </c>
      <c r="I131" s="112" t="s">
        <v>998</v>
      </c>
      <c r="J131" s="65"/>
      <c r="K131" s="37"/>
      <c r="L131" s="37"/>
      <c r="M131" s="37"/>
      <c r="N131" s="37"/>
      <c r="O131" s="37"/>
      <c r="P131" s="37"/>
      <c r="Q131" s="37"/>
      <c r="R131" s="37"/>
      <c r="S131" s="37"/>
      <c r="T131" s="37"/>
      <c r="U131" s="3"/>
      <c r="W131" s="3"/>
      <c r="X131" s="3"/>
      <c r="Y131" s="3"/>
      <c r="Z131" s="3"/>
    </row>
    <row r="132" spans="1:26" ht="14.4" hidden="1" outlineLevel="1" x14ac:dyDescent="0.3">
      <c r="A132" s="3"/>
      <c r="B132" s="10" t="s">
        <v>994</v>
      </c>
      <c r="C132" s="62">
        <v>6</v>
      </c>
      <c r="D132" s="62" t="s">
        <v>94</v>
      </c>
      <c r="E132" s="12">
        <v>0</v>
      </c>
      <c r="F132" s="12">
        <v>414.69</v>
      </c>
      <c r="G132" s="65"/>
      <c r="H132" s="65" t="s">
        <v>37</v>
      </c>
      <c r="I132" s="112" t="s">
        <v>999</v>
      </c>
      <c r="J132" s="65"/>
      <c r="K132" s="37"/>
      <c r="L132" s="37"/>
      <c r="M132" s="37"/>
      <c r="N132" s="37"/>
      <c r="O132" s="37"/>
      <c r="P132" s="37"/>
      <c r="Q132" s="37"/>
      <c r="R132" s="37"/>
      <c r="S132" s="37"/>
      <c r="T132" s="37"/>
      <c r="U132" s="3"/>
      <c r="W132" s="3"/>
      <c r="X132" s="3"/>
      <c r="Y132" s="3"/>
      <c r="Z132" s="3"/>
    </row>
    <row r="133" spans="1:26" ht="14.4" hidden="1" outlineLevel="1" x14ac:dyDescent="0.3">
      <c r="A133" s="3"/>
      <c r="B133" s="10" t="s">
        <v>994</v>
      </c>
      <c r="C133" s="62">
        <v>6</v>
      </c>
      <c r="D133" s="62" t="s">
        <v>94</v>
      </c>
      <c r="E133" s="12">
        <v>0</v>
      </c>
      <c r="F133" s="12">
        <v>568.04</v>
      </c>
      <c r="G133" s="65" t="s">
        <v>949</v>
      </c>
      <c r="H133" s="65" t="s">
        <v>37</v>
      </c>
      <c r="I133" s="112" t="s">
        <v>1000</v>
      </c>
      <c r="J133" s="65"/>
      <c r="K133" s="37"/>
      <c r="L133" s="37"/>
      <c r="M133" s="37"/>
      <c r="N133" s="37"/>
      <c r="O133" s="37"/>
      <c r="P133" s="37"/>
      <c r="Q133" s="37"/>
      <c r="R133" s="37"/>
      <c r="S133" s="37"/>
      <c r="T133" s="37"/>
      <c r="U133" s="3"/>
      <c r="W133" s="3"/>
      <c r="X133" s="3"/>
      <c r="Y133" s="3"/>
      <c r="Z133" s="3"/>
    </row>
    <row r="134" spans="1:26" ht="14.4" hidden="1" outlineLevel="1" x14ac:dyDescent="0.3">
      <c r="A134" s="3"/>
      <c r="B134" s="10" t="s">
        <v>994</v>
      </c>
      <c r="C134" s="62">
        <v>6</v>
      </c>
      <c r="D134" s="62" t="s">
        <v>94</v>
      </c>
      <c r="E134" s="12">
        <v>0</v>
      </c>
      <c r="F134" s="12">
        <v>16.72</v>
      </c>
      <c r="G134" s="65"/>
      <c r="H134" s="65" t="s">
        <v>37</v>
      </c>
      <c r="I134" s="112" t="s">
        <v>1001</v>
      </c>
      <c r="J134" s="65"/>
      <c r="K134" s="37"/>
      <c r="L134" s="37"/>
      <c r="M134" s="37"/>
      <c r="N134" s="37"/>
      <c r="O134" s="37"/>
      <c r="P134" s="37"/>
      <c r="Q134" s="37"/>
      <c r="R134" s="37"/>
      <c r="S134" s="37"/>
      <c r="T134" s="37"/>
      <c r="U134" s="3"/>
      <c r="W134" s="3"/>
      <c r="X134" s="3"/>
      <c r="Y134" s="3"/>
      <c r="Z134" s="3"/>
    </row>
    <row r="135" spans="1:26" ht="14.4" hidden="1" outlineLevel="1" x14ac:dyDescent="0.3">
      <c r="A135" s="3"/>
      <c r="B135" s="10" t="s">
        <v>50</v>
      </c>
      <c r="C135" s="62"/>
      <c r="D135" s="62"/>
      <c r="E135" s="12">
        <v>0</v>
      </c>
      <c r="F135" s="12">
        <v>0</v>
      </c>
      <c r="G135" s="65"/>
      <c r="H135" s="65"/>
      <c r="I135" s="89"/>
      <c r="J135" s="65"/>
      <c r="K135" s="37"/>
      <c r="L135" s="37"/>
      <c r="M135" s="37"/>
      <c r="N135" s="37"/>
      <c r="O135" s="37"/>
      <c r="P135" s="37"/>
      <c r="Q135" s="37"/>
      <c r="R135" s="37"/>
      <c r="S135" s="37"/>
      <c r="T135" s="37"/>
      <c r="U135" s="3"/>
      <c r="W135" s="3"/>
      <c r="X135" s="3"/>
      <c r="Y135" s="3"/>
      <c r="Z135" s="3"/>
    </row>
    <row r="136" spans="1:26" ht="20.399999999999999" collapsed="1" x14ac:dyDescent="0.3">
      <c r="A136" s="3"/>
      <c r="B136" s="84" t="s">
        <v>87</v>
      </c>
      <c r="C136" s="85" t="s">
        <v>43</v>
      </c>
      <c r="D136" s="85" t="s">
        <v>43</v>
      </c>
      <c r="E136" s="86">
        <f>SUM(E137:E145)</f>
        <v>0</v>
      </c>
      <c r="F136" s="86">
        <f>SUMIF(D137:D145,"OK",F137:F145)</f>
        <v>513.21</v>
      </c>
      <c r="G136" s="87"/>
      <c r="H136" s="87"/>
      <c r="I136" s="88"/>
      <c r="J136" s="87"/>
      <c r="K136" s="37"/>
      <c r="L136" s="37"/>
      <c r="M136" s="37"/>
      <c r="N136" s="37"/>
      <c r="O136" s="37"/>
      <c r="P136" s="37"/>
      <c r="Q136" s="37"/>
      <c r="R136" s="37"/>
      <c r="S136" s="37"/>
      <c r="T136" s="37"/>
      <c r="U136" s="3"/>
      <c r="W136" s="3"/>
      <c r="X136" s="3"/>
      <c r="Y136" s="3"/>
      <c r="Z136" s="3"/>
    </row>
    <row r="137" spans="1:26" ht="14.4" hidden="1" outlineLevel="1" x14ac:dyDescent="0.3">
      <c r="A137" s="3"/>
      <c r="B137" s="10" t="s">
        <v>839</v>
      </c>
      <c r="C137" s="80">
        <v>10</v>
      </c>
      <c r="D137" s="62" t="s">
        <v>94</v>
      </c>
      <c r="E137" s="12">
        <v>0</v>
      </c>
      <c r="F137" s="12">
        <v>513.21</v>
      </c>
      <c r="G137" s="89" t="s">
        <v>1002</v>
      </c>
      <c r="H137" s="65" t="s">
        <v>37</v>
      </c>
      <c r="I137" s="112" t="s">
        <v>1003</v>
      </c>
      <c r="J137" s="89"/>
      <c r="K137" s="37"/>
      <c r="L137" s="37"/>
      <c r="M137" s="37"/>
      <c r="N137" s="37"/>
      <c r="O137" s="37"/>
      <c r="P137" s="37"/>
      <c r="Q137" s="37"/>
      <c r="R137" s="37"/>
      <c r="S137" s="37"/>
      <c r="T137" s="37"/>
      <c r="U137" s="3"/>
      <c r="W137" s="3"/>
      <c r="X137" s="3"/>
      <c r="Y137" s="3"/>
      <c r="Z137" s="3"/>
    </row>
    <row r="138" spans="1:26" ht="14.4" hidden="1" outlineLevel="1" x14ac:dyDescent="0.3">
      <c r="A138" s="3"/>
      <c r="B138" s="10" t="s">
        <v>354</v>
      </c>
      <c r="C138" s="62"/>
      <c r="D138" s="62"/>
      <c r="E138" s="12">
        <v>0</v>
      </c>
      <c r="F138" s="12">
        <v>0</v>
      </c>
      <c r="G138" s="89"/>
      <c r="H138" s="65"/>
      <c r="I138" s="112"/>
      <c r="J138" s="65"/>
      <c r="K138" s="37"/>
      <c r="L138" s="37"/>
      <c r="M138" s="37"/>
      <c r="N138" s="37"/>
      <c r="O138" s="37"/>
      <c r="P138" s="37"/>
      <c r="Q138" s="37"/>
      <c r="R138" s="37"/>
      <c r="S138" s="37"/>
      <c r="T138" s="37"/>
      <c r="U138" s="3"/>
      <c r="W138" s="3"/>
      <c r="X138" s="3"/>
      <c r="Y138" s="3"/>
      <c r="Z138" s="3"/>
    </row>
    <row r="139" spans="1:26" ht="14.4" hidden="1" outlineLevel="1" x14ac:dyDescent="0.3">
      <c r="A139" s="3"/>
      <c r="B139" s="10" t="s">
        <v>355</v>
      </c>
      <c r="C139" s="62"/>
      <c r="D139" s="62"/>
      <c r="E139" s="12">
        <v>0</v>
      </c>
      <c r="F139" s="12">
        <v>0</v>
      </c>
      <c r="G139" s="65"/>
      <c r="H139" s="65"/>
      <c r="I139" s="89"/>
      <c r="J139" s="65"/>
      <c r="K139" s="37"/>
      <c r="L139" s="37"/>
      <c r="M139" s="37"/>
      <c r="N139" s="37"/>
      <c r="O139" s="37"/>
      <c r="P139" s="37"/>
      <c r="Q139" s="37"/>
      <c r="R139" s="37"/>
      <c r="S139" s="37"/>
      <c r="T139" s="37"/>
      <c r="U139" s="3"/>
      <c r="W139" s="3"/>
      <c r="X139" s="3"/>
      <c r="Y139" s="3"/>
      <c r="Z139" s="3"/>
    </row>
    <row r="140" spans="1:26" ht="14.4" hidden="1" outlineLevel="1" x14ac:dyDescent="0.3">
      <c r="A140" s="3"/>
      <c r="B140" s="10" t="s">
        <v>369</v>
      </c>
      <c r="C140" s="62"/>
      <c r="D140" s="62"/>
      <c r="E140" s="12">
        <v>0</v>
      </c>
      <c r="F140" s="12">
        <v>0</v>
      </c>
      <c r="G140" s="65"/>
      <c r="H140" s="65"/>
      <c r="I140" s="89"/>
      <c r="J140" s="65"/>
      <c r="K140" s="37"/>
      <c r="L140" s="37"/>
      <c r="M140" s="37"/>
      <c r="N140" s="37"/>
      <c r="O140" s="37"/>
      <c r="P140" s="37"/>
      <c r="Q140" s="37"/>
      <c r="R140" s="37"/>
      <c r="S140" s="37"/>
      <c r="T140" s="37"/>
      <c r="U140" s="3"/>
      <c r="W140" s="3"/>
      <c r="X140" s="3"/>
      <c r="Y140" s="3"/>
      <c r="Z140" s="3"/>
    </row>
    <row r="141" spans="1:26" ht="14.4" hidden="1" outlineLevel="1" x14ac:dyDescent="0.3">
      <c r="A141" s="3"/>
      <c r="B141" s="10" t="s">
        <v>327</v>
      </c>
      <c r="C141" s="62"/>
      <c r="D141" s="62"/>
      <c r="E141" s="12">
        <v>0</v>
      </c>
      <c r="F141" s="12">
        <v>0</v>
      </c>
      <c r="G141" s="65"/>
      <c r="H141" s="65"/>
      <c r="I141" s="89"/>
      <c r="J141" s="65"/>
      <c r="K141" s="37"/>
      <c r="L141" s="37"/>
      <c r="M141" s="37"/>
      <c r="N141" s="37"/>
      <c r="O141" s="37"/>
      <c r="P141" s="37"/>
      <c r="Q141" s="37"/>
      <c r="R141" s="37"/>
      <c r="S141" s="37"/>
      <c r="T141" s="37"/>
      <c r="U141" s="3"/>
      <c r="W141" s="3"/>
      <c r="X141" s="3"/>
      <c r="Y141" s="3"/>
      <c r="Z141" s="3"/>
    </row>
    <row r="142" spans="1:26" ht="14.4" hidden="1" outlineLevel="1" x14ac:dyDescent="0.3">
      <c r="A142" s="3"/>
      <c r="B142" s="10" t="s">
        <v>328</v>
      </c>
      <c r="C142" s="62"/>
      <c r="D142" s="62"/>
      <c r="E142" s="12">
        <v>0</v>
      </c>
      <c r="F142" s="12">
        <v>0</v>
      </c>
      <c r="G142" s="65"/>
      <c r="H142" s="65"/>
      <c r="I142" s="89"/>
      <c r="J142" s="65"/>
      <c r="K142" s="37"/>
      <c r="L142" s="37"/>
      <c r="M142" s="37"/>
      <c r="N142" s="37"/>
      <c r="O142" s="37"/>
      <c r="P142" s="37"/>
      <c r="Q142" s="37"/>
      <c r="R142" s="37"/>
      <c r="S142" s="37"/>
      <c r="T142" s="37"/>
      <c r="U142" s="3"/>
      <c r="W142" s="3"/>
      <c r="X142" s="3"/>
      <c r="Y142" s="3"/>
      <c r="Z142" s="3"/>
    </row>
    <row r="143" spans="1:26" ht="14.4" hidden="1" outlineLevel="1" x14ac:dyDescent="0.3">
      <c r="A143" s="3"/>
      <c r="B143" s="10" t="s">
        <v>370</v>
      </c>
      <c r="C143" s="62"/>
      <c r="D143" s="62"/>
      <c r="E143" s="12">
        <v>0</v>
      </c>
      <c r="F143" s="12">
        <v>0</v>
      </c>
      <c r="G143" s="65"/>
      <c r="H143" s="65"/>
      <c r="I143" s="89"/>
      <c r="J143" s="65"/>
      <c r="K143" s="37"/>
      <c r="L143" s="37"/>
      <c r="M143" s="37"/>
      <c r="N143" s="37"/>
      <c r="O143" s="37"/>
      <c r="P143" s="37"/>
      <c r="Q143" s="37"/>
      <c r="R143" s="37"/>
      <c r="S143" s="37"/>
      <c r="T143" s="37"/>
      <c r="U143" s="3"/>
      <c r="W143" s="3"/>
      <c r="X143" s="3"/>
      <c r="Y143" s="3"/>
      <c r="Z143" s="3"/>
    </row>
    <row r="144" spans="1:26" ht="14.4" hidden="1" outlineLevel="1" x14ac:dyDescent="0.3">
      <c r="A144" s="3"/>
      <c r="B144" s="10" t="s">
        <v>371</v>
      </c>
      <c r="C144" s="62"/>
      <c r="D144" s="62"/>
      <c r="E144" s="12">
        <v>0</v>
      </c>
      <c r="F144" s="12">
        <v>0</v>
      </c>
      <c r="G144" s="65"/>
      <c r="H144" s="65"/>
      <c r="I144" s="89"/>
      <c r="J144" s="65"/>
      <c r="K144" s="37"/>
      <c r="L144" s="37"/>
      <c r="M144" s="37"/>
      <c r="N144" s="37"/>
      <c r="O144" s="37"/>
      <c r="P144" s="37"/>
      <c r="Q144" s="37"/>
      <c r="R144" s="37"/>
      <c r="S144" s="37"/>
      <c r="T144" s="37"/>
      <c r="U144" s="3"/>
      <c r="W144" s="3"/>
      <c r="X144" s="3"/>
      <c r="Y144" s="3"/>
      <c r="Z144" s="3"/>
    </row>
    <row r="145" spans="1:26" ht="14.4" hidden="1" outlineLevel="1" x14ac:dyDescent="0.3">
      <c r="A145" s="3"/>
      <c r="B145" s="10" t="s">
        <v>372</v>
      </c>
      <c r="C145" s="62"/>
      <c r="D145" s="62"/>
      <c r="E145" s="12">
        <v>0</v>
      </c>
      <c r="F145" s="12">
        <v>0</v>
      </c>
      <c r="G145" s="65"/>
      <c r="H145" s="65"/>
      <c r="I145" s="89"/>
      <c r="J145" s="65"/>
      <c r="K145" s="37"/>
      <c r="L145" s="37"/>
      <c r="M145" s="37"/>
      <c r="N145" s="37"/>
      <c r="O145" s="37"/>
      <c r="P145" s="37"/>
      <c r="Q145" s="37"/>
      <c r="R145" s="37"/>
      <c r="S145" s="37"/>
      <c r="T145" s="37"/>
      <c r="U145" s="3"/>
      <c r="W145" s="3"/>
      <c r="X145" s="3"/>
      <c r="Y145" s="3"/>
      <c r="Z145" s="3"/>
    </row>
    <row r="146" spans="1:26" ht="20.399999999999999" collapsed="1" x14ac:dyDescent="0.3">
      <c r="A146" s="3"/>
      <c r="B146" s="84" t="s">
        <v>88</v>
      </c>
      <c r="C146" s="85" t="s">
        <v>43</v>
      </c>
      <c r="D146" s="85" t="s">
        <v>43</v>
      </c>
      <c r="E146" s="86">
        <f t="shared" ref="E146:F146" si="2">SUM(E147,E155,E161,E167)</f>
        <v>0</v>
      </c>
      <c r="F146" s="86">
        <f t="shared" si="2"/>
        <v>5666.7300000000005</v>
      </c>
      <c r="G146" s="87"/>
      <c r="H146" s="87"/>
      <c r="I146" s="88"/>
      <c r="J146" s="87"/>
      <c r="K146" s="37"/>
      <c r="L146" s="37"/>
      <c r="M146" s="37"/>
      <c r="N146" s="37"/>
      <c r="O146" s="37"/>
      <c r="P146" s="37"/>
      <c r="Q146" s="37"/>
      <c r="R146" s="37"/>
      <c r="S146" s="37"/>
      <c r="T146" s="37"/>
      <c r="U146" s="3"/>
      <c r="W146" s="3"/>
      <c r="X146" s="3"/>
      <c r="Y146" s="3"/>
      <c r="Z146" s="3"/>
    </row>
    <row r="147" spans="1:26" hidden="1" outlineLevel="1" x14ac:dyDescent="0.3">
      <c r="A147" s="3"/>
      <c r="B147" s="91" t="s">
        <v>380</v>
      </c>
      <c r="C147" s="92"/>
      <c r="D147" s="92"/>
      <c r="E147" s="93">
        <f>SUM(E148:E154)</f>
        <v>0</v>
      </c>
      <c r="F147" s="93">
        <f>SUMIF(D148:D154,"OK",F148:F154)</f>
        <v>5666.7300000000005</v>
      </c>
      <c r="G147" s="94"/>
      <c r="H147" s="94"/>
      <c r="I147" s="95"/>
      <c r="J147" s="94"/>
      <c r="K147" s="37"/>
      <c r="L147" s="37"/>
      <c r="M147" s="37"/>
      <c r="N147" s="37"/>
      <c r="O147" s="37"/>
      <c r="P147" s="37"/>
      <c r="Q147" s="37"/>
      <c r="R147" s="37"/>
      <c r="S147" s="37"/>
      <c r="T147" s="37"/>
      <c r="U147" s="3"/>
      <c r="W147" s="3"/>
      <c r="X147" s="3"/>
      <c r="Y147" s="3"/>
      <c r="Z147" s="3"/>
    </row>
    <row r="148" spans="1:26" ht="14.4" hidden="1" outlineLevel="1" x14ac:dyDescent="0.3">
      <c r="A148" s="3"/>
      <c r="B148" s="10" t="s">
        <v>844</v>
      </c>
      <c r="C148" s="62">
        <v>10</v>
      </c>
      <c r="D148" s="62" t="s">
        <v>94</v>
      </c>
      <c r="E148" s="12">
        <v>0</v>
      </c>
      <c r="F148" s="12">
        <v>537</v>
      </c>
      <c r="G148" s="65" t="s">
        <v>1004</v>
      </c>
      <c r="H148" s="65" t="s">
        <v>37</v>
      </c>
      <c r="I148" s="112" t="s">
        <v>1005</v>
      </c>
      <c r="J148" s="65"/>
      <c r="K148" s="37"/>
      <c r="L148" s="37"/>
      <c r="M148" s="37"/>
      <c r="N148" s="37"/>
      <c r="O148" s="37"/>
      <c r="P148" s="37"/>
      <c r="Q148" s="37"/>
      <c r="R148" s="37"/>
      <c r="S148" s="37"/>
      <c r="T148" s="37"/>
      <c r="U148" s="3"/>
      <c r="W148" s="3"/>
      <c r="X148" s="3"/>
      <c r="Y148" s="3"/>
      <c r="Z148" s="3"/>
    </row>
    <row r="149" spans="1:26" ht="14.4" hidden="1" outlineLevel="1" x14ac:dyDescent="0.3">
      <c r="A149" s="3"/>
      <c r="B149" s="10" t="s">
        <v>847</v>
      </c>
      <c r="C149" s="62">
        <v>10</v>
      </c>
      <c r="D149" s="62" t="s">
        <v>94</v>
      </c>
      <c r="E149" s="12">
        <v>0</v>
      </c>
      <c r="F149" s="12">
        <v>689.6</v>
      </c>
      <c r="G149" s="65" t="s">
        <v>1006</v>
      </c>
      <c r="H149" s="65" t="s">
        <v>37</v>
      </c>
      <c r="I149" s="112" t="s">
        <v>1007</v>
      </c>
      <c r="J149" s="65"/>
      <c r="K149" s="37"/>
      <c r="L149" s="37"/>
      <c r="M149" s="37"/>
      <c r="N149" s="37"/>
      <c r="O149" s="37"/>
      <c r="P149" s="37"/>
      <c r="Q149" s="37"/>
      <c r="R149" s="37"/>
      <c r="S149" s="37"/>
      <c r="T149" s="37"/>
      <c r="U149" s="3"/>
      <c r="W149" s="3"/>
      <c r="X149" s="3"/>
      <c r="Y149" s="3"/>
      <c r="Z149" s="3"/>
    </row>
    <row r="150" spans="1:26" ht="14.4" hidden="1" outlineLevel="1" x14ac:dyDescent="0.3">
      <c r="A150" s="3"/>
      <c r="B150" s="10" t="s">
        <v>850</v>
      </c>
      <c r="C150" s="62">
        <v>10</v>
      </c>
      <c r="D150" s="62" t="s">
        <v>94</v>
      </c>
      <c r="E150" s="12">
        <v>0</v>
      </c>
      <c r="F150" s="12">
        <v>665.08</v>
      </c>
      <c r="G150" s="65" t="s">
        <v>1008</v>
      </c>
      <c r="H150" s="65" t="s">
        <v>37</v>
      </c>
      <c r="I150" s="112" t="s">
        <v>1009</v>
      </c>
      <c r="J150" s="65"/>
      <c r="K150" s="37"/>
      <c r="L150" s="37"/>
      <c r="M150" s="37"/>
      <c r="N150" s="37"/>
      <c r="O150" s="37"/>
      <c r="P150" s="37"/>
      <c r="Q150" s="37"/>
      <c r="R150" s="37"/>
      <c r="S150" s="37"/>
      <c r="T150" s="37"/>
      <c r="U150" s="3"/>
      <c r="W150" s="3"/>
      <c r="X150" s="3"/>
      <c r="Y150" s="3"/>
      <c r="Z150" s="3"/>
    </row>
    <row r="151" spans="1:26" ht="14.4" hidden="1" outlineLevel="1" x14ac:dyDescent="0.3">
      <c r="A151" s="3"/>
      <c r="B151" s="10" t="s">
        <v>856</v>
      </c>
      <c r="C151" s="62">
        <v>14</v>
      </c>
      <c r="D151" s="62" t="s">
        <v>94</v>
      </c>
      <c r="E151" s="12">
        <v>0</v>
      </c>
      <c r="F151" s="12">
        <v>2727</v>
      </c>
      <c r="G151" s="65" t="s">
        <v>1010</v>
      </c>
      <c r="H151" s="65" t="s">
        <v>37</v>
      </c>
      <c r="I151" s="112" t="s">
        <v>1011</v>
      </c>
      <c r="J151" s="65"/>
      <c r="K151" s="37"/>
      <c r="L151" s="37"/>
      <c r="M151" s="37"/>
      <c r="N151" s="37"/>
      <c r="O151" s="37"/>
      <c r="P151" s="37"/>
      <c r="Q151" s="37"/>
      <c r="R151" s="37"/>
      <c r="S151" s="37"/>
      <c r="T151" s="37"/>
      <c r="U151" s="3"/>
      <c r="W151" s="3"/>
      <c r="X151" s="3"/>
      <c r="Y151" s="3"/>
      <c r="Z151" s="3"/>
    </row>
    <row r="152" spans="1:26" ht="24" hidden="1" outlineLevel="1" x14ac:dyDescent="0.3">
      <c r="A152" s="3"/>
      <c r="B152" s="125" t="s">
        <v>859</v>
      </c>
      <c r="C152" s="62">
        <v>14</v>
      </c>
      <c r="D152" s="62" t="s">
        <v>94</v>
      </c>
      <c r="E152" s="12">
        <v>0</v>
      </c>
      <c r="F152" s="12">
        <v>1048.05</v>
      </c>
      <c r="G152" s="89" t="s">
        <v>1012</v>
      </c>
      <c r="H152" s="65" t="s">
        <v>37</v>
      </c>
      <c r="I152" s="112" t="s">
        <v>1013</v>
      </c>
      <c r="J152" s="65"/>
      <c r="K152" s="37"/>
      <c r="L152" s="37"/>
      <c r="M152" s="37"/>
      <c r="N152" s="37"/>
      <c r="O152" s="37"/>
      <c r="P152" s="37"/>
      <c r="Q152" s="37"/>
      <c r="R152" s="37"/>
      <c r="S152" s="37"/>
      <c r="T152" s="37"/>
      <c r="U152" s="3"/>
      <c r="W152" s="3"/>
      <c r="X152" s="3"/>
      <c r="Y152" s="3"/>
      <c r="Z152" s="3"/>
    </row>
    <row r="153" spans="1:26" ht="14.4" hidden="1" outlineLevel="1" x14ac:dyDescent="0.3">
      <c r="A153" s="3"/>
      <c r="B153" s="10" t="s">
        <v>328</v>
      </c>
      <c r="C153" s="62"/>
      <c r="D153" s="62"/>
      <c r="E153" s="12">
        <v>0</v>
      </c>
      <c r="F153" s="12">
        <v>0</v>
      </c>
      <c r="G153" s="65"/>
      <c r="H153" s="65"/>
      <c r="I153" s="89"/>
      <c r="J153" s="65"/>
      <c r="K153" s="37"/>
      <c r="L153" s="37"/>
      <c r="M153" s="37"/>
      <c r="N153" s="37"/>
      <c r="O153" s="37"/>
      <c r="P153" s="37"/>
      <c r="Q153" s="37"/>
      <c r="R153" s="37"/>
      <c r="S153" s="37"/>
      <c r="T153" s="37"/>
      <c r="U153" s="3"/>
      <c r="W153" s="3"/>
      <c r="X153" s="3"/>
      <c r="Y153" s="3"/>
      <c r="Z153" s="3"/>
    </row>
    <row r="154" spans="1:26" ht="14.4" hidden="1" outlineLevel="1" x14ac:dyDescent="0.3">
      <c r="A154" s="3"/>
      <c r="B154" s="10" t="s">
        <v>370</v>
      </c>
      <c r="C154" s="62"/>
      <c r="D154" s="62"/>
      <c r="E154" s="12">
        <v>0</v>
      </c>
      <c r="F154" s="12">
        <v>0</v>
      </c>
      <c r="G154" s="65"/>
      <c r="H154" s="65"/>
      <c r="I154" s="89"/>
      <c r="J154" s="65"/>
      <c r="K154" s="37"/>
      <c r="L154" s="37"/>
      <c r="M154" s="37"/>
      <c r="N154" s="37"/>
      <c r="O154" s="37"/>
      <c r="P154" s="37"/>
      <c r="Q154" s="37"/>
      <c r="R154" s="37"/>
      <c r="S154" s="37"/>
      <c r="T154" s="37"/>
      <c r="U154" s="3"/>
      <c r="W154" s="3"/>
      <c r="X154" s="3"/>
      <c r="Y154" s="3"/>
      <c r="Z154" s="3"/>
    </row>
    <row r="155" spans="1:26" hidden="1" outlineLevel="1" x14ac:dyDescent="0.3">
      <c r="A155" s="3"/>
      <c r="B155" s="91" t="s">
        <v>643</v>
      </c>
      <c r="C155" s="92"/>
      <c r="D155" s="92"/>
      <c r="E155" s="93">
        <f>SUM(E156:E160)</f>
        <v>0</v>
      </c>
      <c r="F155" s="93">
        <f>SUMIF(D156:D160,"OK",F156:F160)</f>
        <v>0</v>
      </c>
      <c r="G155" s="94"/>
      <c r="H155" s="94"/>
      <c r="I155" s="95"/>
      <c r="J155" s="94"/>
      <c r="K155" s="37"/>
      <c r="L155" s="37"/>
      <c r="M155" s="37"/>
      <c r="N155" s="37"/>
      <c r="O155" s="37"/>
      <c r="P155" s="37"/>
      <c r="Q155" s="37"/>
      <c r="R155" s="37"/>
      <c r="S155" s="37"/>
      <c r="T155" s="37"/>
      <c r="U155" s="3"/>
      <c r="W155" s="3"/>
      <c r="X155" s="3"/>
      <c r="Y155" s="3"/>
      <c r="Z155" s="3"/>
    </row>
    <row r="156" spans="1:26" ht="14.4" hidden="1" outlineLevel="1" x14ac:dyDescent="0.3">
      <c r="A156" s="3"/>
      <c r="B156" s="10" t="s">
        <v>353</v>
      </c>
      <c r="C156" s="62"/>
      <c r="D156" s="62"/>
      <c r="E156" s="12">
        <v>0</v>
      </c>
      <c r="F156" s="12">
        <v>0</v>
      </c>
      <c r="G156" s="65"/>
      <c r="H156" s="65"/>
      <c r="I156" s="89"/>
      <c r="J156" s="65"/>
      <c r="K156" s="37"/>
      <c r="L156" s="37"/>
      <c r="M156" s="37"/>
      <c r="N156" s="37"/>
      <c r="O156" s="37"/>
      <c r="P156" s="37"/>
      <c r="Q156" s="37"/>
      <c r="R156" s="37"/>
      <c r="S156" s="37"/>
      <c r="T156" s="37"/>
      <c r="U156" s="3"/>
      <c r="W156" s="3"/>
      <c r="X156" s="3"/>
      <c r="Y156" s="3"/>
      <c r="Z156" s="3"/>
    </row>
    <row r="157" spans="1:26" ht="14.4" hidden="1" outlineLevel="1" x14ac:dyDescent="0.3">
      <c r="A157" s="3"/>
      <c r="B157" s="10" t="s">
        <v>354</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4.4" hidden="1" outlineLevel="1" x14ac:dyDescent="0.3">
      <c r="A158" s="3"/>
      <c r="B158" s="10" t="s">
        <v>355</v>
      </c>
      <c r="C158" s="62"/>
      <c r="D158" s="62"/>
      <c r="E158" s="12">
        <v>0</v>
      </c>
      <c r="F158" s="12">
        <v>0</v>
      </c>
      <c r="G158" s="65"/>
      <c r="H158" s="65"/>
      <c r="I158" s="89"/>
      <c r="J158" s="65"/>
      <c r="K158" s="37"/>
      <c r="L158" s="37"/>
      <c r="M158" s="37"/>
      <c r="N158" s="37"/>
      <c r="O158" s="37"/>
      <c r="P158" s="37"/>
      <c r="Q158" s="37"/>
      <c r="R158" s="37"/>
      <c r="S158" s="37"/>
      <c r="T158" s="37"/>
      <c r="U158" s="3"/>
      <c r="W158" s="3"/>
      <c r="X158" s="3"/>
      <c r="Y158" s="3"/>
      <c r="Z158" s="3"/>
    </row>
    <row r="159" spans="1:26" ht="14.4" hidden="1" outlineLevel="1" x14ac:dyDescent="0.3">
      <c r="A159" s="3"/>
      <c r="B159" s="10" t="s">
        <v>369</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4.4" hidden="1" outlineLevel="1" x14ac:dyDescent="0.3">
      <c r="A160" s="3"/>
      <c r="B160" s="10" t="s">
        <v>327</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idden="1" outlineLevel="1" x14ac:dyDescent="0.3">
      <c r="A161" s="3"/>
      <c r="B161" s="91" t="s">
        <v>381</v>
      </c>
      <c r="C161" s="92"/>
      <c r="D161" s="92"/>
      <c r="E161" s="93">
        <f>SUM(E162:E166)</f>
        <v>0</v>
      </c>
      <c r="F161" s="93">
        <f>SUMIF(D162:D166,"OK",F162:F166)</f>
        <v>0</v>
      </c>
      <c r="G161" s="94"/>
      <c r="H161" s="94"/>
      <c r="I161" s="95"/>
      <c r="J161" s="94"/>
      <c r="K161" s="37"/>
      <c r="L161" s="37"/>
      <c r="M161" s="37"/>
      <c r="N161" s="37"/>
      <c r="O161" s="37"/>
      <c r="P161" s="37"/>
      <c r="Q161" s="37"/>
      <c r="R161" s="37"/>
      <c r="S161" s="37"/>
      <c r="T161" s="37"/>
      <c r="U161" s="3"/>
      <c r="W161" s="3"/>
      <c r="X161" s="3"/>
      <c r="Y161" s="3"/>
      <c r="Z161" s="3"/>
    </row>
    <row r="162" spans="1:26" ht="14.4" hidden="1" outlineLevel="1" x14ac:dyDescent="0.3">
      <c r="A162" s="3"/>
      <c r="B162" s="10" t="s">
        <v>353</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4.4" hidden="1" outlineLevel="1" x14ac:dyDescent="0.3">
      <c r="A163" s="3"/>
      <c r="B163" s="10" t="s">
        <v>354</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4.4" hidden="1" outlineLevel="1" x14ac:dyDescent="0.3">
      <c r="A164" s="3"/>
      <c r="B164" s="10" t="s">
        <v>355</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4.4" hidden="1" outlineLevel="1" x14ac:dyDescent="0.3">
      <c r="A165" s="3"/>
      <c r="B165" s="10" t="s">
        <v>369</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4.4" hidden="1" outlineLevel="1" x14ac:dyDescent="0.3">
      <c r="A166" s="3"/>
      <c r="B166" s="10" t="s">
        <v>327</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idden="1" outlineLevel="1" x14ac:dyDescent="0.3">
      <c r="A167" s="3"/>
      <c r="B167" s="91" t="s">
        <v>382</v>
      </c>
      <c r="C167" s="92"/>
      <c r="D167" s="92"/>
      <c r="E167" s="93">
        <f>SUM(E168:E172)</f>
        <v>0</v>
      </c>
      <c r="F167" s="93">
        <f>SUMIF(D168:D172,"OK",F168:F172)</f>
        <v>0</v>
      </c>
      <c r="G167" s="94"/>
      <c r="H167" s="94"/>
      <c r="I167" s="95"/>
      <c r="J167" s="94"/>
      <c r="K167" s="37"/>
      <c r="L167" s="37"/>
      <c r="M167" s="37"/>
      <c r="N167" s="37"/>
      <c r="O167" s="37"/>
      <c r="P167" s="37"/>
      <c r="Q167" s="37"/>
      <c r="R167" s="37"/>
      <c r="S167" s="37"/>
      <c r="T167" s="37"/>
      <c r="U167" s="3"/>
      <c r="W167" s="3"/>
      <c r="X167" s="3"/>
      <c r="Y167" s="3"/>
      <c r="Z167" s="3"/>
    </row>
    <row r="168" spans="1:26" ht="14.4" hidden="1" outlineLevel="1" x14ac:dyDescent="0.3">
      <c r="A168" s="3"/>
      <c r="B168" s="10" t="s">
        <v>353</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4.4" hidden="1" outlineLevel="1" x14ac:dyDescent="0.3">
      <c r="A169" s="3"/>
      <c r="B169" s="10" t="s">
        <v>354</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4.4" hidden="1" outlineLevel="1" x14ac:dyDescent="0.3">
      <c r="A170" s="3"/>
      <c r="B170" s="10" t="s">
        <v>355</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4.4" hidden="1" outlineLevel="1" x14ac:dyDescent="0.3">
      <c r="A171" s="3"/>
      <c r="B171" s="10" t="s">
        <v>369</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4.4" hidden="1" outlineLevel="1" x14ac:dyDescent="0.3">
      <c r="A172" s="3"/>
      <c r="B172" s="10" t="s">
        <v>327</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20.399999999999999" collapsed="1" x14ac:dyDescent="0.3">
      <c r="A173" s="3"/>
      <c r="B173" s="84" t="s">
        <v>383</v>
      </c>
      <c r="C173" s="85" t="s">
        <v>43</v>
      </c>
      <c r="D173" s="85" t="s">
        <v>43</v>
      </c>
      <c r="E173" s="86">
        <f>SUM(E174:E178)</f>
        <v>0</v>
      </c>
      <c r="F173" s="86">
        <f>SUMIF(D174:D178,"OK",F174:F178)</f>
        <v>0</v>
      </c>
      <c r="G173" s="87"/>
      <c r="H173" s="87"/>
      <c r="I173" s="88"/>
      <c r="J173" s="87"/>
      <c r="K173" s="37"/>
      <c r="L173" s="37"/>
      <c r="M173" s="37"/>
      <c r="N173" s="37"/>
      <c r="O173" s="37"/>
      <c r="P173" s="37"/>
      <c r="Q173" s="37"/>
      <c r="R173" s="37"/>
      <c r="S173" s="37"/>
      <c r="T173" s="37"/>
      <c r="U173" s="3"/>
      <c r="W173" s="3"/>
      <c r="X173" s="3"/>
      <c r="Y173" s="3"/>
      <c r="Z173" s="3"/>
    </row>
    <row r="174" spans="1:26" ht="14.4" hidden="1" outlineLevel="1" x14ac:dyDescent="0.3">
      <c r="A174" s="3"/>
      <c r="B174" s="10" t="s">
        <v>1014</v>
      </c>
      <c r="C174" s="62"/>
      <c r="D174" s="62"/>
      <c r="E174" s="12">
        <v>0</v>
      </c>
      <c r="F174" s="12">
        <v>0</v>
      </c>
      <c r="G174" s="65"/>
      <c r="H174" s="65"/>
      <c r="I174" s="112"/>
      <c r="J174" s="65"/>
      <c r="K174" s="37"/>
      <c r="L174" s="37"/>
      <c r="M174" s="37"/>
      <c r="N174" s="37"/>
      <c r="O174" s="37"/>
      <c r="P174" s="37"/>
      <c r="Q174" s="37"/>
      <c r="R174" s="37"/>
      <c r="S174" s="37"/>
      <c r="T174" s="37"/>
      <c r="U174" s="3"/>
      <c r="W174" s="3"/>
      <c r="X174" s="3"/>
      <c r="Y174" s="3"/>
      <c r="Z174" s="3"/>
    </row>
    <row r="175" spans="1:26" ht="14.4" hidden="1" outlineLevel="1" x14ac:dyDescent="0.3">
      <c r="A175" s="3"/>
      <c r="B175" s="10" t="s">
        <v>354</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4.4" hidden="1" outlineLevel="1" x14ac:dyDescent="0.3">
      <c r="A176" s="3"/>
      <c r="B176" s="10" t="s">
        <v>355</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t="14.4" hidden="1" outlineLevel="1" x14ac:dyDescent="0.3">
      <c r="A177" s="3"/>
      <c r="B177" s="10" t="s">
        <v>369</v>
      </c>
      <c r="C177" s="62"/>
      <c r="D177" s="62"/>
      <c r="E177" s="12">
        <v>0</v>
      </c>
      <c r="F177" s="12">
        <v>0</v>
      </c>
      <c r="G177" s="65"/>
      <c r="H177" s="65"/>
      <c r="I177" s="89"/>
      <c r="J177" s="65"/>
      <c r="K177" s="37"/>
      <c r="L177" s="37"/>
      <c r="M177" s="37"/>
      <c r="N177" s="37"/>
      <c r="O177" s="37"/>
      <c r="P177" s="37"/>
      <c r="Q177" s="37"/>
      <c r="R177" s="37"/>
      <c r="S177" s="37"/>
      <c r="T177" s="37"/>
      <c r="U177" s="3"/>
      <c r="W177" s="3"/>
      <c r="X177" s="3"/>
      <c r="Y177" s="3"/>
      <c r="Z177" s="3"/>
    </row>
    <row r="178" spans="1:26" ht="14.4" hidden="1" outlineLevel="1" x14ac:dyDescent="0.3">
      <c r="A178" s="3"/>
      <c r="B178" s="10" t="s">
        <v>327</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20.399999999999999" collapsed="1" x14ac:dyDescent="0.3">
      <c r="A179" s="3"/>
      <c r="B179" s="84" t="s">
        <v>384</v>
      </c>
      <c r="C179" s="85" t="s">
        <v>43</v>
      </c>
      <c r="D179" s="85" t="s">
        <v>43</v>
      </c>
      <c r="E179" s="86">
        <f>SUM(E180:E184)</f>
        <v>0</v>
      </c>
      <c r="F179" s="86">
        <f>SUMIF(D180:D184,"OK",F180:F184)</f>
        <v>410.56</v>
      </c>
      <c r="G179" s="87"/>
      <c r="H179" s="87"/>
      <c r="I179" s="88"/>
      <c r="J179" s="87"/>
      <c r="K179" s="37"/>
      <c r="L179" s="37"/>
      <c r="M179" s="37"/>
      <c r="N179" s="37"/>
      <c r="O179" s="37"/>
      <c r="P179" s="37"/>
      <c r="Q179" s="37"/>
      <c r="R179" s="37"/>
      <c r="S179" s="37"/>
      <c r="T179" s="37"/>
      <c r="U179" s="3"/>
      <c r="W179" s="3"/>
      <c r="X179" s="3"/>
      <c r="Y179" s="3"/>
      <c r="Z179" s="3"/>
    </row>
    <row r="180" spans="1:26" ht="14.4" hidden="1" outlineLevel="1" x14ac:dyDescent="0.3">
      <c r="A180" s="3"/>
      <c r="B180" s="10" t="s">
        <v>1015</v>
      </c>
      <c r="C180" s="80">
        <v>26</v>
      </c>
      <c r="D180" s="62" t="s">
        <v>94</v>
      </c>
      <c r="E180" s="12">
        <v>0</v>
      </c>
      <c r="F180" s="12">
        <v>133.56</v>
      </c>
      <c r="G180" s="89"/>
      <c r="H180" s="65" t="s">
        <v>37</v>
      </c>
      <c r="I180" s="112" t="s">
        <v>1016</v>
      </c>
      <c r="J180" s="65"/>
      <c r="K180" s="37"/>
      <c r="L180" s="37"/>
      <c r="M180" s="37"/>
      <c r="N180" s="37"/>
      <c r="O180" s="37"/>
      <c r="P180" s="37"/>
      <c r="Q180" s="37"/>
      <c r="R180" s="37"/>
      <c r="S180" s="37"/>
      <c r="T180" s="37"/>
      <c r="U180" s="3"/>
      <c r="W180" s="3"/>
      <c r="X180" s="3"/>
      <c r="Y180" s="3"/>
      <c r="Z180" s="3"/>
    </row>
    <row r="181" spans="1:26" ht="14.4" hidden="1" outlineLevel="1" x14ac:dyDescent="0.3">
      <c r="A181" s="3"/>
      <c r="B181" s="10" t="s">
        <v>1015</v>
      </c>
      <c r="C181" s="62">
        <v>26</v>
      </c>
      <c r="D181" s="62" t="s">
        <v>94</v>
      </c>
      <c r="E181" s="12">
        <v>0</v>
      </c>
      <c r="F181" s="12">
        <v>77</v>
      </c>
      <c r="G181" s="89"/>
      <c r="H181" s="65" t="s">
        <v>37</v>
      </c>
      <c r="I181" s="112" t="s">
        <v>1017</v>
      </c>
      <c r="J181" s="89"/>
      <c r="K181" s="37"/>
      <c r="L181" s="37"/>
      <c r="M181" s="37"/>
      <c r="N181" s="37"/>
      <c r="O181" s="37"/>
      <c r="P181" s="37"/>
      <c r="Q181" s="37"/>
      <c r="R181" s="37"/>
      <c r="S181" s="37"/>
      <c r="T181" s="37"/>
      <c r="U181" s="3"/>
      <c r="W181" s="3"/>
      <c r="X181" s="3"/>
      <c r="Y181" s="3"/>
      <c r="Z181" s="3"/>
    </row>
    <row r="182" spans="1:26" ht="14.4" hidden="1" outlineLevel="1" x14ac:dyDescent="0.3">
      <c r="A182" s="3"/>
      <c r="B182" s="10" t="s">
        <v>1018</v>
      </c>
      <c r="C182" s="62">
        <v>28</v>
      </c>
      <c r="D182" s="62" t="s">
        <v>94</v>
      </c>
      <c r="E182" s="12">
        <v>0</v>
      </c>
      <c r="F182" s="12">
        <v>200</v>
      </c>
      <c r="G182" s="65"/>
      <c r="H182" s="65" t="s">
        <v>37</v>
      </c>
      <c r="I182" s="112" t="s">
        <v>1019</v>
      </c>
      <c r="J182" s="65"/>
      <c r="K182" s="37"/>
      <c r="L182" s="37"/>
      <c r="M182" s="37"/>
      <c r="N182" s="37"/>
      <c r="O182" s="37"/>
      <c r="P182" s="37"/>
      <c r="Q182" s="37"/>
      <c r="R182" s="37"/>
      <c r="S182" s="37"/>
      <c r="T182" s="37"/>
      <c r="U182" s="3"/>
      <c r="W182" s="3"/>
      <c r="X182" s="3"/>
      <c r="Y182" s="3"/>
      <c r="Z182" s="3"/>
    </row>
    <row r="183" spans="1:26" ht="14.4" hidden="1" outlineLevel="1" x14ac:dyDescent="0.3">
      <c r="A183" s="3"/>
      <c r="B183" s="10" t="s">
        <v>369</v>
      </c>
      <c r="C183" s="62"/>
      <c r="D183" s="62"/>
      <c r="E183" s="12">
        <v>0</v>
      </c>
      <c r="F183" s="12">
        <v>0</v>
      </c>
      <c r="G183" s="65"/>
      <c r="H183" s="65"/>
      <c r="I183" s="89"/>
      <c r="J183" s="65"/>
      <c r="K183" s="37"/>
      <c r="L183" s="37"/>
      <c r="M183" s="37"/>
      <c r="N183" s="37"/>
      <c r="O183" s="37"/>
      <c r="P183" s="37"/>
      <c r="Q183" s="37"/>
      <c r="R183" s="37"/>
      <c r="S183" s="37"/>
      <c r="T183" s="37"/>
      <c r="U183" s="3"/>
      <c r="W183" s="3"/>
      <c r="X183" s="3"/>
      <c r="Y183" s="3"/>
      <c r="Z183" s="3"/>
    </row>
    <row r="184" spans="1:26" ht="14.4" hidden="1" outlineLevel="1" x14ac:dyDescent="0.3">
      <c r="A184" s="3"/>
      <c r="B184" s="10" t="s">
        <v>327</v>
      </c>
      <c r="C184" s="62"/>
      <c r="D184" s="62"/>
      <c r="E184" s="12">
        <v>0</v>
      </c>
      <c r="F184" s="12">
        <v>0</v>
      </c>
      <c r="G184" s="65"/>
      <c r="H184" s="65"/>
      <c r="I184" s="89"/>
      <c r="J184" s="65"/>
      <c r="K184" s="37"/>
      <c r="L184" s="37"/>
      <c r="M184" s="37"/>
      <c r="N184" s="37"/>
      <c r="O184" s="37"/>
      <c r="P184" s="37"/>
      <c r="Q184" s="37"/>
      <c r="R184" s="37"/>
      <c r="S184" s="37"/>
      <c r="T184" s="37"/>
      <c r="U184" s="3"/>
      <c r="W184" s="3"/>
      <c r="X184" s="3"/>
      <c r="Y184" s="3"/>
      <c r="Z184" s="3"/>
    </row>
    <row r="185" spans="1:26" ht="20.399999999999999" collapsed="1" x14ac:dyDescent="0.3">
      <c r="A185" s="3"/>
      <c r="B185" s="84" t="s">
        <v>394</v>
      </c>
      <c r="C185" s="85" t="s">
        <v>43</v>
      </c>
      <c r="D185" s="85" t="s">
        <v>43</v>
      </c>
      <c r="E185" s="86">
        <f>SUM(E186:E194)</f>
        <v>0</v>
      </c>
      <c r="F185" s="86">
        <f>SUMIF(D186:D194,"OK",F186:F194)</f>
        <v>100</v>
      </c>
      <c r="G185" s="87"/>
      <c r="H185" s="87"/>
      <c r="I185" s="88"/>
      <c r="J185" s="87"/>
      <c r="K185" s="37"/>
      <c r="L185" s="37"/>
      <c r="M185" s="37"/>
      <c r="N185" s="37"/>
      <c r="O185" s="37"/>
      <c r="P185" s="37"/>
      <c r="Q185" s="37"/>
      <c r="R185" s="37"/>
      <c r="S185" s="37"/>
      <c r="T185" s="37"/>
      <c r="U185" s="3"/>
      <c r="W185" s="3"/>
      <c r="X185" s="3"/>
      <c r="Y185" s="3"/>
      <c r="Z185" s="3"/>
    </row>
    <row r="186" spans="1:26" ht="14.4" hidden="1" outlineLevel="1" x14ac:dyDescent="0.3">
      <c r="A186" s="3"/>
      <c r="B186" s="10" t="s">
        <v>866</v>
      </c>
      <c r="C186" s="62">
        <v>11</v>
      </c>
      <c r="D186" s="62" t="s">
        <v>94</v>
      </c>
      <c r="E186" s="12">
        <v>0</v>
      </c>
      <c r="F186" s="12">
        <v>100</v>
      </c>
      <c r="G186" s="65"/>
      <c r="H186" s="65" t="s">
        <v>37</v>
      </c>
      <c r="I186" s="112" t="s">
        <v>1020</v>
      </c>
      <c r="J186" s="65"/>
      <c r="K186" s="37"/>
      <c r="L186" s="37"/>
      <c r="M186" s="37"/>
      <c r="N186" s="37"/>
      <c r="O186" s="37"/>
      <c r="P186" s="37"/>
      <c r="Q186" s="37"/>
      <c r="R186" s="37"/>
      <c r="S186" s="37"/>
      <c r="T186" s="37"/>
      <c r="U186" s="3"/>
      <c r="W186" s="3"/>
      <c r="X186" s="3"/>
      <c r="Y186" s="3"/>
      <c r="Z186" s="3"/>
    </row>
    <row r="187" spans="1:26" ht="14.4" hidden="1" outlineLevel="1" x14ac:dyDescent="0.3">
      <c r="A187" s="3"/>
      <c r="B187" s="10" t="s">
        <v>354</v>
      </c>
      <c r="C187" s="62"/>
      <c r="D187" s="62"/>
      <c r="E187" s="12">
        <v>0</v>
      </c>
      <c r="F187" s="12">
        <v>0</v>
      </c>
      <c r="G187" s="65"/>
      <c r="H187" s="65"/>
      <c r="I187" s="112"/>
      <c r="J187" s="65"/>
      <c r="K187" s="37"/>
      <c r="L187" s="37"/>
      <c r="M187" s="37"/>
      <c r="N187" s="37"/>
      <c r="O187" s="37"/>
      <c r="P187" s="37"/>
      <c r="Q187" s="37"/>
      <c r="R187" s="37"/>
      <c r="S187" s="37"/>
      <c r="T187" s="37"/>
      <c r="U187" s="3"/>
      <c r="W187" s="3"/>
      <c r="X187" s="3"/>
      <c r="Y187" s="3"/>
      <c r="Z187" s="3"/>
    </row>
    <row r="188" spans="1:26" ht="14.4" hidden="1" outlineLevel="1" x14ac:dyDescent="0.3">
      <c r="A188" s="3"/>
      <c r="B188" s="10" t="s">
        <v>355</v>
      </c>
      <c r="C188" s="62"/>
      <c r="D188" s="62"/>
      <c r="E188" s="12">
        <v>0</v>
      </c>
      <c r="F188" s="12">
        <v>0</v>
      </c>
      <c r="G188" s="65"/>
      <c r="H188" s="65"/>
      <c r="I188" s="89"/>
      <c r="J188" s="65"/>
      <c r="K188" s="37"/>
      <c r="L188" s="37"/>
      <c r="M188" s="37"/>
      <c r="N188" s="37"/>
      <c r="O188" s="37"/>
      <c r="P188" s="37"/>
      <c r="Q188" s="37"/>
      <c r="R188" s="37"/>
      <c r="S188" s="37"/>
      <c r="T188" s="37"/>
      <c r="U188" s="3"/>
      <c r="W188" s="3"/>
      <c r="X188" s="3"/>
      <c r="Y188" s="3"/>
      <c r="Z188" s="3"/>
    </row>
    <row r="189" spans="1:26" ht="14.4" hidden="1" outlineLevel="1" x14ac:dyDescent="0.3">
      <c r="A189" s="3"/>
      <c r="B189" s="10" t="s">
        <v>369</v>
      </c>
      <c r="C189" s="62"/>
      <c r="D189" s="62"/>
      <c r="E189" s="12">
        <v>0</v>
      </c>
      <c r="F189" s="12">
        <v>0</v>
      </c>
      <c r="G189" s="65"/>
      <c r="H189" s="65"/>
      <c r="I189" s="89"/>
      <c r="J189" s="65"/>
      <c r="K189" s="37"/>
      <c r="L189" s="37"/>
      <c r="M189" s="37"/>
      <c r="N189" s="37"/>
      <c r="O189" s="37"/>
      <c r="P189" s="37"/>
      <c r="Q189" s="37"/>
      <c r="R189" s="37"/>
      <c r="S189" s="37"/>
      <c r="T189" s="37"/>
      <c r="U189" s="3"/>
      <c r="W189" s="3"/>
      <c r="X189" s="3"/>
      <c r="Y189" s="3"/>
      <c r="Z189" s="3"/>
    </row>
    <row r="190" spans="1:26" ht="14.4" hidden="1" outlineLevel="1" x14ac:dyDescent="0.3">
      <c r="A190" s="3"/>
      <c r="B190" s="10" t="s">
        <v>327</v>
      </c>
      <c r="C190" s="62"/>
      <c r="D190" s="62"/>
      <c r="E190" s="12">
        <v>0</v>
      </c>
      <c r="F190" s="12">
        <v>0</v>
      </c>
      <c r="G190" s="65"/>
      <c r="H190" s="65"/>
      <c r="I190" s="89"/>
      <c r="J190" s="65"/>
      <c r="K190" s="37"/>
      <c r="L190" s="37"/>
      <c r="M190" s="37"/>
      <c r="N190" s="37"/>
      <c r="O190" s="37"/>
      <c r="P190" s="37"/>
      <c r="Q190" s="37"/>
      <c r="R190" s="37"/>
      <c r="S190" s="37"/>
      <c r="T190" s="37"/>
      <c r="U190" s="3"/>
      <c r="W190" s="3"/>
      <c r="X190" s="3"/>
      <c r="Y190" s="3"/>
      <c r="Z190" s="3"/>
    </row>
    <row r="191" spans="1:26" ht="14.4" hidden="1" outlineLevel="1" x14ac:dyDescent="0.3">
      <c r="A191" s="3"/>
      <c r="B191" s="10" t="s">
        <v>328</v>
      </c>
      <c r="C191" s="62"/>
      <c r="D191" s="62"/>
      <c r="E191" s="12">
        <v>0</v>
      </c>
      <c r="F191" s="12">
        <v>0</v>
      </c>
      <c r="G191" s="65"/>
      <c r="H191" s="65"/>
      <c r="I191" s="89"/>
      <c r="J191" s="65"/>
      <c r="K191" s="37"/>
      <c r="L191" s="37"/>
      <c r="M191" s="37"/>
      <c r="N191" s="37"/>
      <c r="O191" s="37"/>
      <c r="P191" s="37"/>
      <c r="Q191" s="37"/>
      <c r="R191" s="37"/>
      <c r="S191" s="37"/>
      <c r="T191" s="37"/>
      <c r="U191" s="3"/>
      <c r="W191" s="3"/>
      <c r="X191" s="3"/>
      <c r="Y191" s="3"/>
      <c r="Z191" s="3"/>
    </row>
    <row r="192" spans="1:26" ht="14.4" hidden="1" outlineLevel="1" x14ac:dyDescent="0.3">
      <c r="A192" s="3"/>
      <c r="B192" s="10" t="s">
        <v>370</v>
      </c>
      <c r="C192" s="62"/>
      <c r="D192" s="62"/>
      <c r="E192" s="12">
        <v>0</v>
      </c>
      <c r="F192" s="12">
        <v>0</v>
      </c>
      <c r="G192" s="65"/>
      <c r="H192" s="65"/>
      <c r="I192" s="89"/>
      <c r="J192" s="65"/>
      <c r="K192" s="37"/>
      <c r="L192" s="37"/>
      <c r="M192" s="37"/>
      <c r="N192" s="37"/>
      <c r="O192" s="37"/>
      <c r="P192" s="37"/>
      <c r="Q192" s="37"/>
      <c r="R192" s="37"/>
      <c r="S192" s="37"/>
      <c r="T192" s="37"/>
      <c r="U192" s="3"/>
      <c r="W192" s="3"/>
      <c r="X192" s="3"/>
      <c r="Y192" s="3"/>
      <c r="Z192" s="3"/>
    </row>
    <row r="193" spans="1:26" ht="14.4" hidden="1" outlineLevel="1" x14ac:dyDescent="0.3">
      <c r="A193" s="3"/>
      <c r="B193" s="10" t="s">
        <v>371</v>
      </c>
      <c r="C193" s="62"/>
      <c r="D193" s="62"/>
      <c r="E193" s="12">
        <v>0</v>
      </c>
      <c r="F193" s="12">
        <v>0</v>
      </c>
      <c r="G193" s="65"/>
      <c r="H193" s="65"/>
      <c r="I193" s="89"/>
      <c r="J193" s="65"/>
      <c r="K193" s="37"/>
      <c r="L193" s="37"/>
      <c r="M193" s="37"/>
      <c r="N193" s="37"/>
      <c r="O193" s="37"/>
      <c r="P193" s="37"/>
      <c r="Q193" s="37"/>
      <c r="R193" s="37"/>
      <c r="S193" s="37"/>
      <c r="T193" s="37"/>
      <c r="U193" s="3"/>
      <c r="W193" s="3"/>
      <c r="X193" s="3"/>
      <c r="Y193" s="3"/>
      <c r="Z193" s="3"/>
    </row>
    <row r="194" spans="1:26" ht="14.4" hidden="1" outlineLevel="1" x14ac:dyDescent="0.3">
      <c r="A194" s="3"/>
      <c r="B194" s="10" t="s">
        <v>372</v>
      </c>
      <c r="C194" s="62"/>
      <c r="D194" s="62"/>
      <c r="E194" s="12">
        <v>0</v>
      </c>
      <c r="F194" s="12">
        <v>0</v>
      </c>
      <c r="G194" s="65"/>
      <c r="H194" s="65"/>
      <c r="I194" s="89"/>
      <c r="J194" s="65"/>
      <c r="K194" s="37"/>
      <c r="L194" s="37"/>
      <c r="M194" s="37"/>
      <c r="N194" s="37"/>
      <c r="O194" s="37"/>
      <c r="P194" s="37"/>
      <c r="Q194" s="37"/>
      <c r="R194" s="37"/>
      <c r="S194" s="37"/>
      <c r="T194" s="37"/>
      <c r="U194" s="3"/>
      <c r="W194" s="3"/>
      <c r="X194" s="3"/>
      <c r="Y194" s="3"/>
      <c r="Z194" s="3"/>
    </row>
    <row r="195" spans="1:26" ht="20.399999999999999" collapsed="1" x14ac:dyDescent="0.3">
      <c r="A195" s="3"/>
      <c r="B195" s="84" t="s">
        <v>401</v>
      </c>
      <c r="C195" s="85" t="s">
        <v>43</v>
      </c>
      <c r="D195" s="85" t="s">
        <v>43</v>
      </c>
      <c r="E195" s="86">
        <f>SUM(E196:E204)</f>
        <v>0</v>
      </c>
      <c r="F195" s="86">
        <f>SUMIF(D196:D204,"OK",F196:F204)</f>
        <v>0</v>
      </c>
      <c r="G195" s="87"/>
      <c r="H195" s="87"/>
      <c r="I195" s="88"/>
      <c r="J195" s="87"/>
      <c r="K195" s="37"/>
      <c r="L195" s="37"/>
      <c r="M195" s="37"/>
      <c r="N195" s="37"/>
      <c r="O195" s="37"/>
      <c r="P195" s="37"/>
      <c r="Q195" s="37"/>
      <c r="R195" s="37"/>
      <c r="S195" s="37"/>
      <c r="T195" s="37"/>
      <c r="U195" s="3"/>
      <c r="W195" s="3"/>
      <c r="X195" s="3"/>
      <c r="Y195" s="3"/>
      <c r="Z195" s="3"/>
    </row>
    <row r="196" spans="1:26" ht="14.4" hidden="1" outlineLevel="1" x14ac:dyDescent="0.3">
      <c r="A196" s="3"/>
      <c r="B196" s="10" t="s">
        <v>353</v>
      </c>
      <c r="C196" s="62"/>
      <c r="D196" s="62"/>
      <c r="E196" s="12">
        <v>0</v>
      </c>
      <c r="F196" s="12">
        <v>0</v>
      </c>
      <c r="G196" s="89"/>
      <c r="H196" s="65"/>
      <c r="I196" s="112"/>
      <c r="J196" s="65"/>
      <c r="K196" s="37"/>
      <c r="L196" s="37"/>
      <c r="M196" s="37"/>
      <c r="N196" s="37"/>
      <c r="O196" s="37"/>
      <c r="P196" s="37"/>
      <c r="Q196" s="37"/>
      <c r="R196" s="37"/>
      <c r="S196" s="37"/>
      <c r="T196" s="37"/>
      <c r="U196" s="3"/>
      <c r="W196" s="3"/>
      <c r="X196" s="3"/>
      <c r="Y196" s="3"/>
      <c r="Z196" s="3"/>
    </row>
    <row r="197" spans="1:26" ht="14.4" hidden="1" outlineLevel="1" x14ac:dyDescent="0.3">
      <c r="A197" s="3"/>
      <c r="B197" s="10" t="s">
        <v>354</v>
      </c>
      <c r="C197" s="62"/>
      <c r="D197" s="62"/>
      <c r="E197" s="12">
        <v>0</v>
      </c>
      <c r="F197" s="12">
        <v>0</v>
      </c>
      <c r="G197" s="65"/>
      <c r="H197" s="65"/>
      <c r="I197" s="112"/>
      <c r="J197" s="65"/>
      <c r="K197" s="37"/>
      <c r="L197" s="37"/>
      <c r="M197" s="37"/>
      <c r="N197" s="37"/>
      <c r="O197" s="37"/>
      <c r="P197" s="37"/>
      <c r="Q197" s="37"/>
      <c r="R197" s="37"/>
      <c r="S197" s="37"/>
      <c r="T197" s="37"/>
      <c r="U197" s="3"/>
      <c r="W197" s="3"/>
      <c r="X197" s="3"/>
      <c r="Y197" s="3"/>
      <c r="Z197" s="3"/>
    </row>
    <row r="198" spans="1:26" ht="14.4" hidden="1" outlineLevel="1" x14ac:dyDescent="0.3">
      <c r="A198" s="3"/>
      <c r="B198" s="10" t="s">
        <v>355</v>
      </c>
      <c r="C198" s="62"/>
      <c r="D198" s="62"/>
      <c r="E198" s="12">
        <v>0</v>
      </c>
      <c r="F198" s="12">
        <v>0</v>
      </c>
      <c r="G198" s="65"/>
      <c r="H198" s="65"/>
      <c r="I198" s="112"/>
      <c r="J198" s="65"/>
      <c r="K198" s="37"/>
      <c r="L198" s="37"/>
      <c r="M198" s="37"/>
      <c r="N198" s="37"/>
      <c r="O198" s="37"/>
      <c r="P198" s="37"/>
      <c r="Q198" s="37"/>
      <c r="R198" s="37"/>
      <c r="S198" s="37"/>
      <c r="T198" s="37"/>
      <c r="U198" s="3"/>
      <c r="W198" s="3"/>
      <c r="X198" s="3"/>
      <c r="Y198" s="3"/>
      <c r="Z198" s="3"/>
    </row>
    <row r="199" spans="1:26" ht="14.4" hidden="1" outlineLevel="1" x14ac:dyDescent="0.3">
      <c r="A199" s="3"/>
      <c r="B199" s="10" t="s">
        <v>369</v>
      </c>
      <c r="C199" s="62"/>
      <c r="D199" s="62"/>
      <c r="E199" s="12">
        <v>0</v>
      </c>
      <c r="F199" s="12">
        <v>0</v>
      </c>
      <c r="G199" s="65"/>
      <c r="H199" s="65"/>
      <c r="I199" s="112"/>
      <c r="J199" s="65"/>
      <c r="K199" s="37"/>
      <c r="L199" s="37"/>
      <c r="M199" s="37"/>
      <c r="N199" s="37"/>
      <c r="O199" s="37"/>
      <c r="P199" s="37"/>
      <c r="Q199" s="37"/>
      <c r="R199" s="37"/>
      <c r="S199" s="37"/>
      <c r="T199" s="37"/>
      <c r="U199" s="3"/>
      <c r="W199" s="3"/>
      <c r="X199" s="3"/>
      <c r="Y199" s="3"/>
      <c r="Z199" s="3"/>
    </row>
    <row r="200" spans="1:26" ht="14.4" hidden="1" outlineLevel="1" x14ac:dyDescent="0.3">
      <c r="A200" s="3"/>
      <c r="B200" s="10" t="s">
        <v>327</v>
      </c>
      <c r="C200" s="62"/>
      <c r="D200" s="62"/>
      <c r="E200" s="12">
        <v>0</v>
      </c>
      <c r="F200" s="12">
        <v>0</v>
      </c>
      <c r="G200" s="65"/>
      <c r="H200" s="65"/>
      <c r="I200" s="112"/>
      <c r="J200" s="65"/>
      <c r="K200" s="37"/>
      <c r="L200" s="37"/>
      <c r="M200" s="37"/>
      <c r="N200" s="37"/>
      <c r="O200" s="37"/>
      <c r="P200" s="37"/>
      <c r="Q200" s="37"/>
      <c r="R200" s="37"/>
      <c r="S200" s="37"/>
      <c r="T200" s="37"/>
      <c r="U200" s="3"/>
      <c r="W200" s="3"/>
      <c r="X200" s="3"/>
      <c r="Y200" s="3"/>
      <c r="Z200" s="3"/>
    </row>
    <row r="201" spans="1:26" ht="14.4" hidden="1" outlineLevel="1" x14ac:dyDescent="0.3">
      <c r="A201" s="3"/>
      <c r="B201" s="10" t="s">
        <v>328</v>
      </c>
      <c r="C201" s="62"/>
      <c r="D201" s="62"/>
      <c r="E201" s="12">
        <v>0</v>
      </c>
      <c r="F201" s="12">
        <v>0</v>
      </c>
      <c r="G201" s="65"/>
      <c r="H201" s="65"/>
      <c r="I201" s="112"/>
      <c r="J201" s="65"/>
      <c r="K201" s="37"/>
      <c r="L201" s="37"/>
      <c r="M201" s="37"/>
      <c r="N201" s="37"/>
      <c r="O201" s="37"/>
      <c r="P201" s="37"/>
      <c r="Q201" s="37"/>
      <c r="R201" s="37"/>
      <c r="S201" s="37"/>
      <c r="T201" s="37"/>
      <c r="U201" s="3"/>
      <c r="W201" s="3"/>
      <c r="X201" s="3"/>
      <c r="Y201" s="3"/>
      <c r="Z201" s="3"/>
    </row>
    <row r="202" spans="1:26" ht="14.4" hidden="1" outlineLevel="1" x14ac:dyDescent="0.3">
      <c r="A202" s="3"/>
      <c r="B202" s="10" t="s">
        <v>370</v>
      </c>
      <c r="C202" s="62"/>
      <c r="D202" s="62"/>
      <c r="E202" s="12">
        <v>0</v>
      </c>
      <c r="F202" s="12">
        <v>0</v>
      </c>
      <c r="G202" s="65"/>
      <c r="H202" s="65"/>
      <c r="I202" s="112"/>
      <c r="J202" s="65"/>
      <c r="K202" s="37"/>
      <c r="L202" s="37"/>
      <c r="M202" s="37"/>
      <c r="N202" s="37"/>
      <c r="O202" s="37"/>
      <c r="P202" s="37"/>
      <c r="Q202" s="37"/>
      <c r="R202" s="37"/>
      <c r="S202" s="37"/>
      <c r="T202" s="37"/>
      <c r="U202" s="3"/>
      <c r="W202" s="3"/>
      <c r="X202" s="3"/>
      <c r="Y202" s="3"/>
      <c r="Z202" s="3"/>
    </row>
    <row r="203" spans="1:26" ht="14.4" hidden="1" outlineLevel="1" x14ac:dyDescent="0.3">
      <c r="A203" s="3"/>
      <c r="B203" s="10" t="s">
        <v>371</v>
      </c>
      <c r="C203" s="62"/>
      <c r="D203" s="62"/>
      <c r="E203" s="12">
        <v>0</v>
      </c>
      <c r="F203" s="12">
        <v>0</v>
      </c>
      <c r="G203" s="89"/>
      <c r="H203" s="65"/>
      <c r="I203" s="112"/>
      <c r="J203" s="65"/>
      <c r="K203" s="37"/>
      <c r="L203" s="37"/>
      <c r="M203" s="37"/>
      <c r="N203" s="37"/>
      <c r="O203" s="37"/>
      <c r="P203" s="37"/>
      <c r="Q203" s="37"/>
      <c r="R203" s="37"/>
      <c r="S203" s="37"/>
      <c r="T203" s="37"/>
      <c r="U203" s="3"/>
      <c r="W203" s="3"/>
      <c r="X203" s="3"/>
      <c r="Y203" s="3"/>
      <c r="Z203" s="3"/>
    </row>
    <row r="204" spans="1:26" ht="14.4" hidden="1" outlineLevel="1" x14ac:dyDescent="0.3">
      <c r="A204" s="3"/>
      <c r="B204" s="10" t="s">
        <v>372</v>
      </c>
      <c r="C204" s="62"/>
      <c r="D204" s="62"/>
      <c r="E204" s="12">
        <v>0</v>
      </c>
      <c r="F204" s="12">
        <v>0</v>
      </c>
      <c r="G204" s="89"/>
      <c r="H204" s="65"/>
      <c r="I204" s="112"/>
      <c r="J204" s="65"/>
      <c r="K204" s="37"/>
      <c r="L204" s="37"/>
      <c r="M204" s="37"/>
      <c r="N204" s="37"/>
      <c r="O204" s="37"/>
      <c r="P204" s="37"/>
      <c r="Q204" s="37"/>
      <c r="R204" s="37"/>
      <c r="S204" s="37"/>
      <c r="T204" s="37"/>
      <c r="U204" s="3"/>
      <c r="W204" s="3"/>
      <c r="X204" s="3"/>
      <c r="Y204" s="3"/>
      <c r="Z204" s="3"/>
    </row>
    <row r="205" spans="1:26" ht="20.399999999999999" collapsed="1" x14ac:dyDescent="0.3">
      <c r="A205" s="3"/>
      <c r="B205" s="84" t="s">
        <v>402</v>
      </c>
      <c r="C205" s="85" t="s">
        <v>43</v>
      </c>
      <c r="D205" s="85" t="s">
        <v>43</v>
      </c>
      <c r="E205" s="86">
        <f>SUM(E206:E214)</f>
        <v>0</v>
      </c>
      <c r="F205" s="86">
        <f>SUMIF(D206:D214,"OK",F206:F214)</f>
        <v>0</v>
      </c>
      <c r="G205" s="87"/>
      <c r="H205" s="87"/>
      <c r="I205" s="88"/>
      <c r="J205" s="87"/>
      <c r="K205" s="37"/>
      <c r="L205" s="37"/>
      <c r="M205" s="37"/>
      <c r="N205" s="37"/>
      <c r="O205" s="37"/>
      <c r="P205" s="37"/>
      <c r="Q205" s="37"/>
      <c r="R205" s="37"/>
      <c r="S205" s="37"/>
      <c r="T205" s="37"/>
      <c r="U205" s="3"/>
      <c r="W205" s="3"/>
      <c r="X205" s="3"/>
      <c r="Y205" s="3"/>
      <c r="Z205" s="3"/>
    </row>
    <row r="206" spans="1:26" ht="14.4" hidden="1" outlineLevel="1" x14ac:dyDescent="0.3">
      <c r="A206" s="3"/>
      <c r="B206" s="10" t="s">
        <v>353</v>
      </c>
      <c r="C206" s="62"/>
      <c r="D206" s="62"/>
      <c r="E206" s="12">
        <v>0</v>
      </c>
      <c r="F206" s="12">
        <v>0</v>
      </c>
      <c r="G206" s="65"/>
      <c r="H206" s="65"/>
      <c r="I206" s="89"/>
      <c r="J206" s="65"/>
      <c r="K206" s="37"/>
      <c r="L206" s="37"/>
      <c r="M206" s="37"/>
      <c r="N206" s="37"/>
      <c r="O206" s="37"/>
      <c r="P206" s="37"/>
      <c r="Q206" s="37"/>
      <c r="R206" s="37"/>
      <c r="S206" s="37"/>
      <c r="T206" s="37"/>
      <c r="U206" s="3"/>
      <c r="W206" s="3"/>
      <c r="X206" s="3"/>
      <c r="Y206" s="3"/>
      <c r="Z206" s="3"/>
    </row>
    <row r="207" spans="1:26" ht="14.4" hidden="1" outlineLevel="1" x14ac:dyDescent="0.3">
      <c r="A207" s="3"/>
      <c r="B207" s="10" t="s">
        <v>354</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4.4" hidden="1" outlineLevel="1" x14ac:dyDescent="0.3">
      <c r="A208" s="3"/>
      <c r="B208" s="10" t="s">
        <v>355</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4.4" hidden="1" outlineLevel="1" x14ac:dyDescent="0.3">
      <c r="A209" s="3"/>
      <c r="B209" s="10" t="s">
        <v>369</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4.4" hidden="1" outlineLevel="1" x14ac:dyDescent="0.3">
      <c r="A210" s="3"/>
      <c r="B210" s="10" t="s">
        <v>327</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4.4" hidden="1" outlineLevel="1" x14ac:dyDescent="0.3">
      <c r="A211" s="3"/>
      <c r="B211" s="10" t="s">
        <v>328</v>
      </c>
      <c r="C211" s="62"/>
      <c r="D211" s="62"/>
      <c r="E211" s="12">
        <v>0</v>
      </c>
      <c r="F211" s="12">
        <v>0</v>
      </c>
      <c r="G211" s="65"/>
      <c r="H211" s="65"/>
      <c r="I211" s="89"/>
      <c r="J211" s="65"/>
      <c r="K211" s="37"/>
      <c r="L211" s="37"/>
      <c r="M211" s="37"/>
      <c r="N211" s="37"/>
      <c r="O211" s="37"/>
      <c r="P211" s="37"/>
      <c r="Q211" s="37"/>
      <c r="R211" s="37"/>
      <c r="S211" s="37"/>
      <c r="T211" s="37"/>
      <c r="U211" s="3"/>
      <c r="W211" s="3"/>
      <c r="X211" s="3"/>
      <c r="Y211" s="3"/>
      <c r="Z211" s="3"/>
    </row>
    <row r="212" spans="1:26" ht="14.4" hidden="1" outlineLevel="1" x14ac:dyDescent="0.3">
      <c r="A212" s="3"/>
      <c r="B212" s="10" t="s">
        <v>370</v>
      </c>
      <c r="C212" s="62"/>
      <c r="D212" s="62"/>
      <c r="E212" s="12">
        <v>0</v>
      </c>
      <c r="F212" s="12">
        <v>0</v>
      </c>
      <c r="G212" s="65"/>
      <c r="H212" s="65"/>
      <c r="I212" s="89"/>
      <c r="J212" s="65"/>
      <c r="K212" s="37"/>
      <c r="L212" s="37"/>
      <c r="M212" s="37"/>
      <c r="N212" s="37"/>
      <c r="O212" s="37"/>
      <c r="P212" s="37"/>
      <c r="Q212" s="37"/>
      <c r="R212" s="37"/>
      <c r="S212" s="37"/>
      <c r="T212" s="37"/>
      <c r="U212" s="3"/>
      <c r="W212" s="3"/>
      <c r="X212" s="3"/>
      <c r="Y212" s="3"/>
      <c r="Z212" s="3"/>
    </row>
    <row r="213" spans="1:26" ht="14.4" hidden="1" outlineLevel="1" x14ac:dyDescent="0.3">
      <c r="A213" s="3"/>
      <c r="B213" s="10" t="s">
        <v>371</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4.4" hidden="1" outlineLevel="1" x14ac:dyDescent="0.3">
      <c r="A214" s="3"/>
      <c r="B214" s="10" t="s">
        <v>372</v>
      </c>
      <c r="C214" s="62"/>
      <c r="D214" s="62"/>
      <c r="E214" s="12">
        <v>0</v>
      </c>
      <c r="F214" s="12">
        <v>0</v>
      </c>
      <c r="G214" s="65"/>
      <c r="H214" s="65"/>
      <c r="I214" s="89"/>
      <c r="J214" s="65"/>
      <c r="K214" s="37"/>
      <c r="L214" s="37"/>
      <c r="M214" s="37"/>
      <c r="N214" s="37"/>
      <c r="O214" s="37"/>
      <c r="P214" s="37"/>
      <c r="Q214" s="37"/>
      <c r="R214" s="37"/>
      <c r="S214" s="37"/>
      <c r="T214" s="37"/>
      <c r="U214" s="3"/>
      <c r="W214" s="3"/>
      <c r="X214" s="3"/>
      <c r="Y214" s="3"/>
      <c r="Z214" s="3"/>
    </row>
    <row r="215" spans="1:26" ht="20.399999999999999" collapsed="1" x14ac:dyDescent="0.3">
      <c r="A215" s="3"/>
      <c r="B215" s="84" t="s">
        <v>403</v>
      </c>
      <c r="C215" s="85" t="s">
        <v>43</v>
      </c>
      <c r="D215" s="85" t="s">
        <v>43</v>
      </c>
      <c r="E215" s="86">
        <f>SUM(E216:E224)</f>
        <v>0</v>
      </c>
      <c r="F215" s="86">
        <f>SUMIF(D216:D224,"OK",F216:F224)</f>
        <v>800</v>
      </c>
      <c r="G215" s="87"/>
      <c r="H215" s="87"/>
      <c r="I215" s="88"/>
      <c r="J215" s="87"/>
      <c r="K215" s="37"/>
      <c r="L215" s="37"/>
      <c r="M215" s="37"/>
      <c r="N215" s="37"/>
      <c r="O215" s="37"/>
      <c r="P215" s="37"/>
      <c r="Q215" s="37"/>
      <c r="R215" s="37"/>
      <c r="S215" s="37"/>
      <c r="T215" s="37"/>
      <c r="U215" s="3"/>
      <c r="W215" s="3"/>
      <c r="X215" s="3"/>
      <c r="Y215" s="3"/>
      <c r="Z215" s="3"/>
    </row>
    <row r="216" spans="1:26" ht="14.4" hidden="1" outlineLevel="1" x14ac:dyDescent="0.3">
      <c r="A216" s="3"/>
      <c r="B216" s="10" t="s">
        <v>1021</v>
      </c>
      <c r="C216" s="62">
        <v>1</v>
      </c>
      <c r="D216" s="62" t="s">
        <v>94</v>
      </c>
      <c r="E216" s="12">
        <v>0</v>
      </c>
      <c r="F216" s="12">
        <v>80</v>
      </c>
      <c r="G216" s="89" t="s">
        <v>928</v>
      </c>
      <c r="H216" s="65" t="s">
        <v>37</v>
      </c>
      <c r="I216" s="112" t="s">
        <v>929</v>
      </c>
      <c r="J216" s="65"/>
      <c r="K216" s="37"/>
      <c r="L216" s="37"/>
      <c r="M216" s="37"/>
      <c r="N216" s="37"/>
      <c r="O216" s="37"/>
      <c r="P216" s="37"/>
      <c r="Q216" s="37"/>
      <c r="R216" s="37"/>
      <c r="S216" s="37"/>
      <c r="T216" s="37"/>
      <c r="U216" s="3"/>
      <c r="W216" s="3"/>
      <c r="X216" s="3"/>
      <c r="Y216" s="3"/>
      <c r="Z216" s="3"/>
    </row>
    <row r="217" spans="1:26" ht="24" hidden="1" outlineLevel="1" x14ac:dyDescent="0.3">
      <c r="A217" s="3"/>
      <c r="B217" s="10" t="s">
        <v>1021</v>
      </c>
      <c r="C217" s="62">
        <v>28</v>
      </c>
      <c r="D217" s="62" t="s">
        <v>94</v>
      </c>
      <c r="E217" s="12">
        <v>0</v>
      </c>
      <c r="F217" s="12">
        <v>80</v>
      </c>
      <c r="G217" s="89" t="s">
        <v>930</v>
      </c>
      <c r="H217" s="65" t="s">
        <v>37</v>
      </c>
      <c r="I217" s="112" t="s">
        <v>931</v>
      </c>
      <c r="J217" s="65"/>
      <c r="K217" s="37"/>
      <c r="L217" s="37"/>
      <c r="M217" s="37"/>
      <c r="N217" s="37"/>
      <c r="O217" s="37"/>
      <c r="P217" s="37"/>
      <c r="Q217" s="37"/>
      <c r="R217" s="37"/>
      <c r="S217" s="37"/>
      <c r="T217" s="37"/>
      <c r="U217" s="3"/>
      <c r="W217" s="3"/>
      <c r="X217" s="3"/>
      <c r="Y217" s="3"/>
      <c r="Z217" s="3"/>
    </row>
    <row r="218" spans="1:26" ht="24" hidden="1" outlineLevel="1" x14ac:dyDescent="0.3">
      <c r="A218" s="3"/>
      <c r="B218" s="10" t="s">
        <v>1022</v>
      </c>
      <c r="C218" s="62">
        <v>28</v>
      </c>
      <c r="D218" s="62" t="s">
        <v>94</v>
      </c>
      <c r="E218" s="12">
        <v>0</v>
      </c>
      <c r="F218" s="12">
        <v>640</v>
      </c>
      <c r="G218" s="89" t="s">
        <v>930</v>
      </c>
      <c r="H218" s="65" t="s">
        <v>37</v>
      </c>
      <c r="I218" s="112" t="s">
        <v>931</v>
      </c>
      <c r="J218" s="65"/>
      <c r="K218" s="37"/>
      <c r="L218" s="37"/>
      <c r="M218" s="37"/>
      <c r="N218" s="37"/>
      <c r="O218" s="37"/>
      <c r="P218" s="37"/>
      <c r="Q218" s="37"/>
      <c r="R218" s="37"/>
      <c r="S218" s="37"/>
      <c r="T218" s="37"/>
      <c r="U218" s="3"/>
      <c r="W218" s="3"/>
      <c r="X218" s="3"/>
      <c r="Y218" s="3"/>
      <c r="Z218" s="3"/>
    </row>
    <row r="219" spans="1:26" ht="14.4" hidden="1" outlineLevel="1" x14ac:dyDescent="0.3">
      <c r="A219" s="3"/>
      <c r="B219" s="10" t="s">
        <v>369</v>
      </c>
      <c r="C219" s="62"/>
      <c r="D219" s="62"/>
      <c r="E219" s="12">
        <v>0</v>
      </c>
      <c r="F219" s="12">
        <v>0</v>
      </c>
      <c r="G219" s="65"/>
      <c r="H219" s="65"/>
      <c r="I219" s="89"/>
      <c r="J219" s="65"/>
      <c r="K219" s="37"/>
      <c r="L219" s="37"/>
      <c r="M219" s="37"/>
      <c r="N219" s="37"/>
      <c r="O219" s="37"/>
      <c r="P219" s="37"/>
      <c r="Q219" s="37"/>
      <c r="R219" s="37"/>
      <c r="S219" s="37"/>
      <c r="T219" s="37"/>
      <c r="U219" s="3"/>
      <c r="W219" s="3"/>
      <c r="X219" s="3"/>
      <c r="Y219" s="3"/>
      <c r="Z219" s="3"/>
    </row>
    <row r="220" spans="1:26" ht="14.4" hidden="1" outlineLevel="1" x14ac:dyDescent="0.3">
      <c r="A220" s="3"/>
      <c r="B220" s="10" t="s">
        <v>327</v>
      </c>
      <c r="C220" s="62"/>
      <c r="D220" s="62"/>
      <c r="E220" s="12">
        <v>0</v>
      </c>
      <c r="F220" s="12">
        <v>0</v>
      </c>
      <c r="G220" s="65"/>
      <c r="H220" s="65"/>
      <c r="I220" s="89"/>
      <c r="J220" s="65"/>
      <c r="K220" s="37"/>
      <c r="L220" s="37"/>
      <c r="M220" s="37"/>
      <c r="N220" s="37"/>
      <c r="O220" s="37"/>
      <c r="P220" s="37"/>
      <c r="Q220" s="37"/>
      <c r="R220" s="37"/>
      <c r="S220" s="37"/>
      <c r="T220" s="37"/>
      <c r="U220" s="3"/>
      <c r="W220" s="3"/>
      <c r="X220" s="3"/>
      <c r="Y220" s="3"/>
      <c r="Z220" s="3"/>
    </row>
    <row r="221" spans="1:26" ht="14.4" hidden="1" outlineLevel="1" x14ac:dyDescent="0.3">
      <c r="A221" s="3"/>
      <c r="B221" s="10" t="s">
        <v>328</v>
      </c>
      <c r="C221" s="62"/>
      <c r="D221" s="62"/>
      <c r="E221" s="12">
        <v>0</v>
      </c>
      <c r="F221" s="12">
        <v>0</v>
      </c>
      <c r="G221" s="65"/>
      <c r="H221" s="65"/>
      <c r="I221" s="89"/>
      <c r="J221" s="65"/>
      <c r="K221" s="37"/>
      <c r="L221" s="37"/>
      <c r="M221" s="37"/>
      <c r="N221" s="37"/>
      <c r="O221" s="37"/>
      <c r="P221" s="37"/>
      <c r="Q221" s="37"/>
      <c r="R221" s="37"/>
      <c r="S221" s="37"/>
      <c r="T221" s="37"/>
      <c r="U221" s="3"/>
      <c r="W221" s="3"/>
      <c r="X221" s="3"/>
      <c r="Y221" s="3"/>
      <c r="Z221" s="3"/>
    </row>
    <row r="222" spans="1:26" ht="14.4" hidden="1" outlineLevel="1" x14ac:dyDescent="0.3">
      <c r="A222" s="3"/>
      <c r="B222" s="10" t="s">
        <v>370</v>
      </c>
      <c r="C222" s="62"/>
      <c r="D222" s="62"/>
      <c r="E222" s="12">
        <v>0</v>
      </c>
      <c r="F222" s="12">
        <v>0</v>
      </c>
      <c r="G222" s="65"/>
      <c r="H222" s="65"/>
      <c r="I222" s="89"/>
      <c r="J222" s="65"/>
      <c r="K222" s="37"/>
      <c r="L222" s="37"/>
      <c r="M222" s="37"/>
      <c r="N222" s="37"/>
      <c r="O222" s="37"/>
      <c r="P222" s="37"/>
      <c r="Q222" s="37"/>
      <c r="R222" s="37"/>
      <c r="S222" s="37"/>
      <c r="T222" s="37"/>
      <c r="U222" s="3"/>
      <c r="W222" s="3"/>
      <c r="X222" s="3"/>
      <c r="Y222" s="3"/>
      <c r="Z222" s="3"/>
    </row>
    <row r="223" spans="1:26" ht="14.4" hidden="1" outlineLevel="1" x14ac:dyDescent="0.3">
      <c r="A223" s="3"/>
      <c r="B223" s="10" t="s">
        <v>371</v>
      </c>
      <c r="C223" s="62"/>
      <c r="D223" s="62"/>
      <c r="E223" s="12">
        <v>0</v>
      </c>
      <c r="F223" s="12">
        <v>0</v>
      </c>
      <c r="G223" s="65"/>
      <c r="H223" s="65"/>
      <c r="I223" s="89"/>
      <c r="J223" s="65"/>
      <c r="K223" s="37"/>
      <c r="L223" s="37"/>
      <c r="M223" s="37"/>
      <c r="N223" s="37"/>
      <c r="O223" s="37"/>
      <c r="P223" s="37"/>
      <c r="Q223" s="37"/>
      <c r="R223" s="37"/>
      <c r="S223" s="37"/>
      <c r="T223" s="37"/>
      <c r="U223" s="3"/>
      <c r="W223" s="3"/>
      <c r="X223" s="3"/>
      <c r="Y223" s="3"/>
      <c r="Z223" s="3"/>
    </row>
    <row r="224" spans="1:26" ht="14.4" hidden="1" outlineLevel="1" x14ac:dyDescent="0.3">
      <c r="A224" s="3"/>
      <c r="B224" s="10" t="s">
        <v>372</v>
      </c>
      <c r="C224" s="62"/>
      <c r="D224" s="62"/>
      <c r="E224" s="12">
        <v>0</v>
      </c>
      <c r="F224" s="12">
        <v>0</v>
      </c>
      <c r="G224" s="65"/>
      <c r="H224" s="65"/>
      <c r="I224" s="89"/>
      <c r="J224" s="65"/>
      <c r="K224" s="37"/>
      <c r="L224" s="37"/>
      <c r="M224" s="37"/>
      <c r="N224" s="37"/>
      <c r="O224" s="37"/>
      <c r="P224" s="37"/>
      <c r="Q224" s="37"/>
      <c r="R224" s="37"/>
      <c r="S224" s="37"/>
      <c r="T224" s="37"/>
      <c r="U224" s="3"/>
      <c r="W224" s="3"/>
      <c r="X224" s="3"/>
      <c r="Y224" s="3"/>
      <c r="Z224" s="3"/>
    </row>
    <row r="225" spans="1:26" ht="20.399999999999999" collapsed="1" x14ac:dyDescent="0.3">
      <c r="A225" s="3"/>
      <c r="B225" s="84" t="s">
        <v>405</v>
      </c>
      <c r="C225" s="85" t="s">
        <v>43</v>
      </c>
      <c r="D225" s="85" t="s">
        <v>43</v>
      </c>
      <c r="E225" s="86">
        <f>SUM(E226:E234)</f>
        <v>0</v>
      </c>
      <c r="F225" s="86">
        <f>SUMIF(D226:D234,"OK",F226:F234)</f>
        <v>0</v>
      </c>
      <c r="G225" s="87"/>
      <c r="H225" s="87"/>
      <c r="I225" s="88"/>
      <c r="J225" s="87"/>
      <c r="K225" s="37"/>
      <c r="L225" s="37"/>
      <c r="M225" s="37"/>
      <c r="N225" s="37"/>
      <c r="O225" s="37"/>
      <c r="P225" s="37"/>
      <c r="Q225" s="37"/>
      <c r="R225" s="37"/>
      <c r="S225" s="37"/>
      <c r="T225" s="37"/>
      <c r="U225" s="3"/>
      <c r="W225" s="3"/>
      <c r="X225" s="3"/>
      <c r="Y225" s="3"/>
      <c r="Z225" s="3"/>
    </row>
    <row r="226" spans="1:26" ht="14.4" hidden="1" outlineLevel="1" x14ac:dyDescent="0.3">
      <c r="A226" s="3"/>
      <c r="B226" s="10" t="s">
        <v>1023</v>
      </c>
      <c r="C226" s="62"/>
      <c r="D226" s="62"/>
      <c r="E226" s="12">
        <v>0</v>
      </c>
      <c r="F226" s="12">
        <v>0</v>
      </c>
      <c r="G226" s="65"/>
      <c r="H226" s="65"/>
      <c r="I226" s="112"/>
      <c r="J226" s="65"/>
      <c r="K226" s="37"/>
      <c r="L226" s="37"/>
      <c r="M226" s="37"/>
      <c r="N226" s="37"/>
      <c r="O226" s="37"/>
      <c r="P226" s="37"/>
      <c r="Q226" s="37"/>
      <c r="R226" s="37"/>
      <c r="S226" s="37"/>
      <c r="T226" s="37"/>
      <c r="U226" s="3"/>
      <c r="W226" s="3"/>
      <c r="X226" s="3"/>
      <c r="Y226" s="3"/>
      <c r="Z226" s="3"/>
    </row>
    <row r="227" spans="1:26" ht="14.4" hidden="1" outlineLevel="1" x14ac:dyDescent="0.3">
      <c r="A227" s="3"/>
      <c r="B227" s="10" t="s">
        <v>354</v>
      </c>
      <c r="C227" s="62"/>
      <c r="D227" s="62"/>
      <c r="E227" s="12">
        <v>0</v>
      </c>
      <c r="F227" s="12">
        <v>0</v>
      </c>
      <c r="G227" s="65"/>
      <c r="H227" s="65"/>
      <c r="I227" s="89"/>
      <c r="J227" s="65"/>
      <c r="K227" s="37"/>
      <c r="L227" s="37"/>
      <c r="M227" s="37"/>
      <c r="N227" s="37"/>
      <c r="O227" s="37"/>
      <c r="P227" s="37"/>
      <c r="Q227" s="37"/>
      <c r="R227" s="37"/>
      <c r="S227" s="37"/>
      <c r="T227" s="37"/>
      <c r="U227" s="3"/>
      <c r="W227" s="3"/>
      <c r="X227" s="3"/>
      <c r="Y227" s="3"/>
      <c r="Z227" s="3"/>
    </row>
    <row r="228" spans="1:26" ht="14.4" hidden="1" outlineLevel="1" x14ac:dyDescent="0.3">
      <c r="A228" s="3"/>
      <c r="B228" s="10" t="s">
        <v>355</v>
      </c>
      <c r="C228" s="62"/>
      <c r="D228" s="62"/>
      <c r="E228" s="12">
        <v>0</v>
      </c>
      <c r="F228" s="12">
        <v>0</v>
      </c>
      <c r="G228" s="65"/>
      <c r="H228" s="65"/>
      <c r="I228" s="89"/>
      <c r="J228" s="65"/>
      <c r="K228" s="37"/>
      <c r="L228" s="37"/>
      <c r="M228" s="37"/>
      <c r="N228" s="37"/>
      <c r="O228" s="37"/>
      <c r="P228" s="37"/>
      <c r="Q228" s="37"/>
      <c r="R228" s="37"/>
      <c r="S228" s="37"/>
      <c r="T228" s="37"/>
      <c r="U228" s="3"/>
      <c r="W228" s="3"/>
      <c r="X228" s="3"/>
      <c r="Y228" s="3"/>
      <c r="Z228" s="3"/>
    </row>
    <row r="229" spans="1:26" ht="14.4" hidden="1" outlineLevel="1" x14ac:dyDescent="0.3">
      <c r="A229" s="3"/>
      <c r="B229" s="10" t="s">
        <v>369</v>
      </c>
      <c r="C229" s="62"/>
      <c r="D229" s="62"/>
      <c r="E229" s="12">
        <v>0</v>
      </c>
      <c r="F229" s="12">
        <v>0</v>
      </c>
      <c r="G229" s="65"/>
      <c r="H229" s="65"/>
      <c r="I229" s="89"/>
      <c r="J229" s="65"/>
      <c r="K229" s="37"/>
      <c r="L229" s="37"/>
      <c r="M229" s="37"/>
      <c r="N229" s="37"/>
      <c r="O229" s="37"/>
      <c r="P229" s="37"/>
      <c r="Q229" s="37"/>
      <c r="R229" s="37"/>
      <c r="S229" s="37"/>
      <c r="T229" s="37"/>
      <c r="U229" s="3"/>
      <c r="W229" s="3"/>
      <c r="X229" s="3"/>
      <c r="Y229" s="3"/>
      <c r="Z229" s="3"/>
    </row>
    <row r="230" spans="1:26" ht="14.4" hidden="1" outlineLevel="1" x14ac:dyDescent="0.3">
      <c r="A230" s="3"/>
      <c r="B230" s="10" t="s">
        <v>327</v>
      </c>
      <c r="C230" s="62"/>
      <c r="D230" s="62"/>
      <c r="E230" s="12">
        <v>0</v>
      </c>
      <c r="F230" s="12">
        <v>0</v>
      </c>
      <c r="G230" s="65"/>
      <c r="H230" s="65"/>
      <c r="I230" s="89"/>
      <c r="J230" s="65"/>
      <c r="K230" s="37"/>
      <c r="L230" s="37"/>
      <c r="M230" s="37"/>
      <c r="N230" s="37"/>
      <c r="O230" s="37"/>
      <c r="P230" s="37"/>
      <c r="Q230" s="37"/>
      <c r="R230" s="37"/>
      <c r="S230" s="37"/>
      <c r="T230" s="37"/>
      <c r="U230" s="3"/>
      <c r="W230" s="3"/>
      <c r="X230" s="3"/>
      <c r="Y230" s="3"/>
      <c r="Z230" s="3"/>
    </row>
    <row r="231" spans="1:26" ht="14.4" hidden="1" outlineLevel="1" x14ac:dyDescent="0.3">
      <c r="A231" s="3"/>
      <c r="B231" s="10" t="s">
        <v>328</v>
      </c>
      <c r="C231" s="62"/>
      <c r="D231" s="62"/>
      <c r="E231" s="12">
        <v>0</v>
      </c>
      <c r="F231" s="12">
        <v>0</v>
      </c>
      <c r="G231" s="65"/>
      <c r="H231" s="65"/>
      <c r="I231" s="89"/>
      <c r="J231" s="65"/>
      <c r="K231" s="37"/>
      <c r="L231" s="37"/>
      <c r="M231" s="37"/>
      <c r="N231" s="37"/>
      <c r="O231" s="37"/>
      <c r="P231" s="37"/>
      <c r="Q231" s="37"/>
      <c r="R231" s="37"/>
      <c r="S231" s="37"/>
      <c r="T231" s="37"/>
      <c r="U231" s="3"/>
      <c r="W231" s="3"/>
      <c r="X231" s="3"/>
      <c r="Y231" s="3"/>
      <c r="Z231" s="3"/>
    </row>
    <row r="232" spans="1:26" ht="14.4" hidden="1" outlineLevel="1" x14ac:dyDescent="0.3">
      <c r="A232" s="3"/>
      <c r="B232" s="10" t="s">
        <v>370</v>
      </c>
      <c r="C232" s="62"/>
      <c r="D232" s="62"/>
      <c r="E232" s="12">
        <v>0</v>
      </c>
      <c r="F232" s="12">
        <v>0</v>
      </c>
      <c r="G232" s="65"/>
      <c r="H232" s="65"/>
      <c r="I232" s="89"/>
      <c r="J232" s="65"/>
      <c r="K232" s="37"/>
      <c r="L232" s="37"/>
      <c r="M232" s="37"/>
      <c r="N232" s="37"/>
      <c r="O232" s="37"/>
      <c r="P232" s="37"/>
      <c r="Q232" s="37"/>
      <c r="R232" s="37"/>
      <c r="S232" s="37"/>
      <c r="T232" s="37"/>
      <c r="U232" s="3"/>
      <c r="W232" s="3"/>
      <c r="X232" s="3"/>
      <c r="Y232" s="3"/>
      <c r="Z232" s="3"/>
    </row>
    <row r="233" spans="1:26" ht="14.4" hidden="1" outlineLevel="1" x14ac:dyDescent="0.3">
      <c r="A233" s="3"/>
      <c r="B233" s="10" t="s">
        <v>371</v>
      </c>
      <c r="C233" s="62"/>
      <c r="D233" s="62"/>
      <c r="E233" s="12">
        <v>0</v>
      </c>
      <c r="F233" s="12">
        <v>0</v>
      </c>
      <c r="G233" s="65"/>
      <c r="H233" s="65"/>
      <c r="I233" s="89"/>
      <c r="J233" s="65"/>
      <c r="K233" s="37"/>
      <c r="L233" s="37"/>
      <c r="M233" s="37"/>
      <c r="N233" s="37"/>
      <c r="O233" s="37"/>
      <c r="P233" s="37"/>
      <c r="Q233" s="37"/>
      <c r="R233" s="37"/>
      <c r="S233" s="37"/>
      <c r="T233" s="37"/>
      <c r="U233" s="3"/>
      <c r="W233" s="3"/>
      <c r="X233" s="3"/>
      <c r="Y233" s="3"/>
      <c r="Z233" s="3"/>
    </row>
    <row r="234" spans="1:26" ht="14.4" hidden="1" outlineLevel="1" x14ac:dyDescent="0.3">
      <c r="A234" s="3"/>
      <c r="B234" s="10" t="s">
        <v>372</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20.399999999999999" collapsed="1" x14ac:dyDescent="0.3">
      <c r="A235" s="3"/>
      <c r="B235" s="84" t="s">
        <v>408</v>
      </c>
      <c r="C235" s="85" t="s">
        <v>43</v>
      </c>
      <c r="D235" s="85" t="s">
        <v>43</v>
      </c>
      <c r="E235" s="86">
        <f t="shared" ref="E235:F235" si="3">SUM(E236,E246,E256,E266)</f>
        <v>0</v>
      </c>
      <c r="F235" s="86">
        <f t="shared" si="3"/>
        <v>0</v>
      </c>
      <c r="G235" s="87"/>
      <c r="H235" s="87"/>
      <c r="I235" s="88"/>
      <c r="J235" s="87"/>
      <c r="K235" s="37"/>
      <c r="L235" s="37"/>
      <c r="M235" s="37"/>
      <c r="N235" s="37"/>
      <c r="O235" s="37"/>
      <c r="P235" s="37"/>
      <c r="Q235" s="37"/>
      <c r="R235" s="37"/>
      <c r="S235" s="37"/>
      <c r="T235" s="37"/>
      <c r="U235" s="3"/>
      <c r="W235" s="3"/>
      <c r="X235" s="3"/>
      <c r="Y235" s="3"/>
      <c r="Z235" s="3"/>
    </row>
    <row r="236" spans="1:26" hidden="1" outlineLevel="1" x14ac:dyDescent="0.3">
      <c r="A236" s="3"/>
      <c r="B236" s="91" t="s">
        <v>232</v>
      </c>
      <c r="C236" s="92"/>
      <c r="D236" s="92"/>
      <c r="E236" s="93">
        <f>SUM(E237:E245)</f>
        <v>0</v>
      </c>
      <c r="F236" s="93">
        <f>SUMIF(D237:D245,"OK",F237:F245)</f>
        <v>0</v>
      </c>
      <c r="G236" s="94"/>
      <c r="H236" s="94"/>
      <c r="I236" s="95"/>
      <c r="J236" s="94"/>
      <c r="K236" s="37"/>
      <c r="L236" s="37"/>
      <c r="M236" s="37"/>
      <c r="N236" s="37"/>
      <c r="O236" s="37"/>
      <c r="P236" s="37"/>
      <c r="Q236" s="37"/>
      <c r="R236" s="37"/>
      <c r="S236" s="37"/>
      <c r="T236" s="37"/>
      <c r="U236" s="3"/>
      <c r="W236" s="3"/>
      <c r="X236" s="3"/>
      <c r="Y236" s="3"/>
      <c r="Z236" s="3"/>
    </row>
    <row r="237" spans="1:26" ht="14.4" hidden="1" outlineLevel="1" x14ac:dyDescent="0.3">
      <c r="A237" s="3"/>
      <c r="B237" s="10" t="s">
        <v>353</v>
      </c>
      <c r="C237" s="62"/>
      <c r="D237" s="62"/>
      <c r="E237" s="12">
        <v>0</v>
      </c>
      <c r="F237" s="12">
        <v>0</v>
      </c>
      <c r="G237" s="65"/>
      <c r="H237" s="65"/>
      <c r="I237" s="126"/>
      <c r="J237" s="65"/>
      <c r="K237" s="37"/>
      <c r="L237" s="37"/>
      <c r="M237" s="37"/>
      <c r="N237" s="37"/>
      <c r="O237" s="37"/>
      <c r="P237" s="37"/>
      <c r="Q237" s="37"/>
      <c r="R237" s="37"/>
      <c r="S237" s="37"/>
      <c r="T237" s="37"/>
      <c r="U237" s="3"/>
      <c r="W237" s="3"/>
      <c r="X237" s="3"/>
      <c r="Y237" s="3"/>
      <c r="Z237" s="3"/>
    </row>
    <row r="238" spans="1:26" ht="14.4" hidden="1" outlineLevel="1" x14ac:dyDescent="0.3">
      <c r="A238" s="3"/>
      <c r="B238" s="10" t="s">
        <v>354</v>
      </c>
      <c r="C238" s="62"/>
      <c r="D238" s="62"/>
      <c r="E238" s="12">
        <v>0</v>
      </c>
      <c r="F238" s="12">
        <v>0</v>
      </c>
      <c r="G238" s="65"/>
      <c r="H238" s="65"/>
      <c r="I238" s="126"/>
      <c r="J238" s="65"/>
      <c r="K238" s="37"/>
      <c r="L238" s="37"/>
      <c r="M238" s="37"/>
      <c r="N238" s="37"/>
      <c r="O238" s="37"/>
      <c r="P238" s="37"/>
      <c r="Q238" s="37"/>
      <c r="R238" s="37"/>
      <c r="S238" s="37"/>
      <c r="T238" s="37"/>
      <c r="U238" s="3"/>
      <c r="W238" s="3"/>
      <c r="X238" s="3"/>
      <c r="Y238" s="3"/>
      <c r="Z238" s="3"/>
    </row>
    <row r="239" spans="1:26" ht="14.4" hidden="1" outlineLevel="1" x14ac:dyDescent="0.3">
      <c r="A239" s="3"/>
      <c r="B239" s="10" t="s">
        <v>355</v>
      </c>
      <c r="C239" s="62"/>
      <c r="D239" s="62"/>
      <c r="E239" s="12">
        <v>0</v>
      </c>
      <c r="F239" s="12">
        <v>0</v>
      </c>
      <c r="G239" s="65"/>
      <c r="H239" s="65"/>
      <c r="I239" s="126"/>
      <c r="J239" s="65"/>
      <c r="K239" s="37"/>
      <c r="L239" s="37"/>
      <c r="M239" s="37"/>
      <c r="N239" s="37"/>
      <c r="O239" s="37"/>
      <c r="P239" s="37"/>
      <c r="Q239" s="37"/>
      <c r="R239" s="37"/>
      <c r="S239" s="37"/>
      <c r="T239" s="37"/>
      <c r="U239" s="3"/>
      <c r="W239" s="3"/>
      <c r="X239" s="3"/>
      <c r="Y239" s="3"/>
      <c r="Z239" s="3"/>
    </row>
    <row r="240" spans="1:26" ht="14.4" hidden="1" outlineLevel="1" x14ac:dyDescent="0.3">
      <c r="A240" s="3"/>
      <c r="B240" s="10" t="s">
        <v>369</v>
      </c>
      <c r="C240" s="62"/>
      <c r="D240" s="62"/>
      <c r="E240" s="12">
        <v>0</v>
      </c>
      <c r="F240" s="12">
        <v>0</v>
      </c>
      <c r="G240" s="65"/>
      <c r="H240" s="65"/>
      <c r="I240" s="112"/>
      <c r="J240" s="65"/>
      <c r="K240" s="37"/>
      <c r="L240" s="37"/>
      <c r="M240" s="37"/>
      <c r="N240" s="37"/>
      <c r="O240" s="37"/>
      <c r="P240" s="37"/>
      <c r="Q240" s="37"/>
      <c r="R240" s="37"/>
      <c r="S240" s="37"/>
      <c r="T240" s="37"/>
      <c r="U240" s="3"/>
      <c r="W240" s="3"/>
      <c r="X240" s="3"/>
      <c r="Y240" s="3"/>
      <c r="Z240" s="3"/>
    </row>
    <row r="241" spans="1:26" ht="14.4" hidden="1" outlineLevel="1" x14ac:dyDescent="0.3">
      <c r="A241" s="3"/>
      <c r="B241" s="10" t="s">
        <v>327</v>
      </c>
      <c r="C241" s="62"/>
      <c r="D241" s="62"/>
      <c r="E241" s="12">
        <v>0</v>
      </c>
      <c r="F241" s="12">
        <v>0</v>
      </c>
      <c r="G241" s="65"/>
      <c r="H241" s="65"/>
      <c r="I241" s="112"/>
      <c r="J241" s="65"/>
      <c r="K241" s="37"/>
      <c r="L241" s="37"/>
      <c r="M241" s="37"/>
      <c r="N241" s="37"/>
      <c r="O241" s="37"/>
      <c r="P241" s="37"/>
      <c r="Q241" s="37"/>
      <c r="R241" s="37"/>
      <c r="S241" s="37"/>
      <c r="T241" s="37"/>
      <c r="U241" s="3"/>
      <c r="W241" s="3"/>
      <c r="X241" s="3"/>
      <c r="Y241" s="3"/>
      <c r="Z241" s="3"/>
    </row>
    <row r="242" spans="1:26" ht="14.4" hidden="1" outlineLevel="1" x14ac:dyDescent="0.3">
      <c r="A242" s="3"/>
      <c r="B242" s="10" t="s">
        <v>328</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4.4" hidden="1" outlineLevel="1" x14ac:dyDescent="0.3">
      <c r="A243" s="3"/>
      <c r="B243" s="10" t="s">
        <v>370</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14.4" hidden="1" outlineLevel="1" x14ac:dyDescent="0.3">
      <c r="A244" s="3"/>
      <c r="B244" s="10" t="s">
        <v>371</v>
      </c>
      <c r="C244" s="62"/>
      <c r="D244" s="62"/>
      <c r="E244" s="12">
        <v>0</v>
      </c>
      <c r="F244" s="12">
        <v>0</v>
      </c>
      <c r="G244" s="65"/>
      <c r="H244" s="65"/>
      <c r="I244" s="89"/>
      <c r="J244" s="65"/>
      <c r="K244" s="37"/>
      <c r="L244" s="37"/>
      <c r="M244" s="37"/>
      <c r="N244" s="37"/>
      <c r="O244" s="37"/>
      <c r="P244" s="37"/>
      <c r="Q244" s="37"/>
      <c r="R244" s="37"/>
      <c r="S244" s="37"/>
      <c r="T244" s="37"/>
      <c r="U244" s="3"/>
      <c r="W244" s="3"/>
      <c r="X244" s="3"/>
      <c r="Y244" s="3"/>
      <c r="Z244" s="3"/>
    </row>
    <row r="245" spans="1:26" ht="14.4" hidden="1" outlineLevel="1" x14ac:dyDescent="0.3">
      <c r="A245" s="3"/>
      <c r="B245" s="10" t="s">
        <v>372</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idden="1" outlineLevel="1" x14ac:dyDescent="0.3">
      <c r="A246" s="3"/>
      <c r="B246" s="91" t="s">
        <v>651</v>
      </c>
      <c r="C246" s="92"/>
      <c r="D246" s="92"/>
      <c r="E246" s="93">
        <f>SUM(E247:E255)</f>
        <v>0</v>
      </c>
      <c r="F246" s="93">
        <f>SUMIF(D247:D255,"OK",F247:F255)</f>
        <v>0</v>
      </c>
      <c r="G246" s="94"/>
      <c r="H246" s="94"/>
      <c r="I246" s="95"/>
      <c r="J246" s="94"/>
      <c r="K246" s="37"/>
      <c r="L246" s="37"/>
      <c r="M246" s="37"/>
      <c r="N246" s="37"/>
      <c r="O246" s="37"/>
      <c r="P246" s="37"/>
      <c r="Q246" s="37"/>
      <c r="R246" s="37"/>
      <c r="S246" s="37"/>
      <c r="T246" s="37"/>
      <c r="U246" s="3"/>
      <c r="W246" s="3"/>
      <c r="X246" s="3"/>
      <c r="Y246" s="3"/>
      <c r="Z246" s="3"/>
    </row>
    <row r="247" spans="1:26" ht="14.4" hidden="1" outlineLevel="1" x14ac:dyDescent="0.3">
      <c r="A247" s="3"/>
      <c r="B247" s="10" t="s">
        <v>353</v>
      </c>
      <c r="C247" s="62"/>
      <c r="D247" s="62"/>
      <c r="E247" s="12">
        <v>0</v>
      </c>
      <c r="F247" s="12">
        <v>0</v>
      </c>
      <c r="G247" s="65"/>
      <c r="H247" s="65"/>
      <c r="I247" s="112"/>
      <c r="J247" s="65"/>
      <c r="K247" s="37"/>
      <c r="L247" s="37"/>
      <c r="M247" s="37"/>
      <c r="N247" s="37"/>
      <c r="O247" s="37"/>
      <c r="P247" s="37"/>
      <c r="Q247" s="37"/>
      <c r="R247" s="37"/>
      <c r="S247" s="37"/>
      <c r="T247" s="37"/>
      <c r="U247" s="3"/>
      <c r="W247" s="3"/>
      <c r="X247" s="3"/>
      <c r="Y247" s="3"/>
      <c r="Z247" s="3"/>
    </row>
    <row r="248" spans="1:26" ht="14.4" hidden="1" outlineLevel="1" x14ac:dyDescent="0.3">
      <c r="A248" s="3"/>
      <c r="B248" s="10" t="s">
        <v>354</v>
      </c>
      <c r="C248" s="62"/>
      <c r="D248" s="62"/>
      <c r="E248" s="12">
        <v>0</v>
      </c>
      <c r="F248" s="12">
        <v>0</v>
      </c>
      <c r="G248" s="65"/>
      <c r="H248" s="65"/>
      <c r="I248" s="112"/>
      <c r="J248" s="65"/>
      <c r="K248" s="37"/>
      <c r="L248" s="37"/>
      <c r="M248" s="37"/>
      <c r="N248" s="37"/>
      <c r="O248" s="37"/>
      <c r="P248" s="37"/>
      <c r="Q248" s="37"/>
      <c r="R248" s="37"/>
      <c r="S248" s="37"/>
      <c r="T248" s="37"/>
      <c r="U248" s="3"/>
      <c r="W248" s="3"/>
      <c r="X248" s="3"/>
      <c r="Y248" s="3"/>
      <c r="Z248" s="3"/>
    </row>
    <row r="249" spans="1:26" ht="14.4" hidden="1" outlineLevel="1" x14ac:dyDescent="0.3">
      <c r="A249" s="3"/>
      <c r="B249" s="10" t="s">
        <v>355</v>
      </c>
      <c r="C249" s="62"/>
      <c r="D249" s="62"/>
      <c r="E249" s="12">
        <v>0</v>
      </c>
      <c r="F249" s="12">
        <v>0</v>
      </c>
      <c r="G249" s="65"/>
      <c r="H249" s="65"/>
      <c r="I249" s="112"/>
      <c r="J249" s="65"/>
      <c r="K249" s="37"/>
      <c r="L249" s="37"/>
      <c r="M249" s="37"/>
      <c r="N249" s="37"/>
      <c r="O249" s="37"/>
      <c r="P249" s="37"/>
      <c r="Q249" s="37"/>
      <c r="R249" s="37"/>
      <c r="S249" s="37"/>
      <c r="T249" s="37"/>
      <c r="U249" s="3"/>
      <c r="W249" s="3"/>
      <c r="X249" s="3"/>
      <c r="Y249" s="3"/>
      <c r="Z249" s="3"/>
    </row>
    <row r="250" spans="1:26" ht="14.4" hidden="1" outlineLevel="1" x14ac:dyDescent="0.3">
      <c r="A250" s="3"/>
      <c r="B250" s="10" t="s">
        <v>369</v>
      </c>
      <c r="C250" s="62"/>
      <c r="D250" s="62"/>
      <c r="E250" s="12">
        <v>0</v>
      </c>
      <c r="F250" s="12">
        <v>0</v>
      </c>
      <c r="G250" s="65"/>
      <c r="H250" s="65"/>
      <c r="I250" s="112"/>
      <c r="J250" s="65"/>
      <c r="K250" s="37"/>
      <c r="L250" s="37"/>
      <c r="M250" s="37"/>
      <c r="N250" s="37"/>
      <c r="O250" s="37"/>
      <c r="P250" s="37"/>
      <c r="Q250" s="37"/>
      <c r="R250" s="37"/>
      <c r="S250" s="37"/>
      <c r="T250" s="37"/>
      <c r="U250" s="3"/>
      <c r="W250" s="3"/>
      <c r="X250" s="3"/>
      <c r="Y250" s="3"/>
      <c r="Z250" s="3"/>
    </row>
    <row r="251" spans="1:26" ht="14.4" hidden="1" outlineLevel="1" x14ac:dyDescent="0.3">
      <c r="A251" s="3"/>
      <c r="B251" s="10" t="s">
        <v>327</v>
      </c>
      <c r="C251" s="62"/>
      <c r="D251" s="62"/>
      <c r="E251" s="12">
        <v>0</v>
      </c>
      <c r="F251" s="12">
        <v>0</v>
      </c>
      <c r="G251" s="65"/>
      <c r="H251" s="65"/>
      <c r="I251" s="112"/>
      <c r="J251" s="65"/>
      <c r="K251" s="37"/>
      <c r="L251" s="37"/>
      <c r="M251" s="37"/>
      <c r="N251" s="37"/>
      <c r="O251" s="37"/>
      <c r="P251" s="37"/>
      <c r="Q251" s="37"/>
      <c r="R251" s="37"/>
      <c r="S251" s="37"/>
      <c r="T251" s="37"/>
      <c r="U251" s="3"/>
      <c r="W251" s="3"/>
      <c r="X251" s="3"/>
      <c r="Y251" s="3"/>
      <c r="Z251" s="3"/>
    </row>
    <row r="252" spans="1:26" ht="14.4" hidden="1" outlineLevel="1" x14ac:dyDescent="0.3">
      <c r="A252" s="3"/>
      <c r="B252" s="10" t="s">
        <v>328</v>
      </c>
      <c r="C252" s="62"/>
      <c r="D252" s="62"/>
      <c r="E252" s="12">
        <v>0</v>
      </c>
      <c r="F252" s="12">
        <v>0</v>
      </c>
      <c r="G252" s="65"/>
      <c r="H252" s="65"/>
      <c r="I252" s="112"/>
      <c r="J252" s="65"/>
      <c r="K252" s="37"/>
      <c r="L252" s="37"/>
      <c r="M252" s="37"/>
      <c r="N252" s="37"/>
      <c r="O252" s="37"/>
      <c r="P252" s="37"/>
      <c r="Q252" s="37"/>
      <c r="R252" s="37"/>
      <c r="S252" s="37"/>
      <c r="T252" s="37"/>
      <c r="U252" s="3"/>
      <c r="W252" s="3"/>
      <c r="X252" s="3"/>
      <c r="Y252" s="3"/>
      <c r="Z252" s="3"/>
    </row>
    <row r="253" spans="1:26" ht="14.4" hidden="1" outlineLevel="1" x14ac:dyDescent="0.3">
      <c r="A253" s="3"/>
      <c r="B253" s="10" t="s">
        <v>370</v>
      </c>
      <c r="C253" s="62"/>
      <c r="D253" s="62"/>
      <c r="E253" s="12">
        <v>0</v>
      </c>
      <c r="F253" s="12">
        <v>0</v>
      </c>
      <c r="G253" s="65"/>
      <c r="H253" s="65"/>
      <c r="I253" s="112"/>
      <c r="J253" s="65"/>
      <c r="K253" s="37"/>
      <c r="L253" s="37"/>
      <c r="M253" s="37"/>
      <c r="N253" s="37"/>
      <c r="O253" s="37"/>
      <c r="P253" s="37"/>
      <c r="Q253" s="37"/>
      <c r="R253" s="37"/>
      <c r="S253" s="37"/>
      <c r="T253" s="37"/>
      <c r="U253" s="3"/>
      <c r="W253" s="3"/>
      <c r="X253" s="3"/>
      <c r="Y253" s="3"/>
      <c r="Z253" s="3"/>
    </row>
    <row r="254" spans="1:26" ht="14.4" hidden="1" outlineLevel="1" x14ac:dyDescent="0.3">
      <c r="A254" s="3"/>
      <c r="B254" s="10" t="s">
        <v>371</v>
      </c>
      <c r="C254" s="62"/>
      <c r="D254" s="62"/>
      <c r="E254" s="12">
        <v>0</v>
      </c>
      <c r="F254" s="12">
        <v>0</v>
      </c>
      <c r="G254" s="65"/>
      <c r="H254" s="65"/>
      <c r="I254" s="112"/>
      <c r="J254" s="65"/>
      <c r="K254" s="37"/>
      <c r="L254" s="37"/>
      <c r="M254" s="37"/>
      <c r="N254" s="37"/>
      <c r="O254" s="37"/>
      <c r="P254" s="37"/>
      <c r="Q254" s="37"/>
      <c r="R254" s="37"/>
      <c r="S254" s="37"/>
      <c r="T254" s="37"/>
      <c r="U254" s="3"/>
      <c r="W254" s="3"/>
      <c r="X254" s="3"/>
      <c r="Y254" s="3"/>
      <c r="Z254" s="3"/>
    </row>
    <row r="255" spans="1:26" ht="14.4" hidden="1" outlineLevel="1" x14ac:dyDescent="0.3">
      <c r="A255" s="3"/>
      <c r="B255" s="10" t="s">
        <v>372</v>
      </c>
      <c r="C255" s="62"/>
      <c r="D255" s="62"/>
      <c r="E255" s="12">
        <v>0</v>
      </c>
      <c r="F255" s="12">
        <v>0</v>
      </c>
      <c r="G255" s="65"/>
      <c r="H255" s="65"/>
      <c r="I255" s="89"/>
      <c r="J255" s="65"/>
      <c r="K255" s="37"/>
      <c r="L255" s="37"/>
      <c r="M255" s="37"/>
      <c r="N255" s="37"/>
      <c r="O255" s="37"/>
      <c r="P255" s="37"/>
      <c r="Q255" s="37"/>
      <c r="R255" s="37"/>
      <c r="S255" s="37"/>
      <c r="T255" s="37"/>
      <c r="U255" s="3"/>
      <c r="W255" s="3"/>
      <c r="X255" s="3"/>
      <c r="Y255" s="3"/>
      <c r="Z255" s="3"/>
    </row>
    <row r="256" spans="1:26" hidden="1" outlineLevel="1" x14ac:dyDescent="0.3">
      <c r="A256" s="3"/>
      <c r="B256" s="91" t="s">
        <v>1024</v>
      </c>
      <c r="C256" s="92"/>
      <c r="D256" s="92"/>
      <c r="E256" s="93">
        <f>SUM(E257:E265)</f>
        <v>0</v>
      </c>
      <c r="F256" s="93">
        <f>SUMIF(D257:D265,"OK",F257:F265)</f>
        <v>0</v>
      </c>
      <c r="G256" s="94"/>
      <c r="H256" s="94"/>
      <c r="I256" s="95"/>
      <c r="J256" s="94"/>
      <c r="K256" s="37"/>
      <c r="L256" s="37"/>
      <c r="M256" s="37"/>
      <c r="N256" s="37"/>
      <c r="O256" s="37"/>
      <c r="P256" s="37"/>
      <c r="Q256" s="37"/>
      <c r="R256" s="37"/>
      <c r="S256" s="37"/>
      <c r="T256" s="37"/>
      <c r="U256" s="3"/>
      <c r="W256" s="3"/>
      <c r="X256" s="3"/>
      <c r="Y256" s="3"/>
      <c r="Z256" s="3"/>
    </row>
    <row r="257" spans="1:26" ht="14.4" hidden="1" outlineLevel="1" x14ac:dyDescent="0.3">
      <c r="A257" s="3"/>
      <c r="B257" s="10" t="s">
        <v>1025</v>
      </c>
      <c r="C257" s="62"/>
      <c r="D257" s="62"/>
      <c r="E257" s="12">
        <v>0</v>
      </c>
      <c r="F257" s="12">
        <v>0</v>
      </c>
      <c r="G257" s="65"/>
      <c r="H257" s="65"/>
      <c r="I257" s="112"/>
      <c r="J257" s="65"/>
      <c r="K257" s="37"/>
      <c r="L257" s="37"/>
      <c r="M257" s="37"/>
      <c r="N257" s="37"/>
      <c r="O257" s="37"/>
      <c r="P257" s="37"/>
      <c r="Q257" s="37"/>
      <c r="R257" s="37"/>
      <c r="S257" s="37"/>
      <c r="T257" s="37"/>
      <c r="U257" s="3"/>
      <c r="W257" s="3"/>
      <c r="X257" s="3"/>
      <c r="Y257" s="3"/>
      <c r="Z257" s="3"/>
    </row>
    <row r="258" spans="1:26" ht="14.4" hidden="1" outlineLevel="1" x14ac:dyDescent="0.3">
      <c r="A258" s="3"/>
      <c r="B258" s="10" t="s">
        <v>354</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14.4" hidden="1" outlineLevel="1" x14ac:dyDescent="0.3">
      <c r="A259" s="3"/>
      <c r="B259" s="10" t="s">
        <v>355</v>
      </c>
      <c r="C259" s="62"/>
      <c r="D259" s="62"/>
      <c r="E259" s="12">
        <v>0</v>
      </c>
      <c r="F259" s="12">
        <v>0</v>
      </c>
      <c r="G259" s="65"/>
      <c r="H259" s="65"/>
      <c r="I259" s="89"/>
      <c r="J259" s="65"/>
      <c r="K259" s="37"/>
      <c r="L259" s="37"/>
      <c r="M259" s="37"/>
      <c r="N259" s="37"/>
      <c r="O259" s="37"/>
      <c r="P259" s="37"/>
      <c r="Q259" s="37"/>
      <c r="R259" s="37"/>
      <c r="S259" s="37"/>
      <c r="T259" s="37"/>
      <c r="U259" s="3"/>
      <c r="W259" s="3"/>
      <c r="X259" s="3"/>
      <c r="Y259" s="3"/>
      <c r="Z259" s="3"/>
    </row>
    <row r="260" spans="1:26" ht="14.4" hidden="1" outlineLevel="1" x14ac:dyDescent="0.3">
      <c r="A260" s="3"/>
      <c r="B260" s="10" t="s">
        <v>369</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4.4" hidden="1" outlineLevel="1" x14ac:dyDescent="0.3">
      <c r="A261" s="3"/>
      <c r="B261" s="10" t="s">
        <v>327</v>
      </c>
      <c r="C261" s="62"/>
      <c r="D261" s="62"/>
      <c r="E261" s="12">
        <v>0</v>
      </c>
      <c r="F261" s="12">
        <v>0</v>
      </c>
      <c r="G261" s="65"/>
      <c r="H261" s="65"/>
      <c r="I261" s="89"/>
      <c r="J261" s="65"/>
      <c r="K261" s="37"/>
      <c r="L261" s="37"/>
      <c r="M261" s="37"/>
      <c r="N261" s="37"/>
      <c r="O261" s="37"/>
      <c r="P261" s="37"/>
      <c r="Q261" s="37"/>
      <c r="R261" s="37"/>
      <c r="S261" s="37"/>
      <c r="T261" s="37"/>
      <c r="U261" s="3"/>
      <c r="W261" s="3"/>
      <c r="X261" s="3"/>
      <c r="Y261" s="3"/>
      <c r="Z261" s="3"/>
    </row>
    <row r="262" spans="1:26" ht="14.4" hidden="1" outlineLevel="1" x14ac:dyDescent="0.3">
      <c r="A262" s="3"/>
      <c r="B262" s="10" t="s">
        <v>328</v>
      </c>
      <c r="C262" s="62"/>
      <c r="D262" s="62"/>
      <c r="E262" s="12">
        <v>0</v>
      </c>
      <c r="F262" s="12">
        <v>0</v>
      </c>
      <c r="G262" s="65"/>
      <c r="H262" s="65"/>
      <c r="I262" s="89"/>
      <c r="J262" s="65"/>
      <c r="K262" s="37"/>
      <c r="L262" s="37"/>
      <c r="M262" s="37"/>
      <c r="N262" s="37"/>
      <c r="O262" s="37"/>
      <c r="P262" s="37"/>
      <c r="Q262" s="37"/>
      <c r="R262" s="37"/>
      <c r="S262" s="37"/>
      <c r="T262" s="37"/>
      <c r="U262" s="3"/>
      <c r="W262" s="3"/>
      <c r="X262" s="3"/>
      <c r="Y262" s="3"/>
      <c r="Z262" s="3"/>
    </row>
    <row r="263" spans="1:26" ht="14.4" hidden="1" outlineLevel="1" x14ac:dyDescent="0.3">
      <c r="A263" s="3"/>
      <c r="B263" s="10" t="s">
        <v>370</v>
      </c>
      <c r="C263" s="62"/>
      <c r="D263" s="62"/>
      <c r="E263" s="12">
        <v>0</v>
      </c>
      <c r="F263" s="12">
        <v>0</v>
      </c>
      <c r="G263" s="65"/>
      <c r="H263" s="65"/>
      <c r="I263" s="89"/>
      <c r="J263" s="65"/>
      <c r="K263" s="37"/>
      <c r="L263" s="37"/>
      <c r="M263" s="37"/>
      <c r="N263" s="37"/>
      <c r="O263" s="37"/>
      <c r="P263" s="37"/>
      <c r="Q263" s="37"/>
      <c r="R263" s="37"/>
      <c r="S263" s="37"/>
      <c r="T263" s="37"/>
      <c r="U263" s="3"/>
      <c r="W263" s="3"/>
      <c r="X263" s="3"/>
      <c r="Y263" s="3"/>
      <c r="Z263" s="3"/>
    </row>
    <row r="264" spans="1:26" ht="14.4" hidden="1" outlineLevel="1" x14ac:dyDescent="0.3">
      <c r="A264" s="3"/>
      <c r="B264" s="10" t="s">
        <v>371</v>
      </c>
      <c r="C264" s="62"/>
      <c r="D264" s="62"/>
      <c r="E264" s="12">
        <v>0</v>
      </c>
      <c r="F264" s="12">
        <v>0</v>
      </c>
      <c r="G264" s="65"/>
      <c r="H264" s="65"/>
      <c r="I264" s="89"/>
      <c r="J264" s="65"/>
      <c r="K264" s="37"/>
      <c r="L264" s="37"/>
      <c r="M264" s="37"/>
      <c r="N264" s="37"/>
      <c r="O264" s="37"/>
      <c r="P264" s="37"/>
      <c r="Q264" s="37"/>
      <c r="R264" s="37"/>
      <c r="S264" s="37"/>
      <c r="T264" s="37"/>
      <c r="U264" s="3"/>
      <c r="W264" s="3"/>
      <c r="X264" s="3"/>
      <c r="Y264" s="3"/>
      <c r="Z264" s="3"/>
    </row>
    <row r="265" spans="1:26" ht="14.4" hidden="1" outlineLevel="1" x14ac:dyDescent="0.3">
      <c r="A265" s="3"/>
      <c r="B265" s="10" t="s">
        <v>372</v>
      </c>
      <c r="C265" s="62"/>
      <c r="D265" s="62"/>
      <c r="E265" s="12">
        <v>0</v>
      </c>
      <c r="F265" s="12">
        <v>0</v>
      </c>
      <c r="G265" s="65"/>
      <c r="H265" s="65"/>
      <c r="I265" s="89"/>
      <c r="J265" s="65"/>
      <c r="K265" s="37"/>
      <c r="L265" s="37"/>
      <c r="M265" s="37"/>
      <c r="N265" s="37"/>
      <c r="O265" s="37"/>
      <c r="P265" s="37"/>
      <c r="Q265" s="37"/>
      <c r="R265" s="37"/>
      <c r="S265" s="37"/>
      <c r="T265" s="37"/>
      <c r="U265" s="3"/>
      <c r="W265" s="3"/>
      <c r="X265" s="3"/>
      <c r="Y265" s="3"/>
      <c r="Z265" s="3"/>
    </row>
    <row r="266" spans="1:26" hidden="1" outlineLevel="1" x14ac:dyDescent="0.3">
      <c r="A266" s="3"/>
      <c r="B266" s="91" t="s">
        <v>62</v>
      </c>
      <c r="C266" s="92"/>
      <c r="D266" s="92"/>
      <c r="E266" s="93">
        <f>SUM(E267:E275)</f>
        <v>0</v>
      </c>
      <c r="F266" s="93">
        <f>SUMIF(D267:D275,"OK",F267:F275)</f>
        <v>0</v>
      </c>
      <c r="G266" s="94"/>
      <c r="H266" s="94"/>
      <c r="I266" s="95"/>
      <c r="J266" s="94"/>
      <c r="K266" s="37"/>
      <c r="L266" s="37"/>
      <c r="M266" s="37"/>
      <c r="N266" s="37"/>
      <c r="O266" s="37"/>
      <c r="P266" s="37"/>
      <c r="Q266" s="37"/>
      <c r="R266" s="37"/>
      <c r="S266" s="37"/>
      <c r="T266" s="37"/>
      <c r="U266" s="3"/>
      <c r="W266" s="3"/>
      <c r="X266" s="3"/>
      <c r="Y266" s="3"/>
      <c r="Z266" s="3"/>
    </row>
    <row r="267" spans="1:26" ht="14.4" hidden="1" outlineLevel="1" x14ac:dyDescent="0.3">
      <c r="A267" s="3"/>
      <c r="B267" s="10" t="s">
        <v>353</v>
      </c>
      <c r="C267" s="62"/>
      <c r="D267" s="62"/>
      <c r="E267" s="12">
        <v>0</v>
      </c>
      <c r="F267" s="12">
        <v>0</v>
      </c>
      <c r="G267" s="65"/>
      <c r="H267" s="65"/>
      <c r="I267" s="89"/>
      <c r="J267" s="65"/>
      <c r="K267" s="37"/>
      <c r="L267" s="37"/>
      <c r="M267" s="37"/>
      <c r="N267" s="37"/>
      <c r="O267" s="37"/>
      <c r="P267" s="37"/>
      <c r="Q267" s="37"/>
      <c r="R267" s="37"/>
      <c r="S267" s="37"/>
      <c r="T267" s="37"/>
      <c r="U267" s="3"/>
      <c r="W267" s="3"/>
      <c r="X267" s="3"/>
      <c r="Y267" s="3"/>
      <c r="Z267" s="3"/>
    </row>
    <row r="268" spans="1:26" ht="14.4" hidden="1" outlineLevel="1" x14ac:dyDescent="0.3">
      <c r="A268" s="3"/>
      <c r="B268" s="10" t="s">
        <v>354</v>
      </c>
      <c r="C268" s="62"/>
      <c r="D268" s="62"/>
      <c r="E268" s="12">
        <v>0</v>
      </c>
      <c r="F268" s="12">
        <v>0</v>
      </c>
      <c r="G268" s="65"/>
      <c r="H268" s="65"/>
      <c r="I268" s="89"/>
      <c r="J268" s="65"/>
      <c r="K268" s="37"/>
      <c r="L268" s="37"/>
      <c r="M268" s="37"/>
      <c r="N268" s="37"/>
      <c r="O268" s="37"/>
      <c r="P268" s="37"/>
      <c r="Q268" s="37"/>
      <c r="R268" s="37"/>
      <c r="S268" s="37"/>
      <c r="T268" s="37"/>
      <c r="U268" s="3"/>
      <c r="W268" s="3"/>
      <c r="X268" s="3"/>
      <c r="Y268" s="3"/>
      <c r="Z268" s="3"/>
    </row>
    <row r="269" spans="1:26" ht="14.4" hidden="1" outlineLevel="1" x14ac:dyDescent="0.3">
      <c r="A269" s="3"/>
      <c r="B269" s="10" t="s">
        <v>355</v>
      </c>
      <c r="C269" s="62"/>
      <c r="D269" s="62"/>
      <c r="E269" s="12">
        <v>0</v>
      </c>
      <c r="F269" s="12">
        <v>0</v>
      </c>
      <c r="G269" s="65"/>
      <c r="H269" s="65"/>
      <c r="I269" s="89"/>
      <c r="J269" s="65"/>
      <c r="K269" s="37"/>
      <c r="L269" s="37"/>
      <c r="M269" s="37"/>
      <c r="N269" s="37"/>
      <c r="O269" s="37"/>
      <c r="P269" s="37"/>
      <c r="Q269" s="37"/>
      <c r="R269" s="37"/>
      <c r="S269" s="37"/>
      <c r="T269" s="37"/>
      <c r="U269" s="3"/>
      <c r="W269" s="3"/>
      <c r="X269" s="3"/>
      <c r="Y269" s="3"/>
      <c r="Z269" s="3"/>
    </row>
    <row r="270" spans="1:26" ht="14.4" hidden="1" outlineLevel="1" x14ac:dyDescent="0.3">
      <c r="A270" s="3"/>
      <c r="B270" s="10" t="s">
        <v>369</v>
      </c>
      <c r="C270" s="62"/>
      <c r="D270" s="62"/>
      <c r="E270" s="12">
        <v>0</v>
      </c>
      <c r="F270" s="12">
        <v>0</v>
      </c>
      <c r="G270" s="65"/>
      <c r="H270" s="65"/>
      <c r="I270" s="89"/>
      <c r="J270" s="65"/>
      <c r="K270" s="37"/>
      <c r="L270" s="37"/>
      <c r="M270" s="37"/>
      <c r="N270" s="37"/>
      <c r="O270" s="37"/>
      <c r="P270" s="37"/>
      <c r="Q270" s="37"/>
      <c r="R270" s="37"/>
      <c r="S270" s="37"/>
      <c r="T270" s="37"/>
      <c r="U270" s="3"/>
      <c r="W270" s="3"/>
      <c r="X270" s="3"/>
      <c r="Y270" s="3"/>
      <c r="Z270" s="3"/>
    </row>
    <row r="271" spans="1:26" ht="14.4" hidden="1" outlineLevel="1" x14ac:dyDescent="0.3">
      <c r="A271" s="3"/>
      <c r="B271" s="10" t="s">
        <v>327</v>
      </c>
      <c r="C271" s="62"/>
      <c r="D271" s="62"/>
      <c r="E271" s="12">
        <v>0</v>
      </c>
      <c r="F271" s="12">
        <v>0</v>
      </c>
      <c r="G271" s="65"/>
      <c r="H271" s="65"/>
      <c r="I271" s="89"/>
      <c r="J271" s="65"/>
      <c r="K271" s="37"/>
      <c r="L271" s="37"/>
      <c r="M271" s="37"/>
      <c r="N271" s="37"/>
      <c r="O271" s="37"/>
      <c r="P271" s="37"/>
      <c r="Q271" s="37"/>
      <c r="R271" s="37"/>
      <c r="S271" s="37"/>
      <c r="T271" s="37"/>
      <c r="U271" s="3"/>
      <c r="W271" s="3"/>
      <c r="X271" s="3"/>
      <c r="Y271" s="3"/>
      <c r="Z271" s="3"/>
    </row>
    <row r="272" spans="1:26" ht="14.4" hidden="1" outlineLevel="1" x14ac:dyDescent="0.3">
      <c r="A272" s="3"/>
      <c r="B272" s="10" t="s">
        <v>328</v>
      </c>
      <c r="C272" s="62"/>
      <c r="D272" s="62"/>
      <c r="E272" s="12">
        <v>0</v>
      </c>
      <c r="F272" s="12">
        <v>0</v>
      </c>
      <c r="G272" s="65"/>
      <c r="H272" s="65"/>
      <c r="I272" s="89"/>
      <c r="J272" s="65"/>
      <c r="K272" s="37"/>
      <c r="L272" s="37"/>
      <c r="M272" s="37"/>
      <c r="N272" s="37"/>
      <c r="O272" s="37"/>
      <c r="P272" s="37"/>
      <c r="Q272" s="37"/>
      <c r="R272" s="37"/>
      <c r="S272" s="37"/>
      <c r="T272" s="37"/>
      <c r="U272" s="3"/>
      <c r="W272" s="3"/>
      <c r="X272" s="3"/>
      <c r="Y272" s="3"/>
      <c r="Z272" s="3"/>
    </row>
    <row r="273" spans="1:26" ht="14.4" hidden="1" outlineLevel="1" x14ac:dyDescent="0.3">
      <c r="A273" s="3"/>
      <c r="B273" s="10" t="s">
        <v>370</v>
      </c>
      <c r="C273" s="62"/>
      <c r="D273" s="62"/>
      <c r="E273" s="12">
        <v>0</v>
      </c>
      <c r="F273" s="12">
        <v>0</v>
      </c>
      <c r="G273" s="65"/>
      <c r="H273" s="65"/>
      <c r="I273" s="89"/>
      <c r="J273" s="65"/>
      <c r="K273" s="37"/>
      <c r="L273" s="37"/>
      <c r="M273" s="37"/>
      <c r="N273" s="37"/>
      <c r="O273" s="37"/>
      <c r="P273" s="37"/>
      <c r="Q273" s="37"/>
      <c r="R273" s="37"/>
      <c r="S273" s="37"/>
      <c r="T273" s="37"/>
      <c r="U273" s="3"/>
      <c r="W273" s="3"/>
      <c r="X273" s="3"/>
      <c r="Y273" s="3"/>
      <c r="Z273" s="3"/>
    </row>
    <row r="274" spans="1:26" ht="14.4" hidden="1" outlineLevel="1" x14ac:dyDescent="0.3">
      <c r="A274" s="3"/>
      <c r="B274" s="10" t="s">
        <v>371</v>
      </c>
      <c r="C274" s="62"/>
      <c r="D274" s="62"/>
      <c r="E274" s="12">
        <v>0</v>
      </c>
      <c r="F274" s="12">
        <v>0</v>
      </c>
      <c r="G274" s="65"/>
      <c r="H274" s="65"/>
      <c r="I274" s="89"/>
      <c r="J274" s="65"/>
      <c r="K274" s="37"/>
      <c r="L274" s="37"/>
      <c r="M274" s="37"/>
      <c r="N274" s="37"/>
      <c r="O274" s="37"/>
      <c r="P274" s="37"/>
      <c r="Q274" s="37"/>
      <c r="R274" s="37"/>
      <c r="S274" s="37"/>
      <c r="T274" s="37"/>
      <c r="U274" s="3"/>
      <c r="W274" s="3"/>
      <c r="X274" s="3"/>
      <c r="Y274" s="3"/>
      <c r="Z274" s="3"/>
    </row>
    <row r="275" spans="1:26" ht="14.4" hidden="1" outlineLevel="1" x14ac:dyDescent="0.3">
      <c r="A275" s="3"/>
      <c r="B275" s="10" t="s">
        <v>372</v>
      </c>
      <c r="C275" s="62"/>
      <c r="D275" s="62"/>
      <c r="E275" s="12">
        <v>0</v>
      </c>
      <c r="F275" s="12">
        <v>0</v>
      </c>
      <c r="G275" s="65"/>
      <c r="H275" s="65"/>
      <c r="I275" s="89"/>
      <c r="J275" s="65"/>
      <c r="K275" s="37"/>
      <c r="L275" s="37"/>
      <c r="M275" s="37"/>
      <c r="N275" s="37"/>
      <c r="O275" s="37"/>
      <c r="P275" s="37"/>
      <c r="Q275" s="37"/>
      <c r="R275" s="37"/>
      <c r="S275" s="37"/>
      <c r="T275" s="37"/>
      <c r="U275" s="3"/>
      <c r="W275" s="3"/>
      <c r="X275" s="3"/>
      <c r="Y275" s="3"/>
      <c r="Z275" s="3"/>
    </row>
    <row r="276" spans="1:26" ht="20.399999999999999" collapsed="1" x14ac:dyDescent="0.3">
      <c r="A276" s="3"/>
      <c r="B276" s="84" t="s">
        <v>411</v>
      </c>
      <c r="C276" s="85" t="s">
        <v>43</v>
      </c>
      <c r="D276" s="85" t="s">
        <v>43</v>
      </c>
      <c r="E276" s="86">
        <f>SUM(E277:E289)</f>
        <v>0</v>
      </c>
      <c r="F276" s="86">
        <f>SUMIF(D277:D289,"OK",F277:F289)</f>
        <v>0</v>
      </c>
      <c r="G276" s="87"/>
      <c r="H276" s="87"/>
      <c r="I276" s="88"/>
      <c r="J276" s="87"/>
      <c r="K276" s="37"/>
      <c r="L276" s="37"/>
      <c r="M276" s="37"/>
      <c r="N276" s="37"/>
      <c r="O276" s="37"/>
      <c r="P276" s="37"/>
      <c r="Q276" s="37"/>
      <c r="R276" s="37"/>
      <c r="S276" s="37"/>
      <c r="T276" s="37"/>
      <c r="U276" s="3"/>
      <c r="W276" s="3"/>
      <c r="X276" s="3"/>
      <c r="Y276" s="3"/>
      <c r="Z276" s="3"/>
    </row>
    <row r="277" spans="1:26" ht="15.75" hidden="1" customHeight="1" outlineLevel="1" x14ac:dyDescent="0.3">
      <c r="A277" s="3"/>
      <c r="B277" s="10" t="s">
        <v>412</v>
      </c>
      <c r="C277" s="62"/>
      <c r="D277" s="62"/>
      <c r="E277" s="12">
        <v>0</v>
      </c>
      <c r="F277" s="12">
        <v>0</v>
      </c>
      <c r="G277" s="65"/>
      <c r="H277" s="65"/>
      <c r="I277" s="89"/>
      <c r="J277" s="65"/>
      <c r="K277" s="37"/>
      <c r="L277" s="37"/>
      <c r="M277" s="37"/>
      <c r="N277" s="37"/>
      <c r="O277" s="37"/>
      <c r="P277" s="37"/>
      <c r="Q277" s="37"/>
      <c r="R277" s="37"/>
      <c r="S277" s="37"/>
      <c r="T277" s="37"/>
      <c r="U277" s="3"/>
      <c r="W277" s="3"/>
      <c r="X277" s="3"/>
      <c r="Y277" s="3"/>
      <c r="Z277" s="3"/>
    </row>
    <row r="278" spans="1:26" ht="15.75" hidden="1" customHeight="1" outlineLevel="1" x14ac:dyDescent="0.3">
      <c r="A278" s="3"/>
      <c r="B278" s="10" t="s">
        <v>413</v>
      </c>
      <c r="C278" s="62"/>
      <c r="D278" s="62"/>
      <c r="E278" s="12">
        <v>0</v>
      </c>
      <c r="F278" s="12">
        <v>0</v>
      </c>
      <c r="G278" s="89"/>
      <c r="H278" s="65"/>
      <c r="I278" s="112"/>
      <c r="J278" s="65"/>
      <c r="K278" s="37"/>
      <c r="L278" s="37"/>
      <c r="M278" s="37"/>
      <c r="N278" s="37"/>
      <c r="O278" s="37"/>
      <c r="P278" s="37"/>
      <c r="Q278" s="37"/>
      <c r="R278" s="37"/>
      <c r="S278" s="37"/>
      <c r="T278" s="37"/>
      <c r="U278" s="3"/>
      <c r="W278" s="3"/>
      <c r="X278" s="3"/>
      <c r="Y278" s="3"/>
      <c r="Z278" s="3"/>
    </row>
    <row r="279" spans="1:26" ht="15.75" hidden="1" customHeight="1" outlineLevel="1" x14ac:dyDescent="0.3">
      <c r="A279" s="3"/>
      <c r="B279" s="10" t="s">
        <v>413</v>
      </c>
      <c r="C279" s="62"/>
      <c r="D279" s="62"/>
      <c r="E279" s="12">
        <v>0</v>
      </c>
      <c r="F279" s="12">
        <v>0</v>
      </c>
      <c r="G279" s="65"/>
      <c r="H279" s="65"/>
      <c r="I279" s="112"/>
      <c r="J279" s="65"/>
      <c r="K279" s="37"/>
      <c r="L279" s="37"/>
      <c r="M279" s="37"/>
      <c r="N279" s="37"/>
      <c r="O279" s="37"/>
      <c r="P279" s="37"/>
      <c r="Q279" s="37"/>
      <c r="R279" s="37"/>
      <c r="S279" s="37"/>
      <c r="T279" s="37"/>
      <c r="U279" s="3"/>
      <c r="W279" s="3"/>
      <c r="X279" s="3"/>
      <c r="Y279" s="3"/>
      <c r="Z279" s="3"/>
    </row>
    <row r="280" spans="1:26" ht="15.75" hidden="1" customHeight="1" outlineLevel="1" x14ac:dyDescent="0.3">
      <c r="A280" s="3"/>
      <c r="B280" s="10" t="s">
        <v>414</v>
      </c>
      <c r="C280" s="62"/>
      <c r="D280" s="62"/>
      <c r="E280" s="12">
        <v>0</v>
      </c>
      <c r="F280" s="12">
        <v>0</v>
      </c>
      <c r="G280" s="65"/>
      <c r="H280" s="65"/>
      <c r="I280" s="112"/>
      <c r="J280" s="65"/>
      <c r="K280" s="37"/>
      <c r="L280" s="37"/>
      <c r="M280" s="37"/>
      <c r="N280" s="37"/>
      <c r="O280" s="37"/>
      <c r="P280" s="37"/>
      <c r="Q280" s="37"/>
      <c r="R280" s="37"/>
      <c r="S280" s="37"/>
      <c r="T280" s="37"/>
      <c r="U280" s="3"/>
      <c r="W280" s="3"/>
      <c r="X280" s="3"/>
      <c r="Y280" s="3"/>
      <c r="Z280" s="3"/>
    </row>
    <row r="281" spans="1:26" ht="15.75" hidden="1" customHeight="1" outlineLevel="1" x14ac:dyDescent="0.3">
      <c r="A281" s="3"/>
      <c r="B281" s="10" t="s">
        <v>414</v>
      </c>
      <c r="C281" s="62"/>
      <c r="D281" s="62"/>
      <c r="E281" s="12">
        <v>0</v>
      </c>
      <c r="F281" s="12">
        <v>0</v>
      </c>
      <c r="G281" s="65"/>
      <c r="H281" s="65"/>
      <c r="I281" s="112"/>
      <c r="J281" s="65"/>
      <c r="K281" s="37"/>
      <c r="L281" s="37"/>
      <c r="M281" s="37"/>
      <c r="N281" s="37"/>
      <c r="O281" s="37"/>
      <c r="P281" s="37"/>
      <c r="Q281" s="37"/>
      <c r="R281" s="37"/>
      <c r="S281" s="37"/>
      <c r="T281" s="37"/>
      <c r="U281" s="3"/>
      <c r="W281" s="3"/>
      <c r="X281" s="3"/>
      <c r="Y281" s="3"/>
      <c r="Z281" s="3"/>
    </row>
    <row r="282" spans="1:26" ht="15.75" hidden="1" customHeight="1" outlineLevel="1" x14ac:dyDescent="0.3">
      <c r="A282" s="3"/>
      <c r="B282" s="10" t="s">
        <v>414</v>
      </c>
      <c r="C282" s="62"/>
      <c r="D282" s="62"/>
      <c r="E282" s="12">
        <v>0</v>
      </c>
      <c r="F282" s="12">
        <v>0</v>
      </c>
      <c r="G282" s="65"/>
      <c r="H282" s="65"/>
      <c r="I282" s="112"/>
      <c r="J282" s="65"/>
      <c r="K282" s="37"/>
      <c r="L282" s="37"/>
      <c r="M282" s="37"/>
      <c r="N282" s="37"/>
      <c r="O282" s="37"/>
      <c r="P282" s="37"/>
      <c r="Q282" s="37"/>
      <c r="R282" s="37"/>
      <c r="S282" s="37"/>
      <c r="T282" s="37"/>
      <c r="U282" s="3"/>
      <c r="W282" s="3"/>
      <c r="X282" s="3"/>
      <c r="Y282" s="3"/>
      <c r="Z282" s="3"/>
    </row>
    <row r="283" spans="1:26" ht="15.75" hidden="1" customHeight="1" outlineLevel="1" x14ac:dyDescent="0.3">
      <c r="A283" s="3"/>
      <c r="B283" s="10" t="s">
        <v>415</v>
      </c>
      <c r="C283" s="62"/>
      <c r="D283" s="62"/>
      <c r="E283" s="12">
        <v>0</v>
      </c>
      <c r="F283" s="12">
        <v>0</v>
      </c>
      <c r="G283" s="65"/>
      <c r="H283" s="65"/>
      <c r="I283" s="89"/>
      <c r="J283" s="65"/>
      <c r="K283" s="37"/>
      <c r="L283" s="37"/>
      <c r="M283" s="37"/>
      <c r="N283" s="37"/>
      <c r="O283" s="37"/>
      <c r="P283" s="37"/>
      <c r="Q283" s="37"/>
      <c r="R283" s="37"/>
      <c r="S283" s="37"/>
      <c r="T283" s="37"/>
      <c r="U283" s="3"/>
      <c r="W283" s="3"/>
      <c r="X283" s="3"/>
      <c r="Y283" s="3"/>
      <c r="Z283" s="3"/>
    </row>
    <row r="284" spans="1:26" ht="15.75" hidden="1" customHeight="1" outlineLevel="1" x14ac:dyDescent="0.3">
      <c r="A284" s="3"/>
      <c r="B284" s="10" t="s">
        <v>416</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5.75" hidden="1" customHeight="1" outlineLevel="1" x14ac:dyDescent="0.3">
      <c r="A285" s="3"/>
      <c r="B285" s="10" t="s">
        <v>417</v>
      </c>
      <c r="C285" s="62"/>
      <c r="D285" s="62"/>
      <c r="E285" s="12">
        <v>0</v>
      </c>
      <c r="F285" s="12">
        <v>0</v>
      </c>
      <c r="G285" s="65"/>
      <c r="H285" s="65"/>
      <c r="I285" s="89"/>
      <c r="J285" s="65"/>
      <c r="K285" s="37"/>
      <c r="L285" s="37"/>
      <c r="M285" s="37"/>
      <c r="N285" s="37"/>
      <c r="O285" s="37"/>
      <c r="P285" s="37"/>
      <c r="Q285" s="37"/>
      <c r="R285" s="37"/>
      <c r="S285" s="37"/>
      <c r="T285" s="37"/>
      <c r="U285" s="3"/>
      <c r="W285" s="3"/>
      <c r="X285" s="3"/>
      <c r="Y285" s="3"/>
      <c r="Z285" s="3"/>
    </row>
    <row r="286" spans="1:26" ht="15.75" hidden="1" customHeight="1" outlineLevel="1" x14ac:dyDescent="0.3">
      <c r="A286" s="3"/>
      <c r="B286" s="10" t="s">
        <v>418</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5.75" hidden="1" customHeight="1" outlineLevel="1" x14ac:dyDescent="0.3">
      <c r="A287" s="3"/>
      <c r="B287" s="10" t="s">
        <v>419</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5.75" hidden="1" customHeight="1" outlineLevel="1" x14ac:dyDescent="0.3">
      <c r="A288" s="3"/>
      <c r="B288" s="10" t="s">
        <v>420</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5.75" hidden="1" customHeight="1" outlineLevel="1" x14ac:dyDescent="0.3">
      <c r="A289" s="3"/>
      <c r="B289" s="10" t="s">
        <v>65</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t="15.75" customHeight="1" collapsed="1" x14ac:dyDescent="0.3">
      <c r="A290" s="3"/>
      <c r="B290" s="3"/>
      <c r="C290" s="37"/>
      <c r="D290" s="37"/>
      <c r="E290" s="37"/>
      <c r="F290" s="37"/>
      <c r="G290" s="98"/>
      <c r="H290" s="98"/>
      <c r="I290" s="99"/>
      <c r="J290" s="98"/>
      <c r="K290" s="37"/>
      <c r="L290" s="37"/>
      <c r="M290" s="37"/>
      <c r="N290" s="37"/>
      <c r="O290" s="37"/>
      <c r="P290" s="37"/>
      <c r="Q290" s="37"/>
      <c r="R290" s="37"/>
      <c r="S290" s="37"/>
      <c r="T290" s="37"/>
      <c r="U290" s="3"/>
    </row>
    <row r="291" spans="1:26" ht="15.75" customHeight="1" x14ac:dyDescent="0.3">
      <c r="A291" s="3"/>
      <c r="B291" s="3"/>
      <c r="C291" s="37"/>
      <c r="D291" s="37"/>
      <c r="E291" s="37"/>
      <c r="F291" s="37"/>
      <c r="G291" s="98"/>
      <c r="H291" s="98"/>
      <c r="I291" s="99"/>
      <c r="J291" s="98"/>
      <c r="K291" s="37"/>
      <c r="L291" s="37"/>
      <c r="M291" s="37"/>
      <c r="N291" s="37"/>
      <c r="O291" s="37"/>
      <c r="P291" s="37"/>
      <c r="Q291" s="37"/>
      <c r="R291" s="37"/>
      <c r="S291" s="37"/>
      <c r="T291" s="37"/>
      <c r="U291" s="3"/>
    </row>
    <row r="292" spans="1:26" ht="15.75" customHeight="1" x14ac:dyDescent="0.3">
      <c r="A292" s="3"/>
      <c r="B292" s="3"/>
      <c r="C292" s="37"/>
      <c r="D292" s="37"/>
      <c r="E292" s="37"/>
      <c r="F292" s="37"/>
      <c r="G292" s="98"/>
      <c r="H292" s="98"/>
      <c r="I292" s="99"/>
      <c r="J292" s="98"/>
      <c r="K292" s="37"/>
      <c r="L292" s="37"/>
      <c r="M292" s="37"/>
      <c r="N292" s="37"/>
      <c r="O292" s="37"/>
      <c r="P292" s="37"/>
      <c r="Q292" s="37"/>
      <c r="R292" s="37"/>
      <c r="S292" s="37"/>
      <c r="T292" s="37"/>
      <c r="U292" s="3"/>
    </row>
    <row r="293" spans="1:26" ht="15.75" customHeight="1" x14ac:dyDescent="0.3">
      <c r="A293" s="3"/>
      <c r="B293" s="3"/>
      <c r="C293" s="37"/>
      <c r="D293" s="37"/>
      <c r="E293" s="37"/>
      <c r="F293" s="37"/>
      <c r="G293" s="98"/>
      <c r="H293" s="98"/>
      <c r="I293" s="99"/>
      <c r="J293" s="98"/>
      <c r="K293" s="37"/>
      <c r="L293" s="37"/>
      <c r="M293" s="37"/>
      <c r="N293" s="37"/>
      <c r="O293" s="37"/>
      <c r="P293" s="37"/>
      <c r="Q293" s="37"/>
      <c r="R293" s="37"/>
      <c r="S293" s="37"/>
      <c r="T293" s="37"/>
      <c r="U293" s="3"/>
    </row>
    <row r="294" spans="1:26" ht="15.75" customHeight="1" x14ac:dyDescent="0.3">
      <c r="A294" s="3"/>
      <c r="B294" s="3"/>
      <c r="C294" s="37"/>
      <c r="D294" s="37"/>
      <c r="E294" s="37"/>
      <c r="F294" s="37"/>
      <c r="G294" s="98"/>
      <c r="H294" s="98"/>
      <c r="I294" s="99"/>
      <c r="J294" s="98"/>
      <c r="K294" s="37"/>
      <c r="L294" s="37"/>
      <c r="M294" s="37"/>
      <c r="N294" s="37"/>
      <c r="O294" s="37"/>
      <c r="P294" s="37"/>
      <c r="Q294" s="37"/>
      <c r="R294" s="37"/>
      <c r="S294" s="37"/>
      <c r="T294" s="37"/>
      <c r="U294" s="3"/>
    </row>
    <row r="295" spans="1:26" ht="15.75" customHeight="1" x14ac:dyDescent="0.3">
      <c r="A295" s="3"/>
      <c r="B295" s="3"/>
      <c r="C295" s="37"/>
      <c r="D295" s="37"/>
      <c r="E295" s="37"/>
      <c r="F295" s="37"/>
      <c r="G295" s="98"/>
      <c r="H295" s="98"/>
      <c r="I295" s="99"/>
      <c r="J295" s="98"/>
      <c r="K295" s="37"/>
      <c r="L295" s="37"/>
      <c r="M295" s="37"/>
      <c r="N295" s="37"/>
      <c r="O295" s="37"/>
      <c r="P295" s="37"/>
      <c r="Q295" s="37"/>
      <c r="R295" s="37"/>
      <c r="S295" s="37"/>
      <c r="T295" s="37"/>
      <c r="U295" s="3"/>
    </row>
    <row r="296" spans="1:26" ht="15.75" customHeight="1" x14ac:dyDescent="0.3">
      <c r="A296" s="3"/>
      <c r="B296" s="3"/>
      <c r="C296" s="37"/>
      <c r="D296" s="37"/>
      <c r="E296" s="37"/>
      <c r="F296" s="37"/>
      <c r="G296" s="98"/>
      <c r="H296" s="98"/>
      <c r="I296" s="99"/>
      <c r="J296" s="98"/>
      <c r="K296" s="37"/>
      <c r="L296" s="37"/>
      <c r="M296" s="37"/>
      <c r="N296" s="37"/>
      <c r="O296" s="37"/>
      <c r="P296" s="37"/>
      <c r="Q296" s="37"/>
      <c r="R296" s="37"/>
      <c r="S296" s="37"/>
      <c r="T296" s="37"/>
      <c r="U296" s="3"/>
    </row>
    <row r="297" spans="1:26" ht="15.75" customHeight="1" x14ac:dyDescent="0.3">
      <c r="A297" s="3"/>
      <c r="B297" s="3"/>
      <c r="C297" s="37"/>
      <c r="D297" s="37"/>
      <c r="E297" s="37"/>
      <c r="F297" s="37"/>
      <c r="G297" s="98"/>
      <c r="H297" s="98"/>
      <c r="I297" s="99"/>
      <c r="J297" s="98"/>
      <c r="K297" s="37"/>
      <c r="L297" s="37"/>
      <c r="M297" s="37"/>
      <c r="N297" s="37"/>
      <c r="O297" s="37"/>
      <c r="P297" s="37"/>
      <c r="Q297" s="37"/>
      <c r="R297" s="37"/>
      <c r="S297" s="37"/>
      <c r="T297" s="37"/>
      <c r="U297" s="3"/>
    </row>
    <row r="298" spans="1:26" ht="15.75" customHeight="1" x14ac:dyDescent="0.3">
      <c r="A298" s="3"/>
      <c r="B298" s="3"/>
      <c r="C298" s="37"/>
      <c r="D298" s="37"/>
      <c r="E298" s="37"/>
      <c r="F298" s="37"/>
      <c r="G298" s="98"/>
      <c r="H298" s="98"/>
      <c r="I298" s="99"/>
      <c r="J298" s="98"/>
      <c r="K298" s="37"/>
      <c r="L298" s="37"/>
      <c r="M298" s="37"/>
      <c r="N298" s="37"/>
      <c r="O298" s="37"/>
      <c r="P298" s="37"/>
      <c r="Q298" s="37"/>
      <c r="R298" s="37"/>
      <c r="S298" s="37"/>
      <c r="T298" s="37"/>
      <c r="U298" s="3"/>
    </row>
    <row r="299" spans="1:26" ht="15.75" customHeight="1" x14ac:dyDescent="0.3">
      <c r="A299" s="3"/>
      <c r="B299" s="3"/>
      <c r="C299" s="37"/>
      <c r="D299" s="37"/>
      <c r="E299" s="37"/>
      <c r="F299" s="37"/>
      <c r="G299" s="98"/>
      <c r="H299" s="98"/>
      <c r="I299" s="99"/>
      <c r="J299" s="98"/>
      <c r="K299" s="37"/>
      <c r="L299" s="37"/>
      <c r="M299" s="37"/>
      <c r="N299" s="37"/>
      <c r="O299" s="37"/>
      <c r="P299" s="37"/>
      <c r="Q299" s="37"/>
      <c r="R299" s="37"/>
      <c r="S299" s="37"/>
      <c r="T299" s="37"/>
      <c r="U299" s="3"/>
    </row>
    <row r="300" spans="1:26" ht="15.75" customHeight="1" x14ac:dyDescent="0.3">
      <c r="A300" s="3"/>
      <c r="B300" s="3"/>
      <c r="C300" s="37"/>
      <c r="D300" s="37"/>
      <c r="E300" s="37"/>
      <c r="F300" s="37"/>
      <c r="G300" s="98"/>
      <c r="H300" s="98"/>
      <c r="I300" s="99"/>
      <c r="J300" s="98"/>
      <c r="K300" s="37"/>
      <c r="L300" s="37"/>
      <c r="M300" s="37"/>
      <c r="N300" s="37"/>
      <c r="O300" s="37"/>
      <c r="P300" s="37"/>
      <c r="Q300" s="37"/>
      <c r="R300" s="37"/>
      <c r="S300" s="37"/>
      <c r="T300" s="37"/>
      <c r="U300" s="3"/>
    </row>
    <row r="301" spans="1:26" ht="15.75" customHeight="1" x14ac:dyDescent="0.3">
      <c r="A301" s="3"/>
      <c r="B301" s="3"/>
      <c r="C301" s="37"/>
      <c r="D301" s="37"/>
      <c r="E301" s="37"/>
      <c r="F301" s="37"/>
      <c r="G301" s="98"/>
      <c r="H301" s="98"/>
      <c r="I301" s="99"/>
      <c r="J301" s="98"/>
      <c r="K301" s="37"/>
      <c r="L301" s="37"/>
      <c r="M301" s="37"/>
      <c r="N301" s="37"/>
      <c r="O301" s="37"/>
      <c r="P301" s="37"/>
      <c r="Q301" s="37"/>
      <c r="R301" s="37"/>
      <c r="S301" s="37"/>
      <c r="T301" s="37"/>
      <c r="U301" s="3"/>
    </row>
    <row r="302" spans="1:26" ht="15.75" customHeight="1" x14ac:dyDescent="0.3">
      <c r="A302" s="3"/>
      <c r="B302" s="3"/>
      <c r="C302" s="37"/>
      <c r="D302" s="37"/>
      <c r="E302" s="37"/>
      <c r="F302" s="37"/>
      <c r="G302" s="98"/>
      <c r="H302" s="98"/>
      <c r="I302" s="99"/>
      <c r="J302" s="98"/>
      <c r="K302" s="37"/>
      <c r="L302" s="37"/>
      <c r="M302" s="37"/>
      <c r="N302" s="37"/>
      <c r="O302" s="37"/>
      <c r="P302" s="37"/>
      <c r="Q302" s="37"/>
      <c r="R302" s="37"/>
      <c r="S302" s="37"/>
      <c r="T302" s="37"/>
      <c r="U302" s="3"/>
    </row>
    <row r="303" spans="1:26" ht="15.75" customHeight="1" x14ac:dyDescent="0.3">
      <c r="A303" s="3"/>
      <c r="B303" s="3"/>
      <c r="C303" s="37"/>
      <c r="D303" s="37"/>
      <c r="E303" s="37"/>
      <c r="F303" s="37"/>
      <c r="G303" s="98"/>
      <c r="H303" s="98"/>
      <c r="I303" s="99"/>
      <c r="J303" s="98"/>
      <c r="K303" s="37"/>
      <c r="L303" s="37"/>
      <c r="M303" s="37"/>
      <c r="N303" s="37"/>
      <c r="O303" s="37"/>
      <c r="P303" s="37"/>
      <c r="Q303" s="37"/>
      <c r="R303" s="37"/>
      <c r="S303" s="37"/>
      <c r="T303" s="37"/>
      <c r="U303" s="3"/>
    </row>
    <row r="304" spans="1:26" ht="15.75" customHeight="1" x14ac:dyDescent="0.3">
      <c r="A304" s="3"/>
      <c r="B304" s="3"/>
      <c r="C304" s="37"/>
      <c r="D304" s="37"/>
      <c r="E304" s="37"/>
      <c r="F304" s="37"/>
      <c r="G304" s="98"/>
      <c r="H304" s="98"/>
      <c r="I304" s="99"/>
      <c r="J304" s="98"/>
      <c r="K304" s="37"/>
      <c r="L304" s="37"/>
      <c r="M304" s="37"/>
      <c r="N304" s="37"/>
      <c r="O304" s="37"/>
      <c r="P304" s="37"/>
      <c r="Q304" s="37"/>
      <c r="R304" s="37"/>
      <c r="S304" s="37"/>
      <c r="T304" s="37"/>
      <c r="U304" s="3"/>
    </row>
    <row r="305" spans="1:21" ht="15.75" customHeight="1" x14ac:dyDescent="0.3">
      <c r="A305" s="3"/>
      <c r="B305" s="3"/>
      <c r="C305" s="37"/>
      <c r="D305" s="37"/>
      <c r="E305" s="37"/>
      <c r="F305" s="37"/>
      <c r="G305" s="98"/>
      <c r="H305" s="98"/>
      <c r="I305" s="99"/>
      <c r="J305" s="98"/>
      <c r="K305" s="37"/>
      <c r="L305" s="37"/>
      <c r="M305" s="37"/>
      <c r="N305" s="37"/>
      <c r="O305" s="37"/>
      <c r="P305" s="37"/>
      <c r="Q305" s="37"/>
      <c r="R305" s="37"/>
      <c r="S305" s="37"/>
      <c r="T305" s="37"/>
      <c r="U305" s="3"/>
    </row>
    <row r="306" spans="1:21" ht="15.75" customHeight="1" x14ac:dyDescent="0.3">
      <c r="A306" s="3"/>
      <c r="B306" s="3"/>
      <c r="C306" s="37"/>
      <c r="D306" s="37"/>
      <c r="E306" s="37"/>
      <c r="F306" s="37"/>
      <c r="G306" s="98"/>
      <c r="H306" s="98"/>
      <c r="I306" s="99"/>
      <c r="J306" s="98"/>
      <c r="K306" s="37"/>
      <c r="L306" s="37"/>
      <c r="M306" s="37"/>
      <c r="N306" s="37"/>
      <c r="O306" s="37"/>
      <c r="P306" s="37"/>
      <c r="Q306" s="37"/>
      <c r="R306" s="37"/>
      <c r="S306" s="37"/>
      <c r="T306" s="37"/>
      <c r="U306" s="3"/>
    </row>
    <row r="307" spans="1:21" ht="15.75" customHeight="1" x14ac:dyDescent="0.3">
      <c r="A307" s="3"/>
      <c r="B307" s="3"/>
      <c r="C307" s="37"/>
      <c r="D307" s="37"/>
      <c r="E307" s="37"/>
      <c r="F307" s="37"/>
      <c r="G307" s="98"/>
      <c r="H307" s="98"/>
      <c r="I307" s="99"/>
      <c r="J307" s="98"/>
      <c r="K307" s="37"/>
      <c r="L307" s="37"/>
      <c r="M307" s="37"/>
      <c r="N307" s="37"/>
      <c r="O307" s="37"/>
      <c r="P307" s="37"/>
      <c r="Q307" s="37"/>
      <c r="R307" s="37"/>
      <c r="S307" s="37"/>
      <c r="T307" s="37"/>
      <c r="U307" s="3"/>
    </row>
    <row r="308" spans="1:21" ht="15.75" customHeight="1" x14ac:dyDescent="0.3">
      <c r="A308" s="3"/>
      <c r="B308" s="3"/>
      <c r="C308" s="37"/>
      <c r="D308" s="37"/>
      <c r="E308" s="37"/>
      <c r="F308" s="37"/>
      <c r="G308" s="98"/>
      <c r="H308" s="98"/>
      <c r="I308" s="99"/>
      <c r="J308" s="98"/>
      <c r="K308" s="37"/>
      <c r="L308" s="37"/>
      <c r="M308" s="37"/>
      <c r="N308" s="37"/>
      <c r="O308" s="37"/>
      <c r="P308" s="37"/>
      <c r="Q308" s="37"/>
      <c r="R308" s="37"/>
      <c r="S308" s="37"/>
      <c r="T308" s="37"/>
      <c r="U308" s="3"/>
    </row>
    <row r="309" spans="1:21" ht="15.75" customHeight="1" x14ac:dyDescent="0.3">
      <c r="A309" s="3"/>
      <c r="B309" s="3"/>
      <c r="C309" s="37"/>
      <c r="D309" s="37"/>
      <c r="E309" s="37"/>
      <c r="F309" s="37"/>
      <c r="G309" s="98"/>
      <c r="H309" s="98"/>
      <c r="I309" s="99"/>
      <c r="J309" s="98"/>
      <c r="K309" s="37"/>
      <c r="L309" s="37"/>
      <c r="M309" s="37"/>
      <c r="N309" s="37"/>
      <c r="O309" s="37"/>
      <c r="P309" s="37"/>
      <c r="Q309" s="37"/>
      <c r="R309" s="37"/>
      <c r="S309" s="37"/>
      <c r="T309" s="37"/>
      <c r="U309" s="3"/>
    </row>
    <row r="310" spans="1:21" ht="15.75" customHeight="1" x14ac:dyDescent="0.3">
      <c r="A310" s="3"/>
      <c r="B310" s="3"/>
      <c r="C310" s="37"/>
      <c r="D310" s="37"/>
      <c r="E310" s="37"/>
      <c r="F310" s="37"/>
      <c r="G310" s="98"/>
      <c r="H310" s="98"/>
      <c r="I310" s="99"/>
      <c r="J310" s="98"/>
      <c r="K310" s="37"/>
      <c r="L310" s="37"/>
      <c r="M310" s="37"/>
      <c r="N310" s="37"/>
      <c r="O310" s="37"/>
      <c r="P310" s="37"/>
      <c r="Q310" s="37"/>
      <c r="R310" s="37"/>
      <c r="S310" s="37"/>
      <c r="T310" s="37"/>
      <c r="U310" s="3"/>
    </row>
    <row r="311" spans="1:21" ht="15.75" customHeight="1" x14ac:dyDescent="0.3">
      <c r="A311" s="3"/>
      <c r="B311" s="3"/>
      <c r="C311" s="37"/>
      <c r="D311" s="37"/>
      <c r="E311" s="37"/>
      <c r="F311" s="37"/>
      <c r="G311" s="98"/>
      <c r="H311" s="98"/>
      <c r="I311" s="99"/>
      <c r="J311" s="98"/>
      <c r="K311" s="37"/>
      <c r="L311" s="37"/>
      <c r="M311" s="37"/>
      <c r="N311" s="37"/>
      <c r="O311" s="37"/>
      <c r="P311" s="37"/>
      <c r="Q311" s="37"/>
      <c r="R311" s="37"/>
      <c r="S311" s="37"/>
      <c r="T311" s="37"/>
      <c r="U311" s="3"/>
    </row>
    <row r="312" spans="1:21" ht="15.75" customHeight="1" x14ac:dyDescent="0.3">
      <c r="A312" s="3"/>
      <c r="B312" s="3"/>
      <c r="C312" s="37"/>
      <c r="D312" s="37"/>
      <c r="E312" s="37"/>
      <c r="F312" s="37"/>
      <c r="G312" s="98"/>
      <c r="H312" s="98"/>
      <c r="I312" s="99"/>
      <c r="J312" s="98"/>
      <c r="K312" s="37"/>
      <c r="L312" s="37"/>
      <c r="M312" s="37"/>
      <c r="N312" s="37"/>
      <c r="O312" s="37"/>
      <c r="P312" s="37"/>
      <c r="Q312" s="37"/>
      <c r="R312" s="37"/>
      <c r="S312" s="37"/>
      <c r="T312" s="37"/>
      <c r="U312" s="3"/>
    </row>
    <row r="313" spans="1:21" ht="15.75" customHeight="1" x14ac:dyDescent="0.3">
      <c r="A313" s="3"/>
      <c r="B313" s="3"/>
      <c r="C313" s="37"/>
      <c r="D313" s="37"/>
      <c r="E313" s="37"/>
      <c r="F313" s="37"/>
      <c r="G313" s="98"/>
      <c r="H313" s="98"/>
      <c r="I313" s="99"/>
      <c r="J313" s="98"/>
      <c r="K313" s="37"/>
      <c r="L313" s="37"/>
      <c r="M313" s="37"/>
      <c r="N313" s="37"/>
      <c r="O313" s="37"/>
      <c r="P313" s="37"/>
      <c r="Q313" s="37"/>
      <c r="R313" s="37"/>
      <c r="S313" s="37"/>
      <c r="T313" s="37"/>
      <c r="U313" s="3"/>
    </row>
    <row r="314" spans="1:21" ht="15.75" customHeight="1" x14ac:dyDescent="0.3">
      <c r="A314" s="3"/>
      <c r="B314" s="3"/>
      <c r="C314" s="37"/>
      <c r="D314" s="37"/>
      <c r="E314" s="37"/>
      <c r="F314" s="37"/>
      <c r="G314" s="98"/>
      <c r="H314" s="98"/>
      <c r="I314" s="99"/>
      <c r="J314" s="98"/>
      <c r="K314" s="37"/>
      <c r="L314" s="37"/>
      <c r="M314" s="37"/>
      <c r="N314" s="37"/>
      <c r="O314" s="37"/>
      <c r="P314" s="37"/>
      <c r="Q314" s="37"/>
      <c r="R314" s="37"/>
      <c r="S314" s="37"/>
      <c r="T314" s="37"/>
      <c r="U314" s="3"/>
    </row>
    <row r="315" spans="1:21" ht="15.75" customHeight="1" x14ac:dyDescent="0.3">
      <c r="A315" s="3"/>
      <c r="B315" s="3"/>
      <c r="C315" s="37"/>
      <c r="D315" s="37"/>
      <c r="E315" s="37"/>
      <c r="F315" s="37"/>
      <c r="G315" s="98"/>
      <c r="H315" s="98"/>
      <c r="I315" s="99"/>
      <c r="J315" s="98"/>
      <c r="K315" s="37"/>
      <c r="L315" s="37"/>
      <c r="M315" s="37"/>
      <c r="N315" s="37"/>
      <c r="O315" s="37"/>
      <c r="P315" s="37"/>
      <c r="Q315" s="37"/>
      <c r="R315" s="37"/>
      <c r="S315" s="37"/>
      <c r="T315" s="37"/>
      <c r="U315" s="3"/>
    </row>
    <row r="316" spans="1:21" ht="15.75" customHeight="1" x14ac:dyDescent="0.3">
      <c r="A316" s="3"/>
      <c r="B316" s="3"/>
      <c r="C316" s="37"/>
      <c r="D316" s="37"/>
      <c r="E316" s="37"/>
      <c r="F316" s="37"/>
      <c r="G316" s="98"/>
      <c r="H316" s="98"/>
      <c r="I316" s="99"/>
      <c r="J316" s="98"/>
      <c r="K316" s="37"/>
      <c r="L316" s="37"/>
      <c r="M316" s="37"/>
      <c r="N316" s="37"/>
      <c r="O316" s="37"/>
      <c r="P316" s="37"/>
      <c r="Q316" s="37"/>
      <c r="R316" s="37"/>
      <c r="S316" s="37"/>
      <c r="T316" s="37"/>
      <c r="U316" s="3"/>
    </row>
    <row r="317" spans="1:21" ht="15.75" customHeight="1" x14ac:dyDescent="0.3">
      <c r="A317" s="3"/>
      <c r="B317" s="3"/>
      <c r="C317" s="37"/>
      <c r="D317" s="37"/>
      <c r="E317" s="37"/>
      <c r="F317" s="37"/>
      <c r="G317" s="98"/>
      <c r="H317" s="98"/>
      <c r="I317" s="99"/>
      <c r="J317" s="98"/>
      <c r="K317" s="37"/>
      <c r="L317" s="37"/>
      <c r="M317" s="37"/>
      <c r="N317" s="37"/>
      <c r="O317" s="37"/>
      <c r="P317" s="37"/>
      <c r="Q317" s="37"/>
      <c r="R317" s="37"/>
      <c r="S317" s="37"/>
      <c r="T317" s="37"/>
      <c r="U317" s="3"/>
    </row>
    <row r="318" spans="1:21" ht="15.75" customHeight="1" x14ac:dyDescent="0.3">
      <c r="A318" s="3"/>
      <c r="B318" s="3"/>
      <c r="C318" s="37"/>
      <c r="D318" s="37"/>
      <c r="E318" s="37"/>
      <c r="F318" s="37"/>
      <c r="G318" s="98"/>
      <c r="H318" s="98"/>
      <c r="I318" s="99"/>
      <c r="J318" s="98"/>
      <c r="K318" s="37"/>
      <c r="L318" s="37"/>
      <c r="M318" s="37"/>
      <c r="N318" s="37"/>
      <c r="O318" s="37"/>
      <c r="P318" s="37"/>
      <c r="Q318" s="37"/>
      <c r="R318" s="37"/>
      <c r="S318" s="37"/>
      <c r="T318" s="37"/>
      <c r="U318" s="3"/>
    </row>
    <row r="319" spans="1:21" ht="15.75" customHeight="1" x14ac:dyDescent="0.3">
      <c r="A319" s="3"/>
      <c r="B319" s="3"/>
      <c r="C319" s="37"/>
      <c r="D319" s="37"/>
      <c r="E319" s="37"/>
      <c r="F319" s="37"/>
      <c r="G319" s="98"/>
      <c r="H319" s="98"/>
      <c r="I319" s="99"/>
      <c r="J319" s="98"/>
      <c r="K319" s="37"/>
      <c r="L319" s="37"/>
      <c r="M319" s="37"/>
      <c r="N319" s="37"/>
      <c r="O319" s="37"/>
      <c r="P319" s="37"/>
      <c r="Q319" s="37"/>
      <c r="R319" s="37"/>
      <c r="S319" s="37"/>
      <c r="T319" s="37"/>
      <c r="U319" s="3"/>
    </row>
    <row r="320" spans="1:21" ht="15.75" customHeight="1" x14ac:dyDescent="0.3">
      <c r="A320" s="3"/>
      <c r="B320" s="3"/>
      <c r="C320" s="37"/>
      <c r="D320" s="37"/>
      <c r="E320" s="37"/>
      <c r="F320" s="37"/>
      <c r="G320" s="98"/>
      <c r="H320" s="98"/>
      <c r="I320" s="99"/>
      <c r="J320" s="98"/>
      <c r="K320" s="37"/>
      <c r="L320" s="37"/>
      <c r="M320" s="37"/>
      <c r="N320" s="37"/>
      <c r="O320" s="37"/>
      <c r="P320" s="37"/>
      <c r="Q320" s="37"/>
      <c r="R320" s="37"/>
      <c r="S320" s="37"/>
      <c r="T320" s="37"/>
      <c r="U320" s="3"/>
    </row>
    <row r="321" spans="1:21" ht="15.75" customHeight="1" x14ac:dyDescent="0.3">
      <c r="A321" s="3"/>
      <c r="B321" s="3"/>
      <c r="C321" s="37"/>
      <c r="D321" s="37"/>
      <c r="E321" s="37"/>
      <c r="F321" s="37"/>
      <c r="G321" s="98"/>
      <c r="H321" s="98"/>
      <c r="I321" s="99"/>
      <c r="J321" s="98"/>
      <c r="K321" s="37"/>
      <c r="L321" s="37"/>
      <c r="M321" s="37"/>
      <c r="N321" s="37"/>
      <c r="O321" s="37"/>
      <c r="P321" s="37"/>
      <c r="Q321" s="37"/>
      <c r="R321" s="37"/>
      <c r="S321" s="37"/>
      <c r="T321" s="37"/>
      <c r="U321" s="3"/>
    </row>
    <row r="322" spans="1:21" ht="15.75" customHeight="1" x14ac:dyDescent="0.3">
      <c r="A322" s="3"/>
      <c r="B322" s="3"/>
      <c r="C322" s="37"/>
      <c r="D322" s="37"/>
      <c r="E322" s="37"/>
      <c r="F322" s="37"/>
      <c r="G322" s="98"/>
      <c r="H322" s="98"/>
      <c r="I322" s="99"/>
      <c r="J322" s="98"/>
      <c r="K322" s="37"/>
      <c r="L322" s="37"/>
      <c r="M322" s="37"/>
      <c r="N322" s="37"/>
      <c r="O322" s="37"/>
      <c r="P322" s="37"/>
      <c r="Q322" s="37"/>
      <c r="R322" s="37"/>
      <c r="S322" s="37"/>
      <c r="T322" s="37"/>
      <c r="U322" s="3"/>
    </row>
    <row r="323" spans="1:21" ht="15.75" customHeight="1" x14ac:dyDescent="0.3">
      <c r="A323" s="3"/>
      <c r="B323" s="3"/>
      <c r="C323" s="37"/>
      <c r="D323" s="37"/>
      <c r="E323" s="37"/>
      <c r="F323" s="37"/>
      <c r="G323" s="98"/>
      <c r="H323" s="98"/>
      <c r="I323" s="99"/>
      <c r="J323" s="98"/>
      <c r="K323" s="37"/>
      <c r="L323" s="37"/>
      <c r="M323" s="37"/>
      <c r="N323" s="37"/>
      <c r="O323" s="37"/>
      <c r="P323" s="37"/>
      <c r="Q323" s="37"/>
      <c r="R323" s="37"/>
      <c r="S323" s="37"/>
      <c r="T323" s="37"/>
      <c r="U323" s="3"/>
    </row>
    <row r="324" spans="1:21" ht="15.75" customHeight="1" x14ac:dyDescent="0.3">
      <c r="A324" s="3"/>
      <c r="B324" s="3"/>
      <c r="C324" s="37"/>
      <c r="D324" s="37"/>
      <c r="E324" s="37"/>
      <c r="F324" s="37"/>
      <c r="G324" s="98"/>
      <c r="H324" s="98"/>
      <c r="I324" s="99"/>
      <c r="J324" s="98"/>
      <c r="K324" s="37"/>
      <c r="L324" s="37"/>
      <c r="M324" s="37"/>
      <c r="N324" s="37"/>
      <c r="O324" s="37"/>
      <c r="P324" s="37"/>
      <c r="Q324" s="37"/>
      <c r="R324" s="37"/>
      <c r="S324" s="37"/>
      <c r="T324" s="37"/>
      <c r="U324" s="3"/>
    </row>
    <row r="325" spans="1:21" ht="15.75" customHeight="1" x14ac:dyDescent="0.3">
      <c r="A325" s="3"/>
      <c r="B325" s="3"/>
      <c r="C325" s="37"/>
      <c r="D325" s="37"/>
      <c r="E325" s="37"/>
      <c r="F325" s="37"/>
      <c r="G325" s="98"/>
      <c r="H325" s="98"/>
      <c r="I325" s="99"/>
      <c r="J325" s="98"/>
      <c r="K325" s="37"/>
      <c r="L325" s="37"/>
      <c r="M325" s="37"/>
      <c r="N325" s="37"/>
      <c r="O325" s="37"/>
      <c r="P325" s="37"/>
      <c r="Q325" s="37"/>
      <c r="R325" s="37"/>
      <c r="S325" s="37"/>
      <c r="T325" s="37"/>
      <c r="U325" s="3"/>
    </row>
    <row r="326" spans="1:21" ht="15.75" customHeight="1" x14ac:dyDescent="0.3">
      <c r="A326" s="3"/>
      <c r="B326" s="3"/>
      <c r="C326" s="37"/>
      <c r="D326" s="37"/>
      <c r="E326" s="37"/>
      <c r="F326" s="37"/>
      <c r="G326" s="98"/>
      <c r="H326" s="98"/>
      <c r="I326" s="99"/>
      <c r="J326" s="98"/>
      <c r="K326" s="37"/>
      <c r="L326" s="37"/>
      <c r="M326" s="37"/>
      <c r="N326" s="37"/>
      <c r="O326" s="37"/>
      <c r="P326" s="37"/>
      <c r="Q326" s="37"/>
      <c r="R326" s="37"/>
      <c r="S326" s="37"/>
      <c r="T326" s="37"/>
      <c r="U326" s="3"/>
    </row>
    <row r="327" spans="1:21" ht="15.75" customHeight="1" x14ac:dyDescent="0.3">
      <c r="A327" s="3"/>
      <c r="B327" s="3"/>
      <c r="C327" s="37"/>
      <c r="D327" s="37"/>
      <c r="E327" s="37"/>
      <c r="F327" s="37"/>
      <c r="G327" s="98"/>
      <c r="H327" s="98"/>
      <c r="I327" s="99"/>
      <c r="J327" s="98"/>
      <c r="K327" s="37"/>
      <c r="L327" s="37"/>
      <c r="M327" s="37"/>
      <c r="N327" s="37"/>
      <c r="O327" s="37"/>
      <c r="P327" s="37"/>
      <c r="Q327" s="37"/>
      <c r="R327" s="37"/>
      <c r="S327" s="37"/>
      <c r="T327" s="37"/>
      <c r="U327" s="3"/>
    </row>
    <row r="328" spans="1:21" ht="15.75" customHeight="1" x14ac:dyDescent="0.3">
      <c r="A328" s="3"/>
      <c r="B328" s="3"/>
      <c r="C328" s="37"/>
      <c r="D328" s="37"/>
      <c r="E328" s="37"/>
      <c r="F328" s="37"/>
      <c r="G328" s="98"/>
      <c r="H328" s="98"/>
      <c r="I328" s="99"/>
      <c r="J328" s="98"/>
      <c r="K328" s="37"/>
      <c r="L328" s="37"/>
      <c r="M328" s="37"/>
      <c r="N328" s="37"/>
      <c r="O328" s="37"/>
      <c r="P328" s="37"/>
      <c r="Q328" s="37"/>
      <c r="R328" s="37"/>
      <c r="S328" s="37"/>
      <c r="T328" s="37"/>
      <c r="U328" s="3"/>
    </row>
    <row r="329" spans="1:21" ht="15.75" customHeight="1" x14ac:dyDescent="0.3">
      <c r="A329" s="3"/>
      <c r="B329" s="3"/>
      <c r="C329" s="37"/>
      <c r="D329" s="37"/>
      <c r="E329" s="37"/>
      <c r="F329" s="37"/>
      <c r="G329" s="98"/>
      <c r="H329" s="98"/>
      <c r="I329" s="99"/>
      <c r="J329" s="98"/>
      <c r="K329" s="37"/>
      <c r="L329" s="37"/>
      <c r="M329" s="37"/>
      <c r="N329" s="37"/>
      <c r="O329" s="37"/>
      <c r="P329" s="37"/>
      <c r="Q329" s="37"/>
      <c r="R329" s="37"/>
      <c r="S329" s="37"/>
      <c r="T329" s="37"/>
      <c r="U329" s="3"/>
    </row>
    <row r="330" spans="1:21" ht="15.75" customHeight="1" x14ac:dyDescent="0.3">
      <c r="A330" s="3"/>
      <c r="B330" s="3"/>
      <c r="C330" s="37"/>
      <c r="D330" s="37"/>
      <c r="E330" s="37"/>
      <c r="F330" s="37"/>
      <c r="G330" s="98"/>
      <c r="H330" s="98"/>
      <c r="I330" s="99"/>
      <c r="J330" s="98"/>
      <c r="K330" s="37"/>
      <c r="L330" s="37"/>
      <c r="M330" s="37"/>
      <c r="N330" s="37"/>
      <c r="O330" s="37"/>
      <c r="P330" s="37"/>
      <c r="Q330" s="37"/>
      <c r="R330" s="37"/>
      <c r="S330" s="37"/>
      <c r="T330" s="37"/>
      <c r="U330" s="3"/>
    </row>
    <row r="331" spans="1:21" ht="15.75" customHeight="1" x14ac:dyDescent="0.3">
      <c r="A331" s="3"/>
      <c r="B331" s="3"/>
      <c r="C331" s="37"/>
      <c r="D331" s="37"/>
      <c r="E331" s="37"/>
      <c r="F331" s="37"/>
      <c r="G331" s="98"/>
      <c r="H331" s="98"/>
      <c r="I331" s="99"/>
      <c r="J331" s="98"/>
      <c r="K331" s="37"/>
      <c r="L331" s="37"/>
      <c r="M331" s="37"/>
      <c r="N331" s="37"/>
      <c r="O331" s="37"/>
      <c r="P331" s="37"/>
      <c r="Q331" s="37"/>
      <c r="R331" s="37"/>
      <c r="S331" s="37"/>
      <c r="T331" s="37"/>
      <c r="U331" s="3"/>
    </row>
    <row r="332" spans="1:21" ht="15.75" customHeight="1" x14ac:dyDescent="0.3">
      <c r="A332" s="3"/>
      <c r="B332" s="3"/>
      <c r="C332" s="37"/>
      <c r="D332" s="37"/>
      <c r="E332" s="37"/>
      <c r="F332" s="37"/>
      <c r="G332" s="98"/>
      <c r="H332" s="98"/>
      <c r="I332" s="99"/>
      <c r="J332" s="98"/>
      <c r="K332" s="37"/>
      <c r="L332" s="37"/>
      <c r="M332" s="37"/>
      <c r="N332" s="37"/>
      <c r="O332" s="37"/>
      <c r="P332" s="37"/>
      <c r="Q332" s="37"/>
      <c r="R332" s="37"/>
      <c r="S332" s="37"/>
      <c r="T332" s="37"/>
      <c r="U332" s="3"/>
    </row>
    <row r="333" spans="1:21" ht="15.75" customHeight="1" x14ac:dyDescent="0.3">
      <c r="A333" s="3"/>
      <c r="B333" s="3"/>
      <c r="C333" s="37"/>
      <c r="D333" s="37"/>
      <c r="E333" s="37"/>
      <c r="F333" s="37"/>
      <c r="G333" s="98"/>
      <c r="H333" s="98"/>
      <c r="I333" s="99"/>
      <c r="J333" s="98"/>
      <c r="K333" s="37"/>
      <c r="L333" s="37"/>
      <c r="M333" s="37"/>
      <c r="N333" s="37"/>
      <c r="O333" s="37"/>
      <c r="P333" s="37"/>
      <c r="Q333" s="37"/>
      <c r="R333" s="37"/>
      <c r="S333" s="37"/>
      <c r="T333" s="37"/>
      <c r="U333" s="3"/>
    </row>
    <row r="334" spans="1:21" ht="15.75" customHeight="1" x14ac:dyDescent="0.3">
      <c r="A334" s="3"/>
      <c r="B334" s="3"/>
      <c r="C334" s="37"/>
      <c r="D334" s="37"/>
      <c r="E334" s="37"/>
      <c r="F334" s="37"/>
      <c r="G334" s="98"/>
      <c r="H334" s="98"/>
      <c r="I334" s="99"/>
      <c r="J334" s="98"/>
      <c r="K334" s="37"/>
      <c r="L334" s="37"/>
      <c r="M334" s="37"/>
      <c r="N334" s="37"/>
      <c r="O334" s="37"/>
      <c r="P334" s="37"/>
      <c r="Q334" s="37"/>
      <c r="R334" s="37"/>
      <c r="S334" s="37"/>
      <c r="T334" s="37"/>
      <c r="U334" s="3"/>
    </row>
    <row r="335" spans="1:21" ht="15.75" customHeight="1" x14ac:dyDescent="0.3">
      <c r="A335" s="3"/>
      <c r="B335" s="3"/>
      <c r="C335" s="37"/>
      <c r="D335" s="37"/>
      <c r="E335" s="37"/>
      <c r="F335" s="37"/>
      <c r="G335" s="98"/>
      <c r="H335" s="98"/>
      <c r="I335" s="99"/>
      <c r="J335" s="98"/>
      <c r="K335" s="37"/>
      <c r="L335" s="37"/>
      <c r="M335" s="37"/>
      <c r="N335" s="37"/>
      <c r="O335" s="37"/>
      <c r="P335" s="37"/>
      <c r="Q335" s="37"/>
      <c r="R335" s="37"/>
      <c r="S335" s="37"/>
      <c r="T335" s="37"/>
      <c r="U335" s="3"/>
    </row>
    <row r="336" spans="1:21" ht="15.75" customHeight="1" x14ac:dyDescent="0.3">
      <c r="A336" s="3"/>
      <c r="B336" s="3"/>
      <c r="C336" s="37"/>
      <c r="D336" s="37"/>
      <c r="E336" s="37"/>
      <c r="F336" s="37"/>
      <c r="G336" s="98"/>
      <c r="H336" s="98"/>
      <c r="I336" s="99"/>
      <c r="J336" s="98"/>
      <c r="K336" s="37"/>
      <c r="L336" s="37"/>
      <c r="M336" s="37"/>
      <c r="N336" s="37"/>
      <c r="O336" s="37"/>
      <c r="P336" s="37"/>
      <c r="Q336" s="37"/>
      <c r="R336" s="37"/>
      <c r="S336" s="37"/>
      <c r="T336" s="37"/>
      <c r="U336" s="3"/>
    </row>
    <row r="337" spans="1:21" ht="15.75" customHeight="1" x14ac:dyDescent="0.3">
      <c r="A337" s="3"/>
      <c r="B337" s="3"/>
      <c r="C337" s="37"/>
      <c r="D337" s="37"/>
      <c r="E337" s="37"/>
      <c r="F337" s="37"/>
      <c r="G337" s="98"/>
      <c r="H337" s="98"/>
      <c r="I337" s="99"/>
      <c r="J337" s="98"/>
      <c r="K337" s="37"/>
      <c r="L337" s="37"/>
      <c r="M337" s="37"/>
      <c r="N337" s="37"/>
      <c r="O337" s="37"/>
      <c r="P337" s="37"/>
      <c r="Q337" s="37"/>
      <c r="R337" s="37"/>
      <c r="S337" s="37"/>
      <c r="T337" s="37"/>
      <c r="U337" s="3"/>
    </row>
    <row r="338" spans="1:21" ht="15.75" customHeight="1" x14ac:dyDescent="0.3">
      <c r="A338" s="3"/>
      <c r="B338" s="3"/>
      <c r="C338" s="37"/>
      <c r="D338" s="37"/>
      <c r="E338" s="37"/>
      <c r="F338" s="37"/>
      <c r="G338" s="98"/>
      <c r="H338" s="98"/>
      <c r="I338" s="99"/>
      <c r="J338" s="98"/>
      <c r="K338" s="37"/>
      <c r="L338" s="37"/>
      <c r="M338" s="37"/>
      <c r="N338" s="37"/>
      <c r="O338" s="37"/>
      <c r="P338" s="37"/>
      <c r="Q338" s="37"/>
      <c r="R338" s="37"/>
      <c r="S338" s="37"/>
      <c r="T338" s="37"/>
      <c r="U338" s="3"/>
    </row>
    <row r="339" spans="1:21" ht="15.75" customHeight="1" x14ac:dyDescent="0.3">
      <c r="A339" s="3"/>
      <c r="B339" s="3"/>
      <c r="C339" s="37"/>
      <c r="D339" s="37"/>
      <c r="E339" s="37"/>
      <c r="F339" s="37"/>
      <c r="G339" s="98"/>
      <c r="H339" s="98"/>
      <c r="I339" s="99"/>
      <c r="J339" s="98"/>
      <c r="K339" s="37"/>
      <c r="L339" s="37"/>
      <c r="M339" s="37"/>
      <c r="N339" s="37"/>
      <c r="O339" s="37"/>
      <c r="P339" s="37"/>
      <c r="Q339" s="37"/>
      <c r="R339" s="37"/>
      <c r="S339" s="37"/>
      <c r="T339" s="37"/>
      <c r="U339" s="3"/>
    </row>
    <row r="340" spans="1:21" ht="15.75" customHeight="1" x14ac:dyDescent="0.3">
      <c r="A340" s="3"/>
      <c r="B340" s="3"/>
      <c r="C340" s="37"/>
      <c r="D340" s="37"/>
      <c r="E340" s="37"/>
      <c r="F340" s="37"/>
      <c r="G340" s="98"/>
      <c r="H340" s="98"/>
      <c r="I340" s="99"/>
      <c r="J340" s="98"/>
      <c r="K340" s="37"/>
      <c r="L340" s="37"/>
      <c r="M340" s="37"/>
      <c r="N340" s="37"/>
      <c r="O340" s="37"/>
      <c r="P340" s="37"/>
      <c r="Q340" s="37"/>
      <c r="R340" s="37"/>
      <c r="S340" s="37"/>
      <c r="T340" s="37"/>
      <c r="U340" s="3"/>
    </row>
    <row r="341" spans="1:21" ht="15.75" customHeight="1" x14ac:dyDescent="0.3">
      <c r="A341" s="3"/>
      <c r="B341" s="3"/>
      <c r="C341" s="37"/>
      <c r="D341" s="37"/>
      <c r="E341" s="37"/>
      <c r="F341" s="37"/>
      <c r="G341" s="98"/>
      <c r="H341" s="98"/>
      <c r="I341" s="99"/>
      <c r="J341" s="98"/>
      <c r="K341" s="37"/>
      <c r="L341" s="37"/>
      <c r="M341" s="37"/>
      <c r="N341" s="37"/>
      <c r="O341" s="37"/>
      <c r="P341" s="37"/>
      <c r="Q341" s="37"/>
      <c r="R341" s="37"/>
      <c r="S341" s="37"/>
      <c r="T341" s="37"/>
      <c r="U341" s="3"/>
    </row>
    <row r="342" spans="1:21" ht="15.75" customHeight="1" x14ac:dyDescent="0.3">
      <c r="A342" s="3"/>
      <c r="B342" s="3"/>
      <c r="C342" s="37"/>
      <c r="D342" s="37"/>
      <c r="E342" s="37"/>
      <c r="F342" s="37"/>
      <c r="G342" s="98"/>
      <c r="H342" s="98"/>
      <c r="I342" s="99"/>
      <c r="J342" s="98"/>
      <c r="K342" s="37"/>
      <c r="L342" s="37"/>
      <c r="M342" s="37"/>
      <c r="N342" s="37"/>
      <c r="O342" s="37"/>
      <c r="P342" s="37"/>
      <c r="Q342" s="37"/>
      <c r="R342" s="37"/>
      <c r="S342" s="37"/>
      <c r="T342" s="37"/>
      <c r="U342" s="3"/>
    </row>
    <row r="343" spans="1:21" ht="15.75" customHeight="1" x14ac:dyDescent="0.3">
      <c r="A343" s="3"/>
      <c r="B343" s="3"/>
      <c r="C343" s="37"/>
      <c r="D343" s="37"/>
      <c r="E343" s="37"/>
      <c r="F343" s="37"/>
      <c r="G343" s="98"/>
      <c r="H343" s="98"/>
      <c r="I343" s="99"/>
      <c r="J343" s="98"/>
      <c r="K343" s="37"/>
      <c r="L343" s="37"/>
      <c r="M343" s="37"/>
      <c r="N343" s="37"/>
      <c r="O343" s="37"/>
      <c r="P343" s="37"/>
      <c r="Q343" s="37"/>
      <c r="R343" s="37"/>
      <c r="S343" s="37"/>
      <c r="T343" s="37"/>
      <c r="U343" s="3"/>
    </row>
    <row r="344" spans="1:21" ht="15.75" customHeight="1" x14ac:dyDescent="0.3">
      <c r="A344" s="3"/>
      <c r="B344" s="3"/>
      <c r="C344" s="37"/>
      <c r="D344" s="37"/>
      <c r="E344" s="37"/>
      <c r="F344" s="37"/>
      <c r="G344" s="98"/>
      <c r="H344" s="98"/>
      <c r="I344" s="99"/>
      <c r="J344" s="98"/>
      <c r="K344" s="37"/>
      <c r="L344" s="37"/>
      <c r="M344" s="37"/>
      <c r="N344" s="37"/>
      <c r="O344" s="37"/>
      <c r="P344" s="37"/>
      <c r="Q344" s="37"/>
      <c r="R344" s="37"/>
      <c r="S344" s="37"/>
      <c r="T344" s="37"/>
      <c r="U344" s="3"/>
    </row>
    <row r="345" spans="1:21" ht="15.75" customHeight="1" x14ac:dyDescent="0.3">
      <c r="A345" s="3"/>
      <c r="B345" s="3"/>
      <c r="C345" s="37"/>
      <c r="D345" s="37"/>
      <c r="E345" s="37"/>
      <c r="F345" s="37"/>
      <c r="G345" s="98"/>
      <c r="H345" s="98"/>
      <c r="I345" s="99"/>
      <c r="J345" s="98"/>
      <c r="K345" s="37"/>
      <c r="L345" s="37"/>
      <c r="M345" s="37"/>
      <c r="N345" s="37"/>
      <c r="O345" s="37"/>
      <c r="P345" s="37"/>
      <c r="Q345" s="37"/>
      <c r="R345" s="37"/>
      <c r="S345" s="37"/>
      <c r="T345" s="37"/>
      <c r="U345" s="3"/>
    </row>
    <row r="346" spans="1:21" ht="15.75" customHeight="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1" ht="15.7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1" ht="15.7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1" ht="15.7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1" ht="15.7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1" ht="15.7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1" ht="15.7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5.7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5.7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5.7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5.7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5.7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5.7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5.7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5.7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5.7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5.7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5.7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5.7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5.7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5.7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5.7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5.7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5.7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5.7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5.7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5.7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5.7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5.7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5.7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5.7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5.7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5.7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5.7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5.7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5.7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5.7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5.7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5.7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5.7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5.7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5.7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5.7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5.7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5.7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5.7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5.7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5.7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5.7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5.7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5.7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5.7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5.7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5.7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5.7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5.7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5.7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5.7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5.7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5.7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5.7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5.7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5.7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5.7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5.7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5.7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5.7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5.7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5.7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5.7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5.7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5.7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5.7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5.7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5.7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5.7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5.7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5.7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5.7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5.7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5.7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5.7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5.7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5.7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5.7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5.7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5.7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5.7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5.7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5.7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5.7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5.7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5.7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5.7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5.7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5.7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5.7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5.7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5.7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5.7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5.7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5.7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5.7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5.7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5.7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5.7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5.7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5.7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5.7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5.7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5.7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5.7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5.7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5.7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5.7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5.7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5.7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5.7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5.7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5.7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5.7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5.7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5.7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5.7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5.7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5.7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5.7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5.7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5.7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5.7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5.7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5.7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5.7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5.7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5.7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5.7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5.7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5.7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5.7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5.7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5.7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5.7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5.7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5.7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5.75" customHeight="1" x14ac:dyDescent="0.3"/>
    <row r="491" spans="1:21" ht="15.75" customHeight="1" x14ac:dyDescent="0.3"/>
    <row r="492" spans="1:21" ht="15.75" customHeight="1" x14ac:dyDescent="0.3"/>
    <row r="493" spans="1:21" ht="15.75" customHeight="1" x14ac:dyDescent="0.3"/>
    <row r="494" spans="1:21" ht="15.75" customHeight="1" x14ac:dyDescent="0.3"/>
    <row r="495" spans="1:21" ht="15.75" customHeight="1" x14ac:dyDescent="0.3"/>
    <row r="496" spans="1:21"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sheetData>
  <autoFilter ref="C5:F289" xr:uid="{00000000-0009-0000-0000-00000C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5 D137:D145 D148:D154 D156:D160 D162:D166 D168:D172 D174:D178 D180:D234 D237:D245 D247:D255 D257:D265 D267:D275 D277:D289" xr:uid="{00000000-0002-0000-0C00-000001000000}">
      <formula1>"OK,Parcial,Pendente"</formula1>
    </dataValidation>
  </dataValidations>
  <hyperlinks>
    <hyperlink ref="I7" r:id="rId1" xr:uid="{00000000-0004-0000-0C00-000000000000}"/>
    <hyperlink ref="I10" r:id="rId2" xr:uid="{00000000-0004-0000-0C00-000001000000}"/>
    <hyperlink ref="I11" r:id="rId3" xr:uid="{00000000-0004-0000-0C00-000002000000}"/>
    <hyperlink ref="I12" r:id="rId4" xr:uid="{00000000-0004-0000-0C00-000003000000}"/>
    <hyperlink ref="I14" r:id="rId5" xr:uid="{00000000-0004-0000-0C00-000004000000}"/>
    <hyperlink ref="I17" r:id="rId6" xr:uid="{00000000-0004-0000-0C00-000005000000}"/>
    <hyperlink ref="I22" r:id="rId7" xr:uid="{00000000-0004-0000-0C00-000006000000}"/>
    <hyperlink ref="I29" r:id="rId8" xr:uid="{00000000-0004-0000-0C00-000007000000}"/>
    <hyperlink ref="I30" r:id="rId9" xr:uid="{00000000-0004-0000-0C00-000008000000}"/>
    <hyperlink ref="I31" r:id="rId10" xr:uid="{00000000-0004-0000-0C00-000009000000}"/>
    <hyperlink ref="I32" r:id="rId11" xr:uid="{00000000-0004-0000-0C00-00000A000000}"/>
    <hyperlink ref="I33" r:id="rId12" xr:uid="{00000000-0004-0000-0C00-00000B000000}"/>
    <hyperlink ref="I35" r:id="rId13" xr:uid="{00000000-0004-0000-0C00-00000C000000}"/>
    <hyperlink ref="I39" r:id="rId14" xr:uid="{00000000-0004-0000-0C00-00000D000000}"/>
    <hyperlink ref="I40" r:id="rId15" xr:uid="{00000000-0004-0000-0C00-00000E000000}"/>
    <hyperlink ref="I43" r:id="rId16" xr:uid="{00000000-0004-0000-0C00-00000F000000}"/>
    <hyperlink ref="I44" r:id="rId17" xr:uid="{00000000-0004-0000-0C00-000010000000}"/>
    <hyperlink ref="I45" r:id="rId18" xr:uid="{00000000-0004-0000-0C00-000011000000}"/>
    <hyperlink ref="I46" r:id="rId19" xr:uid="{00000000-0004-0000-0C00-000012000000}"/>
    <hyperlink ref="I64" r:id="rId20" xr:uid="{00000000-0004-0000-0C00-000013000000}"/>
    <hyperlink ref="I65" r:id="rId21" xr:uid="{00000000-0004-0000-0C00-000014000000}"/>
    <hyperlink ref="I66" r:id="rId22" xr:uid="{00000000-0004-0000-0C00-000015000000}"/>
    <hyperlink ref="I67" r:id="rId23" xr:uid="{00000000-0004-0000-0C00-000016000000}"/>
    <hyperlink ref="I72" r:id="rId24" xr:uid="{00000000-0004-0000-0C00-000017000000}"/>
    <hyperlink ref="I73" r:id="rId25" xr:uid="{00000000-0004-0000-0C00-000018000000}"/>
    <hyperlink ref="I74" r:id="rId26" xr:uid="{00000000-0004-0000-0C00-000019000000}"/>
    <hyperlink ref="I80" r:id="rId27" xr:uid="{00000000-0004-0000-0C00-00001A000000}"/>
    <hyperlink ref="I85" r:id="rId28" xr:uid="{00000000-0004-0000-0C00-00001B000000}"/>
    <hyperlink ref="I89" r:id="rId29" xr:uid="{00000000-0004-0000-0C00-00001C000000}"/>
    <hyperlink ref="I95" r:id="rId30" xr:uid="{00000000-0004-0000-0C00-00001D000000}"/>
    <hyperlink ref="I96" r:id="rId31" xr:uid="{00000000-0004-0000-0C00-00001E000000}"/>
    <hyperlink ref="I97" r:id="rId32" xr:uid="{00000000-0004-0000-0C00-00001F000000}"/>
    <hyperlink ref="I98" r:id="rId33" xr:uid="{00000000-0004-0000-0C00-000020000000}"/>
    <hyperlink ref="I99" r:id="rId34" xr:uid="{00000000-0004-0000-0C00-000021000000}"/>
    <hyperlink ref="I100" r:id="rId35" xr:uid="{00000000-0004-0000-0C00-000022000000}"/>
    <hyperlink ref="I101" r:id="rId36" xr:uid="{00000000-0004-0000-0C00-000023000000}"/>
    <hyperlink ref="I102" r:id="rId37" xr:uid="{00000000-0004-0000-0C00-000024000000}"/>
    <hyperlink ref="I103" r:id="rId38" xr:uid="{00000000-0004-0000-0C00-000025000000}"/>
    <hyperlink ref="I104" r:id="rId39" xr:uid="{00000000-0004-0000-0C00-000026000000}"/>
    <hyperlink ref="I105" r:id="rId40" xr:uid="{00000000-0004-0000-0C00-000027000000}"/>
    <hyperlink ref="I106" r:id="rId41" xr:uid="{00000000-0004-0000-0C00-000028000000}"/>
    <hyperlink ref="I107" r:id="rId42" xr:uid="{00000000-0004-0000-0C00-000029000000}"/>
    <hyperlink ref="I109" r:id="rId43" xr:uid="{00000000-0004-0000-0C00-00002A000000}"/>
    <hyperlink ref="I111" r:id="rId44" xr:uid="{00000000-0004-0000-0C00-00002B000000}"/>
    <hyperlink ref="I112" r:id="rId45" xr:uid="{00000000-0004-0000-0C00-00002C000000}"/>
    <hyperlink ref="I113" r:id="rId46" xr:uid="{00000000-0004-0000-0C00-00002D000000}"/>
    <hyperlink ref="I121" r:id="rId47" xr:uid="{00000000-0004-0000-0C00-00002E000000}"/>
    <hyperlink ref="I122" r:id="rId48" xr:uid="{00000000-0004-0000-0C00-00002F000000}"/>
    <hyperlink ref="I123" r:id="rId49" xr:uid="{00000000-0004-0000-0C00-000030000000}"/>
    <hyperlink ref="I124" r:id="rId50" xr:uid="{00000000-0004-0000-0C00-000031000000}"/>
    <hyperlink ref="I125" r:id="rId51" xr:uid="{00000000-0004-0000-0C00-000032000000}"/>
    <hyperlink ref="I127" r:id="rId52" xr:uid="{00000000-0004-0000-0C00-000033000000}"/>
    <hyperlink ref="I128" r:id="rId53" xr:uid="{00000000-0004-0000-0C00-000034000000}"/>
    <hyperlink ref="I129" r:id="rId54" xr:uid="{00000000-0004-0000-0C00-000035000000}"/>
    <hyperlink ref="I130" r:id="rId55" xr:uid="{00000000-0004-0000-0C00-000036000000}"/>
    <hyperlink ref="I132" r:id="rId56" xr:uid="{00000000-0004-0000-0C00-000037000000}"/>
    <hyperlink ref="I133" r:id="rId57" xr:uid="{00000000-0004-0000-0C00-000038000000}"/>
    <hyperlink ref="I134" r:id="rId58" xr:uid="{00000000-0004-0000-0C00-000039000000}"/>
    <hyperlink ref="I137" r:id="rId59" xr:uid="{00000000-0004-0000-0C00-00003A000000}"/>
    <hyperlink ref="I148" r:id="rId60" xr:uid="{00000000-0004-0000-0C00-00003B000000}"/>
    <hyperlink ref="I149" r:id="rId61" xr:uid="{00000000-0004-0000-0C00-00003C000000}"/>
    <hyperlink ref="I150" r:id="rId62" xr:uid="{00000000-0004-0000-0C00-00003D000000}"/>
    <hyperlink ref="I151" r:id="rId63" xr:uid="{00000000-0004-0000-0C00-00003E000000}"/>
    <hyperlink ref="I152" r:id="rId64" xr:uid="{00000000-0004-0000-0C00-00003F000000}"/>
    <hyperlink ref="I180" r:id="rId65" xr:uid="{00000000-0004-0000-0C00-000040000000}"/>
    <hyperlink ref="I181" r:id="rId66" xr:uid="{00000000-0004-0000-0C00-000041000000}"/>
    <hyperlink ref="I182" r:id="rId67" xr:uid="{00000000-0004-0000-0C00-000042000000}"/>
    <hyperlink ref="I186" r:id="rId68" xr:uid="{00000000-0004-0000-0C00-000043000000}"/>
    <hyperlink ref="I216" r:id="rId69" xr:uid="{00000000-0004-0000-0C00-000044000000}"/>
    <hyperlink ref="I217" r:id="rId70" xr:uid="{00000000-0004-0000-0C00-000045000000}"/>
    <hyperlink ref="I218" r:id="rId71" xr:uid="{00000000-0004-0000-0C00-000046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C00-000000000000}">
          <x14:formula1>
            <xm:f>Caixa!$B$5:$B$8</xm:f>
          </x14:formula1>
          <xm:sqref>H7:H15 H17:H33 H35:H37 H39:H62 H64:H92 H95:H109 H111:H114 H116:H118 H121:H125 H127:H135 H137:H145 H148:H154 H156:H160 H162:H166 H168:H172 H174:H178 H180:H184 H186:H194 H196:H204 H206:H214 H216:H224 H226:H234 H237:H245 H247:H255 H257:H265 H267:H275 H277:H289</xm:sqref>
        </x14:dataValidation>
        <x14:dataValidation type="list" allowBlank="1" showErrorMessage="1" xr:uid="{00000000-0002-0000-0C00-000002000000}">
          <x14:formula1>
            <xm:f>'Plano de contas DG'!$C$43:$C$145</xm:f>
          </x14:formula1>
          <xm:sqref>J217</xm:sqref>
        </x14:dataValidation>
        <x14:dataValidation type="list" allowBlank="1" showErrorMessage="1" xr:uid="{00000000-0002-0000-0C00-000003000000}">
          <x14:formula1>
            <xm:f>'Plano de contas DG'!$C$5:$C$145</xm:f>
          </x14:formula1>
          <xm:sqref>J6:J216 J218:J289</xm:sqref>
        </x14:dataValidation>
        <x14:dataValidation type="list" allowBlank="1" showErrorMessage="1" xr:uid="{00000000-0002-0000-0C00-000004000000}">
          <x14:formula1>
            <xm:f>Caixa!$B$5:$B$7</xm:f>
          </x14:formula1>
          <xm:sqref>H16 H34 H93:H94 H110 H115 H119:H120 H126 H185 H195 H205 H215 H225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SUM(E6,E126,E150,E180,E184)</f>
        <v>19497.240000000002</v>
      </c>
      <c r="F4" s="26">
        <f t="shared" si="0"/>
        <v>38989.99</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SUM(E7:E125)</f>
        <v>19497.240000000002</v>
      </c>
      <c r="F6" s="57">
        <f>SUMIF(D7:D125,"OK",F7:F125)+SUMIF(D7:D125,"Parcial",F7:F125)</f>
        <v>19044.45</v>
      </c>
      <c r="G6" s="118" t="s">
        <v>43</v>
      </c>
      <c r="H6" s="59"/>
      <c r="I6" s="59"/>
      <c r="J6" s="60">
        <f>(COUNTIF(D7:D125,"Pendente")+COUNTIF(D7:D125,"Parcial"))/COUNTA(B7:B125)</f>
        <v>0.20202020202020202</v>
      </c>
      <c r="K6" s="60">
        <f>IFERROR(-(X6/E6),"Pendente info")</f>
        <v>0.18147491644971286</v>
      </c>
      <c r="L6" s="100">
        <f>SUM(L7:L104)/COUNTA(B7:B104)</f>
        <v>0.16326530612244897</v>
      </c>
      <c r="M6" s="57">
        <f t="shared" ref="M6:U6" si="1">SUMIF($D$7:$D$125,"OK",M7:M125)+SUMIF($D$7:$D$125,"Parcial",M7:M125)</f>
        <v>10274.590000000002</v>
      </c>
      <c r="N6" s="57">
        <f t="shared" si="1"/>
        <v>2113.0199999999991</v>
      </c>
      <c r="O6" s="57">
        <f t="shared" si="1"/>
        <v>1032</v>
      </c>
      <c r="P6" s="57">
        <f t="shared" si="1"/>
        <v>191.75999999999996</v>
      </c>
      <c r="Q6" s="57">
        <f t="shared" si="1"/>
        <v>190</v>
      </c>
      <c r="R6" s="57">
        <f t="shared" si="1"/>
        <v>210</v>
      </c>
      <c r="S6" s="57">
        <f t="shared" si="1"/>
        <v>297</v>
      </c>
      <c r="T6" s="57">
        <f t="shared" si="1"/>
        <v>600</v>
      </c>
      <c r="U6" s="57">
        <f t="shared" si="1"/>
        <v>4768.3999999999996</v>
      </c>
      <c r="V6" s="56" t="s">
        <v>43</v>
      </c>
      <c r="W6" s="44" t="str">
        <f t="shared" ref="W6:W125" si="2">IF(F6=SUM(M6:U6),"OK","Diferente")</f>
        <v>Diferente</v>
      </c>
      <c r="X6" s="47">
        <f>SUM(X7:X125)</f>
        <v>-3538.2599999999998</v>
      </c>
      <c r="Y6" s="18">
        <f>SUM(M6:U6)-F6</f>
        <v>632.31999999999971</v>
      </c>
      <c r="Z6" s="3"/>
    </row>
    <row r="7" spans="1:26" ht="14.4" hidden="1" outlineLevel="1" x14ac:dyDescent="0.3">
      <c r="A7" s="3"/>
      <c r="B7" s="61" t="s">
        <v>422</v>
      </c>
      <c r="C7" s="62"/>
      <c r="D7" s="62" t="s">
        <v>94</v>
      </c>
      <c r="E7" s="12">
        <v>0</v>
      </c>
      <c r="F7" s="101">
        <v>0</v>
      </c>
      <c r="G7" s="67"/>
      <c r="H7" s="63"/>
      <c r="I7" s="63"/>
      <c r="J7" s="64"/>
      <c r="K7" s="62"/>
      <c r="L7" s="62" t="str">
        <f t="shared" ref="L7:L125" si="3">IF(C7&gt;=13,1,"")</f>
        <v/>
      </c>
      <c r="M7" s="12">
        <v>91.34</v>
      </c>
      <c r="N7" s="12">
        <v>24.57</v>
      </c>
      <c r="O7" s="12">
        <v>12</v>
      </c>
      <c r="P7" s="12">
        <v>1.44</v>
      </c>
      <c r="Q7" s="12">
        <v>5</v>
      </c>
      <c r="R7" s="12">
        <v>5</v>
      </c>
      <c r="S7" s="12">
        <v>15</v>
      </c>
      <c r="T7" s="12"/>
      <c r="U7" s="12">
        <v>35</v>
      </c>
      <c r="V7" s="65" t="s">
        <v>1026</v>
      </c>
      <c r="W7" s="44" t="str">
        <f t="shared" si="2"/>
        <v>Diferente</v>
      </c>
      <c r="X7" s="47">
        <f t="shared" ref="X7:X125" si="4">IF(W7="Diferente",F7-SUM(M7:U7),"")</f>
        <v>-189.35</v>
      </c>
      <c r="Y7" s="3"/>
      <c r="Z7" s="127"/>
    </row>
    <row r="8" spans="1:26" ht="14.4" hidden="1" outlineLevel="1" x14ac:dyDescent="0.3">
      <c r="A8" s="3"/>
      <c r="B8" s="61" t="s">
        <v>424</v>
      </c>
      <c r="C8" s="62"/>
      <c r="D8" s="62" t="s">
        <v>94</v>
      </c>
      <c r="E8" s="12">
        <v>0</v>
      </c>
      <c r="F8" s="101">
        <v>0</v>
      </c>
      <c r="G8" s="67"/>
      <c r="H8" s="63"/>
      <c r="I8" s="63"/>
      <c r="J8" s="64"/>
      <c r="K8" s="62"/>
      <c r="L8" s="62" t="str">
        <f t="shared" si="3"/>
        <v/>
      </c>
      <c r="M8" s="12">
        <v>63.57</v>
      </c>
      <c r="N8" s="12">
        <v>24.57</v>
      </c>
      <c r="O8" s="12">
        <v>12</v>
      </c>
      <c r="P8" s="12">
        <v>1.44</v>
      </c>
      <c r="Q8" s="12">
        <v>5</v>
      </c>
      <c r="R8" s="12">
        <v>5</v>
      </c>
      <c r="S8" s="12"/>
      <c r="T8" s="12"/>
      <c r="U8" s="12">
        <v>35</v>
      </c>
      <c r="V8" s="65" t="s">
        <v>1026</v>
      </c>
      <c r="W8" s="44" t="str">
        <f t="shared" si="2"/>
        <v>Diferente</v>
      </c>
      <c r="X8" s="47">
        <f t="shared" si="4"/>
        <v>-146.57999999999998</v>
      </c>
      <c r="Y8" s="3"/>
      <c r="Z8" s="127"/>
    </row>
    <row r="9" spans="1:26" ht="14.4" hidden="1" outlineLevel="1" x14ac:dyDescent="0.3">
      <c r="A9" s="3"/>
      <c r="B9" s="61" t="s">
        <v>425</v>
      </c>
      <c r="C9" s="62"/>
      <c r="D9" s="62" t="s">
        <v>94</v>
      </c>
      <c r="E9" s="12">
        <v>0</v>
      </c>
      <c r="F9" s="101">
        <v>0</v>
      </c>
      <c r="G9" s="67"/>
      <c r="H9" s="63"/>
      <c r="I9" s="63"/>
      <c r="J9" s="64"/>
      <c r="K9" s="62"/>
      <c r="L9" s="62" t="str">
        <f t="shared" si="3"/>
        <v/>
      </c>
      <c r="M9" s="12">
        <v>63.57</v>
      </c>
      <c r="N9" s="12">
        <v>24.57</v>
      </c>
      <c r="O9" s="12">
        <v>12</v>
      </c>
      <c r="P9" s="12">
        <v>1.44</v>
      </c>
      <c r="Q9" s="12"/>
      <c r="R9" s="12"/>
      <c r="S9" s="12"/>
      <c r="T9" s="12"/>
      <c r="U9" s="12">
        <v>35</v>
      </c>
      <c r="V9" s="65" t="s">
        <v>1026</v>
      </c>
      <c r="W9" s="44" t="str">
        <f t="shared" si="2"/>
        <v>Diferente</v>
      </c>
      <c r="X9" s="47">
        <f t="shared" si="4"/>
        <v>-136.57999999999998</v>
      </c>
      <c r="Y9" s="3"/>
      <c r="Z9" s="127"/>
    </row>
    <row r="10" spans="1:26" ht="14.4" hidden="1" outlineLevel="1" x14ac:dyDescent="0.3">
      <c r="A10" s="3"/>
      <c r="B10" s="61" t="s">
        <v>426</v>
      </c>
      <c r="C10" s="62"/>
      <c r="D10" s="62" t="s">
        <v>94</v>
      </c>
      <c r="E10" s="12">
        <v>0</v>
      </c>
      <c r="F10" s="101">
        <v>0</v>
      </c>
      <c r="G10" s="67"/>
      <c r="H10" s="63"/>
      <c r="I10" s="63"/>
      <c r="J10" s="64"/>
      <c r="K10" s="62"/>
      <c r="L10" s="62" t="str">
        <f t="shared" si="3"/>
        <v/>
      </c>
      <c r="M10" s="12">
        <v>76.8</v>
      </c>
      <c r="N10" s="12">
        <v>24.57</v>
      </c>
      <c r="O10" s="12">
        <v>12</v>
      </c>
      <c r="P10" s="12">
        <v>1.44</v>
      </c>
      <c r="Q10" s="12">
        <v>5</v>
      </c>
      <c r="R10" s="12">
        <v>5</v>
      </c>
      <c r="S10" s="12"/>
      <c r="T10" s="12"/>
      <c r="U10" s="12">
        <v>35</v>
      </c>
      <c r="V10" s="65" t="s">
        <v>1026</v>
      </c>
      <c r="W10" s="44" t="str">
        <f t="shared" si="2"/>
        <v>Diferente</v>
      </c>
      <c r="X10" s="47">
        <f t="shared" si="4"/>
        <v>-159.81</v>
      </c>
      <c r="Y10" s="3"/>
      <c r="Z10" s="127"/>
    </row>
    <row r="11" spans="1:26" ht="14.4" hidden="1" outlineLevel="1" x14ac:dyDescent="0.3">
      <c r="A11" s="3"/>
      <c r="B11" s="10" t="s">
        <v>427</v>
      </c>
      <c r="C11" s="62">
        <v>10</v>
      </c>
      <c r="D11" s="62" t="s">
        <v>94</v>
      </c>
      <c r="E11" s="12">
        <f t="shared" ref="E11:E12" si="5">SUM(M11:U11)</f>
        <v>210.43</v>
      </c>
      <c r="F11" s="101">
        <f t="shared" ref="F11:F12" si="6">E11</f>
        <v>210.43</v>
      </c>
      <c r="G11" s="67"/>
      <c r="H11" s="63" t="s">
        <v>37</v>
      </c>
      <c r="I11" s="63"/>
      <c r="J11" s="64"/>
      <c r="K11" s="62"/>
      <c r="L11" s="62" t="str">
        <f t="shared" si="3"/>
        <v/>
      </c>
      <c r="M11" s="12">
        <v>130</v>
      </c>
      <c r="N11" s="12">
        <v>24.57</v>
      </c>
      <c r="O11" s="12">
        <v>12</v>
      </c>
      <c r="P11" s="12">
        <v>3.86</v>
      </c>
      <c r="Q11" s="12">
        <v>5</v>
      </c>
      <c r="R11" s="12"/>
      <c r="S11" s="12"/>
      <c r="T11" s="12"/>
      <c r="U11" s="12">
        <v>35</v>
      </c>
      <c r="V11" s="65" t="s">
        <v>1026</v>
      </c>
      <c r="W11" s="44" t="str">
        <f t="shared" si="2"/>
        <v>OK</v>
      </c>
      <c r="X11" s="47" t="str">
        <f t="shared" si="4"/>
        <v/>
      </c>
      <c r="Y11" s="3"/>
      <c r="Z11" s="127"/>
    </row>
    <row r="12" spans="1:26" ht="14.4" hidden="1" outlineLevel="1" x14ac:dyDescent="0.3">
      <c r="A12" s="3"/>
      <c r="B12" s="10" t="s">
        <v>428</v>
      </c>
      <c r="C12" s="62">
        <v>10</v>
      </c>
      <c r="D12" s="62" t="s">
        <v>94</v>
      </c>
      <c r="E12" s="12">
        <f t="shared" si="5"/>
        <v>244.57</v>
      </c>
      <c r="F12" s="101">
        <f t="shared" si="6"/>
        <v>244.57</v>
      </c>
      <c r="G12" s="67"/>
      <c r="H12" s="63" t="s">
        <v>37</v>
      </c>
      <c r="I12" s="63"/>
      <c r="J12" s="64"/>
      <c r="K12" s="62"/>
      <c r="L12" s="62" t="str">
        <f t="shared" si="3"/>
        <v/>
      </c>
      <c r="M12" s="12">
        <v>130</v>
      </c>
      <c r="N12" s="12">
        <v>24.57</v>
      </c>
      <c r="O12" s="12">
        <v>12</v>
      </c>
      <c r="P12" s="12">
        <v>2</v>
      </c>
      <c r="Q12" s="12"/>
      <c r="R12" s="12"/>
      <c r="S12" s="12"/>
      <c r="T12" s="12"/>
      <c r="U12" s="12">
        <v>76</v>
      </c>
      <c r="V12" s="65" t="s">
        <v>1027</v>
      </c>
      <c r="W12" s="44" t="str">
        <f t="shared" si="2"/>
        <v>OK</v>
      </c>
      <c r="X12" s="47" t="str">
        <f t="shared" si="4"/>
        <v/>
      </c>
      <c r="Y12" s="3"/>
      <c r="Z12" s="127"/>
    </row>
    <row r="13" spans="1:26" ht="14.4" hidden="1" outlineLevel="1" x14ac:dyDescent="0.3">
      <c r="A13" s="3"/>
      <c r="B13" s="61" t="s">
        <v>429</v>
      </c>
      <c r="C13" s="62">
        <v>16</v>
      </c>
      <c r="D13" s="62" t="s">
        <v>94</v>
      </c>
      <c r="E13" s="12">
        <v>424.49</v>
      </c>
      <c r="F13" s="101">
        <f t="shared" ref="F13:F16" si="7">SUM(M13:U13)</f>
        <v>1352.34</v>
      </c>
      <c r="G13" s="67"/>
      <c r="H13" s="63" t="s">
        <v>37</v>
      </c>
      <c r="I13" s="63"/>
      <c r="J13" s="64"/>
      <c r="K13" s="62"/>
      <c r="L13" s="62">
        <f t="shared" si="3"/>
        <v>1</v>
      </c>
      <c r="M13" s="12">
        <f>130.48+927.85</f>
        <v>1058.33</v>
      </c>
      <c r="N13" s="12">
        <v>24.57</v>
      </c>
      <c r="O13" s="12">
        <v>12</v>
      </c>
      <c r="P13" s="12">
        <v>1.44</v>
      </c>
      <c r="Q13" s="12">
        <v>10</v>
      </c>
      <c r="R13" s="12">
        <v>20</v>
      </c>
      <c r="S13" s="12">
        <v>50</v>
      </c>
      <c r="T13" s="12">
        <v>50</v>
      </c>
      <c r="U13" s="12">
        <v>126</v>
      </c>
      <c r="V13" s="65" t="s">
        <v>1028</v>
      </c>
      <c r="W13" s="44" t="str">
        <f t="shared" si="2"/>
        <v>OK</v>
      </c>
      <c r="X13" s="47" t="str">
        <f t="shared" si="4"/>
        <v/>
      </c>
      <c r="Y13" s="3"/>
      <c r="Z13" s="127"/>
    </row>
    <row r="14" spans="1:26" ht="14.4" hidden="1" outlineLevel="1" x14ac:dyDescent="0.3">
      <c r="A14" s="3"/>
      <c r="B14" s="61" t="s">
        <v>431</v>
      </c>
      <c r="C14" s="62">
        <v>16</v>
      </c>
      <c r="D14" s="62" t="s">
        <v>94</v>
      </c>
      <c r="E14" s="12">
        <v>226.29</v>
      </c>
      <c r="F14" s="101">
        <f t="shared" si="7"/>
        <v>226.29</v>
      </c>
      <c r="G14" s="67"/>
      <c r="H14" s="63" t="s">
        <v>37</v>
      </c>
      <c r="I14" s="63"/>
      <c r="J14" s="64"/>
      <c r="K14" s="62"/>
      <c r="L14" s="62">
        <f t="shared" si="3"/>
        <v>1</v>
      </c>
      <c r="M14" s="12">
        <v>98.28</v>
      </c>
      <c r="N14" s="12">
        <v>24.57</v>
      </c>
      <c r="O14" s="12">
        <v>12</v>
      </c>
      <c r="P14" s="12">
        <v>1.44</v>
      </c>
      <c r="Q14" s="12">
        <v>5</v>
      </c>
      <c r="R14" s="12"/>
      <c r="S14" s="12"/>
      <c r="T14" s="12">
        <v>50</v>
      </c>
      <c r="U14" s="12">
        <v>35</v>
      </c>
      <c r="V14" s="65" t="s">
        <v>1026</v>
      </c>
      <c r="W14" s="44" t="str">
        <f t="shared" si="2"/>
        <v>OK</v>
      </c>
      <c r="X14" s="47" t="str">
        <f t="shared" si="4"/>
        <v/>
      </c>
      <c r="Y14" s="3"/>
      <c r="Z14" s="127"/>
    </row>
    <row r="15" spans="1:26" ht="14.4" hidden="1" outlineLevel="1" x14ac:dyDescent="0.3">
      <c r="A15" s="3"/>
      <c r="B15" s="10" t="s">
        <v>432</v>
      </c>
      <c r="C15" s="62" t="s">
        <v>1029</v>
      </c>
      <c r="D15" s="62" t="s">
        <v>94</v>
      </c>
      <c r="E15" s="12">
        <v>374.14</v>
      </c>
      <c r="F15" s="101">
        <f t="shared" si="7"/>
        <v>300</v>
      </c>
      <c r="G15" s="67"/>
      <c r="H15" s="63" t="s">
        <v>37</v>
      </c>
      <c r="I15" s="63"/>
      <c r="J15" s="64"/>
      <c r="K15" s="62"/>
      <c r="L15" s="62">
        <f t="shared" si="3"/>
        <v>1</v>
      </c>
      <c r="M15" s="12">
        <v>22.98</v>
      </c>
      <c r="N15" s="12">
        <f>24.57*2</f>
        <v>49.14</v>
      </c>
      <c r="O15" s="12">
        <v>24</v>
      </c>
      <c r="P15" s="12">
        <v>2.88</v>
      </c>
      <c r="Q15" s="12">
        <v>10</v>
      </c>
      <c r="R15" s="12">
        <v>10</v>
      </c>
      <c r="S15" s="12">
        <v>20</v>
      </c>
      <c r="T15" s="12"/>
      <c r="U15" s="12">
        <f>126+35</f>
        <v>161</v>
      </c>
      <c r="V15" s="65" t="s">
        <v>1028</v>
      </c>
      <c r="W15" s="44" t="str">
        <f t="shared" si="2"/>
        <v>OK</v>
      </c>
      <c r="X15" s="47" t="str">
        <f t="shared" si="4"/>
        <v/>
      </c>
      <c r="Y15" s="3"/>
      <c r="Z15" s="127"/>
    </row>
    <row r="16" spans="1:26" ht="14.4" hidden="1" outlineLevel="1" x14ac:dyDescent="0.3">
      <c r="A16" s="3"/>
      <c r="B16" s="10" t="s">
        <v>433</v>
      </c>
      <c r="C16" s="62" t="s">
        <v>1029</v>
      </c>
      <c r="D16" s="62" t="s">
        <v>94</v>
      </c>
      <c r="E16" s="12">
        <v>172.99</v>
      </c>
      <c r="F16" s="101">
        <f t="shared" si="7"/>
        <v>400</v>
      </c>
      <c r="G16" s="67"/>
      <c r="H16" s="63" t="s">
        <v>36</v>
      </c>
      <c r="I16" s="63"/>
      <c r="J16" s="64"/>
      <c r="K16" s="62"/>
      <c r="L16" s="62">
        <f t="shared" si="3"/>
        <v>1</v>
      </c>
      <c r="M16" s="12">
        <v>400</v>
      </c>
      <c r="N16" s="12"/>
      <c r="O16" s="12"/>
      <c r="P16" s="12"/>
      <c r="Q16" s="12"/>
      <c r="R16" s="12"/>
      <c r="S16" s="12"/>
      <c r="T16" s="12"/>
      <c r="U16" s="12"/>
      <c r="V16" s="65" t="s">
        <v>1026</v>
      </c>
      <c r="W16" s="44" t="str">
        <f t="shared" si="2"/>
        <v>OK</v>
      </c>
      <c r="X16" s="47" t="str">
        <f t="shared" si="4"/>
        <v/>
      </c>
      <c r="Y16" s="3"/>
      <c r="Z16" s="127"/>
    </row>
    <row r="17" spans="1:26" ht="14.4" hidden="1" outlineLevel="1" x14ac:dyDescent="0.3">
      <c r="A17" s="3"/>
      <c r="B17" s="61" t="s">
        <v>434</v>
      </c>
      <c r="C17" s="62">
        <v>7</v>
      </c>
      <c r="D17" s="62" t="s">
        <v>94</v>
      </c>
      <c r="E17" s="12">
        <f t="shared" ref="E17:E30" si="8">SUM(M17:U17)</f>
        <v>269.19</v>
      </c>
      <c r="F17" s="101">
        <f t="shared" ref="F17:F22" si="9">E17</f>
        <v>269.19</v>
      </c>
      <c r="G17" s="67"/>
      <c r="H17" s="63" t="s">
        <v>37</v>
      </c>
      <c r="I17" s="63"/>
      <c r="J17" s="64"/>
      <c r="K17" s="62"/>
      <c r="L17" s="62" t="str">
        <f t="shared" si="3"/>
        <v/>
      </c>
      <c r="M17" s="12">
        <v>191.18</v>
      </c>
      <c r="N17" s="12">
        <v>24.57</v>
      </c>
      <c r="O17" s="12">
        <v>12</v>
      </c>
      <c r="P17" s="12">
        <v>1.44</v>
      </c>
      <c r="Q17" s="12">
        <v>5</v>
      </c>
      <c r="R17" s="12"/>
      <c r="S17" s="12"/>
      <c r="T17" s="12"/>
      <c r="U17" s="12">
        <v>35</v>
      </c>
      <c r="V17" s="65" t="s">
        <v>1026</v>
      </c>
      <c r="W17" s="44" t="str">
        <f t="shared" si="2"/>
        <v>OK</v>
      </c>
      <c r="X17" s="47" t="str">
        <f t="shared" si="4"/>
        <v/>
      </c>
      <c r="Y17" s="3"/>
      <c r="Z17" s="127"/>
    </row>
    <row r="18" spans="1:26" ht="14.4" hidden="1" outlineLevel="1" x14ac:dyDescent="0.3">
      <c r="A18" s="3"/>
      <c r="B18" s="61" t="s">
        <v>435</v>
      </c>
      <c r="C18" s="62">
        <v>7</v>
      </c>
      <c r="D18" s="62" t="s">
        <v>94</v>
      </c>
      <c r="E18" s="12">
        <f t="shared" si="8"/>
        <v>208.98999999999998</v>
      </c>
      <c r="F18" s="101">
        <f t="shared" si="9"/>
        <v>208.98999999999998</v>
      </c>
      <c r="G18" s="67"/>
      <c r="H18" s="63" t="s">
        <v>37</v>
      </c>
      <c r="I18" s="63"/>
      <c r="J18" s="64"/>
      <c r="K18" s="62"/>
      <c r="L18" s="62" t="str">
        <f t="shared" si="3"/>
        <v/>
      </c>
      <c r="M18" s="12">
        <v>135.97999999999999</v>
      </c>
      <c r="N18" s="12">
        <v>24.57</v>
      </c>
      <c r="O18" s="12">
        <v>12</v>
      </c>
      <c r="P18" s="12">
        <v>1.44</v>
      </c>
      <c r="Q18" s="12"/>
      <c r="R18" s="12"/>
      <c r="S18" s="12"/>
      <c r="T18" s="12"/>
      <c r="U18" s="12">
        <v>35</v>
      </c>
      <c r="V18" s="65" t="s">
        <v>1026</v>
      </c>
      <c r="W18" s="44" t="str">
        <f t="shared" si="2"/>
        <v>OK</v>
      </c>
      <c r="X18" s="47" t="str">
        <f t="shared" si="4"/>
        <v/>
      </c>
      <c r="Y18" s="3"/>
      <c r="Z18" s="127"/>
    </row>
    <row r="19" spans="1:26" ht="14.4" hidden="1" outlineLevel="1" x14ac:dyDescent="0.3">
      <c r="A19" s="3"/>
      <c r="B19" s="10" t="s">
        <v>436</v>
      </c>
      <c r="C19" s="62">
        <v>2</v>
      </c>
      <c r="D19" s="62" t="s">
        <v>94</v>
      </c>
      <c r="E19" s="12">
        <f t="shared" si="8"/>
        <v>517.29</v>
      </c>
      <c r="F19" s="101">
        <f t="shared" si="9"/>
        <v>517.29</v>
      </c>
      <c r="G19" s="67"/>
      <c r="H19" s="63" t="s">
        <v>37</v>
      </c>
      <c r="I19" s="63"/>
      <c r="J19" s="64"/>
      <c r="K19" s="62"/>
      <c r="L19" s="62" t="str">
        <f t="shared" si="3"/>
        <v/>
      </c>
      <c r="M19" s="12">
        <v>328.28</v>
      </c>
      <c r="N19" s="12">
        <v>24.57</v>
      </c>
      <c r="O19" s="12">
        <v>12</v>
      </c>
      <c r="P19" s="12">
        <v>11.44</v>
      </c>
      <c r="Q19" s="12">
        <v>5</v>
      </c>
      <c r="R19" s="12">
        <v>10</v>
      </c>
      <c r="S19" s="12"/>
      <c r="T19" s="12">
        <v>50</v>
      </c>
      <c r="U19" s="12">
        <v>76</v>
      </c>
      <c r="V19" s="65" t="s">
        <v>1027</v>
      </c>
      <c r="W19" s="44" t="str">
        <f t="shared" si="2"/>
        <v>OK</v>
      </c>
      <c r="X19" s="47" t="str">
        <f t="shared" si="4"/>
        <v/>
      </c>
      <c r="Y19" s="3"/>
      <c r="Z19" s="127"/>
    </row>
    <row r="20" spans="1:26" ht="14.4" hidden="1" outlineLevel="1" x14ac:dyDescent="0.3">
      <c r="A20" s="3"/>
      <c r="B20" s="10" t="s">
        <v>437</v>
      </c>
      <c r="C20" s="62">
        <v>2</v>
      </c>
      <c r="D20" s="62" t="s">
        <v>94</v>
      </c>
      <c r="E20" s="12">
        <f t="shared" si="8"/>
        <v>466.28999999999996</v>
      </c>
      <c r="F20" s="101">
        <f t="shared" si="9"/>
        <v>466.28999999999996</v>
      </c>
      <c r="G20" s="67"/>
      <c r="H20" s="63" t="s">
        <v>37</v>
      </c>
      <c r="I20" s="63"/>
      <c r="J20" s="64"/>
      <c r="K20" s="62"/>
      <c r="L20" s="62" t="str">
        <f t="shared" si="3"/>
        <v/>
      </c>
      <c r="M20" s="12">
        <v>328.28</v>
      </c>
      <c r="N20" s="12">
        <v>24.57</v>
      </c>
      <c r="O20" s="12">
        <v>12</v>
      </c>
      <c r="P20" s="12">
        <v>1.44</v>
      </c>
      <c r="Q20" s="12">
        <v>5</v>
      </c>
      <c r="R20" s="12">
        <v>10</v>
      </c>
      <c r="S20" s="12"/>
      <c r="T20" s="12">
        <v>50</v>
      </c>
      <c r="U20" s="12">
        <v>35</v>
      </c>
      <c r="V20" s="65" t="s">
        <v>1026</v>
      </c>
      <c r="W20" s="44" t="str">
        <f t="shared" si="2"/>
        <v>OK</v>
      </c>
      <c r="X20" s="47" t="str">
        <f t="shared" si="4"/>
        <v/>
      </c>
      <c r="Y20" s="3"/>
      <c r="Z20" s="127"/>
    </row>
    <row r="21" spans="1:26" ht="14.4" hidden="1" outlineLevel="1" x14ac:dyDescent="0.3">
      <c r="A21" s="3"/>
      <c r="B21" s="61" t="s">
        <v>438</v>
      </c>
      <c r="C21" s="62">
        <v>30</v>
      </c>
      <c r="D21" s="62" t="s">
        <v>94</v>
      </c>
      <c r="E21" s="12">
        <f t="shared" si="8"/>
        <v>324.99</v>
      </c>
      <c r="F21" s="101">
        <f t="shared" si="9"/>
        <v>324.99</v>
      </c>
      <c r="G21" s="67"/>
      <c r="H21" s="63" t="s">
        <v>37</v>
      </c>
      <c r="I21" s="63"/>
      <c r="J21" s="64"/>
      <c r="K21" s="62"/>
      <c r="L21" s="62">
        <f t="shared" si="3"/>
        <v>1</v>
      </c>
      <c r="M21" s="12">
        <v>120.98</v>
      </c>
      <c r="N21" s="12">
        <v>24.57</v>
      </c>
      <c r="O21" s="12">
        <v>12</v>
      </c>
      <c r="P21" s="12">
        <v>1.44</v>
      </c>
      <c r="Q21" s="12">
        <v>5</v>
      </c>
      <c r="R21" s="12">
        <v>5</v>
      </c>
      <c r="S21" s="12"/>
      <c r="T21" s="12">
        <v>30</v>
      </c>
      <c r="U21" s="12">
        <v>126</v>
      </c>
      <c r="V21" s="65" t="s">
        <v>1028</v>
      </c>
      <c r="W21" s="44" t="str">
        <f t="shared" si="2"/>
        <v>OK</v>
      </c>
      <c r="X21" s="47" t="str">
        <f t="shared" si="4"/>
        <v/>
      </c>
      <c r="Y21" s="3"/>
      <c r="Z21" s="127"/>
    </row>
    <row r="22" spans="1:26" ht="14.4" hidden="1" outlineLevel="1" x14ac:dyDescent="0.3">
      <c r="A22" s="3"/>
      <c r="B22" s="61" t="s">
        <v>439</v>
      </c>
      <c r="C22" s="62">
        <v>30</v>
      </c>
      <c r="D22" s="62" t="s">
        <v>94</v>
      </c>
      <c r="E22" s="12">
        <f t="shared" si="8"/>
        <v>210.59</v>
      </c>
      <c r="F22" s="101">
        <f t="shared" si="9"/>
        <v>210.59</v>
      </c>
      <c r="G22" s="67"/>
      <c r="H22" s="63" t="s">
        <v>37</v>
      </c>
      <c r="I22" s="63"/>
      <c r="J22" s="64"/>
      <c r="K22" s="62"/>
      <c r="L22" s="62">
        <f t="shared" si="3"/>
        <v>1</v>
      </c>
      <c r="M22" s="12">
        <v>102.58</v>
      </c>
      <c r="N22" s="12">
        <v>24.57</v>
      </c>
      <c r="O22" s="12">
        <v>12</v>
      </c>
      <c r="P22" s="12">
        <v>1.44</v>
      </c>
      <c r="Q22" s="12">
        <v>5</v>
      </c>
      <c r="R22" s="12"/>
      <c r="S22" s="12"/>
      <c r="T22" s="12">
        <v>30</v>
      </c>
      <c r="U22" s="12">
        <v>35</v>
      </c>
      <c r="V22" s="65" t="s">
        <v>1026</v>
      </c>
      <c r="W22" s="44" t="str">
        <f t="shared" si="2"/>
        <v>OK</v>
      </c>
      <c r="X22" s="47" t="str">
        <f t="shared" si="4"/>
        <v/>
      </c>
      <c r="Y22" s="3"/>
      <c r="Z22" s="127"/>
    </row>
    <row r="23" spans="1:26" ht="14.4" hidden="1" outlineLevel="1" x14ac:dyDescent="0.3">
      <c r="A23" s="3"/>
      <c r="B23" s="10" t="s">
        <v>440</v>
      </c>
      <c r="C23" s="62"/>
      <c r="D23" s="62" t="s">
        <v>104</v>
      </c>
      <c r="E23" s="12">
        <f t="shared" si="8"/>
        <v>170.34</v>
      </c>
      <c r="F23" s="101">
        <v>0</v>
      </c>
      <c r="G23" s="67"/>
      <c r="H23" s="63"/>
      <c r="I23" s="63"/>
      <c r="J23" s="64"/>
      <c r="K23" s="12"/>
      <c r="L23" s="62" t="str">
        <f t="shared" si="3"/>
        <v/>
      </c>
      <c r="M23" s="12">
        <v>37.33</v>
      </c>
      <c r="N23" s="12">
        <v>24.57</v>
      </c>
      <c r="O23" s="12">
        <v>12</v>
      </c>
      <c r="P23" s="12">
        <v>1.44</v>
      </c>
      <c r="Q23" s="12">
        <v>5</v>
      </c>
      <c r="R23" s="12">
        <v>5</v>
      </c>
      <c r="S23" s="12"/>
      <c r="T23" s="12"/>
      <c r="U23" s="12">
        <v>85</v>
      </c>
      <c r="V23" s="65" t="s">
        <v>1030</v>
      </c>
      <c r="W23" s="44" t="str">
        <f t="shared" si="2"/>
        <v>Diferente</v>
      </c>
      <c r="X23" s="47">
        <f t="shared" si="4"/>
        <v>-170.34</v>
      </c>
      <c r="Y23" s="3"/>
      <c r="Z23" s="127"/>
    </row>
    <row r="24" spans="1:26" ht="14.4" hidden="1" outlineLevel="1" x14ac:dyDescent="0.3">
      <c r="A24" s="3"/>
      <c r="B24" s="10" t="s">
        <v>441</v>
      </c>
      <c r="C24" s="62"/>
      <c r="D24" s="62" t="s">
        <v>104</v>
      </c>
      <c r="E24" s="12">
        <f t="shared" si="8"/>
        <v>151.44</v>
      </c>
      <c r="F24" s="101">
        <v>0</v>
      </c>
      <c r="G24" s="67"/>
      <c r="H24" s="63"/>
      <c r="I24" s="63"/>
      <c r="J24" s="64"/>
      <c r="K24" s="12"/>
      <c r="L24" s="62" t="str">
        <f t="shared" si="3"/>
        <v/>
      </c>
      <c r="M24" s="12">
        <v>53.43</v>
      </c>
      <c r="N24" s="12">
        <v>24.57</v>
      </c>
      <c r="O24" s="12">
        <v>12</v>
      </c>
      <c r="P24" s="12">
        <v>1.44</v>
      </c>
      <c r="Q24" s="12">
        <v>5</v>
      </c>
      <c r="R24" s="12">
        <v>5</v>
      </c>
      <c r="S24" s="12"/>
      <c r="T24" s="12">
        <v>15</v>
      </c>
      <c r="U24" s="12">
        <v>35</v>
      </c>
      <c r="V24" s="65" t="s">
        <v>1026</v>
      </c>
      <c r="W24" s="44" t="str">
        <f t="shared" si="2"/>
        <v>Diferente</v>
      </c>
      <c r="X24" s="47">
        <f t="shared" si="4"/>
        <v>-151.44</v>
      </c>
      <c r="Y24" s="3"/>
      <c r="Z24" s="127"/>
    </row>
    <row r="25" spans="1:26" ht="14.4" hidden="1" outlineLevel="1" x14ac:dyDescent="0.3">
      <c r="A25" s="3"/>
      <c r="B25" s="61" t="s">
        <v>442</v>
      </c>
      <c r="C25" s="62"/>
      <c r="D25" s="62" t="s">
        <v>104</v>
      </c>
      <c r="E25" s="12">
        <f t="shared" si="8"/>
        <v>220</v>
      </c>
      <c r="F25" s="101">
        <v>0</v>
      </c>
      <c r="G25" s="67"/>
      <c r="H25" s="63"/>
      <c r="I25" s="63"/>
      <c r="J25" s="64"/>
      <c r="K25" s="12"/>
      <c r="L25" s="62" t="str">
        <f t="shared" si="3"/>
        <v/>
      </c>
      <c r="M25" s="12">
        <v>131.99</v>
      </c>
      <c r="N25" s="12">
        <v>24.57</v>
      </c>
      <c r="O25" s="12">
        <v>12</v>
      </c>
      <c r="P25" s="12">
        <v>6.44</v>
      </c>
      <c r="Q25" s="12"/>
      <c r="R25" s="12">
        <v>10</v>
      </c>
      <c r="S25" s="12"/>
      <c r="T25" s="12"/>
      <c r="U25" s="12">
        <v>35</v>
      </c>
      <c r="V25" s="65" t="s">
        <v>1026</v>
      </c>
      <c r="W25" s="44" t="str">
        <f t="shared" si="2"/>
        <v>Diferente</v>
      </c>
      <c r="X25" s="47">
        <f t="shared" si="4"/>
        <v>-220</v>
      </c>
      <c r="Y25" s="3"/>
      <c r="Z25" s="127"/>
    </row>
    <row r="26" spans="1:26" ht="14.4" hidden="1" outlineLevel="1" x14ac:dyDescent="0.3">
      <c r="A26" s="3"/>
      <c r="B26" s="10" t="s">
        <v>443</v>
      </c>
      <c r="C26" s="62">
        <v>10</v>
      </c>
      <c r="D26" s="62" t="s">
        <v>94</v>
      </c>
      <c r="E26" s="12">
        <f t="shared" si="8"/>
        <v>50</v>
      </c>
      <c r="F26" s="101">
        <f t="shared" ref="F26:F30" si="10">E26</f>
        <v>50</v>
      </c>
      <c r="G26" s="67"/>
      <c r="H26" s="63" t="s">
        <v>37</v>
      </c>
      <c r="I26" s="63"/>
      <c r="J26" s="64"/>
      <c r="K26" s="12"/>
      <c r="L26" s="62" t="str">
        <f t="shared" si="3"/>
        <v/>
      </c>
      <c r="M26" s="12">
        <v>11.43</v>
      </c>
      <c r="N26" s="12">
        <v>24.57</v>
      </c>
      <c r="O26" s="12">
        <v>12</v>
      </c>
      <c r="P26" s="12">
        <v>2</v>
      </c>
      <c r="Q26" s="12"/>
      <c r="R26" s="12"/>
      <c r="S26" s="12"/>
      <c r="T26" s="12"/>
      <c r="U26" s="12"/>
      <c r="V26" s="65"/>
      <c r="W26" s="44" t="str">
        <f t="shared" si="2"/>
        <v>OK</v>
      </c>
      <c r="X26" s="47" t="str">
        <f t="shared" si="4"/>
        <v/>
      </c>
      <c r="Y26" s="3"/>
      <c r="Z26" s="127"/>
    </row>
    <row r="27" spans="1:26" ht="14.4" hidden="1" outlineLevel="1" x14ac:dyDescent="0.3">
      <c r="A27" s="3"/>
      <c r="B27" s="61" t="s">
        <v>444</v>
      </c>
      <c r="C27" s="62">
        <v>14</v>
      </c>
      <c r="D27" s="62" t="s">
        <v>94</v>
      </c>
      <c r="E27" s="12">
        <f t="shared" si="8"/>
        <v>356</v>
      </c>
      <c r="F27" s="101">
        <f t="shared" si="10"/>
        <v>356</v>
      </c>
      <c r="G27" s="67"/>
      <c r="H27" s="63" t="s">
        <v>37</v>
      </c>
      <c r="I27" s="63"/>
      <c r="J27" s="64"/>
      <c r="K27" s="12"/>
      <c r="L27" s="62">
        <f t="shared" si="3"/>
        <v>1</v>
      </c>
      <c r="M27" s="12">
        <v>131.99</v>
      </c>
      <c r="N27" s="12">
        <v>24.57</v>
      </c>
      <c r="O27" s="12">
        <v>12</v>
      </c>
      <c r="P27" s="12">
        <v>11.44</v>
      </c>
      <c r="Q27" s="12">
        <v>5</v>
      </c>
      <c r="R27" s="12">
        <v>5</v>
      </c>
      <c r="S27" s="12">
        <v>10</v>
      </c>
      <c r="T27" s="12">
        <v>30</v>
      </c>
      <c r="U27" s="12">
        <v>126</v>
      </c>
      <c r="V27" s="65" t="s">
        <v>1028</v>
      </c>
      <c r="W27" s="44" t="str">
        <f t="shared" si="2"/>
        <v>OK</v>
      </c>
      <c r="X27" s="47" t="str">
        <f t="shared" si="4"/>
        <v/>
      </c>
      <c r="Y27" s="3"/>
      <c r="Z27" s="127"/>
    </row>
    <row r="28" spans="1:26" ht="14.4" hidden="1" outlineLevel="1" x14ac:dyDescent="0.3">
      <c r="A28" s="3"/>
      <c r="B28" s="61" t="s">
        <v>446</v>
      </c>
      <c r="C28" s="62">
        <v>14</v>
      </c>
      <c r="D28" s="62" t="s">
        <v>94</v>
      </c>
      <c r="E28" s="12">
        <f t="shared" si="8"/>
        <v>255</v>
      </c>
      <c r="F28" s="101">
        <f t="shared" si="10"/>
        <v>255</v>
      </c>
      <c r="G28" s="67"/>
      <c r="H28" s="63" t="s">
        <v>37</v>
      </c>
      <c r="I28" s="63"/>
      <c r="J28" s="64"/>
      <c r="K28" s="12"/>
      <c r="L28" s="62">
        <f t="shared" si="3"/>
        <v>1</v>
      </c>
      <c r="M28" s="12">
        <v>131.99</v>
      </c>
      <c r="N28" s="12">
        <v>24.57</v>
      </c>
      <c r="O28" s="12">
        <v>12</v>
      </c>
      <c r="P28" s="12">
        <v>1.44</v>
      </c>
      <c r="Q28" s="12">
        <v>5</v>
      </c>
      <c r="R28" s="12">
        <v>5</v>
      </c>
      <c r="S28" s="12">
        <v>10</v>
      </c>
      <c r="T28" s="12">
        <v>30</v>
      </c>
      <c r="U28" s="12">
        <v>35</v>
      </c>
      <c r="V28" s="65" t="s">
        <v>1026</v>
      </c>
      <c r="W28" s="44" t="str">
        <f t="shared" si="2"/>
        <v>OK</v>
      </c>
      <c r="X28" s="47" t="str">
        <f t="shared" si="4"/>
        <v/>
      </c>
      <c r="Y28" s="3"/>
      <c r="Z28" s="127"/>
    </row>
    <row r="29" spans="1:26" ht="14.4" hidden="1" outlineLevel="1" x14ac:dyDescent="0.3">
      <c r="A29" s="3"/>
      <c r="B29" s="10" t="s">
        <v>447</v>
      </c>
      <c r="C29" s="62">
        <v>11</v>
      </c>
      <c r="D29" s="62" t="s">
        <v>94</v>
      </c>
      <c r="E29" s="12">
        <f t="shared" si="8"/>
        <v>294.69</v>
      </c>
      <c r="F29" s="101">
        <f t="shared" si="10"/>
        <v>294.69</v>
      </c>
      <c r="G29" s="67"/>
      <c r="H29" s="63" t="s">
        <v>37</v>
      </c>
      <c r="I29" s="63"/>
      <c r="J29" s="64"/>
      <c r="K29" s="12"/>
      <c r="L29" s="62" t="str">
        <f t="shared" si="3"/>
        <v/>
      </c>
      <c r="M29" s="12">
        <v>116.68</v>
      </c>
      <c r="N29" s="12">
        <v>24.57</v>
      </c>
      <c r="O29" s="12">
        <v>12</v>
      </c>
      <c r="P29" s="12">
        <v>1.44</v>
      </c>
      <c r="Q29" s="12">
        <v>5</v>
      </c>
      <c r="R29" s="12">
        <v>10</v>
      </c>
      <c r="S29" s="12">
        <v>10</v>
      </c>
      <c r="T29" s="12">
        <v>30</v>
      </c>
      <c r="U29" s="12">
        <v>85</v>
      </c>
      <c r="V29" s="65" t="s">
        <v>1030</v>
      </c>
      <c r="W29" s="44" t="str">
        <f t="shared" si="2"/>
        <v>OK</v>
      </c>
      <c r="X29" s="47" t="str">
        <f t="shared" si="4"/>
        <v/>
      </c>
      <c r="Y29" s="3"/>
      <c r="Z29" s="127"/>
    </row>
    <row r="30" spans="1:26" ht="14.4" hidden="1" outlineLevel="1" x14ac:dyDescent="0.3">
      <c r="A30" s="3"/>
      <c r="B30" s="10" t="s">
        <v>448</v>
      </c>
      <c r="C30" s="62">
        <v>11</v>
      </c>
      <c r="D30" s="62" t="s">
        <v>94</v>
      </c>
      <c r="E30" s="12">
        <f t="shared" si="8"/>
        <v>193.69</v>
      </c>
      <c r="F30" s="101">
        <f t="shared" si="10"/>
        <v>193.69</v>
      </c>
      <c r="G30" s="67"/>
      <c r="H30" s="63" t="s">
        <v>37</v>
      </c>
      <c r="I30" s="63"/>
      <c r="J30" s="64"/>
      <c r="K30" s="12"/>
      <c r="L30" s="62" t="str">
        <f t="shared" si="3"/>
        <v/>
      </c>
      <c r="M30" s="12">
        <v>70.680000000000007</v>
      </c>
      <c r="N30" s="12">
        <v>24.57</v>
      </c>
      <c r="O30" s="12">
        <v>12</v>
      </c>
      <c r="P30" s="12">
        <v>1.44</v>
      </c>
      <c r="Q30" s="12"/>
      <c r="R30" s="12">
        <v>10</v>
      </c>
      <c r="S30" s="12">
        <v>10</v>
      </c>
      <c r="T30" s="12">
        <v>30</v>
      </c>
      <c r="U30" s="12">
        <v>35</v>
      </c>
      <c r="V30" s="65" t="s">
        <v>1026</v>
      </c>
      <c r="W30" s="44" t="str">
        <f t="shared" si="2"/>
        <v>OK</v>
      </c>
      <c r="X30" s="47" t="str">
        <f t="shared" si="4"/>
        <v/>
      </c>
      <c r="Y30" s="3"/>
      <c r="Z30" s="127"/>
    </row>
    <row r="31" spans="1:26" ht="14.4" hidden="1" outlineLevel="1" x14ac:dyDescent="0.3">
      <c r="A31" s="3"/>
      <c r="B31" s="61" t="s">
        <v>449</v>
      </c>
      <c r="C31" s="62">
        <v>22</v>
      </c>
      <c r="D31" s="62" t="s">
        <v>94</v>
      </c>
      <c r="E31" s="12">
        <v>243.44</v>
      </c>
      <c r="F31" s="101">
        <f t="shared" ref="F31:F32" si="11">SUM(M31:U31)</f>
        <v>604.31999999999994</v>
      </c>
      <c r="G31" s="67"/>
      <c r="H31" s="63" t="s">
        <v>37</v>
      </c>
      <c r="I31" s="63"/>
      <c r="J31" s="64"/>
      <c r="K31" s="12"/>
      <c r="L31" s="62">
        <f t="shared" si="3"/>
        <v>1</v>
      </c>
      <c r="M31" s="12">
        <f>104.43+360.88</f>
        <v>465.31</v>
      </c>
      <c r="N31" s="12">
        <v>24.57</v>
      </c>
      <c r="O31" s="12">
        <v>12</v>
      </c>
      <c r="P31" s="12">
        <v>1.44</v>
      </c>
      <c r="Q31" s="12">
        <v>5</v>
      </c>
      <c r="R31" s="12"/>
      <c r="S31" s="12">
        <v>10</v>
      </c>
      <c r="T31" s="12">
        <v>10</v>
      </c>
      <c r="U31" s="12">
        <v>76</v>
      </c>
      <c r="V31" s="65" t="s">
        <v>1027</v>
      </c>
      <c r="W31" s="44" t="str">
        <f t="shared" si="2"/>
        <v>OK</v>
      </c>
      <c r="X31" s="47" t="str">
        <f t="shared" si="4"/>
        <v/>
      </c>
      <c r="Y31" s="3"/>
      <c r="Z31" s="127"/>
    </row>
    <row r="32" spans="1:26" ht="14.4" hidden="1" outlineLevel="1" x14ac:dyDescent="0.3">
      <c r="A32" s="3"/>
      <c r="B32" s="61" t="s">
        <v>450</v>
      </c>
      <c r="C32" s="62">
        <v>22</v>
      </c>
      <c r="D32" s="62" t="s">
        <v>94</v>
      </c>
      <c r="E32" s="12">
        <v>202.44</v>
      </c>
      <c r="F32" s="101">
        <f t="shared" si="11"/>
        <v>202.44</v>
      </c>
      <c r="G32" s="67"/>
      <c r="H32" s="63" t="s">
        <v>37</v>
      </c>
      <c r="I32" s="63"/>
      <c r="J32" s="64"/>
      <c r="K32" s="12"/>
      <c r="L32" s="62">
        <f t="shared" si="3"/>
        <v>1</v>
      </c>
      <c r="M32" s="12">
        <v>104.43</v>
      </c>
      <c r="N32" s="12">
        <v>24.57</v>
      </c>
      <c r="O32" s="12">
        <v>12</v>
      </c>
      <c r="P32" s="12">
        <v>1.44</v>
      </c>
      <c r="Q32" s="12">
        <v>5</v>
      </c>
      <c r="R32" s="12"/>
      <c r="S32" s="12">
        <v>10</v>
      </c>
      <c r="T32" s="12">
        <v>10</v>
      </c>
      <c r="U32" s="12">
        <v>35</v>
      </c>
      <c r="V32" s="65" t="s">
        <v>1026</v>
      </c>
      <c r="W32" s="44" t="str">
        <f t="shared" si="2"/>
        <v>OK</v>
      </c>
      <c r="X32" s="47" t="str">
        <f t="shared" si="4"/>
        <v/>
      </c>
      <c r="Y32" s="3"/>
      <c r="Z32" s="127"/>
    </row>
    <row r="33" spans="1:26" ht="14.4" hidden="1" outlineLevel="1" x14ac:dyDescent="0.3">
      <c r="A33" s="3"/>
      <c r="B33" s="10" t="s">
        <v>451</v>
      </c>
      <c r="C33" s="62">
        <v>10</v>
      </c>
      <c r="D33" s="62" t="s">
        <v>94</v>
      </c>
      <c r="E33" s="12">
        <f t="shared" ref="E33:E51" si="12">SUM(M33:U33)</f>
        <v>234.01</v>
      </c>
      <c r="F33" s="101">
        <f t="shared" ref="F33:F42" si="13">E33</f>
        <v>234.01</v>
      </c>
      <c r="G33" s="67"/>
      <c r="H33" s="63" t="s">
        <v>38</v>
      </c>
      <c r="I33" s="63"/>
      <c r="J33" s="64"/>
      <c r="K33" s="12"/>
      <c r="L33" s="62" t="str">
        <f t="shared" si="3"/>
        <v/>
      </c>
      <c r="M33" s="12">
        <v>156</v>
      </c>
      <c r="N33" s="12">
        <v>24.57</v>
      </c>
      <c r="O33" s="12">
        <v>12</v>
      </c>
      <c r="P33" s="12">
        <v>1.44</v>
      </c>
      <c r="Q33" s="12">
        <v>5</v>
      </c>
      <c r="R33" s="12"/>
      <c r="S33" s="12"/>
      <c r="T33" s="12"/>
      <c r="U33" s="12">
        <v>35</v>
      </c>
      <c r="V33" s="65" t="s">
        <v>1026</v>
      </c>
      <c r="W33" s="44" t="str">
        <f t="shared" si="2"/>
        <v>OK</v>
      </c>
      <c r="X33" s="47" t="str">
        <f t="shared" si="4"/>
        <v/>
      </c>
      <c r="Y33" s="3"/>
      <c r="Z33" s="127"/>
    </row>
    <row r="34" spans="1:26" ht="14.4" hidden="1" outlineLevel="1" x14ac:dyDescent="0.3">
      <c r="A34" s="3"/>
      <c r="B34" s="10" t="s">
        <v>452</v>
      </c>
      <c r="C34" s="62">
        <v>10</v>
      </c>
      <c r="D34" s="62" t="s">
        <v>94</v>
      </c>
      <c r="E34" s="12">
        <f t="shared" si="12"/>
        <v>345.01</v>
      </c>
      <c r="F34" s="101">
        <f t="shared" si="13"/>
        <v>345.01</v>
      </c>
      <c r="G34" s="67"/>
      <c r="H34" s="63" t="s">
        <v>38</v>
      </c>
      <c r="I34" s="63"/>
      <c r="J34" s="64"/>
      <c r="K34" s="12"/>
      <c r="L34" s="62" t="str">
        <f t="shared" si="3"/>
        <v/>
      </c>
      <c r="M34" s="12">
        <v>156</v>
      </c>
      <c r="N34" s="12">
        <v>24.57</v>
      </c>
      <c r="O34" s="12">
        <v>12</v>
      </c>
      <c r="P34" s="12">
        <v>11.44</v>
      </c>
      <c r="Q34" s="12">
        <v>5</v>
      </c>
      <c r="R34" s="12">
        <v>10</v>
      </c>
      <c r="S34" s="12"/>
      <c r="T34" s="12"/>
      <c r="U34" s="12">
        <v>126</v>
      </c>
      <c r="V34" s="65" t="s">
        <v>1028</v>
      </c>
      <c r="W34" s="44" t="str">
        <f t="shared" si="2"/>
        <v>OK</v>
      </c>
      <c r="X34" s="47" t="str">
        <f t="shared" si="4"/>
        <v/>
      </c>
      <c r="Y34" s="3"/>
      <c r="Z34" s="127"/>
    </row>
    <row r="35" spans="1:26" ht="14.4" hidden="1" outlineLevel="1" x14ac:dyDescent="0.3">
      <c r="A35" s="3"/>
      <c r="B35" s="61" t="s">
        <v>453</v>
      </c>
      <c r="C35" s="62">
        <v>2</v>
      </c>
      <c r="D35" s="62" t="s">
        <v>94</v>
      </c>
      <c r="E35" s="12">
        <f t="shared" si="12"/>
        <v>483.4</v>
      </c>
      <c r="F35" s="101">
        <f t="shared" si="13"/>
        <v>483.4</v>
      </c>
      <c r="G35" s="67"/>
      <c r="H35" s="63" t="s">
        <v>37</v>
      </c>
      <c r="I35" s="63"/>
      <c r="J35" s="64"/>
      <c r="K35" s="12"/>
      <c r="L35" s="62" t="str">
        <f t="shared" si="3"/>
        <v/>
      </c>
      <c r="M35" s="12">
        <v>48.43</v>
      </c>
      <c r="N35" s="12">
        <v>24.57</v>
      </c>
      <c r="O35" s="12">
        <v>12</v>
      </c>
      <c r="P35" s="12">
        <v>2</v>
      </c>
      <c r="Q35" s="12">
        <v>0</v>
      </c>
      <c r="R35" s="12">
        <v>0</v>
      </c>
      <c r="S35" s="12"/>
      <c r="T35" s="12"/>
      <c r="U35" s="12">
        <v>396.4</v>
      </c>
      <c r="V35" s="65" t="s">
        <v>1031</v>
      </c>
      <c r="W35" s="44" t="str">
        <f t="shared" si="2"/>
        <v>OK</v>
      </c>
      <c r="X35" s="47" t="str">
        <f t="shared" si="4"/>
        <v/>
      </c>
      <c r="Y35" s="3"/>
      <c r="Z35" s="127"/>
    </row>
    <row r="36" spans="1:26" ht="14.4" hidden="1" outlineLevel="1" x14ac:dyDescent="0.3">
      <c r="A36" s="3"/>
      <c r="B36" s="10" t="s">
        <v>454</v>
      </c>
      <c r="C36" s="62">
        <v>2</v>
      </c>
      <c r="D36" s="62" t="s">
        <v>94</v>
      </c>
      <c r="E36" s="12">
        <f t="shared" si="12"/>
        <v>263.76</v>
      </c>
      <c r="F36" s="101">
        <f t="shared" si="13"/>
        <v>263.76</v>
      </c>
      <c r="G36" s="67"/>
      <c r="H36" s="63" t="s">
        <v>37</v>
      </c>
      <c r="I36" s="63"/>
      <c r="J36" s="64"/>
      <c r="K36" s="12"/>
      <c r="L36" s="62" t="str">
        <f t="shared" si="3"/>
        <v/>
      </c>
      <c r="M36" s="12">
        <v>132.19</v>
      </c>
      <c r="N36" s="12">
        <v>24.57</v>
      </c>
      <c r="O36" s="12">
        <v>12</v>
      </c>
      <c r="P36" s="12">
        <v>5</v>
      </c>
      <c r="Q36" s="12">
        <v>5</v>
      </c>
      <c r="R36" s="12">
        <v>10</v>
      </c>
      <c r="S36" s="12">
        <v>10</v>
      </c>
      <c r="T36" s="12">
        <v>30</v>
      </c>
      <c r="U36" s="12">
        <v>35</v>
      </c>
      <c r="V36" s="65" t="s">
        <v>1026</v>
      </c>
      <c r="W36" s="44" t="str">
        <f t="shared" si="2"/>
        <v>OK</v>
      </c>
      <c r="X36" s="47" t="str">
        <f t="shared" si="4"/>
        <v/>
      </c>
      <c r="Y36" s="3"/>
      <c r="Z36" s="127"/>
    </row>
    <row r="37" spans="1:26" ht="14.4" hidden="1" outlineLevel="1" x14ac:dyDescent="0.3">
      <c r="A37" s="3"/>
      <c r="B37" s="61" t="s">
        <v>455</v>
      </c>
      <c r="C37" s="62">
        <v>2</v>
      </c>
      <c r="D37" s="62" t="s">
        <v>94</v>
      </c>
      <c r="E37" s="12">
        <f t="shared" si="12"/>
        <v>444.81</v>
      </c>
      <c r="F37" s="101">
        <f t="shared" si="13"/>
        <v>444.81</v>
      </c>
      <c r="G37" s="67"/>
      <c r="H37" s="63" t="s">
        <v>37</v>
      </c>
      <c r="I37" s="63"/>
      <c r="J37" s="64"/>
      <c r="K37" s="12"/>
      <c r="L37" s="62" t="str">
        <f t="shared" si="3"/>
        <v/>
      </c>
      <c r="M37" s="12">
        <f>74.74-0.62+256.62</f>
        <v>330.74</v>
      </c>
      <c r="N37" s="12">
        <v>24.57</v>
      </c>
      <c r="O37" s="12">
        <v>12</v>
      </c>
      <c r="P37" s="12">
        <v>1.5</v>
      </c>
      <c r="Q37" s="12"/>
      <c r="R37" s="12"/>
      <c r="S37" s="12"/>
      <c r="T37" s="12"/>
      <c r="U37" s="12">
        <v>76</v>
      </c>
      <c r="V37" s="65" t="s">
        <v>1027</v>
      </c>
      <c r="W37" s="44" t="str">
        <f t="shared" si="2"/>
        <v>OK</v>
      </c>
      <c r="X37" s="47" t="str">
        <f t="shared" si="4"/>
        <v/>
      </c>
      <c r="Y37" s="3"/>
      <c r="Z37" s="127"/>
    </row>
    <row r="38" spans="1:26" ht="14.4" hidden="1" outlineLevel="1" x14ac:dyDescent="0.3">
      <c r="A38" s="3"/>
      <c r="B38" s="61" t="s">
        <v>456</v>
      </c>
      <c r="C38" s="62">
        <v>2</v>
      </c>
      <c r="D38" s="62" t="s">
        <v>94</v>
      </c>
      <c r="E38" s="12">
        <f t="shared" si="12"/>
        <v>147.81</v>
      </c>
      <c r="F38" s="101">
        <f t="shared" si="13"/>
        <v>147.81</v>
      </c>
      <c r="G38" s="67"/>
      <c r="H38" s="63" t="s">
        <v>37</v>
      </c>
      <c r="I38" s="63"/>
      <c r="J38" s="64"/>
      <c r="K38" s="12"/>
      <c r="L38" s="62" t="str">
        <f t="shared" si="3"/>
        <v/>
      </c>
      <c r="M38" s="12">
        <v>74.739999999999995</v>
      </c>
      <c r="N38" s="12">
        <v>24.57</v>
      </c>
      <c r="O38" s="12">
        <v>12</v>
      </c>
      <c r="P38" s="12">
        <v>1.5</v>
      </c>
      <c r="Q38" s="12"/>
      <c r="R38" s="12"/>
      <c r="S38" s="12"/>
      <c r="T38" s="12"/>
      <c r="U38" s="12">
        <v>35</v>
      </c>
      <c r="V38" s="65" t="s">
        <v>1026</v>
      </c>
      <c r="W38" s="44" t="str">
        <f t="shared" si="2"/>
        <v>OK</v>
      </c>
      <c r="X38" s="47" t="str">
        <f t="shared" si="4"/>
        <v/>
      </c>
      <c r="Y38" s="3"/>
      <c r="Z38" s="127"/>
    </row>
    <row r="39" spans="1:26" ht="14.4" hidden="1" outlineLevel="1" x14ac:dyDescent="0.3">
      <c r="A39" s="3"/>
      <c r="B39" s="10" t="s">
        <v>457</v>
      </c>
      <c r="C39" s="62">
        <v>2</v>
      </c>
      <c r="D39" s="62" t="s">
        <v>94</v>
      </c>
      <c r="E39" s="12">
        <f t="shared" si="12"/>
        <v>222.44</v>
      </c>
      <c r="F39" s="101">
        <f t="shared" si="13"/>
        <v>222.44</v>
      </c>
      <c r="G39" s="67"/>
      <c r="H39" s="63" t="s">
        <v>37</v>
      </c>
      <c r="I39" s="63"/>
      <c r="J39" s="64"/>
      <c r="K39" s="12"/>
      <c r="L39" s="62" t="str">
        <f t="shared" si="3"/>
        <v/>
      </c>
      <c r="M39" s="12">
        <v>103.43</v>
      </c>
      <c r="N39" s="12">
        <v>24.57</v>
      </c>
      <c r="O39" s="12">
        <v>12</v>
      </c>
      <c r="P39" s="12">
        <v>1.44</v>
      </c>
      <c r="Q39" s="12"/>
      <c r="R39" s="12">
        <v>5</v>
      </c>
      <c r="S39" s="12"/>
      <c r="T39" s="12"/>
      <c r="U39" s="12">
        <v>76</v>
      </c>
      <c r="V39" s="65" t="s">
        <v>1027</v>
      </c>
      <c r="W39" s="44" t="str">
        <f t="shared" si="2"/>
        <v>OK</v>
      </c>
      <c r="X39" s="47" t="str">
        <f t="shared" si="4"/>
        <v/>
      </c>
      <c r="Y39" s="3"/>
      <c r="Z39" s="127"/>
    </row>
    <row r="40" spans="1:26" ht="14.4" hidden="1" outlineLevel="1" x14ac:dyDescent="0.3">
      <c r="A40" s="3"/>
      <c r="B40" s="10" t="s">
        <v>458</v>
      </c>
      <c r="C40" s="62">
        <v>2</v>
      </c>
      <c r="D40" s="62" t="s">
        <v>94</v>
      </c>
      <c r="E40" s="12">
        <f t="shared" si="12"/>
        <v>186.44</v>
      </c>
      <c r="F40" s="101">
        <f t="shared" si="13"/>
        <v>186.44</v>
      </c>
      <c r="G40" s="67"/>
      <c r="H40" s="63" t="s">
        <v>37</v>
      </c>
      <c r="I40" s="63"/>
      <c r="J40" s="64"/>
      <c r="K40" s="12"/>
      <c r="L40" s="62" t="str">
        <f t="shared" si="3"/>
        <v/>
      </c>
      <c r="M40" s="12">
        <v>103.43</v>
      </c>
      <c r="N40" s="12">
        <v>24.57</v>
      </c>
      <c r="O40" s="12">
        <v>12</v>
      </c>
      <c r="P40" s="12">
        <v>1.44</v>
      </c>
      <c r="Q40" s="12">
        <v>5</v>
      </c>
      <c r="R40" s="12">
        <v>5</v>
      </c>
      <c r="S40" s="12"/>
      <c r="T40" s="12"/>
      <c r="U40" s="12">
        <v>35</v>
      </c>
      <c r="V40" s="65" t="s">
        <v>1026</v>
      </c>
      <c r="W40" s="44" t="str">
        <f t="shared" si="2"/>
        <v>OK</v>
      </c>
      <c r="X40" s="47" t="str">
        <f t="shared" si="4"/>
        <v/>
      </c>
      <c r="Y40" s="3"/>
      <c r="Z40" s="127"/>
    </row>
    <row r="41" spans="1:26" ht="14.4" hidden="1" outlineLevel="1" x14ac:dyDescent="0.3">
      <c r="A41" s="3"/>
      <c r="B41" s="10" t="s">
        <v>459</v>
      </c>
      <c r="C41" s="62">
        <v>2</v>
      </c>
      <c r="D41" s="62" t="s">
        <v>94</v>
      </c>
      <c r="E41" s="12">
        <f t="shared" si="12"/>
        <v>186.44</v>
      </c>
      <c r="F41" s="101">
        <f t="shared" si="13"/>
        <v>186.44</v>
      </c>
      <c r="G41" s="67"/>
      <c r="H41" s="63" t="s">
        <v>37</v>
      </c>
      <c r="I41" s="63"/>
      <c r="J41" s="64"/>
      <c r="K41" s="12"/>
      <c r="L41" s="62" t="str">
        <f t="shared" si="3"/>
        <v/>
      </c>
      <c r="M41" s="12">
        <v>103.43</v>
      </c>
      <c r="N41" s="12">
        <v>24.57</v>
      </c>
      <c r="O41" s="12">
        <v>12</v>
      </c>
      <c r="P41" s="12">
        <v>1.44</v>
      </c>
      <c r="Q41" s="12">
        <v>5</v>
      </c>
      <c r="R41" s="12">
        <v>5</v>
      </c>
      <c r="S41" s="12"/>
      <c r="T41" s="12"/>
      <c r="U41" s="12">
        <v>35</v>
      </c>
      <c r="V41" s="65" t="s">
        <v>1026</v>
      </c>
      <c r="W41" s="44" t="str">
        <f t="shared" si="2"/>
        <v>OK</v>
      </c>
      <c r="X41" s="47" t="str">
        <f t="shared" si="4"/>
        <v/>
      </c>
      <c r="Y41" s="3"/>
      <c r="Z41" s="127"/>
    </row>
    <row r="42" spans="1:26" ht="14.4" hidden="1" outlineLevel="1" x14ac:dyDescent="0.3">
      <c r="A42" s="3"/>
      <c r="B42" s="10" t="s">
        <v>460</v>
      </c>
      <c r="C42" s="62">
        <v>2</v>
      </c>
      <c r="D42" s="62" t="s">
        <v>94</v>
      </c>
      <c r="E42" s="12">
        <f t="shared" si="12"/>
        <v>104.59</v>
      </c>
      <c r="F42" s="101">
        <f t="shared" si="13"/>
        <v>104.59</v>
      </c>
      <c r="G42" s="67"/>
      <c r="H42" s="63" t="s">
        <v>37</v>
      </c>
      <c r="I42" s="63"/>
      <c r="J42" s="64"/>
      <c r="K42" s="12"/>
      <c r="L42" s="62" t="str">
        <f t="shared" si="3"/>
        <v/>
      </c>
      <c r="M42" s="12">
        <v>31.58</v>
      </c>
      <c r="N42" s="12">
        <v>24.57</v>
      </c>
      <c r="O42" s="12">
        <v>12</v>
      </c>
      <c r="P42" s="12">
        <v>1.44</v>
      </c>
      <c r="Q42" s="12"/>
      <c r="R42" s="12"/>
      <c r="S42" s="12"/>
      <c r="T42" s="12"/>
      <c r="U42" s="12">
        <v>35</v>
      </c>
      <c r="V42" s="65" t="s">
        <v>1026</v>
      </c>
      <c r="W42" s="44" t="str">
        <f t="shared" si="2"/>
        <v>OK</v>
      </c>
      <c r="X42" s="47" t="str">
        <f t="shared" si="4"/>
        <v/>
      </c>
      <c r="Y42" s="3"/>
      <c r="Z42" s="127"/>
    </row>
    <row r="43" spans="1:26" ht="14.4" hidden="1" outlineLevel="1" x14ac:dyDescent="0.3">
      <c r="A43" s="3"/>
      <c r="B43" s="61" t="s">
        <v>461</v>
      </c>
      <c r="C43" s="62"/>
      <c r="D43" s="62" t="s">
        <v>104</v>
      </c>
      <c r="E43" s="12">
        <f t="shared" si="12"/>
        <v>235</v>
      </c>
      <c r="F43" s="101">
        <v>0</v>
      </c>
      <c r="G43" s="67"/>
      <c r="H43" s="63"/>
      <c r="I43" s="63"/>
      <c r="J43" s="64"/>
      <c r="K43" s="12"/>
      <c r="L43" s="62" t="str">
        <f t="shared" si="3"/>
        <v/>
      </c>
      <c r="M43" s="12">
        <v>151.99</v>
      </c>
      <c r="N43" s="12">
        <v>24.57</v>
      </c>
      <c r="O43" s="12">
        <v>12</v>
      </c>
      <c r="P43" s="12">
        <v>1.44</v>
      </c>
      <c r="Q43" s="12"/>
      <c r="R43" s="12">
        <v>5</v>
      </c>
      <c r="S43" s="12">
        <v>5</v>
      </c>
      <c r="T43" s="12"/>
      <c r="U43" s="12">
        <v>35</v>
      </c>
      <c r="V43" s="65" t="s">
        <v>1026</v>
      </c>
      <c r="W43" s="44" t="str">
        <f t="shared" si="2"/>
        <v>Diferente</v>
      </c>
      <c r="X43" s="47">
        <f t="shared" si="4"/>
        <v>-235</v>
      </c>
      <c r="Y43" s="3"/>
      <c r="Z43" s="127"/>
    </row>
    <row r="44" spans="1:26" ht="14.4" hidden="1" outlineLevel="1" x14ac:dyDescent="0.3">
      <c r="A44" s="3"/>
      <c r="B44" s="10" t="s">
        <v>462</v>
      </c>
      <c r="C44" s="62"/>
      <c r="D44" s="62" t="s">
        <v>104</v>
      </c>
      <c r="E44" s="12">
        <f t="shared" si="12"/>
        <v>333.89</v>
      </c>
      <c r="F44" s="101">
        <v>0</v>
      </c>
      <c r="G44" s="67"/>
      <c r="H44" s="63"/>
      <c r="I44" s="63"/>
      <c r="J44" s="64"/>
      <c r="K44" s="12"/>
      <c r="L44" s="62" t="str">
        <f t="shared" si="3"/>
        <v/>
      </c>
      <c r="M44" s="12">
        <v>125.88</v>
      </c>
      <c r="N44" s="12">
        <v>24.57</v>
      </c>
      <c r="O44" s="12">
        <v>12</v>
      </c>
      <c r="P44" s="12">
        <v>1.44</v>
      </c>
      <c r="Q44" s="12">
        <v>5</v>
      </c>
      <c r="R44" s="12">
        <v>10</v>
      </c>
      <c r="S44" s="12">
        <v>20</v>
      </c>
      <c r="T44" s="12">
        <v>100</v>
      </c>
      <c r="U44" s="12">
        <v>35</v>
      </c>
      <c r="V44" s="65" t="s">
        <v>1026</v>
      </c>
      <c r="W44" s="44" t="str">
        <f t="shared" si="2"/>
        <v>Diferente</v>
      </c>
      <c r="X44" s="47">
        <f t="shared" si="4"/>
        <v>-333.89</v>
      </c>
      <c r="Y44" s="3"/>
      <c r="Z44" s="127"/>
    </row>
    <row r="45" spans="1:26" ht="14.4" hidden="1" outlineLevel="1" x14ac:dyDescent="0.3">
      <c r="A45" s="3"/>
      <c r="B45" s="10" t="s">
        <v>463</v>
      </c>
      <c r="C45" s="62"/>
      <c r="D45" s="62" t="s">
        <v>104</v>
      </c>
      <c r="E45" s="12">
        <f t="shared" si="12"/>
        <v>197.44</v>
      </c>
      <c r="F45" s="101">
        <v>0</v>
      </c>
      <c r="G45" s="67"/>
      <c r="H45" s="63"/>
      <c r="I45" s="63"/>
      <c r="J45" s="64"/>
      <c r="K45" s="12"/>
      <c r="L45" s="62" t="str">
        <f t="shared" si="3"/>
        <v/>
      </c>
      <c r="M45" s="12">
        <v>99.43</v>
      </c>
      <c r="N45" s="12">
        <v>24.57</v>
      </c>
      <c r="O45" s="12">
        <v>12</v>
      </c>
      <c r="P45" s="12">
        <v>1.44</v>
      </c>
      <c r="Q45" s="12">
        <v>5</v>
      </c>
      <c r="R45" s="12"/>
      <c r="S45" s="12">
        <v>20</v>
      </c>
      <c r="T45" s="12"/>
      <c r="U45" s="12">
        <v>35</v>
      </c>
      <c r="V45" s="65" t="s">
        <v>1026</v>
      </c>
      <c r="W45" s="44" t="str">
        <f t="shared" si="2"/>
        <v>Diferente</v>
      </c>
      <c r="X45" s="47">
        <f t="shared" si="4"/>
        <v>-197.44</v>
      </c>
      <c r="Y45" s="3"/>
      <c r="Z45" s="127"/>
    </row>
    <row r="46" spans="1:26" ht="14.4" hidden="1" outlineLevel="1" x14ac:dyDescent="0.3">
      <c r="A46" s="3"/>
      <c r="B46" s="61" t="s">
        <v>464</v>
      </c>
      <c r="C46" s="62">
        <v>2</v>
      </c>
      <c r="D46" s="62" t="s">
        <v>94</v>
      </c>
      <c r="E46" s="12">
        <f t="shared" si="12"/>
        <v>187</v>
      </c>
      <c r="F46" s="101">
        <f t="shared" ref="F46:F51" si="14">E46</f>
        <v>187</v>
      </c>
      <c r="G46" s="67"/>
      <c r="H46" s="63" t="s">
        <v>37</v>
      </c>
      <c r="I46" s="63"/>
      <c r="J46" s="64"/>
      <c r="K46" s="12"/>
      <c r="L46" s="62" t="str">
        <f t="shared" si="3"/>
        <v/>
      </c>
      <c r="M46" s="12">
        <v>93.43</v>
      </c>
      <c r="N46" s="12">
        <v>24.57</v>
      </c>
      <c r="O46" s="12">
        <v>12</v>
      </c>
      <c r="P46" s="12">
        <v>2</v>
      </c>
      <c r="Q46" s="12">
        <v>5</v>
      </c>
      <c r="R46" s="12">
        <v>5</v>
      </c>
      <c r="S46" s="12">
        <v>10</v>
      </c>
      <c r="T46" s="12"/>
      <c r="U46" s="12">
        <v>35</v>
      </c>
      <c r="V46" s="65" t="s">
        <v>1026</v>
      </c>
      <c r="W46" s="44" t="str">
        <f t="shared" si="2"/>
        <v>OK</v>
      </c>
      <c r="X46" s="47" t="str">
        <f t="shared" si="4"/>
        <v/>
      </c>
      <c r="Y46" s="3"/>
      <c r="Z46" s="127"/>
    </row>
    <row r="47" spans="1:26" ht="14.4" hidden="1" outlineLevel="1" x14ac:dyDescent="0.3">
      <c r="A47" s="3"/>
      <c r="B47" s="61" t="s">
        <v>465</v>
      </c>
      <c r="C47" s="62">
        <v>2</v>
      </c>
      <c r="D47" s="62" t="s">
        <v>94</v>
      </c>
      <c r="E47" s="12">
        <f t="shared" si="12"/>
        <v>92</v>
      </c>
      <c r="F47" s="101">
        <f t="shared" si="14"/>
        <v>92</v>
      </c>
      <c r="G47" s="67"/>
      <c r="H47" s="63" t="s">
        <v>37</v>
      </c>
      <c r="I47" s="63"/>
      <c r="J47" s="64"/>
      <c r="K47" s="12"/>
      <c r="L47" s="62" t="str">
        <f t="shared" si="3"/>
        <v/>
      </c>
      <c r="M47" s="12">
        <v>43.93</v>
      </c>
      <c r="N47" s="12">
        <v>24.57</v>
      </c>
      <c r="O47" s="12">
        <v>12</v>
      </c>
      <c r="P47" s="12">
        <v>1.5</v>
      </c>
      <c r="Q47" s="12"/>
      <c r="R47" s="12"/>
      <c r="S47" s="12">
        <v>5</v>
      </c>
      <c r="T47" s="12"/>
      <c r="U47" s="12">
        <v>5</v>
      </c>
      <c r="V47" s="65" t="s">
        <v>1032</v>
      </c>
      <c r="W47" s="44" t="str">
        <f t="shared" si="2"/>
        <v>OK</v>
      </c>
      <c r="X47" s="47" t="str">
        <f t="shared" si="4"/>
        <v/>
      </c>
      <c r="Y47" s="3"/>
      <c r="Z47" s="127"/>
    </row>
    <row r="48" spans="1:26" ht="14.4" hidden="1" outlineLevel="1" x14ac:dyDescent="0.3">
      <c r="A48" s="3"/>
      <c r="B48" s="10" t="s">
        <v>466</v>
      </c>
      <c r="C48" s="62">
        <v>2</v>
      </c>
      <c r="D48" s="62" t="s">
        <v>94</v>
      </c>
      <c r="E48" s="12">
        <f t="shared" si="12"/>
        <v>307.99</v>
      </c>
      <c r="F48" s="101">
        <f t="shared" si="14"/>
        <v>307.99</v>
      </c>
      <c r="G48" s="67"/>
      <c r="H48" s="63" t="s">
        <v>37</v>
      </c>
      <c r="I48" s="63"/>
      <c r="J48" s="64"/>
      <c r="K48" s="12"/>
      <c r="L48" s="62" t="str">
        <f t="shared" si="3"/>
        <v/>
      </c>
      <c r="M48" s="12">
        <v>118.98</v>
      </c>
      <c r="N48" s="12">
        <v>24.57</v>
      </c>
      <c r="O48" s="12">
        <v>12</v>
      </c>
      <c r="P48" s="12">
        <v>11.44</v>
      </c>
      <c r="Q48" s="12">
        <v>5</v>
      </c>
      <c r="R48" s="12">
        <v>10</v>
      </c>
      <c r="S48" s="12"/>
      <c r="T48" s="12"/>
      <c r="U48" s="12">
        <v>126</v>
      </c>
      <c r="V48" s="65" t="s">
        <v>1028</v>
      </c>
      <c r="W48" s="44" t="str">
        <f t="shared" si="2"/>
        <v>OK</v>
      </c>
      <c r="X48" s="47" t="str">
        <f t="shared" si="4"/>
        <v/>
      </c>
      <c r="Y48" s="3"/>
      <c r="Z48" s="127"/>
    </row>
    <row r="49" spans="1:26" ht="14.4" hidden="1" outlineLevel="1" x14ac:dyDescent="0.3">
      <c r="A49" s="3"/>
      <c r="B49" s="10" t="s">
        <v>467</v>
      </c>
      <c r="C49" s="62">
        <v>2</v>
      </c>
      <c r="D49" s="62" t="s">
        <v>94</v>
      </c>
      <c r="E49" s="12">
        <f t="shared" si="12"/>
        <v>128.74</v>
      </c>
      <c r="F49" s="101">
        <f t="shared" si="14"/>
        <v>128.74</v>
      </c>
      <c r="G49" s="67"/>
      <c r="H49" s="63" t="s">
        <v>37</v>
      </c>
      <c r="I49" s="63"/>
      <c r="J49" s="64"/>
      <c r="K49" s="12"/>
      <c r="L49" s="62" t="str">
        <f t="shared" si="3"/>
        <v/>
      </c>
      <c r="M49" s="12">
        <v>55.73</v>
      </c>
      <c r="N49" s="12">
        <v>24.57</v>
      </c>
      <c r="O49" s="12">
        <v>12</v>
      </c>
      <c r="P49" s="12">
        <v>1.44</v>
      </c>
      <c r="Q49" s="12"/>
      <c r="R49" s="12"/>
      <c r="S49" s="12"/>
      <c r="T49" s="12"/>
      <c r="U49" s="12">
        <v>35</v>
      </c>
      <c r="V49" s="65" t="s">
        <v>1026</v>
      </c>
      <c r="W49" s="44" t="str">
        <f t="shared" si="2"/>
        <v>OK</v>
      </c>
      <c r="X49" s="47" t="str">
        <f t="shared" si="4"/>
        <v/>
      </c>
      <c r="Y49" s="3"/>
      <c r="Z49" s="127"/>
    </row>
    <row r="50" spans="1:26" ht="14.4" hidden="1" outlineLevel="1" x14ac:dyDescent="0.3">
      <c r="A50" s="3"/>
      <c r="B50" s="61" t="s">
        <v>468</v>
      </c>
      <c r="C50" s="62">
        <v>2</v>
      </c>
      <c r="D50" s="62" t="s">
        <v>94</v>
      </c>
      <c r="E50" s="12">
        <f t="shared" si="12"/>
        <v>170.76</v>
      </c>
      <c r="F50" s="101">
        <f t="shared" si="14"/>
        <v>170.76</v>
      </c>
      <c r="G50" s="67"/>
      <c r="H50" s="63" t="s">
        <v>37</v>
      </c>
      <c r="I50" s="63"/>
      <c r="J50" s="64"/>
      <c r="K50" s="12"/>
      <c r="L50" s="62" t="str">
        <f t="shared" si="3"/>
        <v/>
      </c>
      <c r="M50" s="12">
        <v>58.19</v>
      </c>
      <c r="N50" s="12">
        <v>24.57</v>
      </c>
      <c r="O50" s="12">
        <v>12</v>
      </c>
      <c r="P50" s="12" t="s">
        <v>43</v>
      </c>
      <c r="Q50" s="12" t="s">
        <v>43</v>
      </c>
      <c r="R50" s="12" t="s">
        <v>43</v>
      </c>
      <c r="S50" s="12" t="s">
        <v>43</v>
      </c>
      <c r="T50" s="12"/>
      <c r="U50" s="12">
        <v>76</v>
      </c>
      <c r="V50" s="65" t="s">
        <v>1027</v>
      </c>
      <c r="W50" s="44" t="str">
        <f t="shared" si="2"/>
        <v>OK</v>
      </c>
      <c r="X50" s="47" t="str">
        <f t="shared" si="4"/>
        <v/>
      </c>
      <c r="Y50" s="3"/>
      <c r="Z50" s="127"/>
    </row>
    <row r="51" spans="1:26" ht="14.4" hidden="1" outlineLevel="1" x14ac:dyDescent="0.3">
      <c r="A51" s="3"/>
      <c r="B51" s="61" t="s">
        <v>469</v>
      </c>
      <c r="C51" s="62">
        <v>2</v>
      </c>
      <c r="D51" s="62" t="s">
        <v>94</v>
      </c>
      <c r="E51" s="12">
        <f t="shared" si="12"/>
        <v>105.45</v>
      </c>
      <c r="F51" s="101">
        <f t="shared" si="14"/>
        <v>105.45</v>
      </c>
      <c r="G51" s="67"/>
      <c r="H51" s="63" t="s">
        <v>37</v>
      </c>
      <c r="I51" s="63"/>
      <c r="J51" s="64"/>
      <c r="K51" s="12"/>
      <c r="L51" s="62" t="str">
        <f t="shared" si="3"/>
        <v/>
      </c>
      <c r="M51" s="12">
        <v>33.880000000000003</v>
      </c>
      <c r="N51" s="12">
        <v>24.57</v>
      </c>
      <c r="O51" s="12">
        <v>12</v>
      </c>
      <c r="P51" s="12" t="s">
        <v>43</v>
      </c>
      <c r="Q51" s="12"/>
      <c r="R51" s="12" t="s">
        <v>43</v>
      </c>
      <c r="S51" s="12"/>
      <c r="T51" s="12"/>
      <c r="U51" s="12">
        <v>35</v>
      </c>
      <c r="V51" s="65" t="s">
        <v>1026</v>
      </c>
      <c r="W51" s="44" t="str">
        <f t="shared" si="2"/>
        <v>OK</v>
      </c>
      <c r="X51" s="47" t="str">
        <f t="shared" si="4"/>
        <v/>
      </c>
      <c r="Y51" s="3"/>
      <c r="Z51" s="127"/>
    </row>
    <row r="52" spans="1:26" ht="14.4" hidden="1" outlineLevel="1" x14ac:dyDescent="0.3">
      <c r="A52" s="3"/>
      <c r="B52" s="10" t="s">
        <v>470</v>
      </c>
      <c r="C52" s="62">
        <v>26</v>
      </c>
      <c r="D52" s="62" t="s">
        <v>94</v>
      </c>
      <c r="E52" s="12">
        <v>267.69</v>
      </c>
      <c r="F52" s="101">
        <f t="shared" ref="F52:F53" si="15">SUM(M52:U52)</f>
        <v>510.38</v>
      </c>
      <c r="G52" s="67"/>
      <c r="H52" s="63" t="s">
        <v>37</v>
      </c>
      <c r="I52" s="63"/>
      <c r="J52" s="64"/>
      <c r="K52" s="12"/>
      <c r="L52" s="62">
        <f t="shared" si="3"/>
        <v>1</v>
      </c>
      <c r="M52" s="12">
        <f t="shared" ref="M52:M53" si="16">93.62*2</f>
        <v>187.24</v>
      </c>
      <c r="N52" s="12">
        <f t="shared" ref="N52:N53" si="17">24.57*2</f>
        <v>49.14</v>
      </c>
      <c r="O52" s="12">
        <f t="shared" ref="O52:O53" si="18">12*2</f>
        <v>24</v>
      </c>
      <c r="P52" s="12">
        <f t="shared" ref="P52:P53" si="19">1.5*2</f>
        <v>3</v>
      </c>
      <c r="Q52" s="12"/>
      <c r="R52" s="12"/>
      <c r="S52" s="12">
        <f>10*2</f>
        <v>20</v>
      </c>
      <c r="T52" s="12"/>
      <c r="U52" s="12">
        <f>126+50+35+16</f>
        <v>227</v>
      </c>
      <c r="V52" s="65" t="s">
        <v>1028</v>
      </c>
      <c r="W52" s="44" t="str">
        <f t="shared" si="2"/>
        <v>OK</v>
      </c>
      <c r="X52" s="47" t="str">
        <f t="shared" si="4"/>
        <v/>
      </c>
      <c r="Y52" s="3"/>
      <c r="Z52" s="127"/>
    </row>
    <row r="53" spans="1:26" ht="14.4" hidden="1" outlineLevel="1" x14ac:dyDescent="0.3">
      <c r="A53" s="3"/>
      <c r="B53" s="10" t="s">
        <v>472</v>
      </c>
      <c r="C53" s="62">
        <v>26</v>
      </c>
      <c r="D53" s="62" t="s">
        <v>94</v>
      </c>
      <c r="E53" s="12">
        <v>166.69</v>
      </c>
      <c r="F53" s="101">
        <f t="shared" si="15"/>
        <v>333.38</v>
      </c>
      <c r="G53" s="67"/>
      <c r="H53" s="63" t="s">
        <v>37</v>
      </c>
      <c r="I53" s="63"/>
      <c r="J53" s="64"/>
      <c r="K53" s="12"/>
      <c r="L53" s="62">
        <f t="shared" si="3"/>
        <v>1</v>
      </c>
      <c r="M53" s="12">
        <f t="shared" si="16"/>
        <v>187.24</v>
      </c>
      <c r="N53" s="12">
        <f t="shared" si="17"/>
        <v>49.14</v>
      </c>
      <c r="O53" s="12">
        <f t="shared" si="18"/>
        <v>24</v>
      </c>
      <c r="P53" s="12">
        <f t="shared" si="19"/>
        <v>3</v>
      </c>
      <c r="Q53" s="12"/>
      <c r="R53" s="12"/>
      <c r="S53" s="12"/>
      <c r="T53" s="12"/>
      <c r="U53" s="12">
        <v>70</v>
      </c>
      <c r="V53" s="65" t="s">
        <v>1026</v>
      </c>
      <c r="W53" s="44" t="str">
        <f t="shared" si="2"/>
        <v>OK</v>
      </c>
      <c r="X53" s="47" t="str">
        <f t="shared" si="4"/>
        <v/>
      </c>
      <c r="Y53" s="3"/>
      <c r="Z53" s="127"/>
    </row>
    <row r="54" spans="1:26" ht="14.4" hidden="1" outlineLevel="1" x14ac:dyDescent="0.3">
      <c r="A54" s="3"/>
      <c r="B54" s="61" t="s">
        <v>473</v>
      </c>
      <c r="C54" s="62">
        <v>9</v>
      </c>
      <c r="D54" s="62" t="s">
        <v>94</v>
      </c>
      <c r="E54" s="12">
        <f t="shared" ref="E54:E63" si="20">SUM(M54:U54)</f>
        <v>217.44</v>
      </c>
      <c r="F54" s="101">
        <f t="shared" ref="F54:F56" si="21">E54</f>
        <v>217.44</v>
      </c>
      <c r="G54" s="67"/>
      <c r="H54" s="63" t="s">
        <v>37</v>
      </c>
      <c r="I54" s="63"/>
      <c r="J54" s="64"/>
      <c r="K54" s="12"/>
      <c r="L54" s="62" t="str">
        <f t="shared" si="3"/>
        <v/>
      </c>
      <c r="M54" s="12">
        <v>139.43</v>
      </c>
      <c r="N54" s="12">
        <v>24.57</v>
      </c>
      <c r="O54" s="12">
        <v>12</v>
      </c>
      <c r="P54" s="12">
        <v>1.44</v>
      </c>
      <c r="Q54" s="12">
        <v>5</v>
      </c>
      <c r="R54" s="12"/>
      <c r="S54" s="12"/>
      <c r="T54" s="12"/>
      <c r="U54" s="12">
        <v>35</v>
      </c>
      <c r="V54" s="65" t="s">
        <v>1026</v>
      </c>
      <c r="W54" s="44" t="str">
        <f t="shared" si="2"/>
        <v>OK</v>
      </c>
      <c r="X54" s="47" t="str">
        <f t="shared" si="4"/>
        <v/>
      </c>
      <c r="Y54" s="3"/>
      <c r="Z54" s="127"/>
    </row>
    <row r="55" spans="1:26" ht="14.4" hidden="1" outlineLevel="1" x14ac:dyDescent="0.3">
      <c r="A55" s="3"/>
      <c r="B55" s="10" t="s">
        <v>474</v>
      </c>
      <c r="C55" s="62">
        <v>3</v>
      </c>
      <c r="D55" s="62" t="s">
        <v>94</v>
      </c>
      <c r="E55" s="12">
        <f t="shared" si="20"/>
        <v>322.28999999999996</v>
      </c>
      <c r="F55" s="101">
        <f t="shared" si="21"/>
        <v>322.28999999999996</v>
      </c>
      <c r="G55" s="67"/>
      <c r="H55" s="63" t="s">
        <v>37</v>
      </c>
      <c r="I55" s="63"/>
      <c r="J55" s="64"/>
      <c r="K55" s="12"/>
      <c r="L55" s="62" t="str">
        <f t="shared" si="3"/>
        <v/>
      </c>
      <c r="M55" s="12">
        <v>98.28</v>
      </c>
      <c r="N55" s="12">
        <v>24.57</v>
      </c>
      <c r="O55" s="12">
        <v>12</v>
      </c>
      <c r="P55" s="12">
        <v>1.44</v>
      </c>
      <c r="Q55" s="12"/>
      <c r="R55" s="12">
        <v>10</v>
      </c>
      <c r="S55" s="12"/>
      <c r="T55" s="12">
        <v>100</v>
      </c>
      <c r="U55" s="12">
        <v>76</v>
      </c>
      <c r="V55" s="65" t="s">
        <v>1027</v>
      </c>
      <c r="W55" s="44" t="str">
        <f t="shared" si="2"/>
        <v>OK</v>
      </c>
      <c r="X55" s="47" t="str">
        <f t="shared" si="4"/>
        <v/>
      </c>
      <c r="Y55" s="3"/>
      <c r="Z55" s="127"/>
    </row>
    <row r="56" spans="1:26" ht="14.4" hidden="1" outlineLevel="1" x14ac:dyDescent="0.3">
      <c r="A56" s="3"/>
      <c r="B56" s="10" t="s">
        <v>476</v>
      </c>
      <c r="C56" s="62">
        <v>3</v>
      </c>
      <c r="D56" s="62" t="s">
        <v>94</v>
      </c>
      <c r="E56" s="12">
        <f t="shared" si="20"/>
        <v>181.29</v>
      </c>
      <c r="F56" s="101">
        <f t="shared" si="21"/>
        <v>181.29</v>
      </c>
      <c r="G56" s="67"/>
      <c r="H56" s="63" t="s">
        <v>37</v>
      </c>
      <c r="I56" s="63"/>
      <c r="J56" s="64"/>
      <c r="K56" s="12"/>
      <c r="L56" s="62" t="str">
        <f t="shared" si="3"/>
        <v/>
      </c>
      <c r="M56" s="12">
        <v>98.28</v>
      </c>
      <c r="N56" s="12">
        <v>24.57</v>
      </c>
      <c r="O56" s="12">
        <v>12</v>
      </c>
      <c r="P56" s="12">
        <v>1.44</v>
      </c>
      <c r="Q56" s="12"/>
      <c r="R56" s="12">
        <v>10</v>
      </c>
      <c r="S56" s="12"/>
      <c r="T56" s="12"/>
      <c r="U56" s="12">
        <v>35</v>
      </c>
      <c r="V56" s="65" t="s">
        <v>1026</v>
      </c>
      <c r="W56" s="44" t="str">
        <f t="shared" si="2"/>
        <v>OK</v>
      </c>
      <c r="X56" s="47" t="str">
        <f t="shared" si="4"/>
        <v/>
      </c>
      <c r="Y56" s="3"/>
      <c r="Z56" s="127"/>
    </row>
    <row r="57" spans="1:26" ht="14.4" hidden="1" outlineLevel="1" x14ac:dyDescent="0.3">
      <c r="A57" s="3"/>
      <c r="B57" s="61" t="s">
        <v>477</v>
      </c>
      <c r="C57" s="62"/>
      <c r="D57" s="62" t="s">
        <v>104</v>
      </c>
      <c r="E57" s="12">
        <f t="shared" si="20"/>
        <v>92</v>
      </c>
      <c r="F57" s="101">
        <v>0</v>
      </c>
      <c r="G57" s="67"/>
      <c r="H57" s="63"/>
      <c r="I57" s="63"/>
      <c r="J57" s="64"/>
      <c r="K57" s="12"/>
      <c r="L57" s="62" t="str">
        <f t="shared" si="3"/>
        <v/>
      </c>
      <c r="M57" s="12">
        <v>13.93</v>
      </c>
      <c r="N57" s="12">
        <v>24.57</v>
      </c>
      <c r="O57" s="12">
        <v>12</v>
      </c>
      <c r="P57" s="12">
        <v>1.5</v>
      </c>
      <c r="Q57" s="12">
        <v>5</v>
      </c>
      <c r="R57" s="12"/>
      <c r="S57" s="12"/>
      <c r="T57" s="12"/>
      <c r="U57" s="12">
        <v>35</v>
      </c>
      <c r="V57" s="65" t="s">
        <v>1026</v>
      </c>
      <c r="W57" s="44" t="str">
        <f t="shared" si="2"/>
        <v>Diferente</v>
      </c>
      <c r="X57" s="47">
        <f t="shared" si="4"/>
        <v>-92</v>
      </c>
      <c r="Y57" s="3"/>
      <c r="Z57" s="127"/>
    </row>
    <row r="58" spans="1:26" ht="14.4" hidden="1" outlineLevel="1" x14ac:dyDescent="0.3">
      <c r="A58" s="3"/>
      <c r="B58" s="10" t="s">
        <v>478</v>
      </c>
      <c r="C58" s="62">
        <v>5</v>
      </c>
      <c r="D58" s="62" t="s">
        <v>94</v>
      </c>
      <c r="E58" s="12">
        <f t="shared" si="20"/>
        <v>216.5</v>
      </c>
      <c r="F58" s="101">
        <f t="shared" ref="F58:F60" si="22">E58</f>
        <v>216.5</v>
      </c>
      <c r="G58" s="67"/>
      <c r="H58" s="63" t="s">
        <v>37</v>
      </c>
      <c r="I58" s="63"/>
      <c r="J58" s="64"/>
      <c r="K58" s="12"/>
      <c r="L58" s="62" t="str">
        <f t="shared" si="3"/>
        <v/>
      </c>
      <c r="M58" s="12">
        <v>93.43</v>
      </c>
      <c r="N58" s="12">
        <v>24.57</v>
      </c>
      <c r="O58" s="12">
        <v>12</v>
      </c>
      <c r="P58" s="12">
        <v>1.5</v>
      </c>
      <c r="Q58" s="12"/>
      <c r="R58" s="12">
        <v>0</v>
      </c>
      <c r="S58" s="12">
        <v>4</v>
      </c>
      <c r="T58" s="12">
        <v>5</v>
      </c>
      <c r="U58" s="12">
        <v>76</v>
      </c>
      <c r="V58" s="65" t="s">
        <v>1027</v>
      </c>
      <c r="W58" s="44" t="str">
        <f t="shared" si="2"/>
        <v>OK</v>
      </c>
      <c r="X58" s="47" t="str">
        <f t="shared" si="4"/>
        <v/>
      </c>
      <c r="Y58" s="3"/>
      <c r="Z58" s="127"/>
    </row>
    <row r="59" spans="1:26" ht="14.4" hidden="1" outlineLevel="1" x14ac:dyDescent="0.3">
      <c r="A59" s="3"/>
      <c r="B59" s="10" t="s">
        <v>479</v>
      </c>
      <c r="C59" s="62">
        <v>5</v>
      </c>
      <c r="D59" s="62" t="s">
        <v>94</v>
      </c>
      <c r="E59" s="12">
        <f t="shared" si="20"/>
        <v>174.5</v>
      </c>
      <c r="F59" s="101">
        <f t="shared" si="22"/>
        <v>174.5</v>
      </c>
      <c r="G59" s="67"/>
      <c r="H59" s="63" t="s">
        <v>37</v>
      </c>
      <c r="I59" s="63"/>
      <c r="J59" s="64"/>
      <c r="K59" s="12"/>
      <c r="L59" s="62" t="str">
        <f t="shared" si="3"/>
        <v/>
      </c>
      <c r="M59" s="12">
        <v>93.43</v>
      </c>
      <c r="N59" s="12">
        <v>24.57</v>
      </c>
      <c r="O59" s="12">
        <v>12</v>
      </c>
      <c r="P59" s="12">
        <v>1.5</v>
      </c>
      <c r="Q59" s="12"/>
      <c r="R59" s="12">
        <v>0</v>
      </c>
      <c r="S59" s="12">
        <v>3</v>
      </c>
      <c r="T59" s="12">
        <v>5</v>
      </c>
      <c r="U59" s="12">
        <v>35</v>
      </c>
      <c r="V59" s="65" t="s">
        <v>1026</v>
      </c>
      <c r="W59" s="44" t="str">
        <f t="shared" si="2"/>
        <v>OK</v>
      </c>
      <c r="X59" s="47" t="str">
        <f t="shared" si="4"/>
        <v/>
      </c>
      <c r="Y59" s="3"/>
      <c r="Z59" s="127"/>
    </row>
    <row r="60" spans="1:26" ht="14.4" hidden="1" outlineLevel="1" x14ac:dyDescent="0.3">
      <c r="A60" s="3"/>
      <c r="B60" s="61" t="s">
        <v>480</v>
      </c>
      <c r="C60" s="62">
        <v>2</v>
      </c>
      <c r="D60" s="62" t="s">
        <v>94</v>
      </c>
      <c r="E60" s="12">
        <f t="shared" si="20"/>
        <v>100</v>
      </c>
      <c r="F60" s="101">
        <f t="shared" si="22"/>
        <v>100</v>
      </c>
      <c r="G60" s="67"/>
      <c r="H60" s="63" t="s">
        <v>37</v>
      </c>
      <c r="I60" s="63"/>
      <c r="J60" s="64"/>
      <c r="K60" s="12"/>
      <c r="L60" s="62" t="str">
        <f t="shared" si="3"/>
        <v/>
      </c>
      <c r="M60" s="12">
        <v>61.93</v>
      </c>
      <c r="N60" s="12">
        <v>24.57</v>
      </c>
      <c r="O60" s="12">
        <v>12</v>
      </c>
      <c r="P60" s="12">
        <v>1.5</v>
      </c>
      <c r="Q60" s="12"/>
      <c r="R60" s="12"/>
      <c r="S60" s="12"/>
      <c r="T60" s="12"/>
      <c r="U60" s="12"/>
      <c r="V60" s="65"/>
      <c r="W60" s="44" t="str">
        <f t="shared" si="2"/>
        <v>OK</v>
      </c>
      <c r="X60" s="47" t="str">
        <f t="shared" si="4"/>
        <v/>
      </c>
      <c r="Y60" s="3"/>
      <c r="Z60" s="127"/>
    </row>
    <row r="61" spans="1:26" ht="14.4" hidden="1" outlineLevel="1" x14ac:dyDescent="0.3">
      <c r="A61" s="3"/>
      <c r="B61" s="10" t="s">
        <v>481</v>
      </c>
      <c r="C61" s="62"/>
      <c r="D61" s="62" t="s">
        <v>104</v>
      </c>
      <c r="E61" s="12">
        <f t="shared" si="20"/>
        <v>97.37</v>
      </c>
      <c r="F61" s="101">
        <v>0</v>
      </c>
      <c r="G61" s="67"/>
      <c r="H61" s="63"/>
      <c r="I61" s="63"/>
      <c r="J61" s="64"/>
      <c r="K61" s="12"/>
      <c r="L61" s="62" t="str">
        <f t="shared" si="3"/>
        <v/>
      </c>
      <c r="M61" s="12">
        <v>19.36</v>
      </c>
      <c r="N61" s="12">
        <v>24.57</v>
      </c>
      <c r="O61" s="12">
        <v>12</v>
      </c>
      <c r="P61" s="12">
        <v>1.44</v>
      </c>
      <c r="Q61" s="12">
        <v>5</v>
      </c>
      <c r="R61" s="12"/>
      <c r="S61" s="12"/>
      <c r="T61" s="12"/>
      <c r="U61" s="12">
        <v>35</v>
      </c>
      <c r="V61" s="65" t="s">
        <v>1026</v>
      </c>
      <c r="W61" s="44" t="str">
        <f t="shared" si="2"/>
        <v>Diferente</v>
      </c>
      <c r="X61" s="47">
        <f t="shared" si="4"/>
        <v>-97.37</v>
      </c>
      <c r="Y61" s="3"/>
      <c r="Z61" s="127"/>
    </row>
    <row r="62" spans="1:26" ht="14.4" hidden="1" outlineLevel="1" x14ac:dyDescent="0.3">
      <c r="A62" s="3"/>
      <c r="B62" s="61" t="s">
        <v>482</v>
      </c>
      <c r="C62" s="62"/>
      <c r="D62" s="62" t="s">
        <v>104</v>
      </c>
      <c r="E62" s="12">
        <f t="shared" si="20"/>
        <v>107.75</v>
      </c>
      <c r="F62" s="101">
        <v>0</v>
      </c>
      <c r="G62" s="67"/>
      <c r="H62" s="63"/>
      <c r="I62" s="63"/>
      <c r="J62" s="64"/>
      <c r="K62" s="12"/>
      <c r="L62" s="62" t="str">
        <f t="shared" si="3"/>
        <v/>
      </c>
      <c r="M62" s="12">
        <v>29.74</v>
      </c>
      <c r="N62" s="12">
        <v>24.57</v>
      </c>
      <c r="O62" s="12">
        <v>12</v>
      </c>
      <c r="P62" s="12">
        <v>1.44</v>
      </c>
      <c r="Q62" s="12">
        <v>5</v>
      </c>
      <c r="R62" s="12"/>
      <c r="S62" s="12"/>
      <c r="T62" s="12"/>
      <c r="U62" s="12">
        <v>35</v>
      </c>
      <c r="V62" s="65" t="s">
        <v>1026</v>
      </c>
      <c r="W62" s="44" t="str">
        <f t="shared" si="2"/>
        <v>Diferente</v>
      </c>
      <c r="X62" s="47">
        <f t="shared" si="4"/>
        <v>-107.75</v>
      </c>
      <c r="Y62" s="3"/>
      <c r="Z62" s="127"/>
    </row>
    <row r="63" spans="1:26" ht="14.4" hidden="1" outlineLevel="1" x14ac:dyDescent="0.3">
      <c r="A63" s="3"/>
      <c r="B63" s="61" t="s">
        <v>483</v>
      </c>
      <c r="C63" s="62"/>
      <c r="D63" s="62" t="s">
        <v>104</v>
      </c>
      <c r="E63" s="12">
        <f t="shared" si="20"/>
        <v>108</v>
      </c>
      <c r="F63" s="101">
        <v>0</v>
      </c>
      <c r="G63" s="67"/>
      <c r="H63" s="63"/>
      <c r="I63" s="63"/>
      <c r="J63" s="64"/>
      <c r="K63" s="12"/>
      <c r="L63" s="62" t="str">
        <f t="shared" si="3"/>
        <v/>
      </c>
      <c r="M63" s="12">
        <v>29.93</v>
      </c>
      <c r="N63" s="12">
        <v>24.57</v>
      </c>
      <c r="O63" s="12">
        <v>12</v>
      </c>
      <c r="P63" s="12">
        <v>1.5</v>
      </c>
      <c r="Q63" s="12">
        <v>5</v>
      </c>
      <c r="R63" s="12"/>
      <c r="S63" s="12"/>
      <c r="T63" s="12"/>
      <c r="U63" s="12">
        <v>35</v>
      </c>
      <c r="V63" s="65" t="s">
        <v>1026</v>
      </c>
      <c r="W63" s="44" t="str">
        <f t="shared" si="2"/>
        <v>Diferente</v>
      </c>
      <c r="X63" s="47">
        <f t="shared" si="4"/>
        <v>-108</v>
      </c>
      <c r="Y63" s="3"/>
      <c r="Z63" s="127"/>
    </row>
    <row r="64" spans="1:26" ht="14.4" hidden="1" outlineLevel="1" x14ac:dyDescent="0.3">
      <c r="A64" s="3"/>
      <c r="B64" s="10" t="s">
        <v>484</v>
      </c>
      <c r="C64" s="62">
        <v>12</v>
      </c>
      <c r="D64" s="62" t="s">
        <v>94</v>
      </c>
      <c r="E64" s="12">
        <v>135</v>
      </c>
      <c r="F64" s="101">
        <f>SUM(M64:U64)</f>
        <v>491</v>
      </c>
      <c r="G64" s="67"/>
      <c r="H64" s="63" t="s">
        <v>37</v>
      </c>
      <c r="I64" s="63"/>
      <c r="J64" s="64"/>
      <c r="K64" s="12"/>
      <c r="L64" s="62" t="str">
        <f t="shared" si="3"/>
        <v/>
      </c>
      <c r="M64" s="12">
        <f>61.99*3</f>
        <v>185.97</v>
      </c>
      <c r="N64" s="12">
        <f>24.57*3</f>
        <v>73.710000000000008</v>
      </c>
      <c r="O64" s="12">
        <f>12*3</f>
        <v>36</v>
      </c>
      <c r="P64" s="12">
        <f>1.44*3</f>
        <v>4.32</v>
      </c>
      <c r="Q64" s="12"/>
      <c r="R64" s="12"/>
      <c r="S64" s="12"/>
      <c r="T64" s="12"/>
      <c r="U64" s="12">
        <f>70+121</f>
        <v>191</v>
      </c>
      <c r="V64" s="65" t="s">
        <v>1026</v>
      </c>
      <c r="W64" s="44" t="str">
        <f t="shared" si="2"/>
        <v>OK</v>
      </c>
      <c r="X64" s="47" t="str">
        <f t="shared" si="4"/>
        <v/>
      </c>
      <c r="Y64" s="3"/>
      <c r="Z64" s="127"/>
    </row>
    <row r="65" spans="1:26" ht="14.4" hidden="1" outlineLevel="1" x14ac:dyDescent="0.3">
      <c r="A65" s="3"/>
      <c r="B65" s="61" t="s">
        <v>488</v>
      </c>
      <c r="C65" s="62"/>
      <c r="D65" s="62" t="s">
        <v>104</v>
      </c>
      <c r="E65" s="12">
        <f t="shared" ref="E65:E74" si="23">SUM(M65:U65)</f>
        <v>214.07</v>
      </c>
      <c r="F65" s="101">
        <v>0</v>
      </c>
      <c r="G65" s="67"/>
      <c r="H65" s="63"/>
      <c r="I65" s="63"/>
      <c r="J65" s="64"/>
      <c r="K65" s="12"/>
      <c r="L65" s="62" t="str">
        <f t="shared" si="3"/>
        <v/>
      </c>
      <c r="M65" s="12">
        <v>100</v>
      </c>
      <c r="N65" s="12">
        <v>24.57</v>
      </c>
      <c r="O65" s="12">
        <v>12</v>
      </c>
      <c r="P65" s="12">
        <v>1.5</v>
      </c>
      <c r="Q65" s="12"/>
      <c r="R65" s="12"/>
      <c r="S65" s="12"/>
      <c r="T65" s="12"/>
      <c r="U65" s="12">
        <v>76</v>
      </c>
      <c r="V65" s="65" t="s">
        <v>1027</v>
      </c>
      <c r="W65" s="44" t="str">
        <f t="shared" si="2"/>
        <v>Diferente</v>
      </c>
      <c r="X65" s="47">
        <f t="shared" si="4"/>
        <v>-214.07</v>
      </c>
      <c r="Y65" s="3"/>
      <c r="Z65" s="127"/>
    </row>
    <row r="66" spans="1:26" ht="14.4" hidden="1" outlineLevel="1" x14ac:dyDescent="0.3">
      <c r="A66" s="3"/>
      <c r="B66" s="10" t="s">
        <v>489</v>
      </c>
      <c r="C66" s="62">
        <v>3</v>
      </c>
      <c r="D66" s="62" t="s">
        <v>94</v>
      </c>
      <c r="E66" s="12">
        <f t="shared" si="23"/>
        <v>344.82</v>
      </c>
      <c r="F66" s="101">
        <f t="shared" ref="F66:F68" si="24">E66</f>
        <v>344.82</v>
      </c>
      <c r="G66" s="67"/>
      <c r="H66" s="63" t="s">
        <v>37</v>
      </c>
      <c r="I66" s="63"/>
      <c r="J66" s="64"/>
      <c r="K66" s="12"/>
      <c r="L66" s="62" t="str">
        <f t="shared" si="3"/>
        <v/>
      </c>
      <c r="M66" s="12">
        <v>122.25</v>
      </c>
      <c r="N66" s="12">
        <v>24.57</v>
      </c>
      <c r="O66" s="12">
        <v>12</v>
      </c>
      <c r="P66" s="12">
        <v>10</v>
      </c>
      <c r="Q66" s="12">
        <v>5</v>
      </c>
      <c r="R66" s="12">
        <v>5</v>
      </c>
      <c r="S66" s="12">
        <v>15</v>
      </c>
      <c r="T66" s="12">
        <v>25</v>
      </c>
      <c r="U66" s="12">
        <v>126</v>
      </c>
      <c r="V66" s="65" t="s">
        <v>1028</v>
      </c>
      <c r="W66" s="44" t="str">
        <f t="shared" si="2"/>
        <v>OK</v>
      </c>
      <c r="X66" s="47" t="str">
        <f t="shared" si="4"/>
        <v/>
      </c>
      <c r="Y66" s="3"/>
      <c r="Z66" s="127"/>
    </row>
    <row r="67" spans="1:26" ht="14.4" hidden="1" outlineLevel="1" x14ac:dyDescent="0.3">
      <c r="A67" s="3"/>
      <c r="B67" s="10" t="s">
        <v>490</v>
      </c>
      <c r="C67" s="62">
        <v>3</v>
      </c>
      <c r="D67" s="62" t="s">
        <v>94</v>
      </c>
      <c r="E67" s="12">
        <f t="shared" si="23"/>
        <v>253.82</v>
      </c>
      <c r="F67" s="101">
        <f t="shared" si="24"/>
        <v>253.82</v>
      </c>
      <c r="G67" s="67"/>
      <c r="H67" s="63" t="s">
        <v>37</v>
      </c>
      <c r="I67" s="63"/>
      <c r="J67" s="64"/>
      <c r="K67" s="12"/>
      <c r="L67" s="62" t="str">
        <f t="shared" si="3"/>
        <v/>
      </c>
      <c r="M67" s="12">
        <v>122.25</v>
      </c>
      <c r="N67" s="12">
        <v>24.57</v>
      </c>
      <c r="O67" s="12">
        <v>12</v>
      </c>
      <c r="P67" s="12">
        <v>10</v>
      </c>
      <c r="Q67" s="12">
        <v>5</v>
      </c>
      <c r="R67" s="12">
        <v>5</v>
      </c>
      <c r="S67" s="12">
        <v>15</v>
      </c>
      <c r="T67" s="12">
        <v>25</v>
      </c>
      <c r="U67" s="12">
        <v>35</v>
      </c>
      <c r="V67" s="65" t="s">
        <v>1026</v>
      </c>
      <c r="W67" s="44" t="str">
        <f t="shared" si="2"/>
        <v>OK</v>
      </c>
      <c r="X67" s="47" t="str">
        <f t="shared" si="4"/>
        <v/>
      </c>
      <c r="Y67" s="3"/>
      <c r="Z67" s="127"/>
    </row>
    <row r="68" spans="1:26" ht="14.4" hidden="1" outlineLevel="1" x14ac:dyDescent="0.3">
      <c r="A68" s="3"/>
      <c r="B68" s="61" t="s">
        <v>491</v>
      </c>
      <c r="C68" s="62">
        <v>3</v>
      </c>
      <c r="D68" s="62" t="s">
        <v>94</v>
      </c>
      <c r="E68" s="12">
        <f t="shared" si="23"/>
        <v>216.44</v>
      </c>
      <c r="F68" s="101">
        <f t="shared" si="24"/>
        <v>216.44</v>
      </c>
      <c r="G68" s="67"/>
      <c r="H68" s="63" t="s">
        <v>37</v>
      </c>
      <c r="I68" s="63"/>
      <c r="J68" s="64"/>
      <c r="K68" s="12"/>
      <c r="L68" s="62" t="str">
        <f t="shared" si="3"/>
        <v/>
      </c>
      <c r="M68" s="12">
        <v>113.43</v>
      </c>
      <c r="N68" s="12">
        <v>24.57</v>
      </c>
      <c r="O68" s="12">
        <v>12</v>
      </c>
      <c r="P68" s="12">
        <v>1.44</v>
      </c>
      <c r="Q68" s="12">
        <v>5</v>
      </c>
      <c r="R68" s="12">
        <v>20</v>
      </c>
      <c r="S68" s="12">
        <v>5</v>
      </c>
      <c r="T68" s="12"/>
      <c r="U68" s="12">
        <v>35</v>
      </c>
      <c r="V68" s="65" t="s">
        <v>1026</v>
      </c>
      <c r="W68" s="44" t="str">
        <f t="shared" si="2"/>
        <v>OK</v>
      </c>
      <c r="X68" s="47" t="str">
        <f t="shared" si="4"/>
        <v/>
      </c>
      <c r="Y68" s="3"/>
      <c r="Z68" s="127"/>
    </row>
    <row r="69" spans="1:26" ht="14.4" hidden="1" outlineLevel="1" x14ac:dyDescent="0.3">
      <c r="A69" s="3"/>
      <c r="B69" s="10" t="s">
        <v>492</v>
      </c>
      <c r="C69" s="62"/>
      <c r="D69" s="62" t="s">
        <v>104</v>
      </c>
      <c r="E69" s="12">
        <f t="shared" si="23"/>
        <v>100.67</v>
      </c>
      <c r="F69" s="101">
        <v>0</v>
      </c>
      <c r="G69" s="67"/>
      <c r="H69" s="63"/>
      <c r="I69" s="63"/>
      <c r="J69" s="64"/>
      <c r="K69" s="12"/>
      <c r="L69" s="62" t="str">
        <f t="shared" si="3"/>
        <v/>
      </c>
      <c r="M69" s="12">
        <v>27.66</v>
      </c>
      <c r="N69" s="12">
        <v>24.57</v>
      </c>
      <c r="O69" s="12">
        <v>12</v>
      </c>
      <c r="P69" s="12">
        <v>1.44</v>
      </c>
      <c r="Q69" s="12"/>
      <c r="R69" s="12"/>
      <c r="S69" s="12"/>
      <c r="T69" s="12"/>
      <c r="U69" s="12">
        <v>35</v>
      </c>
      <c r="V69" s="65" t="s">
        <v>1026</v>
      </c>
      <c r="W69" s="44" t="str">
        <f t="shared" si="2"/>
        <v>Diferente</v>
      </c>
      <c r="X69" s="47">
        <f t="shared" si="4"/>
        <v>-100.67</v>
      </c>
      <c r="Y69" s="3"/>
      <c r="Z69" s="127"/>
    </row>
    <row r="70" spans="1:26" ht="14.4" hidden="1" outlineLevel="1" x14ac:dyDescent="0.3">
      <c r="A70" s="3"/>
      <c r="B70" s="61" t="s">
        <v>493</v>
      </c>
      <c r="C70" s="62">
        <v>9</v>
      </c>
      <c r="D70" s="62" t="s">
        <v>94</v>
      </c>
      <c r="E70" s="12">
        <f t="shared" si="23"/>
        <v>155</v>
      </c>
      <c r="F70" s="101">
        <f>E70</f>
        <v>155</v>
      </c>
      <c r="G70" s="67"/>
      <c r="H70" s="63" t="s">
        <v>37</v>
      </c>
      <c r="I70" s="63"/>
      <c r="J70" s="64"/>
      <c r="K70" s="12"/>
      <c r="L70" s="62" t="str">
        <f t="shared" si="3"/>
        <v/>
      </c>
      <c r="M70" s="12">
        <v>81.93</v>
      </c>
      <c r="N70" s="12">
        <v>24.57</v>
      </c>
      <c r="O70" s="12">
        <v>12</v>
      </c>
      <c r="P70" s="12">
        <v>1.5</v>
      </c>
      <c r="Q70" s="12"/>
      <c r="R70" s="12"/>
      <c r="S70" s="12"/>
      <c r="T70" s="12"/>
      <c r="U70" s="12">
        <v>35</v>
      </c>
      <c r="V70" s="65" t="s">
        <v>1026</v>
      </c>
      <c r="W70" s="44" t="str">
        <f t="shared" si="2"/>
        <v>OK</v>
      </c>
      <c r="X70" s="47" t="str">
        <f t="shared" si="4"/>
        <v/>
      </c>
      <c r="Y70" s="3"/>
      <c r="Z70" s="127"/>
    </row>
    <row r="71" spans="1:26" ht="14.4" hidden="1" outlineLevel="1" x14ac:dyDescent="0.3">
      <c r="A71" s="3"/>
      <c r="B71" s="10" t="s">
        <v>494</v>
      </c>
      <c r="C71" s="62"/>
      <c r="D71" s="62" t="s">
        <v>104</v>
      </c>
      <c r="E71" s="12">
        <f t="shared" si="23"/>
        <v>87</v>
      </c>
      <c r="F71" s="101">
        <v>0</v>
      </c>
      <c r="G71" s="67"/>
      <c r="H71" s="63"/>
      <c r="I71" s="63"/>
      <c r="J71" s="64"/>
      <c r="K71" s="12"/>
      <c r="L71" s="62" t="str">
        <f t="shared" si="3"/>
        <v/>
      </c>
      <c r="M71" s="12">
        <v>13.93</v>
      </c>
      <c r="N71" s="12">
        <v>24.57</v>
      </c>
      <c r="O71" s="12">
        <v>12</v>
      </c>
      <c r="P71" s="12">
        <v>1.5</v>
      </c>
      <c r="Q71" s="12"/>
      <c r="R71" s="12"/>
      <c r="S71" s="12"/>
      <c r="T71" s="12"/>
      <c r="U71" s="12">
        <v>35</v>
      </c>
      <c r="V71" s="65" t="s">
        <v>1026</v>
      </c>
      <c r="W71" s="44" t="str">
        <f t="shared" si="2"/>
        <v>Diferente</v>
      </c>
      <c r="X71" s="47">
        <f t="shared" si="4"/>
        <v>-87</v>
      </c>
      <c r="Y71" s="3"/>
      <c r="Z71" s="127"/>
    </row>
    <row r="72" spans="1:26" ht="14.4" hidden="1" outlineLevel="1" x14ac:dyDescent="0.3">
      <c r="A72" s="3"/>
      <c r="B72" s="10" t="s">
        <v>495</v>
      </c>
      <c r="C72" s="62"/>
      <c r="D72" s="62" t="s">
        <v>104</v>
      </c>
      <c r="E72" s="12">
        <f t="shared" si="23"/>
        <v>87</v>
      </c>
      <c r="F72" s="101">
        <v>0</v>
      </c>
      <c r="G72" s="67"/>
      <c r="H72" s="63"/>
      <c r="I72" s="63"/>
      <c r="J72" s="64"/>
      <c r="K72" s="12"/>
      <c r="L72" s="62" t="str">
        <f t="shared" si="3"/>
        <v/>
      </c>
      <c r="M72" s="12">
        <v>13.93</v>
      </c>
      <c r="N72" s="12">
        <v>24.57</v>
      </c>
      <c r="O72" s="12">
        <v>12</v>
      </c>
      <c r="P72" s="12">
        <v>1.5</v>
      </c>
      <c r="Q72" s="12"/>
      <c r="R72" s="12"/>
      <c r="S72" s="12"/>
      <c r="T72" s="12"/>
      <c r="U72" s="12">
        <v>35</v>
      </c>
      <c r="V72" s="65" t="s">
        <v>1026</v>
      </c>
      <c r="W72" s="44" t="str">
        <f t="shared" si="2"/>
        <v>Diferente</v>
      </c>
      <c r="X72" s="47">
        <f t="shared" si="4"/>
        <v>-87</v>
      </c>
      <c r="Y72" s="3"/>
      <c r="Z72" s="127"/>
    </row>
    <row r="73" spans="1:26" ht="14.4" hidden="1" outlineLevel="1" x14ac:dyDescent="0.3">
      <c r="A73" s="3"/>
      <c r="B73" s="61" t="s">
        <v>496</v>
      </c>
      <c r="C73" s="62">
        <v>10</v>
      </c>
      <c r="D73" s="62" t="s">
        <v>94</v>
      </c>
      <c r="E73" s="12">
        <f t="shared" si="23"/>
        <v>135</v>
      </c>
      <c r="F73" s="101">
        <f t="shared" ref="F73:F74" si="25">E73</f>
        <v>135</v>
      </c>
      <c r="G73" s="67"/>
      <c r="H73" s="63" t="s">
        <v>37</v>
      </c>
      <c r="I73" s="63"/>
      <c r="J73" s="64"/>
      <c r="K73" s="12"/>
      <c r="L73" s="62" t="str">
        <f t="shared" si="3"/>
        <v/>
      </c>
      <c r="M73" s="12">
        <v>56.93</v>
      </c>
      <c r="N73" s="12">
        <v>24.57</v>
      </c>
      <c r="O73" s="12">
        <v>12</v>
      </c>
      <c r="P73" s="12">
        <v>1.5</v>
      </c>
      <c r="Q73" s="12">
        <v>5</v>
      </c>
      <c r="R73" s="12"/>
      <c r="S73" s="12"/>
      <c r="T73" s="12"/>
      <c r="U73" s="12">
        <v>35</v>
      </c>
      <c r="V73" s="65" t="s">
        <v>1026</v>
      </c>
      <c r="W73" s="44" t="str">
        <f t="shared" si="2"/>
        <v>OK</v>
      </c>
      <c r="X73" s="47" t="str">
        <f t="shared" si="4"/>
        <v/>
      </c>
      <c r="Y73" s="3"/>
      <c r="Z73" s="127"/>
    </row>
    <row r="74" spans="1:26" ht="14.4" hidden="1" outlineLevel="1" x14ac:dyDescent="0.3">
      <c r="A74" s="3"/>
      <c r="B74" s="10" t="s">
        <v>497</v>
      </c>
      <c r="C74" s="62">
        <v>10</v>
      </c>
      <c r="D74" s="62" t="s">
        <v>94</v>
      </c>
      <c r="E74" s="12">
        <f t="shared" si="23"/>
        <v>235</v>
      </c>
      <c r="F74" s="101">
        <f t="shared" si="25"/>
        <v>235</v>
      </c>
      <c r="G74" s="67"/>
      <c r="H74" s="63" t="s">
        <v>37</v>
      </c>
      <c r="I74" s="63"/>
      <c r="J74" s="64"/>
      <c r="K74" s="12"/>
      <c r="L74" s="62" t="str">
        <f t="shared" si="3"/>
        <v/>
      </c>
      <c r="M74" s="12">
        <v>148.43</v>
      </c>
      <c r="N74" s="12">
        <v>24.57</v>
      </c>
      <c r="O74" s="12">
        <v>12</v>
      </c>
      <c r="P74" s="12">
        <v>5</v>
      </c>
      <c r="Q74" s="12">
        <v>10</v>
      </c>
      <c r="R74" s="12"/>
      <c r="S74" s="12"/>
      <c r="T74" s="12"/>
      <c r="U74" s="12">
        <v>35</v>
      </c>
      <c r="V74" s="65" t="s">
        <v>1026</v>
      </c>
      <c r="W74" s="44" t="str">
        <f t="shared" si="2"/>
        <v>OK</v>
      </c>
      <c r="X74" s="47" t="str">
        <f t="shared" si="4"/>
        <v/>
      </c>
      <c r="Y74" s="3"/>
      <c r="Z74" s="127"/>
    </row>
    <row r="75" spans="1:26" ht="14.4" hidden="1" outlineLevel="1" x14ac:dyDescent="0.3">
      <c r="A75" s="3"/>
      <c r="B75" s="61" t="s">
        <v>498</v>
      </c>
      <c r="C75" s="62">
        <v>2</v>
      </c>
      <c r="D75" s="62" t="s">
        <v>94</v>
      </c>
      <c r="E75" s="12">
        <v>92.39</v>
      </c>
      <c r="F75" s="101">
        <f>SUM(M75:U75)</f>
        <v>338.56</v>
      </c>
      <c r="G75" s="67"/>
      <c r="H75" s="63" t="s">
        <v>37</v>
      </c>
      <c r="I75" s="63"/>
      <c r="J75" s="64"/>
      <c r="K75" s="12"/>
      <c r="L75" s="62" t="str">
        <f t="shared" si="3"/>
        <v/>
      </c>
      <c r="M75" s="12">
        <f>19.32*4</f>
        <v>77.28</v>
      </c>
      <c r="N75" s="12">
        <f>24.57*4</f>
        <v>98.28</v>
      </c>
      <c r="O75" s="12">
        <f>12*4</f>
        <v>48</v>
      </c>
      <c r="P75" s="12">
        <f>1.5*4</f>
        <v>6</v>
      </c>
      <c r="Q75" s="12"/>
      <c r="R75" s="12"/>
      <c r="S75" s="12"/>
      <c r="T75" s="12"/>
      <c r="U75" s="12">
        <f>70+39</f>
        <v>109</v>
      </c>
      <c r="V75" s="65" t="s">
        <v>1026</v>
      </c>
      <c r="W75" s="44" t="str">
        <f t="shared" si="2"/>
        <v>OK</v>
      </c>
      <c r="X75" s="47" t="str">
        <f t="shared" si="4"/>
        <v/>
      </c>
      <c r="Y75" s="3"/>
      <c r="Z75" s="127"/>
    </row>
    <row r="76" spans="1:26" ht="14.4" hidden="1" outlineLevel="1" x14ac:dyDescent="0.3">
      <c r="A76" s="3"/>
      <c r="B76" s="10" t="s">
        <v>499</v>
      </c>
      <c r="C76" s="62"/>
      <c r="D76" s="62" t="s">
        <v>104</v>
      </c>
      <c r="E76" s="12">
        <f t="shared" ref="E76:E105" si="26">SUM(M76:U76)</f>
        <v>102.74000000000001</v>
      </c>
      <c r="F76" s="101">
        <v>0</v>
      </c>
      <c r="G76" s="67"/>
      <c r="H76" s="63"/>
      <c r="I76" s="63"/>
      <c r="J76" s="64"/>
      <c r="K76" s="12"/>
      <c r="L76" s="62" t="str">
        <f t="shared" si="3"/>
        <v/>
      </c>
      <c r="M76" s="12">
        <v>29.67</v>
      </c>
      <c r="N76" s="12">
        <v>24.57</v>
      </c>
      <c r="O76" s="12">
        <v>12</v>
      </c>
      <c r="P76" s="12">
        <v>1.5</v>
      </c>
      <c r="Q76" s="12"/>
      <c r="R76" s="12"/>
      <c r="S76" s="12"/>
      <c r="T76" s="12"/>
      <c r="U76" s="12">
        <v>35</v>
      </c>
      <c r="V76" s="65" t="s">
        <v>1026</v>
      </c>
      <c r="W76" s="44" t="str">
        <f t="shared" si="2"/>
        <v>Diferente</v>
      </c>
      <c r="X76" s="47">
        <f t="shared" si="4"/>
        <v>-102.74000000000001</v>
      </c>
      <c r="Y76" s="3"/>
      <c r="Z76" s="127"/>
    </row>
    <row r="77" spans="1:26" ht="14.4" hidden="1" outlineLevel="1" x14ac:dyDescent="0.3">
      <c r="A77" s="3"/>
      <c r="B77" s="61" t="s">
        <v>500</v>
      </c>
      <c r="C77" s="62">
        <v>25</v>
      </c>
      <c r="D77" s="62" t="s">
        <v>94</v>
      </c>
      <c r="E77" s="12">
        <f t="shared" si="26"/>
        <v>170.43</v>
      </c>
      <c r="F77" s="101">
        <f t="shared" ref="F77:F80" si="27">E77</f>
        <v>170.43</v>
      </c>
      <c r="G77" s="67"/>
      <c r="H77" s="63" t="s">
        <v>37</v>
      </c>
      <c r="I77" s="63"/>
      <c r="J77" s="64"/>
      <c r="K77" s="12"/>
      <c r="L77" s="62">
        <f t="shared" si="3"/>
        <v>1</v>
      </c>
      <c r="M77" s="12">
        <v>50.86</v>
      </c>
      <c r="N77" s="12">
        <v>24.57</v>
      </c>
      <c r="O77" s="12">
        <v>12</v>
      </c>
      <c r="P77" s="12">
        <v>2</v>
      </c>
      <c r="Q77" s="12">
        <v>5</v>
      </c>
      <c r="R77" s="12"/>
      <c r="S77" s="12"/>
      <c r="T77" s="12"/>
      <c r="U77" s="12">
        <v>76</v>
      </c>
      <c r="V77" s="65" t="s">
        <v>1027</v>
      </c>
      <c r="W77" s="44" t="str">
        <f t="shared" si="2"/>
        <v>OK</v>
      </c>
      <c r="X77" s="47" t="str">
        <f t="shared" si="4"/>
        <v/>
      </c>
      <c r="Y77" s="3"/>
      <c r="Z77" s="127"/>
    </row>
    <row r="78" spans="1:26" ht="14.4" hidden="1" outlineLevel="1" x14ac:dyDescent="0.3">
      <c r="A78" s="3"/>
      <c r="B78" s="61" t="s">
        <v>501</v>
      </c>
      <c r="C78" s="62">
        <v>25</v>
      </c>
      <c r="D78" s="62" t="s">
        <v>94</v>
      </c>
      <c r="E78" s="12">
        <f t="shared" si="26"/>
        <v>128.57</v>
      </c>
      <c r="F78" s="101">
        <f t="shared" si="27"/>
        <v>128.57</v>
      </c>
      <c r="G78" s="67"/>
      <c r="H78" s="63" t="s">
        <v>37</v>
      </c>
      <c r="I78" s="63"/>
      <c r="J78" s="64"/>
      <c r="K78" s="12"/>
      <c r="L78" s="62">
        <f t="shared" si="3"/>
        <v>1</v>
      </c>
      <c r="M78" s="12">
        <v>50</v>
      </c>
      <c r="N78" s="12">
        <v>24.57</v>
      </c>
      <c r="O78" s="12">
        <v>12</v>
      </c>
      <c r="P78" s="12">
        <v>2</v>
      </c>
      <c r="Q78" s="12">
        <v>5</v>
      </c>
      <c r="R78" s="12"/>
      <c r="S78" s="12"/>
      <c r="T78" s="12"/>
      <c r="U78" s="12">
        <v>35</v>
      </c>
      <c r="V78" s="65" t="s">
        <v>1026</v>
      </c>
      <c r="W78" s="44" t="str">
        <f t="shared" si="2"/>
        <v>OK</v>
      </c>
      <c r="X78" s="47" t="str">
        <f t="shared" si="4"/>
        <v/>
      </c>
      <c r="Y78" s="3"/>
      <c r="Z78" s="127"/>
    </row>
    <row r="79" spans="1:26" ht="14.4" hidden="1" outlineLevel="1" x14ac:dyDescent="0.3">
      <c r="A79" s="3"/>
      <c r="B79" s="10" t="s">
        <v>502</v>
      </c>
      <c r="C79" s="62">
        <v>3</v>
      </c>
      <c r="D79" s="62" t="s">
        <v>94</v>
      </c>
      <c r="E79" s="12">
        <f t="shared" si="26"/>
        <v>166.69</v>
      </c>
      <c r="F79" s="101">
        <f t="shared" si="27"/>
        <v>166.69</v>
      </c>
      <c r="G79" s="67"/>
      <c r="H79" s="63" t="s">
        <v>37</v>
      </c>
      <c r="I79" s="63"/>
      <c r="J79" s="64"/>
      <c r="K79" s="12"/>
      <c r="L79" s="62" t="str">
        <f t="shared" si="3"/>
        <v/>
      </c>
      <c r="M79" s="12">
        <v>93.62</v>
      </c>
      <c r="N79" s="12">
        <v>24.57</v>
      </c>
      <c r="O79" s="12">
        <v>12</v>
      </c>
      <c r="P79" s="12">
        <v>1.5</v>
      </c>
      <c r="Q79" s="12"/>
      <c r="R79" s="12"/>
      <c r="S79" s="12"/>
      <c r="T79" s="12"/>
      <c r="U79" s="12">
        <v>35</v>
      </c>
      <c r="V79" s="65" t="s">
        <v>1026</v>
      </c>
      <c r="W79" s="44" t="str">
        <f t="shared" si="2"/>
        <v>OK</v>
      </c>
      <c r="X79" s="47" t="str">
        <f t="shared" si="4"/>
        <v/>
      </c>
      <c r="Y79" s="3"/>
      <c r="Z79" s="127"/>
    </row>
    <row r="80" spans="1:26" ht="14.4" hidden="1" outlineLevel="1" x14ac:dyDescent="0.3">
      <c r="A80" s="3"/>
      <c r="B80" s="10" t="s">
        <v>503</v>
      </c>
      <c r="C80" s="62">
        <v>3</v>
      </c>
      <c r="D80" s="62" t="s">
        <v>94</v>
      </c>
      <c r="E80" s="12">
        <f t="shared" si="26"/>
        <v>166.69</v>
      </c>
      <c r="F80" s="101">
        <f t="shared" si="27"/>
        <v>166.69</v>
      </c>
      <c r="G80" s="67"/>
      <c r="H80" s="63" t="s">
        <v>37</v>
      </c>
      <c r="I80" s="63"/>
      <c r="J80" s="64"/>
      <c r="K80" s="12"/>
      <c r="L80" s="62" t="str">
        <f t="shared" si="3"/>
        <v/>
      </c>
      <c r="M80" s="12">
        <v>93.62</v>
      </c>
      <c r="N80" s="12">
        <v>24.57</v>
      </c>
      <c r="O80" s="12">
        <v>12</v>
      </c>
      <c r="P80" s="12">
        <v>1.5</v>
      </c>
      <c r="Q80" s="12"/>
      <c r="R80" s="12"/>
      <c r="S80" s="12"/>
      <c r="T80" s="12"/>
      <c r="U80" s="12">
        <v>35</v>
      </c>
      <c r="V80" s="65" t="s">
        <v>1026</v>
      </c>
      <c r="W80" s="44" t="str">
        <f t="shared" si="2"/>
        <v>OK</v>
      </c>
      <c r="X80" s="47" t="str">
        <f t="shared" si="4"/>
        <v/>
      </c>
      <c r="Y80" s="3"/>
      <c r="Z80" s="127"/>
    </row>
    <row r="81" spans="1:26" ht="14.4" hidden="1" outlineLevel="1" x14ac:dyDescent="0.3">
      <c r="A81" s="3"/>
      <c r="B81" s="61" t="s">
        <v>504</v>
      </c>
      <c r="C81" s="62">
        <v>8</v>
      </c>
      <c r="D81" s="62" t="s">
        <v>94</v>
      </c>
      <c r="E81" s="12">
        <f t="shared" si="26"/>
        <v>228.91</v>
      </c>
      <c r="F81" s="101">
        <f t="shared" ref="F81:F82" si="28">SUM(M81:U81)</f>
        <v>228.91</v>
      </c>
      <c r="G81" s="67"/>
      <c r="H81" s="63" t="s">
        <v>37</v>
      </c>
      <c r="I81" s="63"/>
      <c r="J81" s="64"/>
      <c r="K81" s="12"/>
      <c r="L81" s="62" t="str">
        <f t="shared" si="3"/>
        <v/>
      </c>
      <c r="M81" s="12">
        <f>100+50.34</f>
        <v>150.34</v>
      </c>
      <c r="N81" s="12">
        <v>24.57</v>
      </c>
      <c r="O81" s="12">
        <v>12</v>
      </c>
      <c r="P81" s="12">
        <v>2</v>
      </c>
      <c r="Q81" s="12"/>
      <c r="R81" s="12"/>
      <c r="S81" s="12">
        <v>5</v>
      </c>
      <c r="T81" s="12"/>
      <c r="U81" s="12">
        <v>35</v>
      </c>
      <c r="V81" s="65" t="s">
        <v>1026</v>
      </c>
      <c r="W81" s="44" t="str">
        <f t="shared" si="2"/>
        <v>OK</v>
      </c>
      <c r="X81" s="47" t="str">
        <f t="shared" si="4"/>
        <v/>
      </c>
      <c r="Y81" s="3"/>
      <c r="Z81" s="127"/>
    </row>
    <row r="82" spans="1:26" ht="14.4" hidden="1" outlineLevel="1" x14ac:dyDescent="0.3">
      <c r="A82" s="3"/>
      <c r="B82" s="61" t="s">
        <v>506</v>
      </c>
      <c r="C82" s="62">
        <v>8</v>
      </c>
      <c r="D82" s="62" t="s">
        <v>94</v>
      </c>
      <c r="E82" s="12">
        <f t="shared" si="26"/>
        <v>228.89999999999998</v>
      </c>
      <c r="F82" s="101">
        <f t="shared" si="28"/>
        <v>228.89999999999998</v>
      </c>
      <c r="G82" s="67"/>
      <c r="H82" s="63" t="s">
        <v>37</v>
      </c>
      <c r="I82" s="63"/>
      <c r="J82" s="64"/>
      <c r="K82" s="12"/>
      <c r="L82" s="62" t="str">
        <f t="shared" si="3"/>
        <v/>
      </c>
      <c r="M82" s="12">
        <f>100+50.33</f>
        <v>150.32999999999998</v>
      </c>
      <c r="N82" s="12">
        <v>24.57</v>
      </c>
      <c r="O82" s="12">
        <v>12</v>
      </c>
      <c r="P82" s="12">
        <v>2</v>
      </c>
      <c r="Q82" s="12"/>
      <c r="R82" s="12"/>
      <c r="S82" s="12">
        <v>5</v>
      </c>
      <c r="T82" s="12"/>
      <c r="U82" s="12">
        <v>35</v>
      </c>
      <c r="V82" s="65" t="s">
        <v>1026</v>
      </c>
      <c r="W82" s="44" t="str">
        <f t="shared" si="2"/>
        <v>OK</v>
      </c>
      <c r="X82" s="47" t="str">
        <f t="shared" si="4"/>
        <v/>
      </c>
      <c r="Y82" s="3"/>
      <c r="Z82" s="127"/>
    </row>
    <row r="83" spans="1:26" ht="14.4" hidden="1" outlineLevel="1" x14ac:dyDescent="0.3">
      <c r="A83" s="3"/>
      <c r="B83" s="10" t="s">
        <v>507</v>
      </c>
      <c r="C83" s="62">
        <v>8</v>
      </c>
      <c r="D83" s="62" t="s">
        <v>94</v>
      </c>
      <c r="E83" s="12">
        <f t="shared" si="26"/>
        <v>326</v>
      </c>
      <c r="F83" s="101">
        <f t="shared" ref="F83:F85" si="29">E83</f>
        <v>326</v>
      </c>
      <c r="G83" s="67"/>
      <c r="H83" s="63" t="s">
        <v>37</v>
      </c>
      <c r="I83" s="63"/>
      <c r="J83" s="64"/>
      <c r="K83" s="12"/>
      <c r="L83" s="62" t="str">
        <f t="shared" si="3"/>
        <v/>
      </c>
      <c r="M83" s="12">
        <v>196.43</v>
      </c>
      <c r="N83" s="12">
        <v>24.57</v>
      </c>
      <c r="O83" s="12">
        <v>12</v>
      </c>
      <c r="P83" s="12">
        <v>2</v>
      </c>
      <c r="Q83" s="12"/>
      <c r="R83" s="12"/>
      <c r="S83" s="12">
        <v>5</v>
      </c>
      <c r="T83" s="12">
        <v>10</v>
      </c>
      <c r="U83" s="12">
        <v>76</v>
      </c>
      <c r="V83" s="65" t="s">
        <v>1027</v>
      </c>
      <c r="W83" s="44" t="str">
        <f t="shared" si="2"/>
        <v>OK</v>
      </c>
      <c r="X83" s="47" t="str">
        <f t="shared" si="4"/>
        <v/>
      </c>
      <c r="Y83" s="3"/>
      <c r="Z83" s="127"/>
    </row>
    <row r="84" spans="1:26" ht="14.4" hidden="1" outlineLevel="1" x14ac:dyDescent="0.3">
      <c r="A84" s="3"/>
      <c r="B84" s="61" t="s">
        <v>508</v>
      </c>
      <c r="C84" s="62">
        <v>7</v>
      </c>
      <c r="D84" s="62" t="s">
        <v>94</v>
      </c>
      <c r="E84" s="12">
        <f t="shared" si="26"/>
        <v>323</v>
      </c>
      <c r="F84" s="101">
        <f t="shared" si="29"/>
        <v>323</v>
      </c>
      <c r="G84" s="67"/>
      <c r="H84" s="63" t="s">
        <v>37</v>
      </c>
      <c r="I84" s="63"/>
      <c r="J84" s="64"/>
      <c r="K84" s="12"/>
      <c r="L84" s="62" t="str">
        <f t="shared" si="3"/>
        <v/>
      </c>
      <c r="M84" s="12">
        <v>138.43</v>
      </c>
      <c r="N84" s="12">
        <v>24.57</v>
      </c>
      <c r="O84" s="12">
        <v>12</v>
      </c>
      <c r="P84" s="12">
        <v>2</v>
      </c>
      <c r="Q84" s="12">
        <v>5</v>
      </c>
      <c r="R84" s="12">
        <v>5</v>
      </c>
      <c r="S84" s="12">
        <v>10</v>
      </c>
      <c r="T84" s="12"/>
      <c r="U84" s="12">
        <v>126</v>
      </c>
      <c r="V84" s="65" t="s">
        <v>1028</v>
      </c>
      <c r="W84" s="44" t="str">
        <f t="shared" si="2"/>
        <v>OK</v>
      </c>
      <c r="X84" s="47" t="str">
        <f t="shared" si="4"/>
        <v/>
      </c>
      <c r="Y84" s="3"/>
      <c r="Z84" s="127"/>
    </row>
    <row r="85" spans="1:26" ht="14.4" hidden="1" outlineLevel="1" x14ac:dyDescent="0.3">
      <c r="A85" s="3"/>
      <c r="B85" s="61" t="s">
        <v>509</v>
      </c>
      <c r="C85" s="62">
        <v>7</v>
      </c>
      <c r="D85" s="62" t="s">
        <v>94</v>
      </c>
      <c r="E85" s="12">
        <f t="shared" si="26"/>
        <v>232</v>
      </c>
      <c r="F85" s="101">
        <f t="shared" si="29"/>
        <v>232</v>
      </c>
      <c r="G85" s="67"/>
      <c r="H85" s="63" t="s">
        <v>37</v>
      </c>
      <c r="I85" s="63"/>
      <c r="J85" s="64"/>
      <c r="K85" s="12"/>
      <c r="L85" s="62" t="str">
        <f t="shared" si="3"/>
        <v/>
      </c>
      <c r="M85" s="12">
        <v>138.43</v>
      </c>
      <c r="N85" s="12">
        <v>24.57</v>
      </c>
      <c r="O85" s="12">
        <v>12</v>
      </c>
      <c r="P85" s="12">
        <v>2</v>
      </c>
      <c r="Q85" s="12">
        <v>5</v>
      </c>
      <c r="R85" s="12">
        <v>5</v>
      </c>
      <c r="S85" s="12">
        <v>10</v>
      </c>
      <c r="T85" s="12"/>
      <c r="U85" s="12">
        <v>35</v>
      </c>
      <c r="V85" s="65" t="s">
        <v>1026</v>
      </c>
      <c r="W85" s="44" t="str">
        <f t="shared" si="2"/>
        <v>OK</v>
      </c>
      <c r="X85" s="47" t="str">
        <f t="shared" si="4"/>
        <v/>
      </c>
      <c r="Y85" s="3"/>
      <c r="Z85" s="127"/>
    </row>
    <row r="86" spans="1:26" ht="14.4" hidden="1" outlineLevel="1" x14ac:dyDescent="0.3">
      <c r="A86" s="3"/>
      <c r="B86" s="10" t="s">
        <v>510</v>
      </c>
      <c r="C86" s="62"/>
      <c r="D86" s="62" t="s">
        <v>104</v>
      </c>
      <c r="E86" s="12">
        <f t="shared" si="26"/>
        <v>147.23000000000002</v>
      </c>
      <c r="F86" s="101">
        <v>0</v>
      </c>
      <c r="G86" s="67"/>
      <c r="H86" s="63"/>
      <c r="I86" s="63"/>
      <c r="J86" s="64"/>
      <c r="K86" s="12"/>
      <c r="L86" s="62" t="str">
        <f t="shared" si="3"/>
        <v/>
      </c>
      <c r="M86" s="12">
        <v>33.93</v>
      </c>
      <c r="N86" s="12">
        <v>24.57</v>
      </c>
      <c r="O86" s="12">
        <v>12</v>
      </c>
      <c r="P86" s="12">
        <v>1.5</v>
      </c>
      <c r="Q86" s="12"/>
      <c r="R86" s="12"/>
      <c r="S86" s="12"/>
      <c r="T86" s="12"/>
      <c r="U86" s="12">
        <v>75.23</v>
      </c>
      <c r="V86" s="65" t="s">
        <v>1033</v>
      </c>
      <c r="W86" s="44" t="str">
        <f t="shared" si="2"/>
        <v>Diferente</v>
      </c>
      <c r="X86" s="47">
        <f t="shared" si="4"/>
        <v>-147.23000000000002</v>
      </c>
      <c r="Y86" s="3"/>
      <c r="Z86" s="127"/>
    </row>
    <row r="87" spans="1:26" ht="14.4" hidden="1" outlineLevel="1" x14ac:dyDescent="0.3">
      <c r="A87" s="3"/>
      <c r="B87" s="61" t="s">
        <v>512</v>
      </c>
      <c r="C87" s="62">
        <v>5</v>
      </c>
      <c r="D87" s="62" t="s">
        <v>94</v>
      </c>
      <c r="E87" s="12">
        <f t="shared" si="26"/>
        <v>198.57</v>
      </c>
      <c r="F87" s="101">
        <f t="shared" ref="F87:F94" si="30">E87</f>
        <v>198.57</v>
      </c>
      <c r="G87" s="67"/>
      <c r="H87" s="63" t="s">
        <v>37</v>
      </c>
      <c r="I87" s="63"/>
      <c r="J87" s="64"/>
      <c r="K87" s="12"/>
      <c r="L87" s="62" t="str">
        <f t="shared" si="3"/>
        <v/>
      </c>
      <c r="M87" s="12">
        <v>120</v>
      </c>
      <c r="N87" s="12">
        <v>24.57</v>
      </c>
      <c r="O87" s="12">
        <v>12</v>
      </c>
      <c r="P87" s="12">
        <v>2</v>
      </c>
      <c r="Q87" s="12"/>
      <c r="R87" s="12"/>
      <c r="S87" s="12">
        <v>5</v>
      </c>
      <c r="T87" s="12"/>
      <c r="U87" s="12">
        <v>35</v>
      </c>
      <c r="V87" s="65" t="s">
        <v>1026</v>
      </c>
      <c r="W87" s="44" t="str">
        <f t="shared" si="2"/>
        <v>OK</v>
      </c>
      <c r="X87" s="47" t="str">
        <f t="shared" si="4"/>
        <v/>
      </c>
      <c r="Y87" s="3"/>
      <c r="Z87" s="127"/>
    </row>
    <row r="88" spans="1:26" ht="14.4" hidden="1" outlineLevel="1" x14ac:dyDescent="0.3">
      <c r="A88" s="3"/>
      <c r="B88" s="61" t="s">
        <v>513</v>
      </c>
      <c r="C88" s="62">
        <v>5</v>
      </c>
      <c r="D88" s="62" t="s">
        <v>94</v>
      </c>
      <c r="E88" s="12">
        <f t="shared" si="26"/>
        <v>198.57</v>
      </c>
      <c r="F88" s="101">
        <f t="shared" si="30"/>
        <v>198.57</v>
      </c>
      <c r="G88" s="67"/>
      <c r="H88" s="63" t="s">
        <v>37</v>
      </c>
      <c r="I88" s="63"/>
      <c r="J88" s="64"/>
      <c r="K88" s="12"/>
      <c r="L88" s="62" t="str">
        <f t="shared" si="3"/>
        <v/>
      </c>
      <c r="M88" s="12">
        <v>120</v>
      </c>
      <c r="N88" s="12">
        <v>24.57</v>
      </c>
      <c r="O88" s="12">
        <v>12</v>
      </c>
      <c r="P88" s="12">
        <v>2</v>
      </c>
      <c r="Q88" s="12"/>
      <c r="R88" s="12"/>
      <c r="S88" s="12">
        <v>5</v>
      </c>
      <c r="T88" s="12"/>
      <c r="U88" s="12">
        <v>35</v>
      </c>
      <c r="V88" s="65" t="s">
        <v>1026</v>
      </c>
      <c r="W88" s="44" t="str">
        <f t="shared" si="2"/>
        <v>OK</v>
      </c>
      <c r="X88" s="47" t="str">
        <f t="shared" si="4"/>
        <v/>
      </c>
      <c r="Y88" s="3"/>
      <c r="Z88" s="127"/>
    </row>
    <row r="89" spans="1:26" ht="14.4" hidden="1" outlineLevel="1" x14ac:dyDescent="0.3">
      <c r="A89" s="3"/>
      <c r="B89" s="10" t="s">
        <v>514</v>
      </c>
      <c r="C89" s="62">
        <v>2</v>
      </c>
      <c r="D89" s="62" t="s">
        <v>94</v>
      </c>
      <c r="E89" s="12">
        <f t="shared" si="26"/>
        <v>187</v>
      </c>
      <c r="F89" s="101">
        <f t="shared" si="30"/>
        <v>187</v>
      </c>
      <c r="G89" s="67"/>
      <c r="H89" s="63" t="s">
        <v>37</v>
      </c>
      <c r="I89" s="63"/>
      <c r="J89" s="64"/>
      <c r="K89" s="12"/>
      <c r="L89" s="62" t="str">
        <f t="shared" si="3"/>
        <v/>
      </c>
      <c r="M89" s="12">
        <v>108.43</v>
      </c>
      <c r="N89" s="12">
        <v>24.57</v>
      </c>
      <c r="O89" s="12">
        <v>12</v>
      </c>
      <c r="P89" s="12">
        <v>2</v>
      </c>
      <c r="Q89" s="12"/>
      <c r="R89" s="12"/>
      <c r="S89" s="12">
        <v>5</v>
      </c>
      <c r="T89" s="12"/>
      <c r="U89" s="12">
        <v>35</v>
      </c>
      <c r="V89" s="65" t="s">
        <v>1026</v>
      </c>
      <c r="W89" s="44" t="str">
        <f t="shared" si="2"/>
        <v>OK</v>
      </c>
      <c r="X89" s="47" t="str">
        <f t="shared" si="4"/>
        <v/>
      </c>
      <c r="Y89" s="3"/>
      <c r="Z89" s="127"/>
    </row>
    <row r="90" spans="1:26" ht="14.4" hidden="1" outlineLevel="1" x14ac:dyDescent="0.3">
      <c r="A90" s="3"/>
      <c r="B90" s="61" t="s">
        <v>515</v>
      </c>
      <c r="C90" s="62">
        <v>2</v>
      </c>
      <c r="D90" s="62" t="s">
        <v>94</v>
      </c>
      <c r="E90" s="12">
        <f t="shared" si="26"/>
        <v>177.5</v>
      </c>
      <c r="F90" s="101">
        <f t="shared" si="30"/>
        <v>177.5</v>
      </c>
      <c r="G90" s="67"/>
      <c r="H90" s="63" t="s">
        <v>37</v>
      </c>
      <c r="I90" s="63"/>
      <c r="J90" s="64"/>
      <c r="K90" s="12"/>
      <c r="L90" s="62" t="str">
        <f t="shared" si="3"/>
        <v/>
      </c>
      <c r="M90" s="12">
        <v>63.43</v>
      </c>
      <c r="N90" s="12">
        <v>24.57</v>
      </c>
      <c r="O90" s="12">
        <v>12</v>
      </c>
      <c r="P90" s="12">
        <v>1.5</v>
      </c>
      <c r="Q90" s="12"/>
      <c r="R90" s="12"/>
      <c r="S90" s="12"/>
      <c r="T90" s="12"/>
      <c r="U90" s="12">
        <v>76</v>
      </c>
      <c r="V90" s="65" t="s">
        <v>1027</v>
      </c>
      <c r="W90" s="44" t="str">
        <f t="shared" si="2"/>
        <v>OK</v>
      </c>
      <c r="X90" s="47" t="str">
        <f t="shared" si="4"/>
        <v/>
      </c>
      <c r="Y90" s="3"/>
      <c r="Z90" s="127"/>
    </row>
    <row r="91" spans="1:26" ht="14.4" hidden="1" outlineLevel="1" x14ac:dyDescent="0.3">
      <c r="A91" s="3"/>
      <c r="B91" s="61" t="s">
        <v>516</v>
      </c>
      <c r="C91" s="62">
        <v>2</v>
      </c>
      <c r="D91" s="62" t="s">
        <v>94</v>
      </c>
      <c r="E91" s="12">
        <f t="shared" si="26"/>
        <v>186.5</v>
      </c>
      <c r="F91" s="101">
        <f t="shared" si="30"/>
        <v>186.5</v>
      </c>
      <c r="G91" s="67"/>
      <c r="H91" s="63" t="s">
        <v>37</v>
      </c>
      <c r="I91" s="63"/>
      <c r="J91" s="64"/>
      <c r="K91" s="12"/>
      <c r="L91" s="62" t="str">
        <f t="shared" si="3"/>
        <v/>
      </c>
      <c r="M91" s="12">
        <v>63.43</v>
      </c>
      <c r="N91" s="12">
        <v>24.57</v>
      </c>
      <c r="O91" s="12">
        <v>12</v>
      </c>
      <c r="P91" s="12">
        <v>1.5</v>
      </c>
      <c r="Q91" s="12"/>
      <c r="R91" s="12"/>
      <c r="S91" s="12"/>
      <c r="T91" s="12"/>
      <c r="U91" s="12">
        <v>85</v>
      </c>
      <c r="V91" s="65" t="s">
        <v>1030</v>
      </c>
      <c r="W91" s="44" t="str">
        <f t="shared" si="2"/>
        <v>OK</v>
      </c>
      <c r="X91" s="47" t="str">
        <f t="shared" si="4"/>
        <v/>
      </c>
      <c r="Y91" s="3"/>
      <c r="Z91" s="127"/>
    </row>
    <row r="92" spans="1:26" ht="14.4" hidden="1" outlineLevel="1" x14ac:dyDescent="0.3">
      <c r="A92" s="3"/>
      <c r="B92" s="10" t="s">
        <v>517</v>
      </c>
      <c r="C92" s="62">
        <v>7</v>
      </c>
      <c r="D92" s="62" t="s">
        <v>94</v>
      </c>
      <c r="E92" s="12">
        <f t="shared" si="26"/>
        <v>182</v>
      </c>
      <c r="F92" s="101">
        <f t="shared" si="30"/>
        <v>182</v>
      </c>
      <c r="G92" s="67"/>
      <c r="H92" s="63" t="s">
        <v>37</v>
      </c>
      <c r="I92" s="63"/>
      <c r="J92" s="64"/>
      <c r="K92" s="12"/>
      <c r="L92" s="62" t="str">
        <f t="shared" si="3"/>
        <v/>
      </c>
      <c r="M92" s="12">
        <v>93.93</v>
      </c>
      <c r="N92" s="12">
        <v>24.57</v>
      </c>
      <c r="O92" s="12">
        <v>12</v>
      </c>
      <c r="P92" s="12">
        <v>1.5</v>
      </c>
      <c r="Q92" s="12">
        <v>5</v>
      </c>
      <c r="R92" s="12"/>
      <c r="S92" s="12">
        <v>10</v>
      </c>
      <c r="T92" s="12"/>
      <c r="U92" s="12">
        <v>35</v>
      </c>
      <c r="V92" s="65" t="s">
        <v>1026</v>
      </c>
      <c r="W92" s="44" t="str">
        <f t="shared" si="2"/>
        <v>OK</v>
      </c>
      <c r="X92" s="47" t="str">
        <f t="shared" si="4"/>
        <v/>
      </c>
      <c r="Y92" s="3"/>
      <c r="Z92" s="127"/>
    </row>
    <row r="93" spans="1:26" ht="14.4" hidden="1" outlineLevel="1" x14ac:dyDescent="0.3">
      <c r="A93" s="3"/>
      <c r="B93" s="61" t="s">
        <v>518</v>
      </c>
      <c r="C93" s="62">
        <v>19</v>
      </c>
      <c r="D93" s="62" t="s">
        <v>94</v>
      </c>
      <c r="E93" s="12">
        <f t="shared" si="26"/>
        <v>187</v>
      </c>
      <c r="F93" s="101">
        <f t="shared" si="30"/>
        <v>187</v>
      </c>
      <c r="G93" s="67"/>
      <c r="H93" s="63" t="s">
        <v>37</v>
      </c>
      <c r="I93" s="63"/>
      <c r="J93" s="64"/>
      <c r="K93" s="12"/>
      <c r="L93" s="62">
        <f t="shared" si="3"/>
        <v>1</v>
      </c>
      <c r="M93" s="12">
        <v>108.43</v>
      </c>
      <c r="N93" s="12">
        <v>24.57</v>
      </c>
      <c r="O93" s="12">
        <v>12</v>
      </c>
      <c r="P93" s="12">
        <v>2</v>
      </c>
      <c r="Q93" s="12"/>
      <c r="R93" s="12"/>
      <c r="S93" s="12">
        <v>5</v>
      </c>
      <c r="T93" s="12"/>
      <c r="U93" s="12">
        <v>35</v>
      </c>
      <c r="V93" s="65" t="s">
        <v>1026</v>
      </c>
      <c r="W93" s="44" t="str">
        <f t="shared" si="2"/>
        <v>OK</v>
      </c>
      <c r="X93" s="47" t="str">
        <f t="shared" si="4"/>
        <v/>
      </c>
      <c r="Y93" s="3"/>
      <c r="Z93" s="127"/>
    </row>
    <row r="94" spans="1:26" ht="14.4" hidden="1" outlineLevel="1" x14ac:dyDescent="0.3">
      <c r="A94" s="3"/>
      <c r="B94" s="10" t="s">
        <v>519</v>
      </c>
      <c r="C94" s="62">
        <v>10</v>
      </c>
      <c r="D94" s="62" t="s">
        <v>94</v>
      </c>
      <c r="E94" s="12">
        <f t="shared" si="26"/>
        <v>185</v>
      </c>
      <c r="F94" s="101">
        <f t="shared" si="30"/>
        <v>185</v>
      </c>
      <c r="G94" s="67"/>
      <c r="H94" s="63" t="s">
        <v>37</v>
      </c>
      <c r="I94" s="63"/>
      <c r="J94" s="64"/>
      <c r="K94" s="12"/>
      <c r="L94" s="62" t="str">
        <f t="shared" si="3"/>
        <v/>
      </c>
      <c r="M94" s="12">
        <v>113.43</v>
      </c>
      <c r="N94" s="12">
        <v>24.57</v>
      </c>
      <c r="O94" s="12">
        <v>12</v>
      </c>
      <c r="P94" s="12"/>
      <c r="Q94" s="12"/>
      <c r="R94" s="12"/>
      <c r="S94" s="12"/>
      <c r="T94" s="12"/>
      <c r="U94" s="12">
        <v>35</v>
      </c>
      <c r="V94" s="65" t="s">
        <v>1026</v>
      </c>
      <c r="W94" s="44" t="str">
        <f t="shared" si="2"/>
        <v>OK</v>
      </c>
      <c r="X94" s="47" t="str">
        <f t="shared" si="4"/>
        <v/>
      </c>
      <c r="Y94" s="3"/>
      <c r="Z94" s="127"/>
    </row>
    <row r="95" spans="1:26" ht="14.4" hidden="1" outlineLevel="1" x14ac:dyDescent="0.3">
      <c r="A95" s="3"/>
      <c r="B95" s="61" t="s">
        <v>520</v>
      </c>
      <c r="C95" s="62"/>
      <c r="D95" s="62" t="s">
        <v>104</v>
      </c>
      <c r="E95" s="12">
        <f t="shared" si="26"/>
        <v>24</v>
      </c>
      <c r="F95" s="101">
        <v>0</v>
      </c>
      <c r="G95" s="67"/>
      <c r="H95" s="63"/>
      <c r="I95" s="63"/>
      <c r="J95" s="64"/>
      <c r="K95" s="12"/>
      <c r="L95" s="62" t="str">
        <f t="shared" si="3"/>
        <v/>
      </c>
      <c r="M95" s="12">
        <v>-12.57</v>
      </c>
      <c r="N95" s="12">
        <v>24.57</v>
      </c>
      <c r="O95" s="12">
        <v>12</v>
      </c>
      <c r="P95" s="12"/>
      <c r="Q95" s="12"/>
      <c r="R95" s="12"/>
      <c r="S95" s="12"/>
      <c r="T95" s="12"/>
      <c r="U95" s="12"/>
      <c r="V95" s="65"/>
      <c r="W95" s="44" t="str">
        <f t="shared" si="2"/>
        <v>Diferente</v>
      </c>
      <c r="X95" s="47">
        <f t="shared" si="4"/>
        <v>-24</v>
      </c>
      <c r="Y95" s="3"/>
      <c r="Z95" s="127"/>
    </row>
    <row r="96" spans="1:26" ht="14.4" hidden="1" outlineLevel="1" x14ac:dyDescent="0.3">
      <c r="A96" s="3"/>
      <c r="B96" s="10" t="s">
        <v>522</v>
      </c>
      <c r="C96" s="80">
        <v>3</v>
      </c>
      <c r="D96" s="62" t="s">
        <v>94</v>
      </c>
      <c r="E96" s="12">
        <f t="shared" si="26"/>
        <v>160</v>
      </c>
      <c r="F96" s="101">
        <f t="shared" ref="F96:F97" si="31">E96</f>
        <v>160</v>
      </c>
      <c r="G96" s="67"/>
      <c r="H96" s="63" t="s">
        <v>37</v>
      </c>
      <c r="I96" s="63"/>
      <c r="J96" s="64"/>
      <c r="K96" s="12"/>
      <c r="L96" s="62" t="str">
        <f t="shared" si="3"/>
        <v/>
      </c>
      <c r="M96" s="12">
        <v>88.43</v>
      </c>
      <c r="N96" s="12">
        <v>24.57</v>
      </c>
      <c r="O96" s="12">
        <v>12</v>
      </c>
      <c r="P96" s="12"/>
      <c r="Q96" s="12"/>
      <c r="R96" s="12"/>
      <c r="S96" s="12"/>
      <c r="T96" s="12"/>
      <c r="U96" s="12">
        <v>35</v>
      </c>
      <c r="V96" s="65" t="s">
        <v>1026</v>
      </c>
      <c r="W96" s="44" t="str">
        <f t="shared" si="2"/>
        <v>OK</v>
      </c>
      <c r="X96" s="47" t="str">
        <f t="shared" si="4"/>
        <v/>
      </c>
      <c r="Y96" s="3"/>
      <c r="Z96" s="127"/>
    </row>
    <row r="97" spans="1:26" ht="14.4" hidden="1" outlineLevel="1" x14ac:dyDescent="0.3">
      <c r="A97" s="3"/>
      <c r="B97" s="61" t="s">
        <v>523</v>
      </c>
      <c r="C97" s="62">
        <v>16</v>
      </c>
      <c r="D97" s="62" t="s">
        <v>94</v>
      </c>
      <c r="E97" s="12">
        <f t="shared" si="26"/>
        <v>85</v>
      </c>
      <c r="F97" s="101">
        <f t="shared" si="31"/>
        <v>85</v>
      </c>
      <c r="G97" s="67"/>
      <c r="H97" s="63" t="s">
        <v>37</v>
      </c>
      <c r="I97" s="63"/>
      <c r="J97" s="64"/>
      <c r="K97" s="12"/>
      <c r="L97" s="62">
        <f t="shared" si="3"/>
        <v>1</v>
      </c>
      <c r="M97" s="12">
        <v>13.43</v>
      </c>
      <c r="N97" s="12">
        <v>24.57</v>
      </c>
      <c r="O97" s="12">
        <v>12</v>
      </c>
      <c r="P97" s="12"/>
      <c r="Q97" s="12"/>
      <c r="R97" s="12"/>
      <c r="S97" s="12"/>
      <c r="T97" s="12"/>
      <c r="U97" s="12">
        <v>35</v>
      </c>
      <c r="V97" s="65" t="s">
        <v>1026</v>
      </c>
      <c r="W97" s="44" t="str">
        <f t="shared" si="2"/>
        <v>OK</v>
      </c>
      <c r="X97" s="47" t="str">
        <f t="shared" si="4"/>
        <v/>
      </c>
      <c r="Y97" s="3"/>
      <c r="Z97" s="127"/>
    </row>
    <row r="98" spans="1:26" ht="14.4" hidden="1" outlineLevel="1" x14ac:dyDescent="0.3">
      <c r="A98" s="3"/>
      <c r="B98" s="10" t="s">
        <v>524</v>
      </c>
      <c r="C98" s="62"/>
      <c r="D98" s="62" t="s">
        <v>104</v>
      </c>
      <c r="E98" s="12">
        <f t="shared" si="26"/>
        <v>165</v>
      </c>
      <c r="F98" s="101">
        <v>0</v>
      </c>
      <c r="G98" s="67"/>
      <c r="H98" s="63"/>
      <c r="I98" s="63"/>
      <c r="J98" s="64"/>
      <c r="K98" s="12"/>
      <c r="L98" s="62" t="str">
        <f t="shared" si="3"/>
        <v/>
      </c>
      <c r="M98" s="12">
        <v>91.93</v>
      </c>
      <c r="N98" s="12">
        <v>24.57</v>
      </c>
      <c r="O98" s="12">
        <v>12</v>
      </c>
      <c r="P98" s="12">
        <v>1.5</v>
      </c>
      <c r="Q98" s="12"/>
      <c r="R98" s="12"/>
      <c r="S98" s="12"/>
      <c r="T98" s="12"/>
      <c r="U98" s="12">
        <v>35</v>
      </c>
      <c r="V98" s="65" t="s">
        <v>1026</v>
      </c>
      <c r="W98" s="44" t="str">
        <f t="shared" si="2"/>
        <v>Diferente</v>
      </c>
      <c r="X98" s="47">
        <f t="shared" si="4"/>
        <v>-165</v>
      </c>
      <c r="Y98" s="3"/>
      <c r="Z98" s="127"/>
    </row>
    <row r="99" spans="1:26" ht="14.4" hidden="1" outlineLevel="1" x14ac:dyDescent="0.3">
      <c r="A99" s="3"/>
      <c r="B99" s="10" t="s">
        <v>525</v>
      </c>
      <c r="C99" s="62"/>
      <c r="D99" s="62" t="s">
        <v>104</v>
      </c>
      <c r="E99" s="12">
        <f t="shared" si="26"/>
        <v>165</v>
      </c>
      <c r="F99" s="101">
        <v>0</v>
      </c>
      <c r="G99" s="67"/>
      <c r="H99" s="63"/>
      <c r="I99" s="63"/>
      <c r="J99" s="64"/>
      <c r="K99" s="12"/>
      <c r="L99" s="62" t="str">
        <f t="shared" si="3"/>
        <v/>
      </c>
      <c r="M99" s="12">
        <v>91.93</v>
      </c>
      <c r="N99" s="12">
        <v>24.57</v>
      </c>
      <c r="O99" s="12">
        <v>12</v>
      </c>
      <c r="P99" s="12">
        <v>1.5</v>
      </c>
      <c r="Q99" s="12"/>
      <c r="R99" s="12"/>
      <c r="S99" s="12"/>
      <c r="T99" s="12"/>
      <c r="U99" s="12">
        <v>35</v>
      </c>
      <c r="V99" s="65" t="s">
        <v>1026</v>
      </c>
      <c r="W99" s="44" t="str">
        <f t="shared" si="2"/>
        <v>Diferente</v>
      </c>
      <c r="X99" s="47">
        <f t="shared" si="4"/>
        <v>-165</v>
      </c>
      <c r="Y99" s="3"/>
      <c r="Z99" s="3"/>
    </row>
    <row r="100" spans="1:26" ht="14.4" hidden="1" outlineLevel="1" x14ac:dyDescent="0.3">
      <c r="A100" s="3"/>
      <c r="B100" s="61" t="s">
        <v>526</v>
      </c>
      <c r="C100" s="62"/>
      <c r="D100" s="62" t="s">
        <v>104</v>
      </c>
      <c r="E100" s="12">
        <f t="shared" si="26"/>
        <v>100</v>
      </c>
      <c r="F100" s="101">
        <v>0</v>
      </c>
      <c r="G100" s="67"/>
      <c r="H100" s="63"/>
      <c r="I100" s="63"/>
      <c r="J100" s="64"/>
      <c r="K100" s="62"/>
      <c r="L100" s="62" t="str">
        <f t="shared" si="3"/>
        <v/>
      </c>
      <c r="M100" s="12">
        <v>26.43</v>
      </c>
      <c r="N100" s="12">
        <v>24.57</v>
      </c>
      <c r="O100" s="12">
        <v>12</v>
      </c>
      <c r="P100" s="12">
        <v>2</v>
      </c>
      <c r="Q100" s="12"/>
      <c r="R100" s="12"/>
      <c r="S100" s="12"/>
      <c r="T100" s="12"/>
      <c r="U100" s="12">
        <v>35</v>
      </c>
      <c r="V100" s="65" t="s">
        <v>1026</v>
      </c>
      <c r="W100" s="44" t="str">
        <f t="shared" si="2"/>
        <v>Diferente</v>
      </c>
      <c r="X100" s="47">
        <f t="shared" si="4"/>
        <v>-100</v>
      </c>
      <c r="Y100" s="3"/>
      <c r="Z100" s="3"/>
    </row>
    <row r="101" spans="1:26" ht="14.4" hidden="1" outlineLevel="1" x14ac:dyDescent="0.3">
      <c r="A101" s="3"/>
      <c r="B101" s="10" t="s">
        <v>527</v>
      </c>
      <c r="C101" s="62">
        <v>7</v>
      </c>
      <c r="D101" s="62" t="s">
        <v>94</v>
      </c>
      <c r="E101" s="12">
        <f t="shared" si="26"/>
        <v>174</v>
      </c>
      <c r="F101" s="101">
        <f t="shared" ref="F101:F105" si="32">E101</f>
        <v>174</v>
      </c>
      <c r="G101" s="67"/>
      <c r="H101" s="63" t="s">
        <v>37</v>
      </c>
      <c r="I101" s="63"/>
      <c r="J101" s="64"/>
      <c r="K101" s="62"/>
      <c r="L101" s="62" t="str">
        <f t="shared" si="3"/>
        <v/>
      </c>
      <c r="M101" s="12">
        <v>100.43</v>
      </c>
      <c r="N101" s="12">
        <v>24.57</v>
      </c>
      <c r="O101" s="12">
        <v>12</v>
      </c>
      <c r="P101" s="12">
        <v>2</v>
      </c>
      <c r="Q101" s="12"/>
      <c r="R101" s="12"/>
      <c r="S101" s="12"/>
      <c r="T101" s="12"/>
      <c r="U101" s="12">
        <v>35</v>
      </c>
      <c r="V101" s="65" t="s">
        <v>1026</v>
      </c>
      <c r="W101" s="44" t="str">
        <f t="shared" si="2"/>
        <v>OK</v>
      </c>
      <c r="X101" s="47" t="str">
        <f t="shared" si="4"/>
        <v/>
      </c>
      <c r="Y101" s="3"/>
      <c r="Z101" s="3"/>
    </row>
    <row r="102" spans="1:26" ht="14.4" hidden="1" outlineLevel="1" x14ac:dyDescent="0.3">
      <c r="A102" s="3"/>
      <c r="B102" s="61" t="s">
        <v>712</v>
      </c>
      <c r="C102" s="62">
        <v>8</v>
      </c>
      <c r="D102" s="62" t="s">
        <v>94</v>
      </c>
      <c r="E102" s="12">
        <f t="shared" si="26"/>
        <v>105</v>
      </c>
      <c r="F102" s="101">
        <f t="shared" si="32"/>
        <v>105</v>
      </c>
      <c r="G102" s="67"/>
      <c r="H102" s="63" t="s">
        <v>37</v>
      </c>
      <c r="I102" s="63"/>
      <c r="J102" s="64"/>
      <c r="K102" s="62"/>
      <c r="L102" s="62" t="str">
        <f t="shared" si="3"/>
        <v/>
      </c>
      <c r="M102" s="12">
        <v>31.43</v>
      </c>
      <c r="N102" s="12">
        <v>24.57</v>
      </c>
      <c r="O102" s="12">
        <v>12</v>
      </c>
      <c r="P102" s="12">
        <v>2</v>
      </c>
      <c r="Q102" s="12"/>
      <c r="R102" s="12"/>
      <c r="S102" s="12"/>
      <c r="T102" s="12"/>
      <c r="U102" s="12">
        <v>35</v>
      </c>
      <c r="V102" s="65" t="s">
        <v>1026</v>
      </c>
      <c r="W102" s="44" t="str">
        <f t="shared" si="2"/>
        <v>OK</v>
      </c>
      <c r="X102" s="47" t="str">
        <f t="shared" si="4"/>
        <v/>
      </c>
      <c r="Y102" s="3"/>
      <c r="Z102" s="3"/>
    </row>
    <row r="103" spans="1:26" ht="14.4" hidden="1" outlineLevel="1" x14ac:dyDescent="0.3">
      <c r="A103" s="3"/>
      <c r="B103" s="10" t="s">
        <v>895</v>
      </c>
      <c r="C103" s="62">
        <v>10</v>
      </c>
      <c r="D103" s="62" t="s">
        <v>94</v>
      </c>
      <c r="E103" s="12">
        <f t="shared" si="26"/>
        <v>206.57</v>
      </c>
      <c r="F103" s="101">
        <f t="shared" si="32"/>
        <v>206.57</v>
      </c>
      <c r="G103" s="67"/>
      <c r="H103" s="63" t="s">
        <v>37</v>
      </c>
      <c r="I103" s="63"/>
      <c r="J103" s="64"/>
      <c r="K103" s="62"/>
      <c r="L103" s="62" t="str">
        <f t="shared" si="3"/>
        <v/>
      </c>
      <c r="M103" s="12">
        <v>94</v>
      </c>
      <c r="N103" s="12">
        <v>24.57</v>
      </c>
      <c r="O103" s="12">
        <v>12</v>
      </c>
      <c r="P103" s="12">
        <v>0</v>
      </c>
      <c r="Q103" s="12"/>
      <c r="R103" s="12"/>
      <c r="S103" s="12"/>
      <c r="T103" s="12"/>
      <c r="U103" s="12">
        <v>76</v>
      </c>
      <c r="V103" s="65" t="s">
        <v>1027</v>
      </c>
      <c r="W103" s="44" t="str">
        <f t="shared" si="2"/>
        <v>OK</v>
      </c>
      <c r="X103" s="47" t="str">
        <f t="shared" si="4"/>
        <v/>
      </c>
      <c r="Y103" s="3"/>
      <c r="Z103" s="3"/>
    </row>
    <row r="104" spans="1:26" ht="14.4" hidden="1" outlineLevel="1" x14ac:dyDescent="0.3">
      <c r="A104" s="3"/>
      <c r="B104" s="10" t="s">
        <v>896</v>
      </c>
      <c r="C104" s="62">
        <v>10</v>
      </c>
      <c r="D104" s="62" t="s">
        <v>94</v>
      </c>
      <c r="E104" s="12">
        <f t="shared" si="26"/>
        <v>165.57</v>
      </c>
      <c r="F104" s="101">
        <f t="shared" si="32"/>
        <v>165.57</v>
      </c>
      <c r="G104" s="67"/>
      <c r="H104" s="63" t="s">
        <v>37</v>
      </c>
      <c r="I104" s="63"/>
      <c r="J104" s="64"/>
      <c r="K104" s="62"/>
      <c r="L104" s="62" t="str">
        <f t="shared" si="3"/>
        <v/>
      </c>
      <c r="M104" s="12">
        <v>94</v>
      </c>
      <c r="N104" s="12">
        <v>24.57</v>
      </c>
      <c r="O104" s="12">
        <v>12</v>
      </c>
      <c r="P104" s="12">
        <v>0</v>
      </c>
      <c r="Q104" s="12"/>
      <c r="R104" s="12"/>
      <c r="S104" s="12"/>
      <c r="T104" s="12"/>
      <c r="U104" s="12">
        <v>35</v>
      </c>
      <c r="V104" s="65" t="s">
        <v>1026</v>
      </c>
      <c r="W104" s="44" t="str">
        <f t="shared" si="2"/>
        <v>OK</v>
      </c>
      <c r="X104" s="47" t="str">
        <f t="shared" si="4"/>
        <v/>
      </c>
      <c r="Y104" s="3"/>
      <c r="Z104" s="3"/>
    </row>
    <row r="105" spans="1:26" ht="14.4" hidden="1" outlineLevel="1" x14ac:dyDescent="0.3">
      <c r="A105" s="3"/>
      <c r="B105" s="61" t="s">
        <v>1034</v>
      </c>
      <c r="C105" s="62">
        <v>1</v>
      </c>
      <c r="D105" s="62" t="s">
        <v>94</v>
      </c>
      <c r="E105" s="12">
        <f t="shared" si="26"/>
        <v>151.80000000000001</v>
      </c>
      <c r="F105" s="101">
        <f t="shared" si="32"/>
        <v>151.80000000000001</v>
      </c>
      <c r="G105" s="67"/>
      <c r="H105" s="63" t="s">
        <v>37</v>
      </c>
      <c r="I105" s="63"/>
      <c r="J105" s="64"/>
      <c r="K105" s="62"/>
      <c r="L105" s="62" t="str">
        <f t="shared" si="3"/>
        <v/>
      </c>
      <c r="M105" s="12">
        <f>151.8-N105-O105-P105</f>
        <v>113.23000000000002</v>
      </c>
      <c r="N105" s="12">
        <v>24.57</v>
      </c>
      <c r="O105" s="12">
        <v>12</v>
      </c>
      <c r="P105" s="12">
        <v>2</v>
      </c>
      <c r="Q105" s="12"/>
      <c r="R105" s="12"/>
      <c r="S105" s="12"/>
      <c r="T105" s="12"/>
      <c r="U105" s="12"/>
      <c r="V105" s="62"/>
      <c r="W105" s="44" t="str">
        <f t="shared" si="2"/>
        <v>OK</v>
      </c>
      <c r="X105" s="47" t="str">
        <f t="shared" si="4"/>
        <v/>
      </c>
      <c r="Y105" s="3"/>
      <c r="Z105" s="3"/>
    </row>
    <row r="106" spans="1:26" ht="14.4" hidden="1" outlineLevel="1" x14ac:dyDescent="0.3">
      <c r="A106" s="3"/>
      <c r="B106" s="10"/>
      <c r="C106" s="62"/>
      <c r="D106" s="62"/>
      <c r="E106" s="12"/>
      <c r="F106" s="12"/>
      <c r="G106" s="67"/>
      <c r="H106" s="63"/>
      <c r="I106" s="63"/>
      <c r="J106" s="64"/>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4.4" hidden="1" outlineLevel="1" x14ac:dyDescent="0.3">
      <c r="A107" s="3"/>
      <c r="B107" s="10"/>
      <c r="C107" s="62"/>
      <c r="D107" s="62"/>
      <c r="E107" s="12"/>
      <c r="F107" s="12"/>
      <c r="G107" s="67"/>
      <c r="H107" s="63"/>
      <c r="I107" s="63"/>
      <c r="J107" s="64" t="s">
        <v>96</v>
      </c>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4.4" hidden="1" outlineLevel="1" x14ac:dyDescent="0.3">
      <c r="A108" s="3"/>
      <c r="B108" s="10"/>
      <c r="C108" s="62"/>
      <c r="D108" s="62"/>
      <c r="E108" s="12"/>
      <c r="F108" s="12"/>
      <c r="G108" s="67"/>
      <c r="H108" s="63"/>
      <c r="I108" s="63"/>
      <c r="J108" s="64" t="s">
        <v>96</v>
      </c>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4.4" hidden="1" outlineLevel="1" x14ac:dyDescent="0.3">
      <c r="A109" s="3"/>
      <c r="B109" s="10"/>
      <c r="C109" s="62"/>
      <c r="D109" s="62"/>
      <c r="E109" s="12"/>
      <c r="F109" s="12"/>
      <c r="G109" s="67"/>
      <c r="H109" s="63"/>
      <c r="I109" s="63"/>
      <c r="J109" s="64" t="s">
        <v>96</v>
      </c>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4.4" hidden="1" outlineLevel="1" x14ac:dyDescent="0.3">
      <c r="A110" s="3"/>
      <c r="B110" s="10"/>
      <c r="C110" s="62"/>
      <c r="D110" s="62"/>
      <c r="E110" s="12"/>
      <c r="F110" s="12"/>
      <c r="G110" s="67"/>
      <c r="H110" s="63"/>
      <c r="I110" s="63"/>
      <c r="J110" s="64" t="s">
        <v>96</v>
      </c>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4.4" hidden="1" outlineLevel="1" x14ac:dyDescent="0.3">
      <c r="A111" s="3"/>
      <c r="B111" s="10"/>
      <c r="C111" s="62"/>
      <c r="D111" s="62"/>
      <c r="E111" s="12"/>
      <c r="F111" s="12"/>
      <c r="G111" s="67"/>
      <c r="H111" s="63"/>
      <c r="I111" s="63"/>
      <c r="J111" s="64" t="s">
        <v>96</v>
      </c>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4.4" hidden="1" outlineLevel="1" x14ac:dyDescent="0.3">
      <c r="A112" s="3"/>
      <c r="B112" s="10"/>
      <c r="C112" s="62"/>
      <c r="D112" s="62"/>
      <c r="E112" s="12"/>
      <c r="F112" s="12"/>
      <c r="G112" s="67"/>
      <c r="H112" s="63"/>
      <c r="I112" s="63"/>
      <c r="J112" s="64" t="s">
        <v>96</v>
      </c>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4.4" hidden="1" outlineLevel="1" x14ac:dyDescent="0.3">
      <c r="A113" s="3"/>
      <c r="B113" s="10"/>
      <c r="C113" s="62"/>
      <c r="D113" s="62"/>
      <c r="E113" s="12"/>
      <c r="F113" s="12"/>
      <c r="G113" s="67"/>
      <c r="H113" s="63"/>
      <c r="I113" s="63"/>
      <c r="J113" s="64" t="s">
        <v>96</v>
      </c>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4.4" hidden="1" outlineLevel="1" x14ac:dyDescent="0.3">
      <c r="A114" s="3"/>
      <c r="B114" s="10"/>
      <c r="C114" s="62"/>
      <c r="D114" s="62"/>
      <c r="E114" s="12"/>
      <c r="F114" s="12"/>
      <c r="G114" s="67"/>
      <c r="H114" s="63"/>
      <c r="I114" s="63"/>
      <c r="J114" s="64" t="s">
        <v>96</v>
      </c>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4.4" hidden="1" outlineLevel="1" x14ac:dyDescent="0.3">
      <c r="A115" s="3"/>
      <c r="B115" s="10"/>
      <c r="C115" s="62"/>
      <c r="D115" s="62"/>
      <c r="E115" s="12"/>
      <c r="F115" s="12"/>
      <c r="G115" s="67"/>
      <c r="H115" s="63"/>
      <c r="I115" s="63"/>
      <c r="J115" s="64" t="s">
        <v>96</v>
      </c>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4.4" hidden="1" outlineLevel="1" x14ac:dyDescent="0.3">
      <c r="A116" s="3"/>
      <c r="B116" s="10"/>
      <c r="C116" s="62"/>
      <c r="D116" s="62"/>
      <c r="E116" s="12"/>
      <c r="F116" s="12"/>
      <c r="G116" s="67"/>
      <c r="H116" s="63"/>
      <c r="I116" s="63"/>
      <c r="J116" s="64" t="s">
        <v>96</v>
      </c>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4.4" hidden="1" outlineLevel="1" x14ac:dyDescent="0.3">
      <c r="A117" s="3"/>
      <c r="B117" s="10"/>
      <c r="C117" s="62"/>
      <c r="D117" s="62"/>
      <c r="E117" s="12"/>
      <c r="F117" s="12"/>
      <c r="G117" s="67"/>
      <c r="H117" s="63"/>
      <c r="I117" s="63"/>
      <c r="J117" s="64" t="s">
        <v>96</v>
      </c>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4.4" hidden="1" outlineLevel="1" x14ac:dyDescent="0.3">
      <c r="A118" s="3"/>
      <c r="B118" s="10"/>
      <c r="C118" s="62"/>
      <c r="D118" s="62"/>
      <c r="E118" s="12"/>
      <c r="F118" s="12"/>
      <c r="G118" s="67"/>
      <c r="H118" s="63"/>
      <c r="I118" s="63"/>
      <c r="J118" s="64" t="s">
        <v>96</v>
      </c>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4.4" hidden="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4.4" hidden="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4.4" hidden="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4.4" hidden="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4.4" hidden="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4.4" hidden="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row>
    <row r="125" spans="1:26" ht="14.4" hidden="1" outlineLevel="1" x14ac:dyDescent="0.3">
      <c r="A125" s="3"/>
      <c r="B125" s="10"/>
      <c r="C125" s="62"/>
      <c r="D125" s="62"/>
      <c r="E125" s="12"/>
      <c r="F125" s="12"/>
      <c r="G125" s="67"/>
      <c r="H125" s="63"/>
      <c r="I125" s="63"/>
      <c r="J125" s="64"/>
      <c r="K125" s="62"/>
      <c r="L125" s="62" t="str">
        <f t="shared" si="3"/>
        <v/>
      </c>
      <c r="M125" s="12"/>
      <c r="N125" s="12"/>
      <c r="O125" s="12"/>
      <c r="P125" s="12"/>
      <c r="Q125" s="12"/>
      <c r="R125" s="12"/>
      <c r="S125" s="12"/>
      <c r="T125" s="12"/>
      <c r="U125" s="12"/>
      <c r="V125" s="62"/>
      <c r="W125" s="44" t="str">
        <f t="shared" si="2"/>
        <v>OK</v>
      </c>
      <c r="X125" s="47" t="str">
        <f t="shared" si="4"/>
        <v/>
      </c>
      <c r="Y125" s="3"/>
      <c r="Z125" s="3"/>
    </row>
    <row r="126" spans="1:26" ht="20.399999999999999" collapsed="1" x14ac:dyDescent="0.3">
      <c r="A126" s="3"/>
      <c r="B126" s="73" t="s">
        <v>62</v>
      </c>
      <c r="C126" s="56" t="s">
        <v>43</v>
      </c>
      <c r="D126" s="56" t="s">
        <v>43</v>
      </c>
      <c r="E126" s="57">
        <f t="shared" ref="E126:F126" si="33">SUM(E127,E130,,E134,E139,E146)</f>
        <v>0</v>
      </c>
      <c r="F126" s="57">
        <f t="shared" si="33"/>
        <v>15120.37</v>
      </c>
      <c r="G126" s="58" t="s">
        <v>43</v>
      </c>
      <c r="H126" s="74"/>
      <c r="I126" s="74"/>
      <c r="J126" s="3"/>
      <c r="K126" s="3"/>
      <c r="L126" s="3"/>
      <c r="M126" s="3"/>
      <c r="N126" s="3"/>
      <c r="O126" s="3"/>
      <c r="P126" s="3"/>
      <c r="Q126" s="3"/>
      <c r="R126" s="3"/>
      <c r="S126" s="3"/>
      <c r="T126" s="3"/>
      <c r="U126" s="3"/>
      <c r="V126" s="3"/>
      <c r="W126" s="44"/>
      <c r="X126" s="41"/>
      <c r="Y126" s="3"/>
      <c r="Z126" s="3"/>
    </row>
    <row r="127" spans="1:26" hidden="1" outlineLevel="1" x14ac:dyDescent="0.3">
      <c r="A127" s="3"/>
      <c r="B127" s="75" t="s">
        <v>230</v>
      </c>
      <c r="C127" s="76" t="s">
        <v>43</v>
      </c>
      <c r="D127" s="76" t="s">
        <v>43</v>
      </c>
      <c r="E127" s="77">
        <f>SUM(E128:E129)</f>
        <v>0</v>
      </c>
      <c r="F127" s="77">
        <f>SUMIF(D128:D129,"OK",F128:F129)</f>
        <v>370.69</v>
      </c>
      <c r="G127" s="78" t="s">
        <v>43</v>
      </c>
      <c r="H127" s="79"/>
      <c r="I127" s="79"/>
      <c r="J127" s="3"/>
      <c r="K127" s="3"/>
      <c r="L127" s="3"/>
      <c r="M127" s="3"/>
      <c r="N127" s="3"/>
      <c r="O127" s="3"/>
      <c r="P127" s="3"/>
      <c r="Q127" s="3"/>
      <c r="R127" s="3"/>
      <c r="S127" s="3"/>
      <c r="T127" s="3"/>
      <c r="U127" s="3"/>
      <c r="V127" s="3"/>
      <c r="W127" s="44"/>
      <c r="X127" s="41"/>
      <c r="Y127" s="3"/>
      <c r="Z127" s="3"/>
    </row>
    <row r="128" spans="1:26" ht="14.4" hidden="1" outlineLevel="1" x14ac:dyDescent="0.3">
      <c r="A128" s="3"/>
      <c r="B128" s="10" t="s">
        <v>231</v>
      </c>
      <c r="C128" s="62">
        <v>2</v>
      </c>
      <c r="D128" s="62" t="s">
        <v>94</v>
      </c>
      <c r="E128" s="12">
        <v>0</v>
      </c>
      <c r="F128" s="12">
        <v>370.69</v>
      </c>
      <c r="G128" s="67"/>
      <c r="H128" s="63" t="s">
        <v>37</v>
      </c>
      <c r="I128" s="63"/>
      <c r="J128" s="3"/>
      <c r="K128" s="3"/>
      <c r="L128" s="3"/>
      <c r="M128" s="3"/>
      <c r="N128" s="3"/>
      <c r="O128" s="3"/>
      <c r="P128" s="3"/>
      <c r="Q128" s="3"/>
      <c r="R128" s="3"/>
      <c r="S128" s="3"/>
      <c r="T128" s="3"/>
      <c r="U128" s="3"/>
      <c r="V128" s="3"/>
      <c r="W128" s="44"/>
      <c r="X128" s="41"/>
      <c r="Y128" s="3"/>
      <c r="Z128" s="3"/>
    </row>
    <row r="129" spans="1:26" ht="14.4" hidden="1" outlineLevel="1" x14ac:dyDescent="0.3">
      <c r="A129" s="3"/>
      <c r="B129" s="10" t="s">
        <v>61</v>
      </c>
      <c r="C129" s="62"/>
      <c r="D129" s="62"/>
      <c r="E129" s="12">
        <v>0</v>
      </c>
      <c r="F129" s="12">
        <v>0</v>
      </c>
      <c r="G129" s="67"/>
      <c r="H129" s="63"/>
      <c r="I129" s="63"/>
      <c r="J129" s="3"/>
      <c r="K129" s="3"/>
      <c r="L129" s="3"/>
      <c r="M129" s="3"/>
      <c r="N129" s="3"/>
      <c r="O129" s="3"/>
      <c r="P129" s="3"/>
      <c r="Q129" s="3"/>
      <c r="R129" s="3"/>
      <c r="S129" s="3"/>
      <c r="T129" s="3"/>
      <c r="U129" s="3"/>
      <c r="V129" s="3"/>
      <c r="W129" s="44"/>
      <c r="X129" s="41"/>
      <c r="Y129" s="3"/>
      <c r="Z129" s="3"/>
    </row>
    <row r="130" spans="1:26" hidden="1" outlineLevel="1" x14ac:dyDescent="0.3">
      <c r="A130" s="3"/>
      <c r="B130" s="75" t="s">
        <v>232</v>
      </c>
      <c r="C130" s="76" t="s">
        <v>43</v>
      </c>
      <c r="D130" s="76" t="s">
        <v>43</v>
      </c>
      <c r="E130" s="77">
        <f>SUM(E131:E133)</f>
        <v>0</v>
      </c>
      <c r="F130" s="77">
        <f>SUMIF(D131:D133,"OK",F131:F133)</f>
        <v>1479.01</v>
      </c>
      <c r="G130" s="78" t="s">
        <v>43</v>
      </c>
      <c r="H130" s="79"/>
      <c r="I130" s="79"/>
      <c r="J130" s="3"/>
      <c r="K130" s="3"/>
      <c r="L130" s="3"/>
      <c r="M130" s="3"/>
      <c r="N130" s="3"/>
      <c r="O130" s="3"/>
      <c r="P130" s="3"/>
      <c r="Q130" s="3"/>
      <c r="R130" s="3"/>
      <c r="S130" s="3"/>
      <c r="T130" s="3"/>
      <c r="U130" s="3"/>
      <c r="V130" s="3"/>
      <c r="W130" s="44"/>
      <c r="X130" s="41"/>
      <c r="Y130" s="3"/>
      <c r="Z130" s="3"/>
    </row>
    <row r="131" spans="1:26" ht="14.4" hidden="1" outlineLevel="1" x14ac:dyDescent="0.3">
      <c r="A131" s="3"/>
      <c r="B131" s="10" t="s">
        <v>715</v>
      </c>
      <c r="C131" s="62"/>
      <c r="D131" s="62"/>
      <c r="E131" s="12">
        <v>0</v>
      </c>
      <c r="F131" s="12">
        <v>0</v>
      </c>
      <c r="G131" s="69"/>
      <c r="H131" s="63"/>
      <c r="I131" s="63"/>
      <c r="J131" s="3"/>
      <c r="K131" s="3"/>
      <c r="L131" s="3"/>
      <c r="M131" s="3"/>
      <c r="N131" s="3"/>
      <c r="O131" s="3"/>
      <c r="P131" s="3"/>
      <c r="Q131" s="3"/>
      <c r="R131" s="3"/>
      <c r="S131" s="3"/>
      <c r="T131" s="3"/>
      <c r="U131" s="3"/>
      <c r="V131" s="3"/>
      <c r="W131" s="44"/>
      <c r="X131" s="41"/>
      <c r="Y131" s="3"/>
      <c r="Z131" s="3"/>
    </row>
    <row r="132" spans="1:26" ht="14.4" hidden="1" outlineLevel="1" x14ac:dyDescent="0.3">
      <c r="A132" s="3"/>
      <c r="B132" s="10" t="s">
        <v>529</v>
      </c>
      <c r="C132" s="62" t="s">
        <v>641</v>
      </c>
      <c r="D132" s="62" t="s">
        <v>94</v>
      </c>
      <c r="E132" s="12">
        <v>0</v>
      </c>
      <c r="F132" s="12">
        <v>1407.51</v>
      </c>
      <c r="G132" s="70"/>
      <c r="H132" s="63" t="s">
        <v>39</v>
      </c>
      <c r="I132" s="63"/>
      <c r="J132" s="3"/>
      <c r="K132" s="3"/>
      <c r="L132" s="3"/>
      <c r="M132" s="3"/>
      <c r="N132" s="3"/>
      <c r="O132" s="3"/>
      <c r="P132" s="3"/>
      <c r="Q132" s="3"/>
      <c r="R132" s="3"/>
      <c r="S132" s="3"/>
      <c r="T132" s="3"/>
      <c r="U132" s="3"/>
      <c r="V132" s="3"/>
      <c r="W132" s="44"/>
      <c r="X132" s="41"/>
      <c r="Y132" s="3"/>
      <c r="Z132" s="3"/>
    </row>
    <row r="133" spans="1:26" ht="14.4" hidden="1" outlineLevel="1" x14ac:dyDescent="0.3">
      <c r="A133" s="3"/>
      <c r="B133" s="10" t="s">
        <v>532</v>
      </c>
      <c r="C133" s="62" t="s">
        <v>1035</v>
      </c>
      <c r="D133" s="62" t="s">
        <v>94</v>
      </c>
      <c r="E133" s="12">
        <v>0</v>
      </c>
      <c r="F133" s="12">
        <f>4+17.5+20+30</f>
        <v>71.5</v>
      </c>
      <c r="G133" s="69"/>
      <c r="H133" s="63" t="s">
        <v>38</v>
      </c>
      <c r="I133" s="63"/>
      <c r="J133" s="3"/>
      <c r="K133" s="3"/>
      <c r="L133" s="3"/>
      <c r="M133" s="3"/>
      <c r="N133" s="3"/>
      <c r="O133" s="3"/>
      <c r="P133" s="3"/>
      <c r="Q133" s="3"/>
      <c r="R133" s="3"/>
      <c r="S133" s="3"/>
      <c r="T133" s="3"/>
      <c r="U133" s="3"/>
      <c r="V133" s="3"/>
      <c r="W133" s="44"/>
      <c r="X133" s="41"/>
      <c r="Y133" s="3"/>
      <c r="Z133" s="3"/>
    </row>
    <row r="134" spans="1:26" hidden="1" outlineLevel="1" x14ac:dyDescent="0.3">
      <c r="A134" s="3"/>
      <c r="B134" s="75" t="s">
        <v>651</v>
      </c>
      <c r="C134" s="76" t="s">
        <v>43</v>
      </c>
      <c r="D134" s="76" t="s">
        <v>43</v>
      </c>
      <c r="E134" s="77">
        <f>SUM(E135:E137)</f>
        <v>0</v>
      </c>
      <c r="F134" s="77">
        <f>SUMIF(D135:D138,"OK",F135:F138)</f>
        <v>0</v>
      </c>
      <c r="G134" s="78" t="s">
        <v>43</v>
      </c>
      <c r="H134" s="79"/>
      <c r="I134" s="79"/>
      <c r="J134" s="3"/>
      <c r="K134" s="3"/>
      <c r="L134" s="3"/>
      <c r="M134" s="3"/>
      <c r="N134" s="3"/>
      <c r="O134" s="3"/>
      <c r="P134" s="3"/>
      <c r="Q134" s="3"/>
      <c r="R134" s="3"/>
      <c r="S134" s="3"/>
      <c r="T134" s="3"/>
      <c r="U134" s="3"/>
      <c r="V134" s="3"/>
      <c r="W134" s="44"/>
      <c r="X134" s="41"/>
      <c r="Y134" s="3"/>
      <c r="Z134" s="3"/>
    </row>
    <row r="135" spans="1:26" ht="14.4" hidden="1" outlineLevel="1" x14ac:dyDescent="0.3">
      <c r="A135" s="3"/>
      <c r="B135" s="10" t="s">
        <v>715</v>
      </c>
      <c r="C135" s="62"/>
      <c r="D135" s="62"/>
      <c r="E135" s="12">
        <v>0</v>
      </c>
      <c r="F135" s="12">
        <v>0</v>
      </c>
      <c r="G135" s="69"/>
      <c r="H135" s="63"/>
      <c r="I135" s="63"/>
      <c r="J135" s="3"/>
      <c r="K135" s="3"/>
      <c r="L135" s="3"/>
      <c r="M135" s="3"/>
      <c r="N135" s="3"/>
      <c r="O135" s="3"/>
      <c r="P135" s="3"/>
      <c r="Q135" s="3"/>
      <c r="R135" s="3"/>
      <c r="S135" s="3"/>
      <c r="T135" s="3"/>
      <c r="U135" s="3"/>
      <c r="V135" s="3"/>
      <c r="W135" s="44"/>
      <c r="X135" s="41"/>
      <c r="Y135" s="3"/>
      <c r="Z135" s="3"/>
    </row>
    <row r="136" spans="1:26" ht="14.4" hidden="1" outlineLevel="1" x14ac:dyDescent="0.3">
      <c r="A136" s="3"/>
      <c r="B136" s="10" t="s">
        <v>531</v>
      </c>
      <c r="C136" s="62"/>
      <c r="D136" s="62"/>
      <c r="E136" s="12">
        <v>0</v>
      </c>
      <c r="F136" s="12">
        <v>0</v>
      </c>
      <c r="G136" s="70"/>
      <c r="H136" s="63"/>
      <c r="I136" s="63"/>
      <c r="J136" s="3"/>
      <c r="K136" s="3"/>
      <c r="L136" s="3"/>
      <c r="M136" s="3"/>
      <c r="N136" s="3"/>
      <c r="O136" s="3"/>
      <c r="P136" s="3"/>
      <c r="Q136" s="3"/>
      <c r="R136" s="3"/>
      <c r="S136" s="3"/>
      <c r="T136" s="3"/>
      <c r="U136" s="3"/>
      <c r="V136" s="3"/>
      <c r="W136" s="44"/>
      <c r="X136" s="41"/>
      <c r="Y136" s="3"/>
      <c r="Z136" s="3"/>
    </row>
    <row r="137" spans="1:26" ht="14.4" hidden="1" outlineLevel="1" x14ac:dyDescent="0.3">
      <c r="A137" s="3"/>
      <c r="B137" s="10" t="s">
        <v>532</v>
      </c>
      <c r="C137" s="62"/>
      <c r="D137" s="62"/>
      <c r="E137" s="12">
        <v>0</v>
      </c>
      <c r="F137" s="12">
        <v>0</v>
      </c>
      <c r="G137" s="69"/>
      <c r="H137" s="63"/>
      <c r="I137" s="63"/>
      <c r="J137" s="3"/>
      <c r="K137" s="3"/>
      <c r="L137" s="3"/>
      <c r="M137" s="3"/>
      <c r="N137" s="3"/>
      <c r="O137" s="3"/>
      <c r="P137" s="3"/>
      <c r="Q137" s="3"/>
      <c r="R137" s="3"/>
      <c r="S137" s="3"/>
      <c r="T137" s="3"/>
      <c r="U137" s="3"/>
      <c r="V137" s="3"/>
      <c r="W137" s="44"/>
      <c r="X137" s="41"/>
      <c r="Y137" s="3"/>
      <c r="Z137" s="3"/>
    </row>
    <row r="138" spans="1:26" ht="14.4" hidden="1" outlineLevel="1" x14ac:dyDescent="0.3">
      <c r="A138" s="3"/>
      <c r="B138" s="10" t="s">
        <v>529</v>
      </c>
      <c r="C138" s="62"/>
      <c r="D138" s="62"/>
      <c r="E138" s="12">
        <v>0</v>
      </c>
      <c r="F138" s="12">
        <v>0</v>
      </c>
      <c r="G138" s="69"/>
      <c r="H138" s="63"/>
      <c r="I138" s="63"/>
      <c r="J138" s="3"/>
      <c r="K138" s="3"/>
      <c r="L138" s="3"/>
      <c r="M138" s="3"/>
      <c r="N138" s="3"/>
      <c r="O138" s="3"/>
      <c r="P138" s="3"/>
      <c r="Q138" s="3"/>
      <c r="R138" s="3"/>
      <c r="S138" s="3"/>
      <c r="T138" s="3"/>
      <c r="U138" s="3"/>
      <c r="V138" s="3"/>
      <c r="W138" s="44"/>
      <c r="X138" s="41"/>
      <c r="Y138" s="3"/>
      <c r="Z138" s="3"/>
    </row>
    <row r="139" spans="1:26" hidden="1" outlineLevel="1" x14ac:dyDescent="0.3">
      <c r="A139" s="3"/>
      <c r="B139" s="75" t="s">
        <v>901</v>
      </c>
      <c r="C139" s="76" t="s">
        <v>43</v>
      </c>
      <c r="D139" s="76" t="s">
        <v>43</v>
      </c>
      <c r="E139" s="77">
        <f>SUM(E140:E145)</f>
        <v>0</v>
      </c>
      <c r="F139" s="77">
        <f>SUMIF(D140:D145,"OK",F140:F145)</f>
        <v>10275.67</v>
      </c>
      <c r="G139" s="78" t="s">
        <v>43</v>
      </c>
      <c r="H139" s="79"/>
      <c r="I139" s="79"/>
      <c r="J139" s="3"/>
      <c r="K139" s="3"/>
      <c r="L139" s="3"/>
      <c r="M139" s="3"/>
      <c r="N139" s="3"/>
      <c r="O139" s="3"/>
      <c r="P139" s="3"/>
      <c r="Q139" s="3"/>
      <c r="R139" s="3"/>
      <c r="S139" s="3"/>
      <c r="T139" s="3"/>
      <c r="U139" s="3"/>
      <c r="V139" s="3"/>
      <c r="W139" s="44"/>
      <c r="X139" s="41"/>
      <c r="Y139" s="3"/>
      <c r="Z139" s="3"/>
    </row>
    <row r="140" spans="1:26" ht="14.4" hidden="1" outlineLevel="1" x14ac:dyDescent="0.3">
      <c r="A140" s="3"/>
      <c r="B140" s="10" t="s">
        <v>1036</v>
      </c>
      <c r="C140" s="62">
        <v>12</v>
      </c>
      <c r="D140" s="62" t="s">
        <v>94</v>
      </c>
      <c r="E140" s="12">
        <v>0</v>
      </c>
      <c r="F140" s="12">
        <f>50</f>
        <v>50</v>
      </c>
      <c r="G140" s="70" t="s">
        <v>1037</v>
      </c>
      <c r="H140" s="63" t="s">
        <v>37</v>
      </c>
      <c r="I140" s="63"/>
      <c r="J140" s="3"/>
      <c r="K140" s="3"/>
      <c r="L140" s="3"/>
      <c r="M140" s="3"/>
      <c r="N140" s="3"/>
      <c r="O140" s="3"/>
      <c r="P140" s="3"/>
      <c r="Q140" s="3"/>
      <c r="R140" s="3"/>
      <c r="S140" s="3"/>
      <c r="T140" s="3"/>
      <c r="U140" s="3"/>
      <c r="V140" s="3"/>
      <c r="W140" s="44"/>
      <c r="X140" s="41"/>
      <c r="Y140" s="3"/>
      <c r="Z140" s="3"/>
    </row>
    <row r="141" spans="1:26" ht="14.4" hidden="1" outlineLevel="1" x14ac:dyDescent="0.3">
      <c r="A141" s="3"/>
      <c r="B141" s="10" t="s">
        <v>904</v>
      </c>
      <c r="C141" s="62" t="s">
        <v>1038</v>
      </c>
      <c r="D141" s="62" t="s">
        <v>94</v>
      </c>
      <c r="E141" s="12">
        <v>0</v>
      </c>
      <c r="F141" s="12">
        <f>75+8+30+50+80+98+90+45+40+39</f>
        <v>555</v>
      </c>
      <c r="G141" s="67"/>
      <c r="H141" s="63" t="s">
        <v>38</v>
      </c>
      <c r="I141" s="63"/>
      <c r="J141" s="3"/>
      <c r="K141" s="3"/>
      <c r="L141" s="3"/>
      <c r="M141" s="3"/>
      <c r="N141" s="3"/>
      <c r="O141" s="3"/>
      <c r="P141" s="3"/>
      <c r="Q141" s="3"/>
      <c r="R141" s="3"/>
      <c r="S141" s="3"/>
      <c r="T141" s="3"/>
      <c r="U141" s="3"/>
      <c r="V141" s="3"/>
      <c r="W141" s="44"/>
      <c r="X141" s="41"/>
      <c r="Y141" s="3"/>
      <c r="Z141" s="3"/>
    </row>
    <row r="142" spans="1:26" ht="14.4" hidden="1" outlineLevel="1" x14ac:dyDescent="0.3">
      <c r="A142" s="3"/>
      <c r="B142" s="10" t="s">
        <v>905</v>
      </c>
      <c r="C142" s="62" t="s">
        <v>1039</v>
      </c>
      <c r="D142" s="62" t="s">
        <v>94</v>
      </c>
      <c r="E142" s="12">
        <v>0</v>
      </c>
      <c r="F142" s="12">
        <f>50+40+20+10+50+65+10+50+30+20+55+167.9+40+6430.77</f>
        <v>7038.67</v>
      </c>
      <c r="G142" s="67"/>
      <c r="H142" s="63" t="s">
        <v>38</v>
      </c>
      <c r="I142" s="63"/>
      <c r="J142" s="3"/>
      <c r="K142" s="3"/>
      <c r="L142" s="3"/>
      <c r="M142" s="3"/>
      <c r="N142" s="3"/>
      <c r="O142" s="3"/>
      <c r="P142" s="3"/>
      <c r="Q142" s="3"/>
      <c r="R142" s="3"/>
      <c r="S142" s="3"/>
      <c r="T142" s="3"/>
      <c r="U142" s="3"/>
      <c r="V142" s="3"/>
      <c r="W142" s="44"/>
      <c r="X142" s="41"/>
      <c r="Y142" s="3"/>
      <c r="Z142" s="3"/>
    </row>
    <row r="143" spans="1:26" ht="14.4" hidden="1" outlineLevel="1" x14ac:dyDescent="0.3">
      <c r="A143" s="3"/>
      <c r="B143" s="10" t="s">
        <v>1040</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4.4" hidden="1" outlineLevel="1" x14ac:dyDescent="0.3">
      <c r="A144" s="3"/>
      <c r="B144" s="10" t="s">
        <v>1041</v>
      </c>
      <c r="C144" s="62">
        <v>13</v>
      </c>
      <c r="D144" s="62" t="s">
        <v>94</v>
      </c>
      <c r="E144" s="12">
        <v>0</v>
      </c>
      <c r="F144" s="12">
        <f>2617+15</f>
        <v>2632</v>
      </c>
      <c r="G144" s="67"/>
      <c r="H144" s="63" t="s">
        <v>36</v>
      </c>
      <c r="I144" s="63"/>
      <c r="J144" s="3"/>
      <c r="K144" s="3"/>
      <c r="L144" s="3"/>
      <c r="M144" s="3"/>
      <c r="N144" s="3"/>
      <c r="O144" s="3"/>
      <c r="P144" s="3"/>
      <c r="Q144" s="3"/>
      <c r="R144" s="3"/>
      <c r="S144" s="3"/>
      <c r="T144" s="3"/>
      <c r="U144" s="3"/>
      <c r="V144" s="3"/>
      <c r="W144" s="44"/>
      <c r="X144" s="41"/>
      <c r="Y144" s="3"/>
      <c r="Z144" s="3"/>
    </row>
    <row r="145" spans="1:26" ht="14.4" hidden="1" outlineLevel="1" x14ac:dyDescent="0.3">
      <c r="A145" s="3"/>
      <c r="B145" s="10" t="s">
        <v>908</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row>
    <row r="146" spans="1:26" hidden="1" outlineLevel="1" x14ac:dyDescent="0.3">
      <c r="A146" s="3"/>
      <c r="B146" s="75" t="s">
        <v>689</v>
      </c>
      <c r="C146" s="76" t="s">
        <v>43</v>
      </c>
      <c r="D146" s="76" t="s">
        <v>43</v>
      </c>
      <c r="E146" s="77">
        <f>SUM(E147:E149)</f>
        <v>0</v>
      </c>
      <c r="F146" s="77">
        <f>SUMIF(D147:D149,"OK",F147:F149)</f>
        <v>2995</v>
      </c>
      <c r="G146" s="78" t="s">
        <v>43</v>
      </c>
      <c r="H146" s="79"/>
      <c r="I146" s="79"/>
      <c r="J146" s="3"/>
      <c r="K146" s="3"/>
      <c r="L146" s="3"/>
      <c r="M146" s="3"/>
      <c r="N146" s="3"/>
      <c r="O146" s="3"/>
      <c r="P146" s="3"/>
      <c r="Q146" s="3"/>
      <c r="R146" s="3"/>
      <c r="S146" s="3"/>
      <c r="T146" s="3"/>
      <c r="U146" s="3"/>
      <c r="V146" s="3"/>
      <c r="W146" s="44"/>
      <c r="X146" s="41"/>
      <c r="Y146" s="3"/>
      <c r="Z146" s="3"/>
    </row>
    <row r="147" spans="1:26" ht="14.4" hidden="1" outlineLevel="1" x14ac:dyDescent="0.3">
      <c r="A147" s="3"/>
      <c r="B147" s="10" t="s">
        <v>537</v>
      </c>
      <c r="C147" s="62">
        <v>16</v>
      </c>
      <c r="D147" s="62" t="s">
        <v>94</v>
      </c>
      <c r="E147" s="12">
        <v>0</v>
      </c>
      <c r="F147" s="12">
        <v>2795</v>
      </c>
      <c r="G147" s="69"/>
      <c r="H147" s="63" t="s">
        <v>37</v>
      </c>
      <c r="I147" s="63"/>
      <c r="J147" s="3"/>
      <c r="K147" s="3"/>
      <c r="L147" s="3"/>
      <c r="M147" s="3"/>
      <c r="N147" s="3"/>
      <c r="O147" s="3"/>
      <c r="P147" s="3"/>
      <c r="Q147" s="3"/>
      <c r="R147" s="3"/>
      <c r="S147" s="3"/>
      <c r="T147" s="3"/>
      <c r="U147" s="3"/>
      <c r="V147" s="3"/>
      <c r="W147" s="44"/>
      <c r="X147" s="41"/>
      <c r="Y147" s="3"/>
      <c r="Z147" s="3"/>
    </row>
    <row r="148" spans="1:26" ht="14.4" hidden="1" outlineLevel="1" x14ac:dyDescent="0.3">
      <c r="A148" s="3"/>
      <c r="B148" s="10" t="s">
        <v>1042</v>
      </c>
      <c r="C148" s="62">
        <v>10</v>
      </c>
      <c r="D148" s="62" t="s">
        <v>94</v>
      </c>
      <c r="E148" s="12">
        <v>0</v>
      </c>
      <c r="F148" s="12">
        <f>200</f>
        <v>200</v>
      </c>
      <c r="G148" s="69" t="s">
        <v>1043</v>
      </c>
      <c r="H148" s="63" t="s">
        <v>38</v>
      </c>
      <c r="I148" s="63"/>
      <c r="J148" s="3"/>
      <c r="K148" s="3"/>
      <c r="L148" s="3"/>
      <c r="M148" s="3"/>
      <c r="N148" s="3"/>
      <c r="O148" s="3"/>
      <c r="P148" s="3"/>
      <c r="Q148" s="3"/>
      <c r="R148" s="3"/>
      <c r="S148" s="3"/>
      <c r="T148" s="3"/>
      <c r="U148" s="3"/>
      <c r="V148" s="3"/>
      <c r="W148" s="44"/>
      <c r="X148" s="41"/>
      <c r="Y148" s="3"/>
      <c r="Z148" s="3"/>
    </row>
    <row r="149" spans="1:26" ht="14.4" hidden="1" outlineLevel="1" x14ac:dyDescent="0.3">
      <c r="A149" s="3"/>
      <c r="B149" s="10" t="s">
        <v>61</v>
      </c>
      <c r="C149" s="62"/>
      <c r="D149" s="62"/>
      <c r="E149" s="12">
        <v>0</v>
      </c>
      <c r="F149" s="12">
        <v>0</v>
      </c>
      <c r="G149" s="67"/>
      <c r="H149" s="63"/>
      <c r="I149" s="63"/>
      <c r="J149" s="3"/>
      <c r="K149" s="3"/>
      <c r="L149" s="3"/>
      <c r="M149" s="3"/>
      <c r="N149" s="3"/>
      <c r="O149" s="3"/>
      <c r="P149" s="3"/>
      <c r="Q149" s="3"/>
      <c r="R149" s="3"/>
      <c r="S149" s="3"/>
      <c r="T149" s="3"/>
      <c r="U149" s="3"/>
      <c r="V149" s="3"/>
      <c r="W149" s="44"/>
      <c r="X149" s="41"/>
      <c r="Y149" s="3"/>
      <c r="Z149" s="3"/>
    </row>
    <row r="150" spans="1:26" ht="20.399999999999999" collapsed="1" x14ac:dyDescent="0.3">
      <c r="A150" s="3"/>
      <c r="B150" s="73" t="s">
        <v>239</v>
      </c>
      <c r="C150" s="56" t="s">
        <v>43</v>
      </c>
      <c r="D150" s="56" t="s">
        <v>43</v>
      </c>
      <c r="E150" s="57">
        <f t="shared" ref="E150:F150" si="34">SUM(E151,E156,E161,E165)</f>
        <v>0</v>
      </c>
      <c r="F150" s="57">
        <f t="shared" si="34"/>
        <v>1821</v>
      </c>
      <c r="G150" s="58" t="s">
        <v>43</v>
      </c>
      <c r="H150" s="74"/>
      <c r="I150" s="74"/>
      <c r="J150" s="3"/>
      <c r="K150" s="3"/>
      <c r="L150" s="3"/>
      <c r="M150" s="3"/>
      <c r="N150" s="3"/>
      <c r="O150" s="3"/>
      <c r="P150" s="3"/>
      <c r="Q150" s="3"/>
      <c r="R150" s="3"/>
      <c r="S150" s="3"/>
      <c r="T150" s="3"/>
      <c r="U150" s="3"/>
      <c r="V150" s="3"/>
      <c r="W150" s="44"/>
      <c r="X150" s="41"/>
      <c r="Y150" s="3"/>
      <c r="Z150" s="3"/>
    </row>
    <row r="151" spans="1:26" hidden="1" outlineLevel="1" x14ac:dyDescent="0.3">
      <c r="A151" s="3"/>
      <c r="B151" s="75" t="s">
        <v>240</v>
      </c>
      <c r="C151" s="76" t="s">
        <v>43</v>
      </c>
      <c r="D151" s="76" t="s">
        <v>43</v>
      </c>
      <c r="E151" s="77">
        <f>SUM(E152:E155)</f>
        <v>0</v>
      </c>
      <c r="F151" s="77">
        <f>SUMIF(D152:D155,"OK",F152:F155)</f>
        <v>947</v>
      </c>
      <c r="G151" s="78" t="s">
        <v>43</v>
      </c>
      <c r="H151" s="79"/>
      <c r="I151" s="79"/>
      <c r="J151" s="3"/>
      <c r="K151" s="3"/>
      <c r="L151" s="3"/>
      <c r="M151" s="3"/>
      <c r="N151" s="3"/>
      <c r="O151" s="3"/>
      <c r="P151" s="3"/>
      <c r="Q151" s="3"/>
      <c r="R151" s="3"/>
      <c r="S151" s="3"/>
      <c r="T151" s="3"/>
      <c r="U151" s="3"/>
      <c r="V151" s="3"/>
      <c r="W151" s="44"/>
      <c r="X151" s="41"/>
      <c r="Y151" s="3"/>
      <c r="Z151" s="3"/>
    </row>
    <row r="152" spans="1:26" ht="14.4" hidden="1" outlineLevel="1" x14ac:dyDescent="0.3">
      <c r="A152" s="3"/>
      <c r="B152" s="10" t="s">
        <v>241</v>
      </c>
      <c r="C152" s="62" t="s">
        <v>1044</v>
      </c>
      <c r="D152" s="62" t="s">
        <v>94</v>
      </c>
      <c r="E152" s="12">
        <v>0</v>
      </c>
      <c r="F152" s="12">
        <f>20+10+5+50+10+20+10+10+5+10+400+2+30+55</f>
        <v>637</v>
      </c>
      <c r="G152" s="67"/>
      <c r="H152" s="63" t="s">
        <v>37</v>
      </c>
      <c r="I152" s="63"/>
      <c r="J152" s="3"/>
      <c r="K152" s="3"/>
      <c r="L152" s="3"/>
      <c r="M152" s="3"/>
      <c r="N152" s="3"/>
      <c r="O152" s="3"/>
      <c r="P152" s="3"/>
      <c r="Q152" s="3"/>
      <c r="R152" s="3"/>
      <c r="S152" s="3"/>
      <c r="T152" s="3"/>
      <c r="U152" s="3"/>
      <c r="V152" s="3"/>
      <c r="W152" s="44"/>
      <c r="X152" s="41"/>
      <c r="Y152" s="3"/>
      <c r="Z152" s="3"/>
    </row>
    <row r="153" spans="1:26" ht="14.4" hidden="1" outlineLevel="1" x14ac:dyDescent="0.3">
      <c r="A153" s="3"/>
      <c r="B153" s="10" t="s">
        <v>242</v>
      </c>
      <c r="C153" s="62"/>
      <c r="D153" s="62"/>
      <c r="E153" s="12">
        <v>0</v>
      </c>
      <c r="F153" s="12">
        <v>0</v>
      </c>
      <c r="G153" s="67"/>
      <c r="H153" s="63" t="s">
        <v>36</v>
      </c>
      <c r="I153" s="63"/>
      <c r="J153" s="3"/>
      <c r="K153" s="3"/>
      <c r="L153" s="3"/>
      <c r="M153" s="3"/>
      <c r="N153" s="3"/>
      <c r="O153" s="3"/>
      <c r="P153" s="3"/>
      <c r="Q153" s="3"/>
      <c r="R153" s="3"/>
      <c r="S153" s="3"/>
      <c r="T153" s="3"/>
      <c r="U153" s="3"/>
      <c r="V153" s="3"/>
      <c r="W153" s="44"/>
      <c r="X153" s="41"/>
      <c r="Y153" s="3"/>
      <c r="Z153" s="3"/>
    </row>
    <row r="154" spans="1:26" ht="14.4" hidden="1" outlineLevel="1" x14ac:dyDescent="0.3">
      <c r="A154" s="3"/>
      <c r="B154" s="10" t="s">
        <v>243</v>
      </c>
      <c r="C154" s="62">
        <v>19</v>
      </c>
      <c r="D154" s="62" t="s">
        <v>94</v>
      </c>
      <c r="E154" s="12">
        <v>0</v>
      </c>
      <c r="F154" s="12">
        <f>12+10+30+5+50+5+30+25+3+20+10+10+5+10+10+10+10+30+20+5</f>
        <v>310</v>
      </c>
      <c r="G154" s="67"/>
      <c r="H154" s="63" t="s">
        <v>37</v>
      </c>
      <c r="I154" s="63"/>
      <c r="J154" s="3"/>
      <c r="K154" s="3"/>
      <c r="L154" s="3"/>
      <c r="M154" s="3"/>
      <c r="N154" s="3"/>
      <c r="O154" s="3"/>
      <c r="P154" s="3"/>
      <c r="Q154" s="3"/>
      <c r="R154" s="3"/>
      <c r="S154" s="3"/>
      <c r="T154" s="3"/>
      <c r="U154" s="3"/>
      <c r="V154" s="3"/>
      <c r="W154" s="44"/>
      <c r="X154" s="41"/>
      <c r="Y154" s="3"/>
      <c r="Z154" s="3"/>
    </row>
    <row r="155" spans="1:26" ht="14.4" hidden="1" outlineLevel="1" x14ac:dyDescent="0.3">
      <c r="A155" s="3"/>
      <c r="B155" s="10" t="s">
        <v>244</v>
      </c>
      <c r="C155" s="62"/>
      <c r="D155" s="62"/>
      <c r="E155" s="12">
        <v>0</v>
      </c>
      <c r="F155" s="12">
        <v>0</v>
      </c>
      <c r="G155" s="67"/>
      <c r="H155" s="63" t="s">
        <v>36</v>
      </c>
      <c r="I155" s="63"/>
      <c r="J155" s="3"/>
      <c r="K155" s="3"/>
      <c r="L155" s="3"/>
      <c r="M155" s="3"/>
      <c r="N155" s="3"/>
      <c r="O155" s="3"/>
      <c r="P155" s="3"/>
      <c r="Q155" s="3"/>
      <c r="R155" s="3"/>
      <c r="S155" s="3"/>
      <c r="T155" s="3"/>
      <c r="U155" s="3"/>
      <c r="V155" s="3"/>
      <c r="W155" s="44"/>
      <c r="X155" s="41"/>
      <c r="Y155" s="3"/>
      <c r="Z155" s="3"/>
    </row>
    <row r="156" spans="1:26" hidden="1" outlineLevel="1" x14ac:dyDescent="0.3">
      <c r="A156" s="3"/>
      <c r="B156" s="75" t="s">
        <v>245</v>
      </c>
      <c r="C156" s="76" t="s">
        <v>43</v>
      </c>
      <c r="D156" s="76" t="s">
        <v>43</v>
      </c>
      <c r="E156" s="77">
        <f>SUM(E157:E160)</f>
        <v>0</v>
      </c>
      <c r="F156" s="77">
        <f>SUMIF(D157:D160,"OK",F157:F160)</f>
        <v>874</v>
      </c>
      <c r="G156" s="78" t="s">
        <v>43</v>
      </c>
      <c r="H156" s="79"/>
      <c r="I156" s="79"/>
      <c r="J156" s="3"/>
      <c r="K156" s="3"/>
      <c r="L156" s="3"/>
      <c r="M156" s="3"/>
      <c r="N156" s="3"/>
      <c r="O156" s="3"/>
      <c r="P156" s="3"/>
      <c r="Q156" s="3"/>
      <c r="R156" s="3"/>
      <c r="S156" s="3"/>
      <c r="T156" s="3"/>
      <c r="U156" s="3"/>
      <c r="V156" s="3"/>
      <c r="W156" s="44"/>
      <c r="X156" s="41"/>
      <c r="Y156" s="3"/>
      <c r="Z156" s="3"/>
    </row>
    <row r="157" spans="1:26" ht="14.4" hidden="1" outlineLevel="1" x14ac:dyDescent="0.3">
      <c r="A157" s="3"/>
      <c r="B157" s="10" t="s">
        <v>241</v>
      </c>
      <c r="C157" s="62" t="s">
        <v>1045</v>
      </c>
      <c r="D157" s="62" t="s">
        <v>94</v>
      </c>
      <c r="E157" s="12">
        <v>0</v>
      </c>
      <c r="F157" s="12">
        <f>40+20+20+10+30+20+30+50+20+20+20+40+10+30+30+20+50</f>
        <v>460</v>
      </c>
      <c r="G157" s="69"/>
      <c r="H157" s="63" t="s">
        <v>37</v>
      </c>
      <c r="I157" s="63"/>
      <c r="J157" s="3"/>
      <c r="K157" s="3"/>
      <c r="L157" s="3"/>
      <c r="M157" s="3"/>
      <c r="N157" s="3"/>
      <c r="O157" s="3"/>
      <c r="P157" s="3"/>
      <c r="Q157" s="3"/>
      <c r="R157" s="3"/>
      <c r="S157" s="3"/>
      <c r="T157" s="3"/>
      <c r="U157" s="3"/>
      <c r="V157" s="3"/>
      <c r="W157" s="44"/>
      <c r="X157" s="41"/>
      <c r="Y157" s="3"/>
      <c r="Z157" s="3"/>
    </row>
    <row r="158" spans="1:26" ht="14.4" hidden="1" outlineLevel="1" x14ac:dyDescent="0.3">
      <c r="A158" s="3"/>
      <c r="B158" s="10" t="s">
        <v>242</v>
      </c>
      <c r="C158" s="62"/>
      <c r="D158" s="62"/>
      <c r="E158" s="12">
        <v>0</v>
      </c>
      <c r="F158" s="12">
        <v>0</v>
      </c>
      <c r="G158" s="67"/>
      <c r="H158" s="63" t="s">
        <v>36</v>
      </c>
      <c r="I158" s="63"/>
      <c r="J158" s="3"/>
      <c r="K158" s="3"/>
      <c r="L158" s="3"/>
      <c r="M158" s="3"/>
      <c r="N158" s="3"/>
      <c r="O158" s="3"/>
      <c r="P158" s="3"/>
      <c r="Q158" s="3"/>
      <c r="R158" s="3"/>
      <c r="S158" s="3"/>
      <c r="T158" s="3"/>
      <c r="U158" s="3"/>
      <c r="V158" s="3"/>
      <c r="W158" s="44"/>
      <c r="X158" s="41"/>
      <c r="Y158" s="3"/>
      <c r="Z158" s="3"/>
    </row>
    <row r="159" spans="1:26" ht="14.4" hidden="1" outlineLevel="1" x14ac:dyDescent="0.3">
      <c r="A159" s="3"/>
      <c r="B159" s="10" t="s">
        <v>243</v>
      </c>
      <c r="C159" s="62">
        <v>19</v>
      </c>
      <c r="D159" s="62" t="s">
        <v>94</v>
      </c>
      <c r="E159" s="12">
        <v>0</v>
      </c>
      <c r="F159" s="12">
        <f>14+30+10+20+10+30+30+10+10+30+20+20+30+20+10+50+30+30+10</f>
        <v>414</v>
      </c>
      <c r="G159" s="67"/>
      <c r="H159" s="63" t="s">
        <v>37</v>
      </c>
      <c r="I159" s="63"/>
      <c r="J159" s="3"/>
      <c r="K159" s="3"/>
      <c r="L159" s="3"/>
      <c r="M159" s="3"/>
      <c r="N159" s="3"/>
      <c r="O159" s="3"/>
      <c r="P159" s="3"/>
      <c r="Q159" s="3"/>
      <c r="R159" s="3"/>
      <c r="S159" s="3"/>
      <c r="T159" s="3"/>
      <c r="U159" s="3"/>
      <c r="V159" s="3"/>
      <c r="W159" s="44"/>
      <c r="X159" s="41"/>
      <c r="Y159" s="3"/>
      <c r="Z159" s="3"/>
    </row>
    <row r="160" spans="1:26" ht="14.4" hidden="1" outlineLevel="1" x14ac:dyDescent="0.3">
      <c r="A160" s="3"/>
      <c r="B160" s="10" t="s">
        <v>244</v>
      </c>
      <c r="C160" s="62"/>
      <c r="D160" s="62"/>
      <c r="E160" s="12">
        <v>0</v>
      </c>
      <c r="F160" s="12">
        <v>0</v>
      </c>
      <c r="G160" s="67"/>
      <c r="H160" s="63" t="s">
        <v>36</v>
      </c>
      <c r="I160" s="63"/>
      <c r="J160" s="3"/>
      <c r="K160" s="3"/>
      <c r="L160" s="3"/>
      <c r="M160" s="3"/>
      <c r="N160" s="3"/>
      <c r="O160" s="3"/>
      <c r="P160" s="3"/>
      <c r="Q160" s="3"/>
      <c r="R160" s="3"/>
      <c r="S160" s="3"/>
      <c r="T160" s="3"/>
      <c r="U160" s="3"/>
      <c r="V160" s="3"/>
      <c r="W160" s="44"/>
      <c r="X160" s="41"/>
      <c r="Y160" s="3"/>
      <c r="Z160" s="3"/>
    </row>
    <row r="161" spans="1:26" hidden="1" outlineLevel="1" x14ac:dyDescent="0.3">
      <c r="A161" s="3"/>
      <c r="B161" s="75" t="s">
        <v>246</v>
      </c>
      <c r="C161" s="76" t="s">
        <v>43</v>
      </c>
      <c r="D161" s="76" t="s">
        <v>43</v>
      </c>
      <c r="E161" s="77">
        <f>SUM(E162:E164)</f>
        <v>0</v>
      </c>
      <c r="F161" s="77">
        <f>SUMIF(D162:D164,"OK",F162:F164)</f>
        <v>0</v>
      </c>
      <c r="G161" s="78" t="s">
        <v>43</v>
      </c>
      <c r="H161" s="79"/>
      <c r="I161" s="79"/>
      <c r="J161" s="3"/>
      <c r="K161" s="3"/>
      <c r="L161" s="3"/>
      <c r="M161" s="3"/>
      <c r="N161" s="3"/>
      <c r="O161" s="3"/>
      <c r="P161" s="3"/>
      <c r="Q161" s="3"/>
      <c r="R161" s="3"/>
      <c r="S161" s="3"/>
      <c r="T161" s="3"/>
      <c r="U161" s="3"/>
      <c r="V161" s="3"/>
      <c r="W161" s="44"/>
      <c r="X161" s="41"/>
      <c r="Y161" s="3"/>
      <c r="Z161" s="3"/>
    </row>
    <row r="162" spans="1:26" ht="14.4" hidden="1" outlineLevel="1" x14ac:dyDescent="0.3">
      <c r="A162" s="3"/>
      <c r="B162" s="10" t="s">
        <v>42</v>
      </c>
      <c r="C162" s="80"/>
      <c r="D162" s="62"/>
      <c r="E162" s="12">
        <v>0</v>
      </c>
      <c r="F162" s="12">
        <v>0</v>
      </c>
      <c r="G162" s="69"/>
      <c r="H162" s="63"/>
      <c r="I162" s="63"/>
      <c r="J162" s="3"/>
      <c r="K162" s="3"/>
      <c r="L162" s="3"/>
      <c r="M162" s="3"/>
      <c r="N162" s="3"/>
      <c r="O162" s="3"/>
      <c r="P162" s="3"/>
      <c r="Q162" s="3"/>
      <c r="R162" s="3"/>
      <c r="S162" s="3"/>
      <c r="T162" s="3"/>
      <c r="U162" s="3"/>
      <c r="V162" s="3"/>
      <c r="W162" s="44"/>
      <c r="X162" s="41"/>
      <c r="Y162" s="3"/>
      <c r="Z162" s="3"/>
    </row>
    <row r="163" spans="1:26" ht="14.4" hidden="1" outlineLevel="1" x14ac:dyDescent="0.3">
      <c r="A163" s="3"/>
      <c r="B163" s="10" t="s">
        <v>42</v>
      </c>
      <c r="C163" s="80"/>
      <c r="D163" s="62"/>
      <c r="E163" s="12">
        <v>0</v>
      </c>
      <c r="F163" s="12">
        <v>0</v>
      </c>
      <c r="G163" s="69"/>
      <c r="H163" s="63"/>
      <c r="I163" s="63"/>
      <c r="J163" s="3"/>
      <c r="K163" s="3"/>
      <c r="L163" s="3"/>
      <c r="M163" s="3"/>
      <c r="N163" s="3"/>
      <c r="O163" s="3"/>
      <c r="P163" s="3"/>
      <c r="Q163" s="3"/>
      <c r="R163" s="3"/>
      <c r="S163" s="3"/>
      <c r="T163" s="3"/>
      <c r="U163" s="3"/>
      <c r="V163" s="3"/>
      <c r="W163" s="44"/>
      <c r="X163" s="41"/>
      <c r="Y163" s="3"/>
      <c r="Z163" s="3"/>
    </row>
    <row r="164" spans="1:26" ht="14.4" hidden="1" outlineLevel="1" x14ac:dyDescent="0.3">
      <c r="A164" s="3"/>
      <c r="B164" s="10" t="s">
        <v>42</v>
      </c>
      <c r="C164" s="62"/>
      <c r="D164" s="62"/>
      <c r="E164" s="12">
        <v>0</v>
      </c>
      <c r="F164" s="12">
        <v>0</v>
      </c>
      <c r="G164" s="69"/>
      <c r="H164" s="63"/>
      <c r="I164" s="63"/>
      <c r="J164" s="3"/>
      <c r="K164" s="3"/>
      <c r="L164" s="3"/>
      <c r="M164" s="3"/>
      <c r="N164" s="3"/>
      <c r="O164" s="3"/>
      <c r="P164" s="3"/>
      <c r="Q164" s="3"/>
      <c r="R164" s="3"/>
      <c r="S164" s="3"/>
      <c r="T164" s="3"/>
      <c r="U164" s="3"/>
      <c r="V164" s="3"/>
      <c r="W164" s="44"/>
      <c r="X164" s="41"/>
      <c r="Y164" s="3"/>
      <c r="Z164" s="3"/>
    </row>
    <row r="165" spans="1:26" hidden="1" outlineLevel="1" x14ac:dyDescent="0.3">
      <c r="A165" s="3"/>
      <c r="B165" s="75" t="s">
        <v>61</v>
      </c>
      <c r="C165" s="76" t="s">
        <v>43</v>
      </c>
      <c r="D165" s="76" t="s">
        <v>43</v>
      </c>
      <c r="E165" s="77">
        <f>SUM(E166:E173)</f>
        <v>0</v>
      </c>
      <c r="F165" s="77">
        <f>SUMIF(D166:D179,"OK",F166:F179)</f>
        <v>0</v>
      </c>
      <c r="G165" s="78"/>
      <c r="H165" s="79"/>
      <c r="I165" s="79"/>
      <c r="J165" s="3"/>
      <c r="K165" s="3"/>
      <c r="L165" s="3"/>
      <c r="M165" s="3"/>
      <c r="N165" s="3"/>
      <c r="O165" s="3"/>
      <c r="P165" s="3"/>
      <c r="Q165" s="3"/>
      <c r="R165" s="3"/>
      <c r="S165" s="3"/>
      <c r="T165" s="3"/>
      <c r="U165" s="3"/>
      <c r="V165" s="3"/>
      <c r="W165" s="44"/>
      <c r="X165" s="41"/>
      <c r="Y165" s="3"/>
      <c r="Z165" s="3"/>
    </row>
    <row r="166" spans="1:26" ht="14.4" hidden="1" outlineLevel="1" x14ac:dyDescent="0.3">
      <c r="A166" s="3"/>
      <c r="B166" s="10" t="s">
        <v>61</v>
      </c>
      <c r="C166" s="80"/>
      <c r="D166" s="62"/>
      <c r="E166" s="12">
        <v>0</v>
      </c>
      <c r="F166" s="12">
        <v>0</v>
      </c>
      <c r="G166" s="70"/>
      <c r="H166" s="63"/>
      <c r="I166" s="63"/>
      <c r="J166" s="3"/>
      <c r="K166" s="3"/>
      <c r="L166" s="3"/>
      <c r="M166" s="3"/>
      <c r="N166" s="3"/>
      <c r="O166" s="3"/>
      <c r="P166" s="3"/>
      <c r="Q166" s="3"/>
      <c r="R166" s="3"/>
      <c r="S166" s="3"/>
      <c r="T166" s="3"/>
      <c r="U166" s="3"/>
      <c r="V166" s="3"/>
      <c r="W166" s="44"/>
      <c r="X166" s="41"/>
      <c r="Y166" s="3"/>
      <c r="Z166" s="3"/>
    </row>
    <row r="167" spans="1:26" ht="14.4" hidden="1" outlineLevel="1" x14ac:dyDescent="0.3">
      <c r="A167" s="3"/>
      <c r="B167" s="10" t="s">
        <v>61</v>
      </c>
      <c r="C167" s="80"/>
      <c r="D167" s="62"/>
      <c r="E167" s="12">
        <v>0</v>
      </c>
      <c r="F167" s="12">
        <v>0</v>
      </c>
      <c r="G167" s="70"/>
      <c r="H167" s="63"/>
      <c r="I167" s="63"/>
      <c r="J167" s="3"/>
      <c r="K167" s="3"/>
      <c r="L167" s="3"/>
      <c r="M167" s="3"/>
      <c r="N167" s="3"/>
      <c r="O167" s="3"/>
      <c r="P167" s="3"/>
      <c r="Q167" s="3"/>
      <c r="R167" s="3"/>
      <c r="S167" s="3"/>
      <c r="T167" s="3"/>
      <c r="U167" s="3"/>
      <c r="V167" s="3"/>
      <c r="W167" s="44"/>
      <c r="X167" s="41"/>
      <c r="Y167" s="3"/>
      <c r="Z167" s="3"/>
    </row>
    <row r="168" spans="1:26" ht="14.4" hidden="1" outlineLevel="1" x14ac:dyDescent="0.3">
      <c r="A168" s="3"/>
      <c r="B168" s="10" t="s">
        <v>61</v>
      </c>
      <c r="C168" s="62"/>
      <c r="D168" s="62"/>
      <c r="E168" s="12">
        <v>0</v>
      </c>
      <c r="F168" s="12">
        <v>0</v>
      </c>
      <c r="G168" s="69"/>
      <c r="H168" s="63"/>
      <c r="I168" s="63"/>
      <c r="J168" s="3"/>
      <c r="K168" s="3"/>
      <c r="L168" s="3"/>
      <c r="M168" s="3"/>
      <c r="N168" s="3"/>
      <c r="O168" s="3"/>
      <c r="P168" s="3"/>
      <c r="Q168" s="3"/>
      <c r="R168" s="3"/>
      <c r="S168" s="3"/>
      <c r="T168" s="3"/>
      <c r="U168" s="3"/>
      <c r="V168" s="3"/>
      <c r="W168" s="44"/>
      <c r="X168" s="41"/>
      <c r="Y168" s="3"/>
      <c r="Z168" s="3"/>
    </row>
    <row r="169" spans="1:26" ht="14.4" hidden="1" outlineLevel="1" x14ac:dyDescent="0.3">
      <c r="A169" s="3"/>
      <c r="B169" s="10" t="s">
        <v>61</v>
      </c>
      <c r="C169" s="62"/>
      <c r="D169" s="62"/>
      <c r="E169" s="12">
        <v>0</v>
      </c>
      <c r="F169" s="12">
        <v>0</v>
      </c>
      <c r="G169" s="70"/>
      <c r="H169" s="63"/>
      <c r="I169" s="63"/>
      <c r="J169" s="3"/>
      <c r="K169" s="3"/>
      <c r="L169" s="3"/>
      <c r="M169" s="3"/>
      <c r="N169" s="3"/>
      <c r="O169" s="3"/>
      <c r="P169" s="3"/>
      <c r="Q169" s="3"/>
      <c r="R169" s="3"/>
      <c r="S169" s="3"/>
      <c r="T169" s="3"/>
      <c r="U169" s="3"/>
      <c r="V169" s="3"/>
      <c r="W169" s="44"/>
      <c r="X169" s="41"/>
      <c r="Y169" s="3"/>
      <c r="Z169" s="3"/>
    </row>
    <row r="170" spans="1:26" ht="14.4" hidden="1" outlineLevel="1" x14ac:dyDescent="0.3">
      <c r="A170" s="3"/>
      <c r="B170" s="10" t="s">
        <v>61</v>
      </c>
      <c r="C170" s="62"/>
      <c r="D170" s="62"/>
      <c r="E170" s="12">
        <v>0</v>
      </c>
      <c r="F170" s="12">
        <v>0</v>
      </c>
      <c r="G170" s="69"/>
      <c r="H170" s="63"/>
      <c r="I170" s="63"/>
      <c r="J170" s="3"/>
      <c r="K170" s="3"/>
      <c r="L170" s="3"/>
      <c r="M170" s="3"/>
      <c r="N170" s="3"/>
      <c r="O170" s="3"/>
      <c r="P170" s="3"/>
      <c r="Q170" s="3"/>
      <c r="R170" s="3"/>
      <c r="S170" s="3"/>
      <c r="T170" s="3"/>
      <c r="U170" s="3"/>
      <c r="V170" s="3"/>
      <c r="W170" s="44"/>
      <c r="X170" s="41"/>
      <c r="Y170" s="3"/>
      <c r="Z170" s="3"/>
    </row>
    <row r="171" spans="1:26" ht="14.4" hidden="1" outlineLevel="1" x14ac:dyDescent="0.3">
      <c r="A171" s="3"/>
      <c r="B171" s="10" t="s">
        <v>61</v>
      </c>
      <c r="C171" s="62"/>
      <c r="D171" s="62"/>
      <c r="E171" s="12">
        <v>0</v>
      </c>
      <c r="F171" s="12">
        <v>0</v>
      </c>
      <c r="G171" s="69"/>
      <c r="H171" s="63"/>
      <c r="I171" s="63"/>
      <c r="J171" s="3"/>
      <c r="K171" s="3"/>
      <c r="L171" s="3"/>
      <c r="M171" s="3"/>
      <c r="N171" s="3"/>
      <c r="O171" s="3"/>
      <c r="P171" s="3"/>
      <c r="Q171" s="3"/>
      <c r="R171" s="3"/>
      <c r="S171" s="3"/>
      <c r="T171" s="3"/>
      <c r="U171" s="3"/>
      <c r="V171" s="3"/>
      <c r="W171" s="44"/>
      <c r="X171" s="41"/>
      <c r="Y171" s="3"/>
      <c r="Z171" s="3"/>
    </row>
    <row r="172" spans="1:26" ht="14.4" hidden="1" outlineLevel="1" x14ac:dyDescent="0.3">
      <c r="A172" s="3"/>
      <c r="B172" s="10" t="s">
        <v>61</v>
      </c>
      <c r="C172" s="62"/>
      <c r="D172" s="62"/>
      <c r="E172" s="12">
        <v>0</v>
      </c>
      <c r="F172" s="12">
        <v>0</v>
      </c>
      <c r="G172" s="69"/>
      <c r="H172" s="63"/>
      <c r="I172" s="63"/>
      <c r="J172" s="3"/>
      <c r="K172" s="3"/>
      <c r="L172" s="3"/>
      <c r="M172" s="3"/>
      <c r="N172" s="3"/>
      <c r="O172" s="3"/>
      <c r="P172" s="3"/>
      <c r="Q172" s="3"/>
      <c r="R172" s="3"/>
      <c r="S172" s="3"/>
      <c r="T172" s="3"/>
      <c r="U172" s="3"/>
      <c r="V172" s="3"/>
      <c r="W172" s="44"/>
      <c r="X172" s="41"/>
      <c r="Y172" s="3"/>
      <c r="Z172" s="3"/>
    </row>
    <row r="173" spans="1:26" ht="14.4" hidden="1" outlineLevel="1" x14ac:dyDescent="0.3">
      <c r="A173" s="3"/>
      <c r="B173" s="10" t="s">
        <v>61</v>
      </c>
      <c r="C173" s="62"/>
      <c r="D173" s="62"/>
      <c r="E173" s="12">
        <v>0</v>
      </c>
      <c r="F173" s="12">
        <v>0</v>
      </c>
      <c r="G173" s="69"/>
      <c r="H173" s="63"/>
      <c r="I173" s="63"/>
      <c r="J173" s="3"/>
      <c r="K173" s="3"/>
      <c r="L173" s="3"/>
      <c r="M173" s="3"/>
      <c r="N173" s="3"/>
      <c r="O173" s="3"/>
      <c r="P173" s="3"/>
      <c r="Q173" s="3"/>
      <c r="R173" s="3"/>
      <c r="S173" s="3"/>
      <c r="T173" s="3"/>
      <c r="U173" s="3"/>
      <c r="V173" s="3"/>
      <c r="W173" s="44"/>
      <c r="X173" s="41"/>
      <c r="Y173" s="3"/>
      <c r="Z173" s="3"/>
    </row>
    <row r="174" spans="1:26" ht="14.4" hidden="1" outlineLevel="1" x14ac:dyDescent="0.3">
      <c r="A174" s="3"/>
      <c r="B174" s="10" t="s">
        <v>61</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row>
    <row r="175" spans="1:26" ht="14.4" hidden="1" outlineLevel="1" x14ac:dyDescent="0.3">
      <c r="A175" s="3"/>
      <c r="B175" s="10" t="s">
        <v>61</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row>
    <row r="176" spans="1:26" ht="14.4" hidden="1" outlineLevel="1" x14ac:dyDescent="0.3">
      <c r="A176" s="3"/>
      <c r="B176" s="10" t="s">
        <v>61</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4.4" hidden="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4.4" hidden="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row>
    <row r="179" spans="1:26" ht="14.4" hidden="1" outlineLevel="1" x14ac:dyDescent="0.3">
      <c r="A179" s="3"/>
      <c r="B179" s="10" t="s">
        <v>61</v>
      </c>
      <c r="C179" s="62"/>
      <c r="D179" s="62"/>
      <c r="E179" s="12">
        <v>0</v>
      </c>
      <c r="F179" s="12">
        <v>0</v>
      </c>
      <c r="G179" s="69"/>
      <c r="H179" s="63"/>
      <c r="I179" s="63"/>
      <c r="J179" s="3"/>
      <c r="K179" s="3"/>
      <c r="L179" s="3"/>
      <c r="M179" s="3"/>
      <c r="N179" s="3"/>
      <c r="O179" s="3"/>
      <c r="P179" s="3"/>
      <c r="Q179" s="3"/>
      <c r="R179" s="3"/>
      <c r="S179" s="3"/>
      <c r="T179" s="3"/>
      <c r="U179" s="3"/>
      <c r="V179" s="3"/>
      <c r="W179" s="44"/>
      <c r="X179" s="41"/>
      <c r="Y179" s="3"/>
      <c r="Z179" s="3"/>
    </row>
    <row r="180" spans="1:26" ht="20.399999999999999" collapsed="1" x14ac:dyDescent="0.3">
      <c r="A180" s="3"/>
      <c r="B180" s="73" t="s">
        <v>63</v>
      </c>
      <c r="C180" s="56" t="s">
        <v>43</v>
      </c>
      <c r="D180" s="56" t="s">
        <v>43</v>
      </c>
      <c r="E180" s="57">
        <f>SUM(E181:E183)</f>
        <v>0</v>
      </c>
      <c r="F180" s="57">
        <f>SUMIF(D181:D183,"OK",F181:F183)</f>
        <v>3000</v>
      </c>
      <c r="G180" s="58"/>
      <c r="H180" s="74"/>
      <c r="I180" s="74"/>
      <c r="J180" s="3"/>
      <c r="K180" s="3"/>
      <c r="L180" s="3"/>
      <c r="M180" s="3"/>
      <c r="N180" s="3"/>
      <c r="O180" s="3"/>
      <c r="P180" s="3"/>
      <c r="Q180" s="3"/>
      <c r="R180" s="3"/>
      <c r="S180" s="3"/>
      <c r="T180" s="3"/>
      <c r="U180" s="3"/>
      <c r="V180" s="3"/>
      <c r="W180" s="44"/>
      <c r="X180" s="41"/>
      <c r="Y180" s="3"/>
      <c r="Z180" s="3"/>
    </row>
    <row r="181" spans="1:26" ht="14.4" hidden="1" outlineLevel="1" x14ac:dyDescent="0.3">
      <c r="A181" s="3"/>
      <c r="B181" s="10" t="s">
        <v>63</v>
      </c>
      <c r="C181" s="62">
        <v>13</v>
      </c>
      <c r="D181" s="62" t="s">
        <v>94</v>
      </c>
      <c r="E181" s="12">
        <v>0</v>
      </c>
      <c r="F181" s="12">
        <v>3000</v>
      </c>
      <c r="G181" s="69" t="s">
        <v>1046</v>
      </c>
      <c r="H181" s="63" t="s">
        <v>38</v>
      </c>
      <c r="I181" s="63"/>
      <c r="J181" s="3"/>
      <c r="K181" s="3"/>
      <c r="L181" s="3"/>
      <c r="M181" s="3"/>
      <c r="N181" s="3"/>
      <c r="O181" s="3"/>
      <c r="P181" s="3"/>
      <c r="Q181" s="3"/>
      <c r="R181" s="3"/>
      <c r="S181" s="3"/>
      <c r="T181" s="3"/>
      <c r="U181" s="3"/>
      <c r="V181" s="3"/>
      <c r="W181" s="44"/>
      <c r="X181" s="41"/>
      <c r="Y181" s="3"/>
      <c r="Z181" s="3"/>
    </row>
    <row r="182" spans="1:26" ht="14.4" hidden="1" outlineLevel="1" x14ac:dyDescent="0.3">
      <c r="A182" s="3"/>
      <c r="B182" s="10" t="s">
        <v>63</v>
      </c>
      <c r="C182" s="62"/>
      <c r="D182" s="62"/>
      <c r="E182" s="12">
        <v>0</v>
      </c>
      <c r="F182" s="12">
        <v>0</v>
      </c>
      <c r="G182" s="69"/>
      <c r="H182" s="63"/>
      <c r="I182" s="63"/>
      <c r="J182" s="3"/>
      <c r="K182" s="3"/>
      <c r="L182" s="3"/>
      <c r="M182" s="3"/>
      <c r="N182" s="3"/>
      <c r="O182" s="3"/>
      <c r="P182" s="3"/>
      <c r="Q182" s="3"/>
      <c r="R182" s="3"/>
      <c r="S182" s="3"/>
      <c r="T182" s="3"/>
      <c r="U182" s="3"/>
      <c r="V182" s="3"/>
      <c r="W182" s="44"/>
      <c r="X182" s="41"/>
      <c r="Y182" s="3"/>
      <c r="Z182" s="3"/>
    </row>
    <row r="183" spans="1:26" ht="14.4" hidden="1" outlineLevel="1" x14ac:dyDescent="0.3">
      <c r="A183" s="3"/>
      <c r="B183" s="10" t="s">
        <v>63</v>
      </c>
      <c r="C183" s="62"/>
      <c r="D183" s="62"/>
      <c r="E183" s="12">
        <v>0</v>
      </c>
      <c r="F183" s="12">
        <v>0</v>
      </c>
      <c r="G183" s="67"/>
      <c r="H183" s="63"/>
      <c r="I183" s="63"/>
      <c r="J183" s="3"/>
      <c r="K183" s="3"/>
      <c r="L183" s="3"/>
      <c r="M183" s="3"/>
      <c r="N183" s="3"/>
      <c r="O183" s="3"/>
      <c r="P183" s="3"/>
      <c r="Q183" s="3"/>
      <c r="R183" s="3"/>
      <c r="S183" s="3"/>
      <c r="T183" s="3"/>
      <c r="U183" s="3"/>
      <c r="V183" s="3"/>
      <c r="W183" s="44"/>
      <c r="X183" s="41"/>
      <c r="Y183" s="3"/>
      <c r="Z183" s="3"/>
    </row>
    <row r="184" spans="1:26" ht="20.399999999999999" collapsed="1" x14ac:dyDescent="0.3">
      <c r="A184" s="3"/>
      <c r="B184" s="73" t="s">
        <v>259</v>
      </c>
      <c r="C184" s="56" t="s">
        <v>43</v>
      </c>
      <c r="D184" s="56" t="s">
        <v>43</v>
      </c>
      <c r="E184" s="57">
        <f>SUM(E185:E191)</f>
        <v>0</v>
      </c>
      <c r="F184" s="57">
        <f>SUMIF(D185:D191,"OK",F185:F191)</f>
        <v>4.17</v>
      </c>
      <c r="G184" s="58"/>
      <c r="H184" s="74"/>
      <c r="I184" s="74"/>
      <c r="J184" s="3"/>
      <c r="K184" s="3"/>
      <c r="L184" s="3"/>
      <c r="M184" s="3"/>
      <c r="N184" s="3"/>
      <c r="O184" s="3"/>
      <c r="P184" s="3"/>
      <c r="Q184" s="3"/>
      <c r="R184" s="3"/>
      <c r="S184" s="3"/>
      <c r="T184" s="3"/>
      <c r="U184" s="3"/>
      <c r="V184" s="3"/>
      <c r="W184" s="44"/>
      <c r="X184" s="41"/>
      <c r="Y184" s="3"/>
      <c r="Z184" s="3"/>
    </row>
    <row r="185" spans="1:26" ht="15.75" hidden="1" customHeight="1" outlineLevel="1" x14ac:dyDescent="0.3">
      <c r="A185" s="3"/>
      <c r="B185" s="10" t="s">
        <v>260</v>
      </c>
      <c r="C185" s="62"/>
      <c r="D185" s="62"/>
      <c r="E185" s="12">
        <v>0</v>
      </c>
      <c r="F185" s="12">
        <v>0</v>
      </c>
      <c r="G185" s="67"/>
      <c r="H185" s="63"/>
      <c r="I185" s="63"/>
      <c r="J185" s="3"/>
      <c r="K185" s="3"/>
      <c r="L185" s="3"/>
      <c r="M185" s="3"/>
      <c r="N185" s="3"/>
      <c r="O185" s="3"/>
      <c r="P185" s="3"/>
      <c r="Q185" s="3"/>
      <c r="R185" s="3"/>
      <c r="S185" s="3"/>
      <c r="T185" s="3"/>
      <c r="U185" s="3"/>
      <c r="V185" s="3"/>
      <c r="W185" s="44"/>
      <c r="X185" s="41"/>
      <c r="Y185" s="3"/>
      <c r="Z185" s="3"/>
    </row>
    <row r="186" spans="1:26" ht="15.75" hidden="1" customHeight="1" outlineLevel="1" x14ac:dyDescent="0.3">
      <c r="A186" s="3"/>
      <c r="B186" s="10" t="s">
        <v>261</v>
      </c>
      <c r="C186" s="62" t="s">
        <v>1047</v>
      </c>
      <c r="D186" s="62" t="s">
        <v>94</v>
      </c>
      <c r="E186" s="12">
        <v>0</v>
      </c>
      <c r="F186" s="12">
        <f>0.58+1.66+1.93</f>
        <v>4.17</v>
      </c>
      <c r="G186" s="69"/>
      <c r="H186" s="63" t="s">
        <v>38</v>
      </c>
      <c r="I186" s="63"/>
      <c r="J186" s="3"/>
      <c r="K186" s="3"/>
      <c r="L186" s="3"/>
      <c r="M186" s="3"/>
      <c r="N186" s="3"/>
      <c r="O186" s="3"/>
      <c r="P186" s="3"/>
      <c r="Q186" s="3"/>
      <c r="R186" s="3"/>
      <c r="S186" s="3"/>
      <c r="T186" s="3"/>
      <c r="U186" s="3"/>
      <c r="V186" s="3"/>
      <c r="W186" s="44"/>
      <c r="X186" s="41"/>
      <c r="Y186" s="3"/>
      <c r="Z186" s="3"/>
    </row>
    <row r="187" spans="1:26" ht="15.75" hidden="1" customHeight="1" outlineLevel="1" x14ac:dyDescent="0.3">
      <c r="A187" s="3"/>
      <c r="B187" s="10" t="s">
        <v>263</v>
      </c>
      <c r="C187" s="62"/>
      <c r="D187" s="62"/>
      <c r="E187" s="12">
        <v>0</v>
      </c>
      <c r="F187" s="12">
        <v>0</v>
      </c>
      <c r="G187" s="67"/>
      <c r="H187" s="63"/>
      <c r="I187" s="63"/>
      <c r="J187" s="3"/>
      <c r="K187" s="3"/>
      <c r="L187" s="3"/>
      <c r="M187" s="3"/>
      <c r="N187" s="3"/>
      <c r="O187" s="3"/>
      <c r="P187" s="3"/>
      <c r="Q187" s="3"/>
      <c r="R187" s="3"/>
      <c r="S187" s="3"/>
      <c r="T187" s="3"/>
      <c r="U187" s="3"/>
      <c r="V187" s="3"/>
      <c r="W187" s="44"/>
      <c r="X187" s="41"/>
      <c r="Y187" s="3"/>
      <c r="Z187" s="3"/>
    </row>
    <row r="188" spans="1:26" ht="15.75" hidden="1" customHeight="1" outlineLevel="1" x14ac:dyDescent="0.3">
      <c r="A188" s="3"/>
      <c r="B188" s="10" t="s">
        <v>264</v>
      </c>
      <c r="C188" s="62"/>
      <c r="D188" s="62"/>
      <c r="E188" s="12">
        <v>0</v>
      </c>
      <c r="F188" s="12">
        <v>0</v>
      </c>
      <c r="G188" s="67"/>
      <c r="H188" s="63"/>
      <c r="I188" s="63"/>
      <c r="J188" s="3"/>
      <c r="K188" s="3"/>
      <c r="L188" s="3"/>
      <c r="M188" s="3"/>
      <c r="N188" s="3"/>
      <c r="O188" s="3"/>
      <c r="P188" s="3"/>
      <c r="Q188" s="3"/>
      <c r="R188" s="3"/>
      <c r="S188" s="3"/>
      <c r="T188" s="3"/>
      <c r="U188" s="3"/>
      <c r="V188" s="3"/>
      <c r="W188" s="44"/>
      <c r="X188" s="41"/>
      <c r="Y188" s="3"/>
      <c r="Z188" s="3"/>
    </row>
    <row r="189" spans="1:26" ht="15.75" hidden="1" customHeight="1" outlineLevel="1" x14ac:dyDescent="0.3">
      <c r="A189" s="3"/>
      <c r="B189" s="10" t="s">
        <v>551</v>
      </c>
      <c r="C189" s="62"/>
      <c r="D189" s="62"/>
      <c r="E189" s="12">
        <v>0</v>
      </c>
      <c r="F189" s="12">
        <v>0</v>
      </c>
      <c r="G189" s="67"/>
      <c r="H189" s="63"/>
      <c r="I189" s="63"/>
      <c r="J189" s="3"/>
      <c r="K189" s="3"/>
      <c r="L189" s="3"/>
      <c r="M189" s="3"/>
      <c r="N189" s="3"/>
      <c r="O189" s="3"/>
      <c r="P189" s="3"/>
      <c r="Q189" s="3"/>
      <c r="R189" s="3"/>
      <c r="S189" s="3"/>
      <c r="T189" s="3"/>
      <c r="U189" s="3"/>
      <c r="V189" s="3"/>
      <c r="W189" s="44"/>
      <c r="X189" s="41"/>
      <c r="Y189" s="3"/>
      <c r="Z189" s="3"/>
    </row>
    <row r="190" spans="1:26" ht="15.75" hidden="1" customHeight="1" outlineLevel="1" x14ac:dyDescent="0.3">
      <c r="A190" s="3"/>
      <c r="B190" s="10" t="s">
        <v>916</v>
      </c>
      <c r="C190" s="62"/>
      <c r="D190" s="62"/>
      <c r="E190" s="12">
        <v>0</v>
      </c>
      <c r="F190" s="12">
        <v>0</v>
      </c>
      <c r="G190" s="67"/>
      <c r="H190" s="63"/>
      <c r="I190" s="63"/>
      <c r="J190" s="3"/>
      <c r="K190" s="3"/>
      <c r="L190" s="3"/>
      <c r="M190" s="3"/>
      <c r="N190" s="3"/>
      <c r="O190" s="3"/>
      <c r="P190" s="3"/>
      <c r="Q190" s="3"/>
      <c r="R190" s="3"/>
      <c r="S190" s="3"/>
      <c r="T190" s="3"/>
      <c r="U190" s="3"/>
      <c r="V190" s="3"/>
      <c r="W190" s="44"/>
      <c r="X190" s="41"/>
      <c r="Y190" s="3"/>
      <c r="Z190" s="3"/>
    </row>
    <row r="191" spans="1:26" ht="15.75" hidden="1" customHeight="1" outlineLevel="1" x14ac:dyDescent="0.3">
      <c r="A191" s="3"/>
      <c r="B191" s="10" t="s">
        <v>916</v>
      </c>
      <c r="C191" s="62"/>
      <c r="D191" s="62"/>
      <c r="E191" s="12">
        <v>0</v>
      </c>
      <c r="F191" s="12">
        <v>0</v>
      </c>
      <c r="G191" s="67"/>
      <c r="H191" s="63"/>
      <c r="I191" s="63"/>
      <c r="J191" s="3"/>
      <c r="K191" s="3"/>
      <c r="L191" s="3"/>
      <c r="M191" s="3"/>
      <c r="N191" s="3"/>
      <c r="O191" s="3"/>
      <c r="P191" s="3"/>
      <c r="Q191" s="3"/>
      <c r="R191" s="3"/>
      <c r="S191" s="3"/>
      <c r="T191" s="3"/>
      <c r="U191" s="3"/>
      <c r="V191" s="3"/>
      <c r="W191" s="44"/>
      <c r="X191" s="41"/>
      <c r="Y191" s="3"/>
      <c r="Z191" s="3"/>
    </row>
    <row r="192" spans="1:26" ht="15.75" customHeight="1" collapsed="1" x14ac:dyDescent="0.3">
      <c r="A192" s="3"/>
      <c r="B192" s="3"/>
      <c r="C192" s="37"/>
      <c r="D192" s="37"/>
      <c r="E192" s="37"/>
      <c r="F192" s="37"/>
      <c r="G192" s="123"/>
      <c r="H192" s="37"/>
      <c r="I192" s="37"/>
      <c r="J192" s="37"/>
      <c r="K192" s="37"/>
      <c r="L192" s="37"/>
      <c r="M192" s="37"/>
      <c r="N192" s="37"/>
      <c r="O192" s="37"/>
      <c r="P192" s="37"/>
      <c r="Q192" s="37"/>
      <c r="R192" s="37"/>
      <c r="S192" s="37"/>
      <c r="T192" s="37"/>
      <c r="U192" s="37"/>
      <c r="V192" s="37"/>
      <c r="W192" s="44"/>
      <c r="X192" s="41"/>
    </row>
    <row r="193" spans="1:24" ht="15.75" customHeight="1" x14ac:dyDescent="0.3">
      <c r="A193" s="3"/>
      <c r="B193" s="3"/>
      <c r="C193" s="37"/>
      <c r="D193" s="37"/>
      <c r="E193" s="37"/>
      <c r="F193" s="111"/>
      <c r="G193" s="123"/>
      <c r="H193" s="37"/>
      <c r="I193" s="37"/>
      <c r="J193" s="37"/>
      <c r="K193" s="37"/>
      <c r="L193" s="37"/>
      <c r="M193" s="37"/>
      <c r="N193" s="37"/>
      <c r="O193" s="37"/>
      <c r="P193" s="37"/>
      <c r="Q193" s="37"/>
      <c r="R193" s="37"/>
      <c r="S193" s="37"/>
      <c r="T193" s="37"/>
      <c r="U193" s="37"/>
      <c r="V193" s="37"/>
      <c r="W193" s="44"/>
      <c r="X193" s="41"/>
    </row>
    <row r="194" spans="1:24" ht="15.75" customHeight="1" x14ac:dyDescent="0.3">
      <c r="A194" s="3"/>
      <c r="B194" s="3"/>
      <c r="C194" s="37"/>
      <c r="D194" s="37"/>
      <c r="E194" s="37"/>
      <c r="F194" s="37"/>
      <c r="G194" s="123"/>
      <c r="H194" s="37"/>
      <c r="I194" s="37"/>
      <c r="J194" s="37"/>
      <c r="K194" s="37"/>
      <c r="L194" s="37"/>
      <c r="M194" s="37"/>
      <c r="N194" s="37"/>
      <c r="O194" s="37"/>
      <c r="P194" s="37"/>
      <c r="Q194" s="37"/>
      <c r="R194" s="37"/>
      <c r="S194" s="37"/>
      <c r="T194" s="37"/>
      <c r="U194" s="37"/>
      <c r="V194" s="37"/>
      <c r="W194" s="44"/>
      <c r="X194" s="41"/>
    </row>
    <row r="195" spans="1:24" ht="15.75" customHeight="1" x14ac:dyDescent="0.3">
      <c r="A195" s="3"/>
      <c r="B195" s="3"/>
      <c r="C195" s="37"/>
      <c r="D195" s="37"/>
      <c r="E195" s="37"/>
      <c r="F195" s="37"/>
      <c r="G195" s="123"/>
      <c r="H195" s="37"/>
      <c r="I195" s="37"/>
      <c r="J195" s="37"/>
      <c r="K195" s="37"/>
      <c r="L195" s="37"/>
      <c r="M195" s="37"/>
      <c r="N195" s="37"/>
      <c r="O195" s="37"/>
      <c r="P195" s="37"/>
      <c r="Q195" s="37"/>
      <c r="R195" s="37"/>
      <c r="S195" s="37"/>
      <c r="T195" s="37"/>
      <c r="U195" s="37"/>
      <c r="V195" s="37"/>
      <c r="W195" s="44"/>
      <c r="X195" s="41"/>
    </row>
    <row r="196" spans="1:24" ht="15.75" customHeight="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4" ht="15.75" customHeight="1" x14ac:dyDescent="0.3">
      <c r="A197" s="3"/>
      <c r="B197" s="3"/>
      <c r="C197" s="37"/>
      <c r="D197" s="37"/>
      <c r="E197" s="37"/>
      <c r="F197" s="37"/>
      <c r="G197" s="123"/>
      <c r="H197" s="37"/>
      <c r="I197" s="37"/>
      <c r="J197" s="37"/>
      <c r="K197" s="37"/>
      <c r="L197" s="37"/>
      <c r="M197" s="37"/>
      <c r="N197" s="37"/>
      <c r="O197" s="37"/>
      <c r="P197" s="37"/>
      <c r="Q197" s="37"/>
      <c r="R197" s="37"/>
      <c r="S197" s="37"/>
      <c r="T197" s="37"/>
      <c r="U197" s="37"/>
      <c r="V197" s="37"/>
      <c r="W197" s="44"/>
      <c r="X197" s="41"/>
    </row>
    <row r="198" spans="1:24"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4"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4"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4"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4"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4"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4"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4"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4"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4"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4"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c r="A391" s="3"/>
      <c r="B391" s="3"/>
      <c r="C391" s="37"/>
      <c r="D391" s="37"/>
      <c r="E391" s="37"/>
      <c r="F391" s="37"/>
      <c r="G391" s="123"/>
      <c r="H391" s="37"/>
      <c r="I391" s="37"/>
      <c r="J391" s="37"/>
      <c r="K391" s="37"/>
      <c r="L391" s="37"/>
      <c r="M391" s="37"/>
      <c r="N391" s="37"/>
      <c r="O391" s="37"/>
      <c r="P391" s="37"/>
      <c r="Q391" s="37"/>
      <c r="R391" s="37"/>
      <c r="S391" s="37"/>
      <c r="T391" s="37"/>
      <c r="U391" s="37"/>
      <c r="V391" s="37"/>
      <c r="W391" s="44"/>
      <c r="X391" s="41"/>
    </row>
    <row r="392" spans="1:24" ht="15.75" customHeight="1" x14ac:dyDescent="0.3"/>
    <row r="393" spans="1:24" ht="15.75" customHeight="1" x14ac:dyDescent="0.3"/>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1" xr:uid="{00000000-0009-0000-0000-00000D000000}"/>
  <mergeCells count="4">
    <mergeCell ref="B2:B3"/>
    <mergeCell ref="B4:B5"/>
    <mergeCell ref="H4:H5"/>
    <mergeCell ref="I4:I5"/>
  </mergeCells>
  <conditionalFormatting sqref="W6:W125">
    <cfRule type="cellIs" dxfId="25" priority="1" operator="equal">
      <formula>"Diferente"</formula>
    </cfRule>
    <cfRule type="cellIs" dxfId="24" priority="2" operator="equal">
      <formula>"OK"</formula>
    </cfRule>
  </conditionalFormatting>
  <dataValidations count="1">
    <dataValidation type="list" allowBlank="1" showErrorMessage="1" sqref="D7:D125 D128:D129 D131:D133 D135:D138 D140:D145 D147:D149 D152:D155 D157:D160 D162:D164 D166:D179 D181:D183 D185:D191" xr:uid="{00000000-0002-0000-0D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D00-000000000000}">
          <x14:formula1>
            <xm:f>'Plano de contas DG'!$C$5:$C$38</xm:f>
          </x14:formula1>
          <xm:sqref>I6:I191</xm:sqref>
        </x14:dataValidation>
        <x14:dataValidation type="list" allowBlank="1" showErrorMessage="1" xr:uid="{00000000-0002-0000-0D00-000001000000}">
          <x14:formula1>
            <xm:f>Caixa!$B$5:$B$8</xm:f>
          </x14:formula1>
          <xm:sqref>H7:H125 H128:H129 H131:H133 H135:H138 H140:H145 H147:H149 H152:H155 H157:H160 H162:H164 H166:H179 H181:H183 H185:H191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sheetPr>
  <dimension ref="A1:Z1001"/>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2"/>
      <c r="H2" s="82"/>
      <c r="I2" s="83"/>
      <c r="J2" s="82"/>
      <c r="K2" s="37"/>
      <c r="L2" s="37"/>
      <c r="M2" s="37"/>
      <c r="N2" s="37"/>
      <c r="O2" s="37"/>
      <c r="P2" s="37"/>
      <c r="Q2" s="37"/>
      <c r="R2" s="37"/>
      <c r="S2" s="37"/>
      <c r="T2" s="37"/>
      <c r="U2" s="3"/>
    </row>
    <row r="3" spans="1:26" ht="14.4" x14ac:dyDescent="0.3">
      <c r="A3" s="3"/>
      <c r="B3" s="206"/>
      <c r="C3" s="240"/>
      <c r="D3" s="241"/>
      <c r="E3" s="241"/>
      <c r="F3" s="242"/>
      <c r="G3" s="82"/>
      <c r="H3" s="82"/>
      <c r="I3" s="83"/>
      <c r="J3" s="82"/>
      <c r="K3" s="37"/>
      <c r="L3" s="37"/>
      <c r="M3" s="37"/>
      <c r="N3" s="37"/>
      <c r="O3" s="37"/>
      <c r="P3" s="37"/>
      <c r="Q3" s="37"/>
      <c r="R3" s="37"/>
      <c r="S3" s="37"/>
      <c r="T3" s="37"/>
      <c r="U3" s="3"/>
    </row>
    <row r="4" spans="1:26" ht="14.4" x14ac:dyDescent="0.3">
      <c r="A4" s="3"/>
      <c r="B4" s="227" t="s">
        <v>73</v>
      </c>
      <c r="C4" s="48" t="s">
        <v>43</v>
      </c>
      <c r="D4" s="48" t="s">
        <v>43</v>
      </c>
      <c r="E4" s="26">
        <f>SUBTOTAL(9,E16,E63,E38,E144,E169,E175,E85,E6,E34,E254,E305,E204,E214,E224,E234,E244,E111)</f>
        <v>0</v>
      </c>
      <c r="F4" s="26">
        <f>SUBTOTAL(9,F16,F63,F38,F134,F144,F169,F175,F85,F6,F34,F254,F305,F204,F214,F224,F234,F244,F111)</f>
        <v>35767.86</v>
      </c>
      <c r="G4" s="48" t="s">
        <v>43</v>
      </c>
      <c r="H4" s="237" t="s">
        <v>1</v>
      </c>
      <c r="I4" s="243" t="s">
        <v>270</v>
      </c>
      <c r="J4" s="237" t="s">
        <v>74</v>
      </c>
      <c r="K4" s="37"/>
      <c r="L4" s="37"/>
      <c r="M4" s="37"/>
      <c r="N4" s="37"/>
      <c r="O4" s="37"/>
      <c r="P4" s="37"/>
      <c r="Q4" s="37"/>
      <c r="R4" s="37"/>
      <c r="S4" s="37"/>
      <c r="T4" s="37"/>
      <c r="U4" s="3"/>
      <c r="W4" s="3"/>
      <c r="X4" s="3"/>
      <c r="Y4" s="3"/>
      <c r="Z4" s="3"/>
    </row>
    <row r="5" spans="1:26" ht="14.4"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1031.75</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v>2</v>
      </c>
      <c r="D7" s="62" t="s">
        <v>94</v>
      </c>
      <c r="E7" s="12">
        <v>0</v>
      </c>
      <c r="F7" s="12">
        <v>407.4</v>
      </c>
      <c r="G7" s="89"/>
      <c r="H7" s="65" t="s">
        <v>37</v>
      </c>
      <c r="I7" s="112" t="s">
        <v>1048</v>
      </c>
      <c r="J7" s="65"/>
      <c r="K7" s="37"/>
      <c r="L7" s="37"/>
      <c r="M7" s="37"/>
      <c r="N7" s="37"/>
      <c r="O7" s="37"/>
      <c r="P7" s="37"/>
      <c r="Q7" s="37"/>
      <c r="R7" s="37"/>
      <c r="S7" s="37"/>
      <c r="T7" s="37"/>
      <c r="U7" s="3"/>
      <c r="W7" s="3"/>
      <c r="X7" s="3"/>
      <c r="Y7" s="3"/>
      <c r="Z7" s="3"/>
    </row>
    <row r="8" spans="1:26" ht="14.4" hidden="1" outlineLevel="1" x14ac:dyDescent="0.3">
      <c r="A8" s="3"/>
      <c r="B8" s="10" t="s">
        <v>277</v>
      </c>
      <c r="C8" s="62"/>
      <c r="D8" s="62"/>
      <c r="E8" s="12">
        <v>0</v>
      </c>
      <c r="F8" s="12">
        <v>0</v>
      </c>
      <c r="G8" s="89"/>
      <c r="H8" s="65"/>
      <c r="I8" s="112"/>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89"/>
      <c r="H9" s="65"/>
      <c r="I9" s="112"/>
      <c r="J9" s="65"/>
      <c r="K9" s="37"/>
      <c r="L9" s="37"/>
      <c r="M9" s="37"/>
      <c r="N9" s="37"/>
      <c r="O9" s="37"/>
      <c r="P9" s="37"/>
      <c r="Q9" s="37"/>
      <c r="R9" s="37"/>
      <c r="S9" s="37"/>
      <c r="T9" s="37"/>
      <c r="U9" s="3"/>
      <c r="W9" s="3"/>
      <c r="X9" s="3"/>
      <c r="Y9" s="3"/>
      <c r="Z9" s="3"/>
    </row>
    <row r="10" spans="1:26" ht="14.4" hidden="1" outlineLevel="1" x14ac:dyDescent="0.3">
      <c r="A10" s="3"/>
      <c r="B10" s="10" t="s">
        <v>281</v>
      </c>
      <c r="C10" s="62">
        <v>15</v>
      </c>
      <c r="D10" s="62" t="s">
        <v>94</v>
      </c>
      <c r="E10" s="12">
        <v>0</v>
      </c>
      <c r="F10" s="12">
        <v>69.39</v>
      </c>
      <c r="G10" s="89"/>
      <c r="H10" s="65" t="s">
        <v>37</v>
      </c>
      <c r="I10" s="112" t="s">
        <v>1049</v>
      </c>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v>15</v>
      </c>
      <c r="D11" s="62" t="s">
        <v>94</v>
      </c>
      <c r="E11" s="12">
        <v>0</v>
      </c>
      <c r="F11" s="12">
        <v>48.78</v>
      </c>
      <c r="G11" s="89"/>
      <c r="H11" s="65" t="s">
        <v>37</v>
      </c>
      <c r="I11" s="112" t="s">
        <v>1050</v>
      </c>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v>16</v>
      </c>
      <c r="D12" s="62" t="s">
        <v>94</v>
      </c>
      <c r="E12" s="12">
        <v>0</v>
      </c>
      <c r="F12" s="12">
        <v>306.18</v>
      </c>
      <c r="G12" s="89"/>
      <c r="H12" s="65" t="s">
        <v>37</v>
      </c>
      <c r="I12" s="112" t="s">
        <v>1051</v>
      </c>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c r="D14" s="62"/>
      <c r="E14" s="12">
        <v>0</v>
      </c>
      <c r="F14" s="12">
        <v>0</v>
      </c>
      <c r="G14" s="89"/>
      <c r="H14" s="65"/>
      <c r="I14" s="112"/>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v>25</v>
      </c>
      <c r="D15" s="62" t="s">
        <v>94</v>
      </c>
      <c r="E15" s="12">
        <v>0</v>
      </c>
      <c r="F15" s="12">
        <v>200</v>
      </c>
      <c r="G15" s="89" t="s">
        <v>1052</v>
      </c>
      <c r="H15" s="65" t="s">
        <v>37</v>
      </c>
      <c r="I15" s="112" t="s">
        <v>1053</v>
      </c>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6742.98</v>
      </c>
      <c r="G16" s="87"/>
      <c r="H16" s="87"/>
      <c r="I16" s="88"/>
      <c r="J16" s="87"/>
      <c r="K16" s="37"/>
      <c r="L16" s="37"/>
      <c r="M16" s="37"/>
      <c r="N16" s="37"/>
      <c r="O16" s="37"/>
      <c r="P16" s="37"/>
      <c r="Q16" s="37"/>
      <c r="R16" s="37"/>
      <c r="S16" s="37"/>
      <c r="T16" s="37"/>
      <c r="U16" s="3"/>
    </row>
    <row r="17" spans="1:22" ht="14.4" hidden="1" outlineLevel="1" x14ac:dyDescent="0.3">
      <c r="A17" s="3"/>
      <c r="B17" s="10" t="s">
        <v>561</v>
      </c>
      <c r="C17" s="62">
        <v>23</v>
      </c>
      <c r="D17" s="62" t="s">
        <v>94</v>
      </c>
      <c r="E17" s="12">
        <v>0</v>
      </c>
      <c r="F17" s="12">
        <v>1423.62</v>
      </c>
      <c r="G17" s="249" t="s">
        <v>1054</v>
      </c>
      <c r="H17" s="65" t="s">
        <v>37</v>
      </c>
      <c r="I17" s="254" t="s">
        <v>1055</v>
      </c>
      <c r="J17" s="65"/>
      <c r="K17" s="37"/>
      <c r="L17" s="37"/>
      <c r="M17" s="37"/>
      <c r="N17" s="37"/>
      <c r="O17" s="37"/>
      <c r="P17" s="37"/>
      <c r="Q17" s="37"/>
      <c r="R17" s="37"/>
      <c r="S17" s="37"/>
      <c r="T17" s="37"/>
      <c r="U17" s="3"/>
    </row>
    <row r="18" spans="1:22" ht="14.4" hidden="1" outlineLevel="1" x14ac:dyDescent="0.3">
      <c r="A18" s="3"/>
      <c r="B18" s="10" t="s">
        <v>563</v>
      </c>
      <c r="C18" s="62">
        <v>23</v>
      </c>
      <c r="D18" s="62" t="s">
        <v>94</v>
      </c>
      <c r="E18" s="12">
        <v>0</v>
      </c>
      <c r="F18" s="12">
        <v>810.81</v>
      </c>
      <c r="G18" s="215"/>
      <c r="H18" s="65" t="s">
        <v>37</v>
      </c>
      <c r="I18" s="215"/>
      <c r="J18" s="65"/>
      <c r="K18" s="37"/>
      <c r="L18" s="37"/>
      <c r="M18" s="37"/>
      <c r="N18" s="37"/>
      <c r="O18" s="37"/>
      <c r="P18" s="37"/>
      <c r="Q18" s="37"/>
      <c r="R18" s="37"/>
      <c r="S18" s="37"/>
      <c r="T18" s="37"/>
      <c r="U18" s="3"/>
    </row>
    <row r="19" spans="1:22" ht="14.4" hidden="1" outlineLevel="1" x14ac:dyDescent="0.3">
      <c r="A19" s="3"/>
      <c r="B19" s="10" t="s">
        <v>564</v>
      </c>
      <c r="C19" s="62">
        <v>23</v>
      </c>
      <c r="D19" s="62" t="s">
        <v>94</v>
      </c>
      <c r="E19" s="12">
        <v>0</v>
      </c>
      <c r="F19" s="12">
        <v>99</v>
      </c>
      <c r="G19" s="215"/>
      <c r="H19" s="65" t="s">
        <v>37</v>
      </c>
      <c r="I19" s="215"/>
      <c r="J19" s="65"/>
      <c r="K19" s="37"/>
      <c r="L19" s="37"/>
      <c r="M19" s="37"/>
      <c r="N19" s="37"/>
      <c r="O19" s="37"/>
      <c r="P19" s="37"/>
      <c r="Q19" s="37"/>
      <c r="R19" s="37"/>
      <c r="S19" s="37"/>
      <c r="T19" s="37"/>
      <c r="U19" s="3"/>
    </row>
    <row r="20" spans="1:22" ht="14.4" hidden="1" outlineLevel="1" x14ac:dyDescent="0.3">
      <c r="A20" s="3"/>
      <c r="B20" s="10" t="s">
        <v>565</v>
      </c>
      <c r="C20" s="62">
        <v>23</v>
      </c>
      <c r="D20" s="62" t="s">
        <v>94</v>
      </c>
      <c r="E20" s="12">
        <v>0</v>
      </c>
      <c r="F20" s="12">
        <v>99</v>
      </c>
      <c r="G20" s="215"/>
      <c r="H20" s="65" t="s">
        <v>37</v>
      </c>
      <c r="I20" s="215"/>
      <c r="J20" s="65"/>
      <c r="K20" s="37"/>
      <c r="L20" s="37"/>
      <c r="M20" s="37"/>
      <c r="N20" s="37"/>
      <c r="O20" s="37"/>
      <c r="P20" s="37"/>
      <c r="Q20" s="37"/>
      <c r="R20" s="37"/>
      <c r="S20" s="37"/>
      <c r="T20" s="37"/>
      <c r="U20" s="3"/>
    </row>
    <row r="21" spans="1:22" ht="14.4" hidden="1" outlineLevel="1" x14ac:dyDescent="0.3">
      <c r="A21" s="3"/>
      <c r="B21" s="10" t="s">
        <v>566</v>
      </c>
      <c r="C21" s="62">
        <v>23</v>
      </c>
      <c r="D21" s="62" t="s">
        <v>94</v>
      </c>
      <c r="E21" s="12">
        <v>0</v>
      </c>
      <c r="F21" s="12">
        <v>396</v>
      </c>
      <c r="G21" s="216"/>
      <c r="H21" s="65" t="s">
        <v>37</v>
      </c>
      <c r="I21" s="216"/>
      <c r="J21" s="65"/>
      <c r="K21" s="37"/>
      <c r="L21" s="37"/>
      <c r="M21" s="37"/>
      <c r="N21" s="37"/>
      <c r="O21" s="37"/>
      <c r="P21" s="37"/>
      <c r="Q21" s="37"/>
      <c r="R21" s="37"/>
      <c r="S21" s="37"/>
      <c r="T21" s="37"/>
      <c r="U21" s="3"/>
    </row>
    <row r="22" spans="1:22" ht="14.4" hidden="1" outlineLevel="1" x14ac:dyDescent="0.3">
      <c r="A22" s="3"/>
      <c r="B22" s="10" t="s">
        <v>567</v>
      </c>
      <c r="C22" s="62">
        <v>15</v>
      </c>
      <c r="D22" s="62" t="s">
        <v>94</v>
      </c>
      <c r="E22" s="12">
        <v>0</v>
      </c>
      <c r="F22" s="12">
        <v>158.4</v>
      </c>
      <c r="G22" s="249" t="s">
        <v>1056</v>
      </c>
      <c r="H22" s="65" t="s">
        <v>37</v>
      </c>
      <c r="I22" s="246" t="s">
        <v>1057</v>
      </c>
      <c r="J22" s="65"/>
      <c r="K22" s="37"/>
      <c r="L22" s="37"/>
      <c r="M22" s="37"/>
      <c r="N22" s="37"/>
      <c r="O22" s="37"/>
      <c r="P22" s="37"/>
      <c r="Q22" s="37"/>
      <c r="R22" s="37"/>
      <c r="S22" s="37"/>
      <c r="T22" s="37"/>
      <c r="U22" s="3"/>
      <c r="V22" s="18"/>
    </row>
    <row r="23" spans="1:22" ht="14.4" hidden="1" outlineLevel="1" x14ac:dyDescent="0.3">
      <c r="A23" s="3"/>
      <c r="B23" s="10" t="s">
        <v>570</v>
      </c>
      <c r="C23" s="62">
        <v>15</v>
      </c>
      <c r="D23" s="62" t="s">
        <v>94</v>
      </c>
      <c r="E23" s="12">
        <v>0</v>
      </c>
      <c r="F23" s="12">
        <v>475.2</v>
      </c>
      <c r="G23" s="215"/>
      <c r="H23" s="65" t="s">
        <v>37</v>
      </c>
      <c r="I23" s="215"/>
      <c r="J23" s="65"/>
      <c r="K23" s="37"/>
      <c r="L23" s="37"/>
      <c r="M23" s="37"/>
      <c r="N23" s="37"/>
      <c r="O23" s="37"/>
      <c r="P23" s="37"/>
      <c r="Q23" s="37"/>
      <c r="R23" s="37"/>
      <c r="S23" s="37"/>
      <c r="T23" s="37"/>
      <c r="U23" s="3"/>
      <c r="V23" s="18"/>
    </row>
    <row r="24" spans="1:22" ht="14.4" hidden="1" outlineLevel="1" x14ac:dyDescent="0.3">
      <c r="A24" s="3"/>
      <c r="B24" s="10" t="s">
        <v>571</v>
      </c>
      <c r="C24" s="62">
        <v>15</v>
      </c>
      <c r="D24" s="62" t="s">
        <v>94</v>
      </c>
      <c r="E24" s="12">
        <v>0</v>
      </c>
      <c r="F24" s="12">
        <v>524.70000000000005</v>
      </c>
      <c r="G24" s="215"/>
      <c r="H24" s="65" t="s">
        <v>37</v>
      </c>
      <c r="I24" s="215"/>
      <c r="J24" s="65"/>
      <c r="K24" s="37"/>
      <c r="L24" s="37"/>
      <c r="M24" s="37"/>
      <c r="N24" s="37"/>
      <c r="O24" s="37"/>
      <c r="P24" s="37"/>
      <c r="Q24" s="37"/>
      <c r="R24" s="37"/>
      <c r="S24" s="37"/>
      <c r="T24" s="37"/>
      <c r="U24" s="3"/>
      <c r="V24" s="18"/>
    </row>
    <row r="25" spans="1:22" ht="14.4" hidden="1" outlineLevel="1" x14ac:dyDescent="0.3">
      <c r="A25" s="3"/>
      <c r="B25" s="10" t="s">
        <v>572</v>
      </c>
      <c r="C25" s="62">
        <v>15</v>
      </c>
      <c r="D25" s="62" t="s">
        <v>94</v>
      </c>
      <c r="E25" s="12">
        <v>0</v>
      </c>
      <c r="F25" s="12">
        <v>29.7</v>
      </c>
      <c r="G25" s="215"/>
      <c r="H25" s="65" t="s">
        <v>37</v>
      </c>
      <c r="I25" s="215"/>
      <c r="J25" s="65"/>
      <c r="K25" s="37"/>
      <c r="L25" s="37"/>
      <c r="M25" s="37"/>
      <c r="N25" s="37"/>
      <c r="O25" s="37"/>
      <c r="P25" s="37"/>
      <c r="Q25" s="37"/>
      <c r="R25" s="37"/>
      <c r="S25" s="37"/>
      <c r="T25" s="37"/>
      <c r="U25" s="3"/>
      <c r="V25" s="18"/>
    </row>
    <row r="26" spans="1:22" ht="14.4" hidden="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4.4" hidden="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4.4" hidden="1" outlineLevel="1" x14ac:dyDescent="0.3">
      <c r="A28" s="3"/>
      <c r="B28" s="10" t="s">
        <v>575</v>
      </c>
      <c r="C28" s="62"/>
      <c r="D28" s="62"/>
      <c r="E28" s="12">
        <v>0</v>
      </c>
      <c r="F28" s="12">
        <v>0</v>
      </c>
      <c r="G28" s="216"/>
      <c r="H28" s="65"/>
      <c r="I28" s="216"/>
      <c r="J28" s="65"/>
      <c r="K28" s="37"/>
      <c r="L28" s="37"/>
      <c r="M28" s="37"/>
      <c r="N28" s="37"/>
      <c r="O28" s="37"/>
      <c r="P28" s="37"/>
      <c r="Q28" s="37"/>
      <c r="R28" s="37"/>
      <c r="S28" s="37"/>
      <c r="T28" s="37"/>
      <c r="U28" s="3"/>
      <c r="V28" s="18"/>
    </row>
    <row r="29" spans="1:22" ht="14.4" hidden="1" outlineLevel="1" x14ac:dyDescent="0.3">
      <c r="A29" s="3"/>
      <c r="B29" s="10" t="s">
        <v>292</v>
      </c>
      <c r="C29" s="62">
        <v>15</v>
      </c>
      <c r="D29" s="62" t="s">
        <v>94</v>
      </c>
      <c r="E29" s="12">
        <v>0</v>
      </c>
      <c r="F29" s="12">
        <v>117</v>
      </c>
      <c r="G29" s="65"/>
      <c r="H29" s="65" t="s">
        <v>39</v>
      </c>
      <c r="I29" s="112" t="s">
        <v>1058</v>
      </c>
      <c r="J29" s="65"/>
      <c r="K29" s="37"/>
      <c r="L29" s="37"/>
      <c r="M29" s="37"/>
      <c r="N29" s="37"/>
      <c r="O29" s="37"/>
      <c r="P29" s="37"/>
      <c r="Q29" s="37"/>
      <c r="R29" s="37"/>
      <c r="S29" s="37"/>
      <c r="T29" s="37"/>
      <c r="U29" s="3"/>
      <c r="V29" s="18"/>
    </row>
    <row r="30" spans="1:22" ht="24" hidden="1" outlineLevel="1" x14ac:dyDescent="0.3">
      <c r="A30" s="3"/>
      <c r="B30" s="10" t="s">
        <v>294</v>
      </c>
      <c r="C30" s="62">
        <v>30</v>
      </c>
      <c r="D30" s="62" t="s">
        <v>94</v>
      </c>
      <c r="E30" s="12">
        <v>0</v>
      </c>
      <c r="F30" s="12">
        <v>2095.3000000000002</v>
      </c>
      <c r="G30" s="89" t="s">
        <v>1059</v>
      </c>
      <c r="H30" s="65" t="s">
        <v>37</v>
      </c>
      <c r="I30" s="112" t="s">
        <v>1060</v>
      </c>
      <c r="J30" s="65"/>
      <c r="K30" s="37"/>
      <c r="L30" s="37"/>
      <c r="M30" s="37"/>
      <c r="N30" s="37"/>
      <c r="O30" s="37"/>
      <c r="P30" s="37"/>
      <c r="Q30" s="37"/>
      <c r="R30" s="37"/>
      <c r="S30" s="37"/>
      <c r="T30" s="37"/>
      <c r="U30" s="3"/>
    </row>
    <row r="31" spans="1:22" ht="14.4" hidden="1" outlineLevel="1" x14ac:dyDescent="0.3">
      <c r="A31" s="3"/>
      <c r="B31" s="10" t="s">
        <v>579</v>
      </c>
      <c r="C31" s="62"/>
      <c r="D31" s="62"/>
      <c r="E31" s="12">
        <v>0</v>
      </c>
      <c r="F31" s="12">
        <v>0</v>
      </c>
      <c r="G31" s="65"/>
      <c r="H31" s="65"/>
      <c r="I31" s="112"/>
      <c r="J31" s="65"/>
      <c r="K31" s="37"/>
      <c r="L31" s="37"/>
      <c r="M31" s="37"/>
      <c r="N31" s="37"/>
      <c r="O31" s="37"/>
      <c r="P31" s="37"/>
      <c r="Q31" s="37"/>
      <c r="R31" s="37"/>
      <c r="S31" s="37"/>
      <c r="T31" s="37"/>
      <c r="U31" s="3"/>
    </row>
    <row r="32" spans="1:22" ht="14.4" hidden="1" outlineLevel="1" x14ac:dyDescent="0.3">
      <c r="A32" s="3"/>
      <c r="B32" s="10" t="s">
        <v>932</v>
      </c>
      <c r="C32" s="62">
        <v>15</v>
      </c>
      <c r="D32" s="62" t="s">
        <v>94</v>
      </c>
      <c r="E32" s="12">
        <v>0</v>
      </c>
      <c r="F32" s="12">
        <v>360</v>
      </c>
      <c r="G32" s="89" t="s">
        <v>1061</v>
      </c>
      <c r="H32" s="65" t="s">
        <v>37</v>
      </c>
      <c r="I32" s="112" t="s">
        <v>1062</v>
      </c>
      <c r="J32" s="65"/>
      <c r="K32" s="37"/>
      <c r="L32" s="37"/>
      <c r="M32" s="37"/>
      <c r="N32" s="37"/>
      <c r="O32" s="37"/>
      <c r="P32" s="37"/>
      <c r="Q32" s="37"/>
      <c r="R32" s="37"/>
      <c r="S32" s="37"/>
      <c r="T32" s="37"/>
      <c r="U32" s="3"/>
    </row>
    <row r="33" spans="1:26" ht="14.4" hidden="1" outlineLevel="1" x14ac:dyDescent="0.3">
      <c r="A33" s="3"/>
      <c r="B33" s="10" t="s">
        <v>749</v>
      </c>
      <c r="C33" s="62">
        <v>15</v>
      </c>
      <c r="D33" s="62" t="s">
        <v>94</v>
      </c>
      <c r="E33" s="12">
        <v>0</v>
      </c>
      <c r="F33" s="12">
        <v>154.25</v>
      </c>
      <c r="G33" s="89" t="s">
        <v>1063</v>
      </c>
      <c r="H33" s="65" t="s">
        <v>37</v>
      </c>
      <c r="I33" s="112" t="s">
        <v>1064</v>
      </c>
      <c r="J33" s="65"/>
      <c r="K33" s="37"/>
      <c r="L33" s="37"/>
      <c r="M33" s="37"/>
      <c r="N33" s="37"/>
      <c r="O33" s="37"/>
      <c r="P33" s="37"/>
      <c r="Q33" s="37"/>
      <c r="R33" s="37"/>
      <c r="S33" s="37"/>
      <c r="T33" s="37"/>
      <c r="U33" s="3"/>
    </row>
    <row r="34" spans="1:26" ht="20.399999999999999" collapsed="1" x14ac:dyDescent="0.3">
      <c r="A34" s="3"/>
      <c r="B34" s="84" t="s">
        <v>300</v>
      </c>
      <c r="C34" s="85" t="s">
        <v>43</v>
      </c>
      <c r="D34" s="85" t="s">
        <v>43</v>
      </c>
      <c r="E34" s="86">
        <f>SUM(E35:E37)</f>
        <v>0</v>
      </c>
      <c r="F34" s="86">
        <f>SUMIF(D35:D37,"OK",F35:F37)</f>
        <v>0.92999999999999994</v>
      </c>
      <c r="G34" s="87"/>
      <c r="H34" s="87"/>
      <c r="I34" s="88"/>
      <c r="J34" s="87"/>
      <c r="K34" s="37"/>
      <c r="L34" s="37"/>
      <c r="M34" s="37"/>
      <c r="N34" s="37"/>
      <c r="O34" s="37"/>
      <c r="P34" s="37"/>
      <c r="Q34" s="37"/>
      <c r="R34" s="37"/>
      <c r="S34" s="37"/>
      <c r="T34" s="37"/>
      <c r="U34" s="3"/>
      <c r="W34" s="3"/>
      <c r="X34" s="3"/>
      <c r="Y34" s="3"/>
      <c r="Z34" s="3"/>
    </row>
    <row r="35" spans="1:26" ht="14.4" hidden="1" outlineLevel="1" x14ac:dyDescent="0.3">
      <c r="A35" s="3"/>
      <c r="B35" s="10" t="s">
        <v>583</v>
      </c>
      <c r="C35" s="62" t="s">
        <v>1047</v>
      </c>
      <c r="D35" s="62" t="s">
        <v>94</v>
      </c>
      <c r="E35" s="12">
        <v>0</v>
      </c>
      <c r="F35" s="12">
        <f>0.13+0.37+0.43</f>
        <v>0.92999999999999994</v>
      </c>
      <c r="G35" s="65"/>
      <c r="H35" s="65" t="s">
        <v>38</v>
      </c>
      <c r="I35" s="112" t="s">
        <v>1065</v>
      </c>
      <c r="J35" s="65"/>
      <c r="K35" s="37"/>
      <c r="L35" s="37"/>
      <c r="M35" s="37"/>
      <c r="N35" s="37"/>
      <c r="O35" s="37"/>
      <c r="P35" s="37"/>
      <c r="Q35" s="37"/>
      <c r="R35" s="37"/>
      <c r="S35" s="37"/>
      <c r="T35" s="37"/>
      <c r="U35" s="3"/>
      <c r="W35" s="3"/>
      <c r="X35" s="3"/>
      <c r="Y35" s="3"/>
      <c r="Z35" s="3"/>
    </row>
    <row r="36" spans="1:26" ht="14.4" hidden="1" outlineLevel="1" x14ac:dyDescent="0.3">
      <c r="A36" s="3"/>
      <c r="B36" s="10" t="s">
        <v>753</v>
      </c>
      <c r="C36" s="62"/>
      <c r="D36" s="62"/>
      <c r="E36" s="12">
        <v>0</v>
      </c>
      <c r="F36" s="12">
        <v>0</v>
      </c>
      <c r="G36" s="65"/>
      <c r="H36" s="65"/>
      <c r="I36" s="112"/>
      <c r="J36" s="65"/>
      <c r="K36" s="37"/>
      <c r="L36" s="37"/>
      <c r="M36" s="37"/>
      <c r="N36" s="37"/>
      <c r="O36" s="37"/>
      <c r="P36" s="37"/>
      <c r="Q36" s="37"/>
      <c r="R36" s="37"/>
      <c r="S36" s="37"/>
      <c r="T36" s="37"/>
      <c r="U36" s="3"/>
      <c r="W36" s="3"/>
      <c r="X36" s="3"/>
      <c r="Y36" s="3"/>
      <c r="Z36" s="3"/>
    </row>
    <row r="37" spans="1:26" ht="14.4" hidden="1" outlineLevel="1" x14ac:dyDescent="0.3">
      <c r="A37" s="3"/>
      <c r="B37" s="10" t="s">
        <v>305</v>
      </c>
      <c r="C37" s="62"/>
      <c r="D37" s="62"/>
      <c r="E37" s="12">
        <v>0</v>
      </c>
      <c r="F37" s="12">
        <v>0</v>
      </c>
      <c r="G37" s="65"/>
      <c r="H37" s="65"/>
      <c r="I37" s="112"/>
      <c r="J37" s="65"/>
      <c r="K37" s="37"/>
      <c r="L37" s="37"/>
      <c r="M37" s="37"/>
      <c r="N37" s="37"/>
      <c r="O37" s="37"/>
      <c r="P37" s="37"/>
      <c r="Q37" s="37"/>
      <c r="R37" s="37"/>
      <c r="S37" s="37"/>
      <c r="T37" s="37"/>
      <c r="U37" s="3"/>
      <c r="W37" s="3"/>
      <c r="X37" s="3"/>
      <c r="Y37" s="3"/>
      <c r="Z37" s="3"/>
    </row>
    <row r="38" spans="1:26" ht="20.399999999999999" collapsed="1" x14ac:dyDescent="0.3">
      <c r="A38" s="3"/>
      <c r="B38" s="84" t="s">
        <v>306</v>
      </c>
      <c r="C38" s="85" t="s">
        <v>43</v>
      </c>
      <c r="D38" s="85" t="s">
        <v>43</v>
      </c>
      <c r="E38" s="86">
        <f>SUM(E39:E62)</f>
        <v>0</v>
      </c>
      <c r="F38" s="86">
        <f>SUMIF(D39:D62,"OK",F39:F62)</f>
        <v>5053.0300000000007</v>
      </c>
      <c r="G38" s="87"/>
      <c r="H38" s="87"/>
      <c r="I38" s="88"/>
      <c r="J38" s="87"/>
      <c r="K38" s="37"/>
      <c r="L38" s="37"/>
      <c r="M38" s="37"/>
      <c r="N38" s="37"/>
      <c r="O38" s="37"/>
      <c r="P38" s="37"/>
      <c r="Q38" s="37"/>
      <c r="R38" s="37"/>
      <c r="S38" s="37"/>
      <c r="T38" s="37"/>
      <c r="U38" s="3"/>
      <c r="W38" s="3"/>
      <c r="X38" s="3"/>
      <c r="Y38" s="3"/>
      <c r="Z38" s="3"/>
    </row>
    <row r="39" spans="1:26" ht="14.4" hidden="1" outlineLevel="1" x14ac:dyDescent="0.3">
      <c r="A39" s="3"/>
      <c r="B39" s="10" t="s">
        <v>307</v>
      </c>
      <c r="C39" s="62" t="s">
        <v>1066</v>
      </c>
      <c r="D39" s="62" t="s">
        <v>94</v>
      </c>
      <c r="E39" s="12">
        <v>0</v>
      </c>
      <c r="F39" s="12">
        <f>1167.91*2</f>
        <v>2335.8200000000002</v>
      </c>
      <c r="G39" s="65" t="s">
        <v>1067</v>
      </c>
      <c r="H39" s="65" t="s">
        <v>37</v>
      </c>
      <c r="I39" s="112" t="s">
        <v>1068</v>
      </c>
      <c r="J39" s="65"/>
      <c r="K39" s="37"/>
      <c r="L39" s="37"/>
      <c r="M39" s="37"/>
      <c r="N39" s="37"/>
      <c r="O39" s="37"/>
      <c r="P39" s="37"/>
      <c r="Q39" s="37"/>
      <c r="R39" s="37"/>
      <c r="S39" s="37"/>
      <c r="T39" s="37"/>
      <c r="U39" s="3"/>
      <c r="W39" s="3"/>
      <c r="X39" s="3"/>
      <c r="Y39" s="3"/>
      <c r="Z39" s="3"/>
    </row>
    <row r="40" spans="1:26" ht="14.4" hidden="1" outlineLevel="1" x14ac:dyDescent="0.3">
      <c r="A40" s="3"/>
      <c r="B40" s="10" t="s">
        <v>589</v>
      </c>
      <c r="C40" s="62">
        <v>20</v>
      </c>
      <c r="D40" s="62" t="s">
        <v>94</v>
      </c>
      <c r="E40" s="12">
        <v>0</v>
      </c>
      <c r="F40" s="12">
        <v>650</v>
      </c>
      <c r="G40" s="65"/>
      <c r="H40" s="65" t="s">
        <v>37</v>
      </c>
      <c r="I40" s="112" t="s">
        <v>1069</v>
      </c>
      <c r="J40" s="65"/>
      <c r="K40" s="37"/>
      <c r="L40" s="37"/>
      <c r="M40" s="37"/>
      <c r="N40" s="37"/>
      <c r="O40" s="37"/>
      <c r="P40" s="37"/>
      <c r="Q40" s="37"/>
      <c r="R40" s="37"/>
      <c r="S40" s="37"/>
      <c r="T40" s="37"/>
      <c r="U40" s="3"/>
      <c r="W40" s="3"/>
      <c r="X40" s="3"/>
      <c r="Y40" s="3"/>
      <c r="Z40" s="3"/>
    </row>
    <row r="41" spans="1:26" ht="14.4" hidden="1" outlineLevel="1" x14ac:dyDescent="0.3">
      <c r="A41" s="3"/>
      <c r="B41" s="10" t="s">
        <v>756</v>
      </c>
      <c r="C41" s="62"/>
      <c r="D41" s="62"/>
      <c r="E41" s="12">
        <v>0</v>
      </c>
      <c r="F41" s="12">
        <v>0</v>
      </c>
      <c r="G41" s="65"/>
      <c r="H41" s="65"/>
      <c r="I41" s="89"/>
      <c r="J41" s="65"/>
      <c r="K41" s="37"/>
      <c r="L41" s="37"/>
      <c r="M41" s="37"/>
      <c r="N41" s="37"/>
      <c r="O41" s="37"/>
      <c r="P41" s="37"/>
      <c r="Q41" s="37"/>
      <c r="R41" s="37"/>
      <c r="S41" s="37"/>
      <c r="T41" s="37"/>
      <c r="U41" s="3"/>
      <c r="W41" s="3"/>
      <c r="X41" s="3"/>
      <c r="Y41" s="3"/>
      <c r="Z41" s="3"/>
    </row>
    <row r="42" spans="1:26" ht="14.4" hidden="1" outlineLevel="1" x14ac:dyDescent="0.3">
      <c r="A42" s="3"/>
      <c r="B42" s="10" t="s">
        <v>314</v>
      </c>
      <c r="C42" s="62">
        <v>16</v>
      </c>
      <c r="D42" s="62" t="s">
        <v>94</v>
      </c>
      <c r="E42" s="12">
        <v>0</v>
      </c>
      <c r="F42" s="12">
        <v>84.9</v>
      </c>
      <c r="G42" s="65"/>
      <c r="H42" s="65" t="s">
        <v>37</v>
      </c>
      <c r="I42" s="112" t="s">
        <v>1070</v>
      </c>
      <c r="J42" s="65"/>
      <c r="K42" s="37"/>
      <c r="L42" s="37"/>
      <c r="M42" s="37"/>
      <c r="N42" s="37"/>
      <c r="O42" s="37"/>
      <c r="P42" s="37"/>
      <c r="Q42" s="37"/>
      <c r="R42" s="37"/>
      <c r="S42" s="37"/>
      <c r="T42" s="37"/>
      <c r="U42" s="3"/>
      <c r="W42" s="3"/>
      <c r="X42" s="3"/>
      <c r="Y42" s="3"/>
      <c r="Z42" s="3"/>
    </row>
    <row r="43" spans="1:26" ht="14.4" hidden="1" outlineLevel="1" x14ac:dyDescent="0.3">
      <c r="A43" s="3"/>
      <c r="B43" s="10" t="s">
        <v>592</v>
      </c>
      <c r="C43" s="62">
        <v>16</v>
      </c>
      <c r="D43" s="62" t="s">
        <v>94</v>
      </c>
      <c r="E43" s="12">
        <v>0</v>
      </c>
      <c r="F43" s="12">
        <v>518</v>
      </c>
      <c r="G43" s="89" t="s">
        <v>1071</v>
      </c>
      <c r="H43" s="65" t="s">
        <v>37</v>
      </c>
      <c r="I43" s="112" t="s">
        <v>1072</v>
      </c>
      <c r="J43" s="65"/>
      <c r="K43" s="37"/>
      <c r="L43" s="37"/>
      <c r="M43" s="37"/>
      <c r="N43" s="37"/>
      <c r="O43" s="37"/>
      <c r="P43" s="37"/>
      <c r="Q43" s="37"/>
      <c r="R43" s="37"/>
      <c r="S43" s="37"/>
      <c r="T43" s="37"/>
      <c r="U43" s="3"/>
      <c r="W43" s="3"/>
      <c r="X43" s="3"/>
      <c r="Y43" s="3"/>
      <c r="Z43" s="3"/>
    </row>
    <row r="44" spans="1:26" ht="14.4" hidden="1" outlineLevel="1" x14ac:dyDescent="0.3">
      <c r="A44" s="3"/>
      <c r="B44" s="10" t="s">
        <v>595</v>
      </c>
      <c r="C44" s="62">
        <v>16</v>
      </c>
      <c r="D44" s="62" t="s">
        <v>94</v>
      </c>
      <c r="E44" s="12">
        <v>0</v>
      </c>
      <c r="F44" s="12">
        <v>212.9</v>
      </c>
      <c r="G44" s="89" t="s">
        <v>941</v>
      </c>
      <c r="H44" s="65" t="s">
        <v>37</v>
      </c>
      <c r="I44" s="112" t="s">
        <v>1073</v>
      </c>
      <c r="J44" s="65"/>
      <c r="K44" s="37"/>
      <c r="L44" s="37"/>
      <c r="M44" s="37"/>
      <c r="N44" s="37"/>
      <c r="O44" s="37"/>
      <c r="P44" s="37"/>
      <c r="Q44" s="37"/>
      <c r="R44" s="37"/>
      <c r="S44" s="37"/>
      <c r="T44" s="37"/>
      <c r="U44" s="3"/>
      <c r="W44" s="3"/>
      <c r="X44" s="3"/>
      <c r="Y44" s="3"/>
      <c r="Z44" s="3"/>
    </row>
    <row r="45" spans="1:26" ht="14.4" hidden="1" outlineLevel="1" x14ac:dyDescent="0.3">
      <c r="A45" s="3"/>
      <c r="B45" s="10" t="s">
        <v>1074</v>
      </c>
      <c r="C45" s="62">
        <v>1</v>
      </c>
      <c r="D45" s="62" t="s">
        <v>94</v>
      </c>
      <c r="E45" s="12">
        <v>0</v>
      </c>
      <c r="F45" s="12">
        <v>50</v>
      </c>
      <c r="G45" s="65" t="s">
        <v>1075</v>
      </c>
      <c r="H45" s="65" t="s">
        <v>37</v>
      </c>
      <c r="I45" s="112" t="s">
        <v>1076</v>
      </c>
      <c r="J45" s="65"/>
      <c r="K45" s="37"/>
      <c r="L45" s="37"/>
      <c r="M45" s="37"/>
      <c r="N45" s="37"/>
      <c r="O45" s="37"/>
      <c r="P45" s="37"/>
      <c r="Q45" s="37"/>
      <c r="R45" s="37"/>
      <c r="S45" s="37"/>
      <c r="T45" s="37"/>
      <c r="U45" s="3"/>
      <c r="W45" s="3"/>
      <c r="X45" s="3"/>
      <c r="Y45" s="3"/>
      <c r="Z45" s="3"/>
    </row>
    <row r="46" spans="1:26" ht="14.4" hidden="1" outlineLevel="1" x14ac:dyDescent="0.3">
      <c r="A46" s="3"/>
      <c r="B46" s="10" t="s">
        <v>1074</v>
      </c>
      <c r="C46" s="62">
        <v>12</v>
      </c>
      <c r="D46" s="62" t="s">
        <v>94</v>
      </c>
      <c r="E46" s="12">
        <v>0</v>
      </c>
      <c r="F46" s="12">
        <v>200</v>
      </c>
      <c r="G46" s="65" t="s">
        <v>1075</v>
      </c>
      <c r="H46" s="65" t="s">
        <v>37</v>
      </c>
      <c r="I46" s="112" t="s">
        <v>1077</v>
      </c>
      <c r="J46" s="65"/>
      <c r="K46" s="37"/>
      <c r="L46" s="37"/>
      <c r="M46" s="37"/>
      <c r="N46" s="37"/>
      <c r="O46" s="37"/>
      <c r="P46" s="37"/>
      <c r="Q46" s="37"/>
      <c r="R46" s="37"/>
      <c r="S46" s="37"/>
      <c r="T46" s="37"/>
      <c r="U46" s="3"/>
      <c r="W46" s="3"/>
      <c r="X46" s="3"/>
      <c r="Y46" s="3"/>
      <c r="Z46" s="3"/>
    </row>
    <row r="47" spans="1:26" ht="14.4" hidden="1" outlineLevel="1" x14ac:dyDescent="0.3">
      <c r="A47" s="3"/>
      <c r="B47" s="10" t="s">
        <v>1078</v>
      </c>
      <c r="C47" s="62">
        <v>23</v>
      </c>
      <c r="D47" s="62" t="s">
        <v>94</v>
      </c>
      <c r="E47" s="12">
        <v>0</v>
      </c>
      <c r="F47" s="12">
        <v>90.29</v>
      </c>
      <c r="G47" s="65"/>
      <c r="H47" s="65" t="s">
        <v>37</v>
      </c>
      <c r="I47" s="112" t="s">
        <v>1079</v>
      </c>
      <c r="J47" s="65"/>
      <c r="K47" s="37"/>
      <c r="L47" s="37"/>
      <c r="M47" s="37"/>
      <c r="N47" s="37"/>
      <c r="O47" s="37"/>
      <c r="P47" s="37"/>
      <c r="Q47" s="37"/>
      <c r="R47" s="37"/>
      <c r="S47" s="37"/>
      <c r="T47" s="37"/>
      <c r="U47" s="3"/>
      <c r="W47" s="3"/>
      <c r="X47" s="3"/>
      <c r="Y47" s="3"/>
      <c r="Z47" s="3"/>
    </row>
    <row r="48" spans="1:26" ht="14.4" hidden="1" outlineLevel="1" x14ac:dyDescent="0.3">
      <c r="A48" s="3"/>
      <c r="B48" s="10" t="s">
        <v>1080</v>
      </c>
      <c r="C48" s="62">
        <v>23</v>
      </c>
      <c r="D48" s="62" t="s">
        <v>94</v>
      </c>
      <c r="E48" s="12">
        <v>0</v>
      </c>
      <c r="F48" s="12">
        <v>800</v>
      </c>
      <c r="G48" s="65"/>
      <c r="H48" s="65" t="s">
        <v>37</v>
      </c>
      <c r="I48" s="112" t="s">
        <v>1081</v>
      </c>
      <c r="J48" s="65"/>
      <c r="K48" s="37"/>
      <c r="L48" s="37"/>
      <c r="M48" s="37"/>
      <c r="N48" s="37"/>
      <c r="O48" s="37"/>
      <c r="P48" s="37"/>
      <c r="Q48" s="37"/>
      <c r="R48" s="37"/>
      <c r="S48" s="37"/>
      <c r="T48" s="37"/>
      <c r="U48" s="3"/>
      <c r="W48" s="3"/>
      <c r="X48" s="3"/>
      <c r="Y48" s="3"/>
      <c r="Z48" s="3"/>
    </row>
    <row r="49" spans="1:26" ht="14.4" hidden="1" outlineLevel="1" x14ac:dyDescent="0.3">
      <c r="A49" s="3"/>
      <c r="B49" s="10" t="s">
        <v>1082</v>
      </c>
      <c r="C49" s="62">
        <v>30</v>
      </c>
      <c r="D49" s="62" t="s">
        <v>94</v>
      </c>
      <c r="E49" s="12">
        <v>0</v>
      </c>
      <c r="F49" s="12">
        <v>111.12</v>
      </c>
      <c r="G49" s="65" t="s">
        <v>1083</v>
      </c>
      <c r="H49" s="65" t="s">
        <v>37</v>
      </c>
      <c r="I49" s="112" t="s">
        <v>1084</v>
      </c>
      <c r="J49" s="65"/>
      <c r="K49" s="37"/>
      <c r="L49" s="37"/>
      <c r="M49" s="37"/>
      <c r="N49" s="37"/>
      <c r="O49" s="37"/>
      <c r="P49" s="37"/>
      <c r="Q49" s="37"/>
      <c r="R49" s="37"/>
      <c r="S49" s="37"/>
      <c r="T49" s="37"/>
      <c r="U49" s="3"/>
      <c r="W49" s="3"/>
      <c r="X49" s="3"/>
      <c r="Y49" s="3"/>
      <c r="Z49" s="3"/>
    </row>
    <row r="50" spans="1:26" ht="14.4" hidden="1" outlineLevel="1" x14ac:dyDescent="0.3">
      <c r="A50" s="3"/>
      <c r="B50" s="10" t="s">
        <v>50</v>
      </c>
      <c r="C50" s="62"/>
      <c r="D50" s="62"/>
      <c r="E50" s="12">
        <v>0</v>
      </c>
      <c r="F50" s="12">
        <v>0</v>
      </c>
      <c r="G50" s="65"/>
      <c r="H50" s="65"/>
      <c r="I50" s="112"/>
      <c r="J50" s="65"/>
      <c r="K50" s="37"/>
      <c r="L50" s="37"/>
      <c r="M50" s="37"/>
      <c r="N50" s="37"/>
      <c r="O50" s="37"/>
      <c r="P50" s="37"/>
      <c r="Q50" s="37"/>
      <c r="R50" s="37"/>
      <c r="S50" s="37"/>
      <c r="T50" s="37"/>
      <c r="U50" s="3"/>
      <c r="W50" s="3"/>
      <c r="X50" s="3"/>
      <c r="Y50" s="3"/>
      <c r="Z50" s="3"/>
    </row>
    <row r="51" spans="1:26" ht="14.4" hidden="1" outlineLevel="1" x14ac:dyDescent="0.3">
      <c r="A51" s="3"/>
      <c r="B51" s="10" t="s">
        <v>50</v>
      </c>
      <c r="C51" s="62"/>
      <c r="D51" s="62"/>
      <c r="E51" s="12">
        <v>0</v>
      </c>
      <c r="F51" s="12">
        <v>0</v>
      </c>
      <c r="G51" s="65"/>
      <c r="H51" s="65"/>
      <c r="I51" s="112"/>
      <c r="J51" s="65"/>
      <c r="K51" s="37"/>
      <c r="L51" s="37"/>
      <c r="M51" s="37"/>
      <c r="N51" s="37"/>
      <c r="O51" s="37"/>
      <c r="P51" s="37"/>
      <c r="Q51" s="37"/>
      <c r="R51" s="37"/>
      <c r="S51" s="37"/>
      <c r="T51" s="37"/>
      <c r="U51" s="3"/>
      <c r="W51" s="3"/>
      <c r="X51" s="3"/>
      <c r="Y51" s="3"/>
      <c r="Z51" s="3"/>
    </row>
    <row r="52" spans="1:26" ht="14.4" hidden="1" outlineLevel="1" x14ac:dyDescent="0.3">
      <c r="A52" s="3"/>
      <c r="B52" s="10" t="s">
        <v>50</v>
      </c>
      <c r="C52" s="80"/>
      <c r="D52" s="62"/>
      <c r="E52" s="12">
        <v>0</v>
      </c>
      <c r="F52" s="12">
        <v>0</v>
      </c>
      <c r="G52" s="65"/>
      <c r="H52" s="65"/>
      <c r="I52" s="89"/>
      <c r="J52" s="65"/>
      <c r="K52" s="37"/>
      <c r="L52" s="37"/>
      <c r="M52" s="37"/>
      <c r="N52" s="37"/>
      <c r="O52" s="37"/>
      <c r="P52" s="37"/>
      <c r="Q52" s="37"/>
      <c r="R52" s="37"/>
      <c r="S52" s="37"/>
      <c r="T52" s="37"/>
      <c r="U52" s="3"/>
      <c r="W52" s="3"/>
      <c r="X52" s="3"/>
      <c r="Y52" s="3"/>
      <c r="Z52" s="3"/>
    </row>
    <row r="53" spans="1:26" ht="14.4" hidden="1" outlineLevel="1" x14ac:dyDescent="0.3">
      <c r="A53" s="3"/>
      <c r="B53" s="10" t="s">
        <v>50</v>
      </c>
      <c r="C53" s="62"/>
      <c r="D53" s="62"/>
      <c r="E53" s="12">
        <v>0</v>
      </c>
      <c r="F53" s="12">
        <v>0</v>
      </c>
      <c r="G53" s="65"/>
      <c r="H53" s="65"/>
      <c r="I53" s="112"/>
      <c r="J53" s="65"/>
      <c r="K53" s="37"/>
      <c r="L53" s="37"/>
      <c r="M53" s="37"/>
      <c r="N53" s="37"/>
      <c r="O53" s="37"/>
      <c r="P53" s="37"/>
      <c r="Q53" s="37"/>
      <c r="R53" s="37"/>
      <c r="S53" s="37"/>
      <c r="T53" s="37"/>
      <c r="U53" s="3"/>
      <c r="W53" s="3"/>
      <c r="X53" s="3"/>
      <c r="Y53" s="3"/>
      <c r="Z53" s="3"/>
    </row>
    <row r="54" spans="1:26" ht="14.4" hidden="1" outlineLevel="1" x14ac:dyDescent="0.3">
      <c r="A54" s="3"/>
      <c r="B54" s="10" t="s">
        <v>50</v>
      </c>
      <c r="C54" s="62"/>
      <c r="D54" s="62"/>
      <c r="E54" s="12">
        <v>0</v>
      </c>
      <c r="F54" s="12">
        <v>0</v>
      </c>
      <c r="G54" s="65"/>
      <c r="H54" s="65"/>
      <c r="I54" s="112"/>
      <c r="J54" s="65"/>
      <c r="K54" s="37"/>
      <c r="L54" s="37"/>
      <c r="M54" s="37"/>
      <c r="N54" s="37"/>
      <c r="O54" s="37"/>
      <c r="P54" s="37"/>
      <c r="Q54" s="37"/>
      <c r="R54" s="37"/>
      <c r="S54" s="37"/>
      <c r="T54" s="37"/>
      <c r="U54" s="3"/>
      <c r="W54" s="3"/>
      <c r="X54" s="3"/>
      <c r="Y54" s="3"/>
      <c r="Z54" s="3"/>
    </row>
    <row r="55" spans="1:26" ht="14.4" hidden="1" outlineLevel="1" x14ac:dyDescent="0.3">
      <c r="A55" s="3"/>
      <c r="B55" s="10" t="s">
        <v>50</v>
      </c>
      <c r="C55" s="62"/>
      <c r="D55" s="62"/>
      <c r="E55" s="12">
        <v>0</v>
      </c>
      <c r="F55" s="12">
        <v>0</v>
      </c>
      <c r="G55" s="89"/>
      <c r="H55" s="65"/>
      <c r="I55" s="112"/>
      <c r="J55" s="65"/>
      <c r="K55" s="37"/>
      <c r="L55" s="37"/>
      <c r="M55" s="37"/>
      <c r="N55" s="37"/>
      <c r="O55" s="37"/>
      <c r="P55" s="37"/>
      <c r="Q55" s="37"/>
      <c r="R55" s="37"/>
      <c r="S55" s="37"/>
      <c r="T55" s="37"/>
      <c r="U55" s="3"/>
      <c r="W55" s="3"/>
      <c r="X55" s="3"/>
      <c r="Y55" s="3"/>
      <c r="Z55" s="3"/>
    </row>
    <row r="56" spans="1:26" ht="14.4" hidden="1" outlineLevel="1" x14ac:dyDescent="0.3">
      <c r="A56" s="3"/>
      <c r="B56" s="10" t="s">
        <v>50</v>
      </c>
      <c r="C56" s="62"/>
      <c r="D56" s="62"/>
      <c r="E56" s="12">
        <v>0</v>
      </c>
      <c r="F56" s="12">
        <v>0</v>
      </c>
      <c r="G56" s="89"/>
      <c r="H56" s="65"/>
      <c r="I56" s="112"/>
      <c r="J56" s="65"/>
      <c r="K56" s="37"/>
      <c r="L56" s="37"/>
      <c r="M56" s="37"/>
      <c r="N56" s="37"/>
      <c r="O56" s="37"/>
      <c r="P56" s="37"/>
      <c r="Q56" s="37"/>
      <c r="R56" s="37"/>
      <c r="S56" s="37"/>
      <c r="T56" s="37"/>
      <c r="U56" s="3"/>
      <c r="W56" s="3"/>
      <c r="X56" s="3"/>
      <c r="Y56" s="3"/>
      <c r="Z56" s="3"/>
    </row>
    <row r="57" spans="1:26" ht="14.4" hidden="1" outlineLevel="1" x14ac:dyDescent="0.3">
      <c r="A57" s="3"/>
      <c r="B57" s="10" t="s">
        <v>50</v>
      </c>
      <c r="C57" s="62"/>
      <c r="D57" s="62"/>
      <c r="E57" s="12">
        <v>0</v>
      </c>
      <c r="F57" s="12">
        <v>0</v>
      </c>
      <c r="G57" s="89"/>
      <c r="H57" s="65"/>
      <c r="I57" s="112"/>
      <c r="J57" s="65"/>
      <c r="K57" s="37"/>
      <c r="L57" s="37"/>
      <c r="M57" s="37"/>
      <c r="N57" s="37"/>
      <c r="O57" s="37"/>
      <c r="P57" s="37"/>
      <c r="Q57" s="37"/>
      <c r="R57" s="37"/>
      <c r="S57" s="37"/>
      <c r="T57" s="37"/>
      <c r="U57" s="3"/>
      <c r="W57" s="3"/>
      <c r="X57" s="3"/>
      <c r="Y57" s="3"/>
      <c r="Z57" s="3"/>
    </row>
    <row r="58" spans="1:26" ht="14.4" hidden="1" outlineLevel="1" x14ac:dyDescent="0.3">
      <c r="A58" s="3"/>
      <c r="B58" s="10" t="s">
        <v>50</v>
      </c>
      <c r="C58" s="62"/>
      <c r="D58" s="62"/>
      <c r="E58" s="12">
        <v>0</v>
      </c>
      <c r="F58" s="12">
        <v>0</v>
      </c>
      <c r="G58" s="89"/>
      <c r="H58" s="65"/>
      <c r="I58" s="112"/>
      <c r="J58" s="65"/>
      <c r="K58" s="37"/>
      <c r="L58" s="37"/>
      <c r="M58" s="37"/>
      <c r="N58" s="37"/>
      <c r="O58" s="37"/>
      <c r="P58" s="37"/>
      <c r="Q58" s="37"/>
      <c r="R58" s="37"/>
      <c r="S58" s="37"/>
      <c r="T58" s="37"/>
      <c r="U58" s="3"/>
      <c r="W58" s="3"/>
      <c r="X58" s="3"/>
      <c r="Y58" s="3"/>
      <c r="Z58" s="3"/>
    </row>
    <row r="59" spans="1:26" ht="14.4" hidden="1" outlineLevel="1" x14ac:dyDescent="0.3">
      <c r="A59" s="3"/>
      <c r="B59" s="10" t="s">
        <v>50</v>
      </c>
      <c r="C59" s="62"/>
      <c r="D59" s="62"/>
      <c r="E59" s="12">
        <v>0</v>
      </c>
      <c r="F59" s="12">
        <v>0</v>
      </c>
      <c r="G59" s="89"/>
      <c r="H59" s="65"/>
      <c r="I59" s="112"/>
      <c r="J59" s="65"/>
      <c r="K59" s="37"/>
      <c r="L59" s="37"/>
      <c r="M59" s="37"/>
      <c r="N59" s="37"/>
      <c r="O59" s="37"/>
      <c r="P59" s="37"/>
      <c r="Q59" s="37"/>
      <c r="R59" s="37"/>
      <c r="S59" s="37"/>
      <c r="T59" s="37"/>
      <c r="U59" s="3"/>
      <c r="W59" s="3"/>
      <c r="X59" s="3"/>
      <c r="Y59" s="3"/>
      <c r="Z59" s="3"/>
    </row>
    <row r="60" spans="1:26" ht="14.4" hidden="1" outlineLevel="1" x14ac:dyDescent="0.3">
      <c r="A60" s="3"/>
      <c r="B60" s="10" t="s">
        <v>50</v>
      </c>
      <c r="C60" s="62"/>
      <c r="D60" s="62"/>
      <c r="E60" s="12">
        <v>0</v>
      </c>
      <c r="F60" s="12">
        <v>0</v>
      </c>
      <c r="G60" s="89"/>
      <c r="H60" s="65"/>
      <c r="I60" s="112"/>
      <c r="J60" s="65"/>
      <c r="K60" s="37"/>
      <c r="L60" s="37"/>
      <c r="M60" s="37"/>
      <c r="N60" s="37"/>
      <c r="O60" s="37"/>
      <c r="P60" s="37"/>
      <c r="Q60" s="37"/>
      <c r="R60" s="37"/>
      <c r="S60" s="37"/>
      <c r="T60" s="37"/>
      <c r="U60" s="3"/>
      <c r="W60" s="3"/>
      <c r="X60" s="3"/>
      <c r="Y60" s="3"/>
      <c r="Z60" s="3"/>
    </row>
    <row r="61" spans="1:26" ht="14.4" hidden="1" outlineLevel="1" x14ac:dyDescent="0.3">
      <c r="A61" s="3"/>
      <c r="B61" s="10" t="s">
        <v>50</v>
      </c>
      <c r="C61" s="62"/>
      <c r="D61" s="62"/>
      <c r="E61" s="12">
        <v>0</v>
      </c>
      <c r="F61" s="12">
        <v>0</v>
      </c>
      <c r="G61" s="89"/>
      <c r="H61" s="65"/>
      <c r="I61" s="112"/>
      <c r="J61" s="65"/>
      <c r="K61" s="37"/>
      <c r="L61" s="37"/>
      <c r="M61" s="37"/>
      <c r="N61" s="37"/>
      <c r="O61" s="37"/>
      <c r="P61" s="37"/>
      <c r="Q61" s="37"/>
      <c r="R61" s="37"/>
      <c r="S61" s="37"/>
      <c r="T61" s="37"/>
      <c r="U61" s="3"/>
      <c r="W61" s="3"/>
      <c r="X61" s="3"/>
      <c r="Y61" s="3"/>
      <c r="Z61" s="3"/>
    </row>
    <row r="62" spans="1:26" ht="14.4" hidden="1" outlineLevel="1" x14ac:dyDescent="0.3">
      <c r="A62" s="3"/>
      <c r="B62" s="10" t="s">
        <v>50</v>
      </c>
      <c r="C62" s="62"/>
      <c r="D62" s="62"/>
      <c r="E62" s="12">
        <v>0</v>
      </c>
      <c r="F62" s="12">
        <v>0</v>
      </c>
      <c r="G62" s="65"/>
      <c r="H62" s="65"/>
      <c r="I62" s="112"/>
      <c r="J62" s="65"/>
      <c r="K62" s="37"/>
      <c r="L62" s="37"/>
      <c r="M62" s="37"/>
      <c r="N62" s="37"/>
      <c r="O62" s="37"/>
      <c r="P62" s="37"/>
      <c r="Q62" s="37"/>
      <c r="R62" s="37"/>
      <c r="S62" s="37"/>
      <c r="T62" s="37"/>
      <c r="U62" s="3"/>
      <c r="W62" s="3"/>
      <c r="X62" s="3"/>
      <c r="Y62" s="3"/>
      <c r="Z62" s="3"/>
    </row>
    <row r="63" spans="1:26" ht="20.399999999999999" collapsed="1" x14ac:dyDescent="0.3">
      <c r="A63" s="3"/>
      <c r="B63" s="84" t="s">
        <v>329</v>
      </c>
      <c r="C63" s="85" t="s">
        <v>43</v>
      </c>
      <c r="D63" s="85" t="s">
        <v>43</v>
      </c>
      <c r="E63" s="86">
        <f>SUM(E64:E84)</f>
        <v>0</v>
      </c>
      <c r="F63" s="86">
        <f>SUMIF(D64:D84,"OK",F64:F84)</f>
        <v>1723.98</v>
      </c>
      <c r="G63" s="87"/>
      <c r="H63" s="87"/>
      <c r="I63" s="88"/>
      <c r="J63" s="87"/>
      <c r="K63" s="37"/>
      <c r="L63" s="37"/>
      <c r="M63" s="37"/>
      <c r="N63" s="37"/>
      <c r="O63" s="37"/>
      <c r="P63" s="37"/>
      <c r="Q63" s="37"/>
      <c r="R63" s="37"/>
      <c r="S63" s="37"/>
      <c r="T63" s="37"/>
      <c r="U63" s="3"/>
    </row>
    <row r="64" spans="1:26" ht="14.4" hidden="1" outlineLevel="1" x14ac:dyDescent="0.3">
      <c r="A64" s="3"/>
      <c r="B64" s="10" t="s">
        <v>1085</v>
      </c>
      <c r="C64" s="80">
        <v>4</v>
      </c>
      <c r="D64" s="62" t="s">
        <v>94</v>
      </c>
      <c r="E64" s="12">
        <v>0</v>
      </c>
      <c r="F64" s="12">
        <v>227.58</v>
      </c>
      <c r="G64" s="65"/>
      <c r="H64" s="65" t="s">
        <v>37</v>
      </c>
      <c r="I64" s="112" t="s">
        <v>1086</v>
      </c>
      <c r="J64" s="89"/>
      <c r="K64" s="37"/>
      <c r="L64" s="37"/>
      <c r="M64" s="37"/>
      <c r="N64" s="37"/>
      <c r="O64" s="37"/>
      <c r="P64" s="37"/>
      <c r="Q64" s="37"/>
      <c r="R64" s="37"/>
      <c r="S64" s="37"/>
      <c r="T64" s="37"/>
      <c r="U64" s="3"/>
      <c r="V64" s="18"/>
    </row>
    <row r="65" spans="1:22" ht="14.4" hidden="1" outlineLevel="1" x14ac:dyDescent="0.3">
      <c r="A65" s="3"/>
      <c r="B65" s="10" t="s">
        <v>1085</v>
      </c>
      <c r="C65" s="80">
        <v>8</v>
      </c>
      <c r="D65" s="62" t="s">
        <v>94</v>
      </c>
      <c r="E65" s="12">
        <v>0</v>
      </c>
      <c r="F65" s="12">
        <v>55</v>
      </c>
      <c r="G65" s="65" t="s">
        <v>613</v>
      </c>
      <c r="H65" s="65" t="s">
        <v>37</v>
      </c>
      <c r="I65" s="112" t="s">
        <v>1087</v>
      </c>
      <c r="J65" s="89"/>
      <c r="K65" s="37"/>
      <c r="L65" s="37"/>
      <c r="M65" s="37"/>
      <c r="N65" s="37"/>
      <c r="O65" s="37"/>
      <c r="P65" s="37"/>
      <c r="Q65" s="37"/>
      <c r="R65" s="37"/>
      <c r="S65" s="37"/>
      <c r="T65" s="37"/>
      <c r="U65" s="3"/>
      <c r="V65" s="18"/>
    </row>
    <row r="66" spans="1:22" ht="14.4" hidden="1" outlineLevel="1" x14ac:dyDescent="0.3">
      <c r="A66" s="3"/>
      <c r="B66" s="10" t="s">
        <v>1085</v>
      </c>
      <c r="C66" s="80"/>
      <c r="D66" s="62"/>
      <c r="E66" s="12">
        <v>0</v>
      </c>
      <c r="F66" s="12">
        <v>0</v>
      </c>
      <c r="G66" s="65"/>
      <c r="H66" s="65"/>
      <c r="I66" s="112"/>
      <c r="J66" s="89"/>
      <c r="K66" s="37"/>
      <c r="L66" s="37"/>
      <c r="M66" s="37"/>
      <c r="N66" s="37"/>
      <c r="O66" s="37"/>
      <c r="P66" s="37"/>
      <c r="Q66" s="37"/>
      <c r="R66" s="37"/>
      <c r="S66" s="37"/>
      <c r="T66" s="37"/>
      <c r="U66" s="3"/>
      <c r="V66" s="18"/>
    </row>
    <row r="67" spans="1:22" ht="14.4" hidden="1" outlineLevel="1" x14ac:dyDescent="0.3">
      <c r="A67" s="3"/>
      <c r="B67" s="10" t="s">
        <v>1085</v>
      </c>
      <c r="C67" s="80"/>
      <c r="D67" s="62"/>
      <c r="E67" s="12">
        <v>0</v>
      </c>
      <c r="F67" s="12">
        <v>0</v>
      </c>
      <c r="G67" s="65"/>
      <c r="H67" s="65"/>
      <c r="I67" s="112"/>
      <c r="J67" s="89"/>
      <c r="K67" s="37"/>
      <c r="L67" s="37"/>
      <c r="M67" s="37"/>
      <c r="N67" s="37"/>
      <c r="O67" s="37"/>
      <c r="P67" s="37"/>
      <c r="Q67" s="37"/>
      <c r="R67" s="37"/>
      <c r="S67" s="37"/>
      <c r="T67" s="37"/>
      <c r="U67" s="3"/>
      <c r="V67" s="18"/>
    </row>
    <row r="68" spans="1:22" ht="14.4" hidden="1" outlineLevel="1" x14ac:dyDescent="0.3">
      <c r="A68" s="3"/>
      <c r="B68" s="10" t="s">
        <v>1085</v>
      </c>
      <c r="C68" s="80"/>
      <c r="D68" s="62"/>
      <c r="E68" s="12">
        <v>0</v>
      </c>
      <c r="F68" s="12">
        <v>0</v>
      </c>
      <c r="G68" s="65"/>
      <c r="H68" s="65"/>
      <c r="I68" s="112"/>
      <c r="J68" s="89"/>
      <c r="K68" s="37"/>
      <c r="L68" s="37"/>
      <c r="M68" s="37"/>
      <c r="N68" s="37"/>
      <c r="O68" s="37"/>
      <c r="P68" s="37"/>
      <c r="Q68" s="37"/>
      <c r="R68" s="37"/>
      <c r="S68" s="37"/>
      <c r="T68" s="37"/>
      <c r="U68" s="3"/>
      <c r="V68" s="18"/>
    </row>
    <row r="69" spans="1:22" ht="14.4" hidden="1" outlineLevel="1" x14ac:dyDescent="0.3">
      <c r="A69" s="3"/>
      <c r="B69" s="10" t="s">
        <v>1088</v>
      </c>
      <c r="C69" s="80">
        <v>19</v>
      </c>
      <c r="D69" s="62" t="s">
        <v>94</v>
      </c>
      <c r="E69" s="12">
        <v>0</v>
      </c>
      <c r="F69" s="12">
        <v>125</v>
      </c>
      <c r="G69" s="65" t="s">
        <v>613</v>
      </c>
      <c r="H69" s="65" t="s">
        <v>37</v>
      </c>
      <c r="I69" s="112" t="s">
        <v>1089</v>
      </c>
      <c r="J69" s="89"/>
      <c r="K69" s="37"/>
      <c r="L69" s="37"/>
      <c r="M69" s="37"/>
      <c r="N69" s="37"/>
      <c r="O69" s="37"/>
      <c r="P69" s="37"/>
      <c r="Q69" s="37"/>
      <c r="R69" s="37"/>
      <c r="S69" s="37"/>
      <c r="T69" s="37"/>
      <c r="U69" s="3"/>
      <c r="V69" s="18"/>
    </row>
    <row r="70" spans="1:22" ht="14.4" hidden="1" outlineLevel="1" x14ac:dyDescent="0.3">
      <c r="A70" s="3"/>
      <c r="B70" s="10" t="s">
        <v>1088</v>
      </c>
      <c r="C70" s="80"/>
      <c r="D70" s="62"/>
      <c r="E70" s="12">
        <v>0</v>
      </c>
      <c r="F70" s="12">
        <v>0</v>
      </c>
      <c r="G70" s="65"/>
      <c r="H70" s="65"/>
      <c r="I70" s="112"/>
      <c r="J70" s="89"/>
      <c r="K70" s="37"/>
      <c r="L70" s="37"/>
      <c r="M70" s="37"/>
      <c r="N70" s="37"/>
      <c r="O70" s="37"/>
      <c r="P70" s="37"/>
      <c r="Q70" s="37"/>
      <c r="R70" s="37"/>
      <c r="S70" s="37"/>
      <c r="T70" s="37"/>
      <c r="U70" s="3"/>
      <c r="V70" s="18"/>
    </row>
    <row r="71" spans="1:22" ht="14.4" hidden="1" outlineLevel="1" x14ac:dyDescent="0.3">
      <c r="A71" s="3"/>
      <c r="B71" s="10" t="s">
        <v>1088</v>
      </c>
      <c r="C71" s="80"/>
      <c r="D71" s="62"/>
      <c r="E71" s="12">
        <v>0</v>
      </c>
      <c r="F71" s="12">
        <v>0</v>
      </c>
      <c r="G71" s="65"/>
      <c r="H71" s="65"/>
      <c r="I71" s="112"/>
      <c r="J71" s="89"/>
      <c r="K71" s="37"/>
      <c r="L71" s="37"/>
      <c r="M71" s="37"/>
      <c r="N71" s="37"/>
      <c r="O71" s="37"/>
      <c r="P71" s="37"/>
      <c r="Q71" s="37"/>
      <c r="R71" s="37"/>
      <c r="S71" s="37"/>
      <c r="T71" s="37"/>
      <c r="U71" s="3"/>
      <c r="V71" s="18"/>
    </row>
    <row r="72" spans="1:22" ht="14.4" hidden="1" outlineLevel="1" x14ac:dyDescent="0.3">
      <c r="A72" s="3"/>
      <c r="B72" s="10" t="s">
        <v>1088</v>
      </c>
      <c r="C72" s="80"/>
      <c r="D72" s="62"/>
      <c r="E72" s="12">
        <v>0</v>
      </c>
      <c r="F72" s="12">
        <v>0</v>
      </c>
      <c r="G72" s="65"/>
      <c r="H72" s="65"/>
      <c r="I72" s="89"/>
      <c r="J72" s="89"/>
      <c r="K72" s="37"/>
      <c r="L72" s="37"/>
      <c r="M72" s="37"/>
      <c r="N72" s="37"/>
      <c r="O72" s="37"/>
      <c r="P72" s="37"/>
      <c r="Q72" s="37"/>
      <c r="R72" s="37"/>
      <c r="S72" s="37"/>
      <c r="T72" s="37"/>
      <c r="U72" s="3"/>
      <c r="V72" s="18"/>
    </row>
    <row r="73" spans="1:22" ht="14.4" hidden="1" outlineLevel="1" x14ac:dyDescent="0.3">
      <c r="A73" s="3"/>
      <c r="B73" s="10" t="s">
        <v>330</v>
      </c>
      <c r="C73" s="80"/>
      <c r="D73" s="62"/>
      <c r="E73" s="12">
        <v>0</v>
      </c>
      <c r="F73" s="12">
        <v>0</v>
      </c>
      <c r="G73" s="65"/>
      <c r="H73" s="65"/>
      <c r="I73" s="112"/>
      <c r="J73" s="89"/>
      <c r="K73" s="37"/>
      <c r="L73" s="37"/>
      <c r="M73" s="37"/>
      <c r="N73" s="37"/>
      <c r="O73" s="37"/>
      <c r="P73" s="37"/>
      <c r="Q73" s="37"/>
      <c r="R73" s="37"/>
      <c r="S73" s="37"/>
      <c r="T73" s="37"/>
      <c r="U73" s="3"/>
      <c r="V73" s="18"/>
    </row>
    <row r="74" spans="1:22" ht="14.4" hidden="1" outlineLevel="1" x14ac:dyDescent="0.3">
      <c r="A74" s="3"/>
      <c r="B74" s="10" t="s">
        <v>330</v>
      </c>
      <c r="C74" s="80"/>
      <c r="D74" s="62"/>
      <c r="E74" s="12">
        <v>0</v>
      </c>
      <c r="F74" s="12">
        <v>0</v>
      </c>
      <c r="G74" s="65"/>
      <c r="H74" s="65"/>
      <c r="I74" s="112"/>
      <c r="J74" s="89"/>
      <c r="K74" s="37"/>
      <c r="L74" s="37"/>
      <c r="M74" s="37"/>
      <c r="N74" s="37"/>
      <c r="O74" s="37"/>
      <c r="P74" s="37"/>
      <c r="Q74" s="37"/>
      <c r="R74" s="37"/>
      <c r="S74" s="37"/>
      <c r="T74" s="37"/>
      <c r="U74" s="3"/>
      <c r="V74" s="18"/>
    </row>
    <row r="75" spans="1:22" ht="14.4" hidden="1" outlineLevel="1" x14ac:dyDescent="0.3">
      <c r="A75" s="3"/>
      <c r="B75" s="10" t="s">
        <v>330</v>
      </c>
      <c r="C75" s="80"/>
      <c r="D75" s="62"/>
      <c r="E75" s="12">
        <v>0</v>
      </c>
      <c r="F75" s="12">
        <v>0</v>
      </c>
      <c r="G75" s="65"/>
      <c r="H75" s="65"/>
      <c r="I75" s="89"/>
      <c r="J75" s="89"/>
      <c r="K75" s="37"/>
      <c r="L75" s="37"/>
      <c r="M75" s="37"/>
      <c r="N75" s="37"/>
      <c r="O75" s="37"/>
      <c r="P75" s="37"/>
      <c r="Q75" s="37"/>
      <c r="R75" s="37"/>
      <c r="S75" s="37"/>
      <c r="T75" s="37"/>
      <c r="U75" s="3"/>
      <c r="V75" s="18"/>
    </row>
    <row r="76" spans="1:22" ht="14.4" hidden="1" outlineLevel="1" x14ac:dyDescent="0.3">
      <c r="A76" s="3"/>
      <c r="B76" s="10" t="s">
        <v>330</v>
      </c>
      <c r="C76" s="80"/>
      <c r="D76" s="62"/>
      <c r="E76" s="12">
        <v>0</v>
      </c>
      <c r="F76" s="12">
        <v>0</v>
      </c>
      <c r="G76" s="65"/>
      <c r="H76" s="65"/>
      <c r="I76" s="89"/>
      <c r="J76" s="89"/>
      <c r="K76" s="37"/>
      <c r="L76" s="37"/>
      <c r="M76" s="37"/>
      <c r="N76" s="37"/>
      <c r="O76" s="37"/>
      <c r="P76" s="37"/>
      <c r="Q76" s="37"/>
      <c r="R76" s="37"/>
      <c r="S76" s="37"/>
      <c r="T76" s="37"/>
      <c r="U76" s="3"/>
      <c r="V76" s="18"/>
    </row>
    <row r="77" spans="1:22" ht="14.4" hidden="1" outlineLevel="1" x14ac:dyDescent="0.3">
      <c r="A77" s="3"/>
      <c r="B77" s="10" t="s">
        <v>334</v>
      </c>
      <c r="C77" s="62">
        <v>29</v>
      </c>
      <c r="D77" s="62" t="s">
        <v>94</v>
      </c>
      <c r="E77" s="12">
        <v>0</v>
      </c>
      <c r="F77" s="12">
        <v>202.4</v>
      </c>
      <c r="G77" s="65" t="s">
        <v>1090</v>
      </c>
      <c r="H77" s="65" t="s">
        <v>37</v>
      </c>
      <c r="I77" s="112" t="s">
        <v>1091</v>
      </c>
      <c r="J77" s="65"/>
      <c r="K77" s="37"/>
      <c r="L77" s="37"/>
      <c r="M77" s="37"/>
      <c r="N77" s="37"/>
      <c r="O77" s="37"/>
      <c r="P77" s="37"/>
      <c r="Q77" s="37"/>
      <c r="R77" s="37"/>
      <c r="S77" s="37"/>
      <c r="T77" s="37"/>
      <c r="U77" s="3"/>
    </row>
    <row r="78" spans="1:22" ht="14.4" hidden="1" outlineLevel="1" x14ac:dyDescent="0.3">
      <c r="A78" s="3"/>
      <c r="B78" s="10" t="s">
        <v>334</v>
      </c>
      <c r="C78" s="62"/>
      <c r="D78" s="62"/>
      <c r="E78" s="12">
        <v>0</v>
      </c>
      <c r="F78" s="12">
        <v>0</v>
      </c>
      <c r="G78" s="65"/>
      <c r="H78" s="65"/>
      <c r="I78" s="89"/>
      <c r="J78" s="65"/>
      <c r="K78" s="37"/>
      <c r="L78" s="37"/>
      <c r="M78" s="37"/>
      <c r="N78" s="37"/>
      <c r="O78" s="37"/>
      <c r="P78" s="37"/>
      <c r="Q78" s="37"/>
      <c r="R78" s="37"/>
      <c r="S78" s="37"/>
      <c r="T78" s="37"/>
      <c r="U78" s="3"/>
    </row>
    <row r="79" spans="1:22" ht="14.4" hidden="1" outlineLevel="1" x14ac:dyDescent="0.3">
      <c r="A79" s="3"/>
      <c r="B79" s="10" t="s">
        <v>627</v>
      </c>
      <c r="C79" s="80">
        <v>4</v>
      </c>
      <c r="D79" s="62" t="s">
        <v>94</v>
      </c>
      <c r="E79" s="12">
        <v>0</v>
      </c>
      <c r="F79" s="12">
        <v>345.12</v>
      </c>
      <c r="G79" s="65"/>
      <c r="H79" s="65" t="s">
        <v>37</v>
      </c>
      <c r="I79" s="112" t="s">
        <v>1092</v>
      </c>
      <c r="J79" s="89"/>
      <c r="K79" s="37"/>
      <c r="L79" s="37"/>
      <c r="M79" s="37"/>
      <c r="N79" s="37"/>
      <c r="O79" s="37"/>
      <c r="P79" s="37"/>
      <c r="Q79" s="37"/>
      <c r="R79" s="37"/>
      <c r="S79" s="37"/>
      <c r="T79" s="37"/>
      <c r="U79" s="3"/>
    </row>
    <row r="80" spans="1:22" ht="14.4" hidden="1" outlineLevel="1" x14ac:dyDescent="0.3">
      <c r="A80" s="3"/>
      <c r="B80" s="10" t="s">
        <v>629</v>
      </c>
      <c r="C80" s="80">
        <v>20</v>
      </c>
      <c r="D80" s="62" t="s">
        <v>94</v>
      </c>
      <c r="E80" s="12">
        <v>0</v>
      </c>
      <c r="F80" s="12">
        <v>494.88</v>
      </c>
      <c r="G80" s="65"/>
      <c r="H80" s="65" t="s">
        <v>37</v>
      </c>
      <c r="I80" s="112" t="s">
        <v>1093</v>
      </c>
      <c r="J80" s="89"/>
      <c r="K80" s="37"/>
      <c r="L80" s="37"/>
      <c r="M80" s="37"/>
      <c r="N80" s="37"/>
      <c r="O80" s="37"/>
      <c r="P80" s="37"/>
      <c r="Q80" s="37"/>
      <c r="R80" s="37"/>
      <c r="S80" s="37"/>
      <c r="T80" s="37"/>
      <c r="U80" s="3"/>
    </row>
    <row r="81" spans="1:26" ht="14.4" hidden="1" outlineLevel="1" x14ac:dyDescent="0.3">
      <c r="A81" s="3"/>
      <c r="B81" s="10" t="s">
        <v>629</v>
      </c>
      <c r="C81" s="80"/>
      <c r="D81" s="62"/>
      <c r="E81" s="12">
        <v>0</v>
      </c>
      <c r="F81" s="12">
        <v>0</v>
      </c>
      <c r="G81" s="65"/>
      <c r="H81" s="65"/>
      <c r="I81" s="112"/>
      <c r="J81" s="89"/>
      <c r="K81" s="37"/>
      <c r="L81" s="37"/>
      <c r="M81" s="37"/>
      <c r="N81" s="37"/>
      <c r="O81" s="37"/>
      <c r="P81" s="37"/>
      <c r="Q81" s="37"/>
      <c r="R81" s="37"/>
      <c r="S81" s="37"/>
      <c r="T81" s="37"/>
      <c r="U81" s="3"/>
    </row>
    <row r="82" spans="1:26" ht="14.4" hidden="1" outlineLevel="1" x14ac:dyDescent="0.3">
      <c r="A82" s="3"/>
      <c r="B82" s="10" t="s">
        <v>341</v>
      </c>
      <c r="C82" s="80"/>
      <c r="D82" s="62"/>
      <c r="E82" s="12">
        <v>0</v>
      </c>
      <c r="F82" s="12">
        <v>0</v>
      </c>
      <c r="G82" s="65"/>
      <c r="H82" s="65"/>
      <c r="I82" s="89"/>
      <c r="J82" s="65"/>
      <c r="K82" s="37"/>
      <c r="L82" s="37"/>
      <c r="M82" s="37"/>
      <c r="N82" s="37"/>
      <c r="O82" s="37"/>
      <c r="P82" s="37"/>
      <c r="Q82" s="37"/>
      <c r="R82" s="37"/>
      <c r="S82" s="37"/>
      <c r="T82" s="37"/>
      <c r="U82" s="3"/>
      <c r="W82" s="3"/>
      <c r="X82" s="3"/>
      <c r="Y82" s="3"/>
      <c r="Z82" s="3"/>
    </row>
    <row r="83" spans="1:26" ht="14.4" hidden="1" outlineLevel="1" x14ac:dyDescent="0.3">
      <c r="A83" s="3"/>
      <c r="B83" s="10" t="s">
        <v>811</v>
      </c>
      <c r="C83" s="62">
        <v>28</v>
      </c>
      <c r="D83" s="62" t="s">
        <v>94</v>
      </c>
      <c r="E83" s="12">
        <v>0</v>
      </c>
      <c r="F83" s="12">
        <v>116</v>
      </c>
      <c r="G83" s="65"/>
      <c r="H83" s="65" t="s">
        <v>37</v>
      </c>
      <c r="I83" s="112" t="s">
        <v>1094</v>
      </c>
      <c r="J83" s="65"/>
      <c r="K83" s="37"/>
      <c r="L83" s="37"/>
      <c r="M83" s="37"/>
      <c r="N83" s="37"/>
      <c r="O83" s="37"/>
      <c r="P83" s="37"/>
      <c r="Q83" s="37"/>
      <c r="R83" s="37"/>
      <c r="S83" s="37"/>
      <c r="T83" s="37"/>
      <c r="U83" s="3"/>
      <c r="W83" s="3"/>
      <c r="X83" s="3"/>
      <c r="Y83" s="3"/>
      <c r="Z83" s="3"/>
    </row>
    <row r="84" spans="1:26" ht="14.4" hidden="1" outlineLevel="1" x14ac:dyDescent="0.3">
      <c r="A84" s="3"/>
      <c r="B84" s="10" t="s">
        <v>1095</v>
      </c>
      <c r="C84" s="62">
        <v>4</v>
      </c>
      <c r="D84" s="62" t="s">
        <v>94</v>
      </c>
      <c r="E84" s="12">
        <v>0</v>
      </c>
      <c r="F84" s="12">
        <v>158</v>
      </c>
      <c r="G84" s="89"/>
      <c r="H84" s="65" t="s">
        <v>37</v>
      </c>
      <c r="I84" s="112" t="s">
        <v>1096</v>
      </c>
      <c r="J84" s="65"/>
      <c r="K84" s="37"/>
      <c r="L84" s="37"/>
      <c r="M84" s="37"/>
      <c r="N84" s="37"/>
      <c r="O84" s="37"/>
      <c r="P84" s="37"/>
      <c r="Q84" s="37"/>
      <c r="R84" s="37"/>
      <c r="S84" s="37"/>
      <c r="T84" s="37"/>
      <c r="U84" s="3"/>
      <c r="W84" s="3"/>
      <c r="X84" s="3"/>
      <c r="Y84" s="3"/>
      <c r="Z84" s="3"/>
    </row>
    <row r="85" spans="1:26" ht="20.399999999999999" collapsed="1" x14ac:dyDescent="0.3">
      <c r="A85" s="3"/>
      <c r="B85" s="84" t="s">
        <v>348</v>
      </c>
      <c r="C85" s="85" t="s">
        <v>43</v>
      </c>
      <c r="D85" s="85" t="s">
        <v>43</v>
      </c>
      <c r="E85" s="86">
        <f t="shared" ref="E85:F85" si="0">SUM(E86,E102,E107)</f>
        <v>0</v>
      </c>
      <c r="F85" s="86">
        <f t="shared" si="0"/>
        <v>0</v>
      </c>
      <c r="G85" s="87"/>
      <c r="H85" s="87"/>
      <c r="I85" s="88"/>
      <c r="J85" s="87"/>
      <c r="K85" s="37"/>
      <c r="L85" s="37"/>
      <c r="M85" s="37"/>
      <c r="N85" s="37"/>
      <c r="O85" s="37"/>
      <c r="P85" s="37"/>
      <c r="Q85" s="37"/>
      <c r="R85" s="37"/>
      <c r="S85" s="37"/>
      <c r="T85" s="37"/>
      <c r="U85" s="3"/>
      <c r="W85" s="3"/>
      <c r="X85" s="3"/>
      <c r="Y85" s="3"/>
      <c r="Z85" s="3"/>
    </row>
    <row r="86" spans="1:26" hidden="1" outlineLevel="1" x14ac:dyDescent="0.3">
      <c r="A86" s="3"/>
      <c r="B86" s="91" t="s">
        <v>349</v>
      </c>
      <c r="C86" s="92"/>
      <c r="D86" s="92"/>
      <c r="E86" s="93">
        <f>SUM(E87:E101)</f>
        <v>0</v>
      </c>
      <c r="F86" s="93">
        <f>SUMIF(D87:D101,"OK",F87:F101)</f>
        <v>0</v>
      </c>
      <c r="G86" s="94"/>
      <c r="H86" s="94"/>
      <c r="I86" s="95"/>
      <c r="J86" s="94"/>
      <c r="K86" s="37"/>
      <c r="L86" s="37"/>
      <c r="M86" s="37"/>
      <c r="N86" s="37"/>
      <c r="O86" s="37"/>
      <c r="P86" s="37"/>
      <c r="Q86" s="37"/>
      <c r="R86" s="37"/>
      <c r="S86" s="37"/>
      <c r="T86" s="37"/>
      <c r="U86" s="3"/>
      <c r="W86" s="3"/>
      <c r="X86" s="3"/>
      <c r="Y86" s="3"/>
      <c r="Z86" s="3"/>
    </row>
    <row r="87" spans="1:26" ht="14.4" hidden="1" outlineLevel="1" x14ac:dyDescent="0.3">
      <c r="A87" s="3"/>
      <c r="B87" s="10" t="s">
        <v>330</v>
      </c>
      <c r="C87" s="62"/>
      <c r="D87" s="62"/>
      <c r="E87" s="12">
        <v>0</v>
      </c>
      <c r="F87" s="12">
        <v>0</v>
      </c>
      <c r="G87" s="65"/>
      <c r="H87" s="65"/>
      <c r="I87" s="112"/>
      <c r="J87" s="65"/>
      <c r="K87" s="37"/>
      <c r="L87" s="37"/>
      <c r="M87" s="37"/>
      <c r="N87" s="37"/>
      <c r="O87" s="37"/>
      <c r="P87" s="37"/>
      <c r="Q87" s="37"/>
      <c r="R87" s="37"/>
      <c r="S87" s="37"/>
      <c r="T87" s="37"/>
      <c r="U87" s="3"/>
      <c r="W87" s="3"/>
      <c r="X87" s="3"/>
      <c r="Y87" s="3"/>
      <c r="Z87" s="3"/>
    </row>
    <row r="88" spans="1:26" ht="14.4" hidden="1" outlineLevel="1" x14ac:dyDescent="0.3">
      <c r="A88" s="3"/>
      <c r="B88" s="10" t="s">
        <v>330</v>
      </c>
      <c r="C88" s="62"/>
      <c r="D88" s="62"/>
      <c r="E88" s="12">
        <v>0</v>
      </c>
      <c r="F88" s="12">
        <v>0</v>
      </c>
      <c r="G88" s="65"/>
      <c r="H88" s="65"/>
      <c r="I88" s="112"/>
      <c r="J88" s="65"/>
      <c r="K88" s="37"/>
      <c r="L88" s="37"/>
      <c r="M88" s="37"/>
      <c r="N88" s="37"/>
      <c r="O88" s="37"/>
      <c r="P88" s="37"/>
      <c r="Q88" s="37"/>
      <c r="R88" s="37"/>
      <c r="S88" s="37"/>
      <c r="T88" s="37"/>
      <c r="U88" s="3"/>
      <c r="W88" s="3"/>
      <c r="X88" s="3"/>
      <c r="Y88" s="3"/>
      <c r="Z88" s="3"/>
    </row>
    <row r="89" spans="1:26" ht="14.4" hidden="1" outlineLevel="1" x14ac:dyDescent="0.3">
      <c r="A89" s="3"/>
      <c r="B89" s="10" t="s">
        <v>330</v>
      </c>
      <c r="C89" s="62"/>
      <c r="D89" s="62"/>
      <c r="E89" s="12">
        <v>0</v>
      </c>
      <c r="F89" s="12">
        <v>0</v>
      </c>
      <c r="G89" s="65"/>
      <c r="H89" s="65"/>
      <c r="I89" s="112"/>
      <c r="J89" s="65"/>
      <c r="K89" s="37"/>
      <c r="L89" s="37"/>
      <c r="M89" s="37"/>
      <c r="N89" s="37"/>
      <c r="O89" s="37"/>
      <c r="P89" s="37"/>
      <c r="Q89" s="37"/>
      <c r="R89" s="37"/>
      <c r="S89" s="37"/>
      <c r="T89" s="37"/>
      <c r="U89" s="3"/>
      <c r="W89" s="3"/>
      <c r="X89" s="3"/>
      <c r="Y89" s="3"/>
      <c r="Z89" s="3"/>
    </row>
    <row r="90" spans="1:26" ht="14.4" hidden="1" outlineLevel="1" x14ac:dyDescent="0.3">
      <c r="A90" s="3"/>
      <c r="B90" s="10" t="s">
        <v>330</v>
      </c>
      <c r="C90" s="62"/>
      <c r="D90" s="62"/>
      <c r="E90" s="12">
        <v>0</v>
      </c>
      <c r="F90" s="12">
        <v>0</v>
      </c>
      <c r="G90" s="65"/>
      <c r="H90" s="65"/>
      <c r="I90" s="112"/>
      <c r="J90" s="65"/>
      <c r="K90" s="37"/>
      <c r="L90" s="37"/>
      <c r="M90" s="37"/>
      <c r="N90" s="37"/>
      <c r="O90" s="37"/>
      <c r="P90" s="37"/>
      <c r="Q90" s="37"/>
      <c r="R90" s="37"/>
      <c r="S90" s="37"/>
      <c r="T90" s="37"/>
      <c r="U90" s="3"/>
      <c r="W90" s="3"/>
      <c r="X90" s="3"/>
      <c r="Y90" s="3"/>
      <c r="Z90" s="3"/>
    </row>
    <row r="91" spans="1:26" ht="14.4" hidden="1" outlineLevel="1" x14ac:dyDescent="0.3">
      <c r="A91" s="3"/>
      <c r="B91" s="10" t="s">
        <v>330</v>
      </c>
      <c r="C91" s="62"/>
      <c r="D91" s="62"/>
      <c r="E91" s="12">
        <v>0</v>
      </c>
      <c r="F91" s="12">
        <v>0</v>
      </c>
      <c r="G91" s="65"/>
      <c r="H91" s="65"/>
      <c r="I91" s="112"/>
      <c r="J91" s="65"/>
      <c r="K91" s="37"/>
      <c r="L91" s="37"/>
      <c r="M91" s="37"/>
      <c r="N91" s="37"/>
      <c r="O91" s="37"/>
      <c r="P91" s="37"/>
      <c r="Q91" s="37"/>
      <c r="R91" s="37"/>
      <c r="S91" s="37"/>
      <c r="T91" s="37"/>
      <c r="U91" s="3"/>
      <c r="W91" s="3"/>
      <c r="X91" s="3"/>
      <c r="Y91" s="3"/>
      <c r="Z91" s="3"/>
    </row>
    <row r="92" spans="1:26" ht="14.4" hidden="1" outlineLevel="1" x14ac:dyDescent="0.3">
      <c r="A92" s="3"/>
      <c r="B92" s="10" t="s">
        <v>330</v>
      </c>
      <c r="C92" s="62"/>
      <c r="D92" s="62"/>
      <c r="E92" s="12">
        <v>0</v>
      </c>
      <c r="F92" s="12">
        <v>0</v>
      </c>
      <c r="G92" s="65"/>
      <c r="H92" s="65"/>
      <c r="I92" s="112"/>
      <c r="J92" s="65"/>
      <c r="K92" s="37"/>
      <c r="L92" s="37"/>
      <c r="M92" s="37"/>
      <c r="N92" s="37"/>
      <c r="O92" s="37"/>
      <c r="P92" s="37"/>
      <c r="Q92" s="37"/>
      <c r="R92" s="37"/>
      <c r="S92" s="37"/>
      <c r="T92" s="37"/>
      <c r="U92" s="3"/>
      <c r="W92" s="3"/>
      <c r="X92" s="3"/>
      <c r="Y92" s="3"/>
      <c r="Z92" s="3"/>
    </row>
    <row r="93" spans="1:26" ht="14.4" hidden="1" outlineLevel="1" x14ac:dyDescent="0.3">
      <c r="A93" s="3"/>
      <c r="B93" s="10" t="s">
        <v>330</v>
      </c>
      <c r="C93" s="62"/>
      <c r="D93" s="62"/>
      <c r="E93" s="12">
        <v>0</v>
      </c>
      <c r="F93" s="12">
        <v>0</v>
      </c>
      <c r="G93" s="65"/>
      <c r="H93" s="65"/>
      <c r="I93" s="112"/>
      <c r="J93" s="65"/>
      <c r="K93" s="37"/>
      <c r="L93" s="37"/>
      <c r="M93" s="37"/>
      <c r="N93" s="37"/>
      <c r="O93" s="37"/>
      <c r="P93" s="37"/>
      <c r="Q93" s="37"/>
      <c r="R93" s="37"/>
      <c r="S93" s="37"/>
      <c r="T93" s="37"/>
      <c r="U93" s="3"/>
      <c r="W93" s="3"/>
      <c r="X93" s="3"/>
      <c r="Y93" s="3"/>
      <c r="Z93" s="3"/>
    </row>
    <row r="94" spans="1:26" ht="14.4" hidden="1" outlineLevel="1" x14ac:dyDescent="0.3">
      <c r="A94" s="3"/>
      <c r="B94" s="10" t="s">
        <v>330</v>
      </c>
      <c r="C94" s="62"/>
      <c r="D94" s="62"/>
      <c r="E94" s="12">
        <v>0</v>
      </c>
      <c r="F94" s="12">
        <v>0</v>
      </c>
      <c r="G94" s="65"/>
      <c r="H94" s="65"/>
      <c r="I94" s="112"/>
      <c r="J94" s="65"/>
      <c r="K94" s="37"/>
      <c r="L94" s="37"/>
      <c r="M94" s="37"/>
      <c r="N94" s="37"/>
      <c r="O94" s="37"/>
      <c r="P94" s="37"/>
      <c r="Q94" s="37"/>
      <c r="R94" s="37"/>
      <c r="S94" s="37"/>
      <c r="T94" s="37"/>
      <c r="U94" s="3"/>
      <c r="W94" s="3"/>
      <c r="X94" s="3"/>
      <c r="Y94" s="3"/>
      <c r="Z94" s="3"/>
    </row>
    <row r="95" spans="1:26" ht="14.4" hidden="1" outlineLevel="1" x14ac:dyDescent="0.3">
      <c r="A95" s="3"/>
      <c r="B95" s="10" t="s">
        <v>330</v>
      </c>
      <c r="C95" s="62"/>
      <c r="D95" s="62"/>
      <c r="E95" s="12">
        <v>0</v>
      </c>
      <c r="F95" s="12">
        <v>0</v>
      </c>
      <c r="G95" s="65"/>
      <c r="H95" s="65"/>
      <c r="I95" s="112"/>
      <c r="J95" s="65"/>
      <c r="K95" s="37"/>
      <c r="L95" s="37"/>
      <c r="M95" s="37"/>
      <c r="N95" s="37"/>
      <c r="O95" s="37"/>
      <c r="P95" s="37"/>
      <c r="Q95" s="37"/>
      <c r="R95" s="37"/>
      <c r="S95" s="37"/>
      <c r="T95" s="37"/>
      <c r="U95" s="3"/>
      <c r="W95" s="3"/>
      <c r="X95" s="3"/>
      <c r="Y95" s="3"/>
      <c r="Z95" s="3"/>
    </row>
    <row r="96" spans="1:26" ht="14.4" hidden="1" outlineLevel="1" x14ac:dyDescent="0.3">
      <c r="A96" s="3"/>
      <c r="B96" s="10" t="s">
        <v>330</v>
      </c>
      <c r="C96" s="62"/>
      <c r="D96" s="62"/>
      <c r="E96" s="12">
        <v>0</v>
      </c>
      <c r="F96" s="12">
        <v>0</v>
      </c>
      <c r="G96" s="65"/>
      <c r="H96" s="65"/>
      <c r="I96" s="112"/>
      <c r="J96" s="65"/>
      <c r="K96" s="37"/>
      <c r="L96" s="37"/>
      <c r="M96" s="37"/>
      <c r="N96" s="37"/>
      <c r="O96" s="37"/>
      <c r="P96" s="37"/>
      <c r="Q96" s="37"/>
      <c r="R96" s="37"/>
      <c r="S96" s="37"/>
      <c r="T96" s="37"/>
      <c r="U96" s="3"/>
      <c r="W96" s="3"/>
      <c r="X96" s="3"/>
      <c r="Y96" s="3"/>
      <c r="Z96" s="3"/>
    </row>
    <row r="97" spans="1:26" ht="14.4" hidden="1" outlineLevel="1" x14ac:dyDescent="0.3">
      <c r="A97" s="3"/>
      <c r="B97" s="10" t="s">
        <v>330</v>
      </c>
      <c r="C97" s="62"/>
      <c r="D97" s="62"/>
      <c r="E97" s="12">
        <v>0</v>
      </c>
      <c r="F97" s="12">
        <v>0</v>
      </c>
      <c r="G97" s="65"/>
      <c r="H97" s="65"/>
      <c r="I97" s="112"/>
      <c r="J97" s="65"/>
      <c r="K97" s="37"/>
      <c r="L97" s="37"/>
      <c r="M97" s="37"/>
      <c r="N97" s="37"/>
      <c r="O97" s="37"/>
      <c r="P97" s="37"/>
      <c r="Q97" s="37"/>
      <c r="R97" s="37"/>
      <c r="S97" s="37"/>
      <c r="T97" s="37"/>
      <c r="U97" s="3"/>
      <c r="W97" s="3"/>
      <c r="X97" s="3"/>
      <c r="Y97" s="3"/>
      <c r="Z97" s="3"/>
    </row>
    <row r="98" spans="1:26" ht="14.4" hidden="1" outlineLevel="1" x14ac:dyDescent="0.3">
      <c r="A98" s="3"/>
      <c r="B98" s="10" t="s">
        <v>330</v>
      </c>
      <c r="C98" s="62"/>
      <c r="D98" s="62"/>
      <c r="E98" s="12">
        <v>0</v>
      </c>
      <c r="F98" s="12">
        <v>0</v>
      </c>
      <c r="G98" s="65"/>
      <c r="H98" s="65"/>
      <c r="I98" s="112"/>
      <c r="J98" s="65"/>
      <c r="K98" s="37"/>
      <c r="L98" s="37"/>
      <c r="M98" s="37"/>
      <c r="N98" s="37"/>
      <c r="O98" s="37"/>
      <c r="P98" s="37"/>
      <c r="Q98" s="37"/>
      <c r="R98" s="37"/>
      <c r="S98" s="37"/>
      <c r="T98" s="37"/>
      <c r="U98" s="3"/>
      <c r="W98" s="3"/>
      <c r="X98" s="3"/>
      <c r="Y98" s="3"/>
      <c r="Z98" s="3"/>
    </row>
    <row r="99" spans="1:26" ht="14.4" hidden="1" outlineLevel="1" x14ac:dyDescent="0.3">
      <c r="A99" s="3"/>
      <c r="B99" s="10" t="s">
        <v>334</v>
      </c>
      <c r="C99" s="62"/>
      <c r="D99" s="62"/>
      <c r="E99" s="12">
        <v>0</v>
      </c>
      <c r="F99" s="12">
        <v>0</v>
      </c>
      <c r="G99" s="65"/>
      <c r="H99" s="65"/>
      <c r="I99" s="112"/>
      <c r="J99" s="65"/>
      <c r="K99" s="37"/>
      <c r="L99" s="37"/>
      <c r="M99" s="37"/>
      <c r="N99" s="37"/>
      <c r="O99" s="37"/>
      <c r="P99" s="37"/>
      <c r="Q99" s="37"/>
      <c r="R99" s="37"/>
      <c r="S99" s="37"/>
      <c r="T99" s="37"/>
      <c r="U99" s="3"/>
      <c r="W99" s="3"/>
      <c r="X99" s="3"/>
      <c r="Y99" s="3"/>
      <c r="Z99" s="3"/>
    </row>
    <row r="100" spans="1:26" ht="14.4" hidden="1" outlineLevel="1" x14ac:dyDescent="0.3">
      <c r="A100" s="3"/>
      <c r="B100" s="10" t="s">
        <v>341</v>
      </c>
      <c r="C100" s="62"/>
      <c r="D100" s="62"/>
      <c r="E100" s="12">
        <v>0</v>
      </c>
      <c r="F100" s="12">
        <v>0</v>
      </c>
      <c r="G100" s="65"/>
      <c r="H100" s="65"/>
      <c r="I100" s="112"/>
      <c r="J100" s="65"/>
      <c r="K100" s="37"/>
      <c r="L100" s="37"/>
      <c r="M100" s="37"/>
      <c r="N100" s="37"/>
      <c r="O100" s="37"/>
      <c r="P100" s="37"/>
      <c r="Q100" s="37"/>
      <c r="R100" s="37"/>
      <c r="S100" s="37"/>
      <c r="T100" s="37"/>
      <c r="U100" s="3"/>
      <c r="W100" s="3"/>
      <c r="X100" s="3"/>
      <c r="Y100" s="3"/>
      <c r="Z100" s="3"/>
    </row>
    <row r="101" spans="1:26" ht="14.4" hidden="1" outlineLevel="1" x14ac:dyDescent="0.3">
      <c r="A101" s="3"/>
      <c r="B101" s="10" t="s">
        <v>811</v>
      </c>
      <c r="C101" s="62"/>
      <c r="D101" s="62"/>
      <c r="E101" s="12">
        <v>0</v>
      </c>
      <c r="F101" s="12">
        <v>0</v>
      </c>
      <c r="G101" s="65"/>
      <c r="H101" s="65"/>
      <c r="I101" s="112"/>
      <c r="J101" s="65"/>
      <c r="K101" s="37"/>
      <c r="L101" s="37"/>
      <c r="M101" s="37"/>
      <c r="N101" s="37"/>
      <c r="O101" s="37"/>
      <c r="P101" s="37"/>
      <c r="Q101" s="37"/>
      <c r="R101" s="37"/>
      <c r="S101" s="37"/>
      <c r="T101" s="37"/>
      <c r="U101" s="3"/>
      <c r="W101" s="3"/>
      <c r="X101" s="3"/>
      <c r="Y101" s="3"/>
      <c r="Z101" s="3"/>
    </row>
    <row r="102" spans="1:26" hidden="1" outlineLevel="1" x14ac:dyDescent="0.3">
      <c r="A102" s="3"/>
      <c r="B102" s="91" t="s">
        <v>352</v>
      </c>
      <c r="C102" s="92"/>
      <c r="D102" s="92"/>
      <c r="E102" s="93">
        <f>SUM(E103:E106)</f>
        <v>0</v>
      </c>
      <c r="F102" s="93">
        <f>SUMIF(D103:D106,"OK",F103:F106)</f>
        <v>0</v>
      </c>
      <c r="G102" s="94"/>
      <c r="H102" s="94"/>
      <c r="I102" s="95"/>
      <c r="J102" s="94"/>
      <c r="K102" s="37"/>
      <c r="L102" s="37"/>
      <c r="M102" s="37"/>
      <c r="N102" s="37"/>
      <c r="O102" s="37"/>
      <c r="P102" s="37"/>
      <c r="Q102" s="37"/>
      <c r="R102" s="37"/>
      <c r="S102" s="37"/>
      <c r="T102" s="37"/>
      <c r="U102" s="3"/>
      <c r="W102" s="3"/>
      <c r="X102" s="3"/>
      <c r="Y102" s="3"/>
      <c r="Z102" s="3"/>
    </row>
    <row r="103" spans="1:26" ht="14.4" hidden="1" outlineLevel="1" x14ac:dyDescent="0.3">
      <c r="A103" s="3"/>
      <c r="B103" s="10" t="s">
        <v>50</v>
      </c>
      <c r="C103" s="62"/>
      <c r="D103" s="62"/>
      <c r="E103" s="12">
        <v>0</v>
      </c>
      <c r="F103" s="12">
        <v>0</v>
      </c>
      <c r="G103" s="65"/>
      <c r="H103" s="65"/>
      <c r="I103" s="112"/>
      <c r="J103" s="65"/>
      <c r="K103" s="37"/>
      <c r="L103" s="37"/>
      <c r="M103" s="37"/>
      <c r="N103" s="37"/>
      <c r="O103" s="37"/>
      <c r="P103" s="37"/>
      <c r="Q103" s="37"/>
      <c r="R103" s="37"/>
      <c r="S103" s="37"/>
      <c r="T103" s="37"/>
      <c r="U103" s="3"/>
      <c r="W103" s="3"/>
      <c r="X103" s="3"/>
      <c r="Y103" s="3"/>
      <c r="Z103" s="3"/>
    </row>
    <row r="104" spans="1:26" ht="14.4" hidden="1" outlineLevel="1" x14ac:dyDescent="0.3">
      <c r="A104" s="3"/>
      <c r="B104" s="10" t="s">
        <v>50</v>
      </c>
      <c r="C104" s="62"/>
      <c r="D104" s="62"/>
      <c r="E104" s="12">
        <v>0</v>
      </c>
      <c r="F104" s="12">
        <v>0</v>
      </c>
      <c r="G104" s="65"/>
      <c r="H104" s="65"/>
      <c r="I104" s="112"/>
      <c r="J104" s="65"/>
      <c r="K104" s="37"/>
      <c r="L104" s="37"/>
      <c r="M104" s="37"/>
      <c r="N104" s="37"/>
      <c r="O104" s="37"/>
      <c r="P104" s="37"/>
      <c r="Q104" s="37"/>
      <c r="R104" s="37"/>
      <c r="S104" s="37"/>
      <c r="T104" s="37"/>
      <c r="U104" s="3"/>
      <c r="W104" s="3"/>
      <c r="X104" s="3"/>
      <c r="Y104" s="3"/>
      <c r="Z104" s="3"/>
    </row>
    <row r="105" spans="1:26" ht="14.4" hidden="1" outlineLevel="1" x14ac:dyDescent="0.3">
      <c r="A105" s="3"/>
      <c r="B105" s="10" t="s">
        <v>50</v>
      </c>
      <c r="C105" s="62"/>
      <c r="D105" s="62"/>
      <c r="E105" s="12">
        <v>0</v>
      </c>
      <c r="F105" s="12">
        <v>0</v>
      </c>
      <c r="G105" s="65"/>
      <c r="H105" s="65"/>
      <c r="I105" s="112"/>
      <c r="J105" s="65"/>
      <c r="K105" s="37"/>
      <c r="L105" s="37"/>
      <c r="M105" s="37"/>
      <c r="N105" s="37"/>
      <c r="O105" s="37"/>
      <c r="P105" s="37"/>
      <c r="Q105" s="37"/>
      <c r="R105" s="37"/>
      <c r="S105" s="37"/>
      <c r="T105" s="37"/>
      <c r="U105" s="3"/>
      <c r="W105" s="3"/>
      <c r="X105" s="3"/>
      <c r="Y105" s="3"/>
      <c r="Z105" s="3"/>
    </row>
    <row r="106" spans="1:26" ht="14.4" hidden="1" outlineLevel="1" x14ac:dyDescent="0.3">
      <c r="A106" s="3"/>
      <c r="B106" s="10" t="s">
        <v>50</v>
      </c>
      <c r="C106" s="62"/>
      <c r="D106" s="62"/>
      <c r="E106" s="12">
        <v>0</v>
      </c>
      <c r="F106" s="12">
        <v>0</v>
      </c>
      <c r="G106" s="89"/>
      <c r="H106" s="65"/>
      <c r="I106" s="112"/>
      <c r="J106" s="65"/>
      <c r="K106" s="37"/>
      <c r="L106" s="37"/>
      <c r="M106" s="37"/>
      <c r="N106" s="37"/>
      <c r="O106" s="37"/>
      <c r="P106" s="37"/>
      <c r="Q106" s="37"/>
      <c r="R106" s="37"/>
      <c r="S106" s="37"/>
      <c r="T106" s="37"/>
      <c r="U106" s="3"/>
      <c r="W106" s="3"/>
      <c r="X106" s="3"/>
      <c r="Y106" s="3"/>
      <c r="Z106" s="3"/>
    </row>
    <row r="107" spans="1:26" hidden="1" outlineLevel="1" x14ac:dyDescent="0.3">
      <c r="A107" s="3"/>
      <c r="B107" s="91" t="s">
        <v>356</v>
      </c>
      <c r="C107" s="92"/>
      <c r="D107" s="92"/>
      <c r="E107" s="93">
        <f>SUM(E108:E110)</f>
        <v>0</v>
      </c>
      <c r="F107" s="93">
        <f>SUMIF(D108:D110,"OK",F108:F110)</f>
        <v>0</v>
      </c>
      <c r="G107" s="94"/>
      <c r="H107" s="94"/>
      <c r="I107" s="95"/>
      <c r="J107" s="94"/>
      <c r="K107" s="37"/>
      <c r="L107" s="37"/>
      <c r="M107" s="37"/>
      <c r="N107" s="37"/>
      <c r="O107" s="37"/>
      <c r="P107" s="37"/>
      <c r="Q107" s="37"/>
      <c r="R107" s="37"/>
      <c r="S107" s="37"/>
      <c r="T107" s="37"/>
      <c r="U107" s="3"/>
      <c r="W107" s="3"/>
      <c r="X107" s="3"/>
      <c r="Y107" s="3"/>
      <c r="Z107" s="3"/>
    </row>
    <row r="108" spans="1:26" ht="14.4" hidden="1" outlineLevel="1" x14ac:dyDescent="0.3">
      <c r="A108" s="3"/>
      <c r="B108" s="10" t="s">
        <v>50</v>
      </c>
      <c r="C108" s="62"/>
      <c r="D108" s="62"/>
      <c r="E108" s="12">
        <v>0</v>
      </c>
      <c r="F108" s="12">
        <v>0</v>
      </c>
      <c r="G108" s="65"/>
      <c r="H108" s="65"/>
      <c r="I108" s="89"/>
      <c r="J108" s="65"/>
      <c r="K108" s="37"/>
      <c r="L108" s="37"/>
      <c r="M108" s="37"/>
      <c r="N108" s="37"/>
      <c r="O108" s="37"/>
      <c r="P108" s="37"/>
      <c r="Q108" s="37"/>
      <c r="R108" s="37"/>
      <c r="S108" s="37"/>
      <c r="T108" s="37"/>
      <c r="U108" s="3"/>
      <c r="W108" s="3"/>
      <c r="X108" s="3"/>
      <c r="Y108" s="3"/>
      <c r="Z108" s="3"/>
    </row>
    <row r="109" spans="1:26" ht="14.4" hidden="1" outlineLevel="1" x14ac:dyDescent="0.3">
      <c r="A109" s="3"/>
      <c r="B109" s="10" t="s">
        <v>50</v>
      </c>
      <c r="C109" s="62"/>
      <c r="D109" s="62"/>
      <c r="E109" s="12">
        <v>0</v>
      </c>
      <c r="F109" s="12">
        <v>0</v>
      </c>
      <c r="G109" s="65"/>
      <c r="H109" s="65"/>
      <c r="I109" s="89"/>
      <c r="J109" s="65"/>
      <c r="K109" s="37"/>
      <c r="L109" s="37"/>
      <c r="M109" s="37"/>
      <c r="N109" s="37"/>
      <c r="O109" s="37"/>
      <c r="P109" s="37"/>
      <c r="Q109" s="37"/>
      <c r="R109" s="37"/>
      <c r="S109" s="37"/>
      <c r="T109" s="37"/>
      <c r="U109" s="3"/>
      <c r="W109" s="3"/>
      <c r="X109" s="3"/>
      <c r="Y109" s="3"/>
      <c r="Z109" s="3"/>
    </row>
    <row r="110" spans="1:26" ht="14.4" hidden="1" outlineLevel="1" x14ac:dyDescent="0.3">
      <c r="A110" s="3"/>
      <c r="B110" s="10" t="s">
        <v>50</v>
      </c>
      <c r="C110" s="62"/>
      <c r="D110" s="62"/>
      <c r="E110" s="12">
        <v>0</v>
      </c>
      <c r="F110" s="12">
        <v>0</v>
      </c>
      <c r="G110" s="65"/>
      <c r="H110" s="65"/>
      <c r="I110" s="89"/>
      <c r="J110" s="65"/>
      <c r="K110" s="37"/>
      <c r="L110" s="37"/>
      <c r="M110" s="37"/>
      <c r="N110" s="37"/>
      <c r="O110" s="37"/>
      <c r="P110" s="37"/>
      <c r="Q110" s="37"/>
      <c r="R110" s="37"/>
      <c r="S110" s="37"/>
      <c r="T110" s="37"/>
      <c r="U110" s="3"/>
      <c r="W110" s="3"/>
      <c r="X110" s="3"/>
      <c r="Y110" s="3"/>
      <c r="Z110" s="3"/>
    </row>
    <row r="111" spans="1:26" ht="20.399999999999999" collapsed="1" x14ac:dyDescent="0.3">
      <c r="A111" s="3"/>
      <c r="B111" s="84" t="s">
        <v>357</v>
      </c>
      <c r="C111" s="85" t="s">
        <v>43</v>
      </c>
      <c r="D111" s="85" t="s">
        <v>43</v>
      </c>
      <c r="E111" s="86">
        <f t="shared" ref="E111:F111" si="1">SUM(E112,E118)</f>
        <v>0</v>
      </c>
      <c r="F111" s="86">
        <f t="shared" si="1"/>
        <v>1905.2799999999997</v>
      </c>
      <c r="G111" s="87"/>
      <c r="H111" s="87"/>
      <c r="I111" s="88"/>
      <c r="J111" s="87"/>
      <c r="K111" s="37"/>
      <c r="L111" s="37"/>
      <c r="M111" s="37"/>
      <c r="N111" s="37"/>
      <c r="O111" s="37"/>
      <c r="P111" s="37"/>
      <c r="Q111" s="37"/>
      <c r="R111" s="37"/>
      <c r="S111" s="37"/>
      <c r="T111" s="37"/>
      <c r="U111" s="3"/>
      <c r="W111" s="3"/>
      <c r="X111" s="3"/>
      <c r="Y111" s="3"/>
      <c r="Z111" s="3"/>
    </row>
    <row r="112" spans="1:26" hidden="1" outlineLevel="1" x14ac:dyDescent="0.3">
      <c r="A112" s="3"/>
      <c r="B112" s="91" t="s">
        <v>358</v>
      </c>
      <c r="C112" s="92"/>
      <c r="D112" s="92"/>
      <c r="E112" s="93">
        <f>SUM(E113:E117)</f>
        <v>0</v>
      </c>
      <c r="F112" s="93">
        <f>SUMIF(D113:D117,"OK",F113:F117)</f>
        <v>0</v>
      </c>
      <c r="G112" s="94"/>
      <c r="H112" s="94"/>
      <c r="I112" s="95"/>
      <c r="J112" s="94"/>
      <c r="K112" s="37"/>
      <c r="L112" s="37"/>
      <c r="M112" s="37"/>
      <c r="N112" s="37"/>
      <c r="O112" s="37"/>
      <c r="P112" s="37"/>
      <c r="Q112" s="37"/>
      <c r="R112" s="37"/>
      <c r="S112" s="37"/>
      <c r="T112" s="37"/>
      <c r="U112" s="3"/>
      <c r="W112" s="3"/>
      <c r="X112" s="3"/>
      <c r="Y112" s="3"/>
      <c r="Z112" s="3"/>
    </row>
    <row r="113" spans="1:26" ht="14.4" hidden="1" outlineLevel="1" x14ac:dyDescent="0.3">
      <c r="A113" s="3"/>
      <c r="B113" s="10" t="s">
        <v>50</v>
      </c>
      <c r="C113" s="62"/>
      <c r="D113" s="62"/>
      <c r="E113" s="12">
        <v>0</v>
      </c>
      <c r="F113" s="12">
        <v>0</v>
      </c>
      <c r="G113" s="89"/>
      <c r="H113" s="65"/>
      <c r="I113" s="112"/>
      <c r="J113" s="65"/>
      <c r="K113" s="37"/>
      <c r="L113" s="37"/>
      <c r="M113" s="37"/>
      <c r="N113" s="37"/>
      <c r="O113" s="37"/>
      <c r="P113" s="37"/>
      <c r="Q113" s="37"/>
      <c r="R113" s="37"/>
      <c r="S113" s="37"/>
      <c r="T113" s="37"/>
      <c r="U113" s="3"/>
      <c r="W113" s="3"/>
      <c r="X113" s="3"/>
      <c r="Y113" s="3"/>
      <c r="Z113" s="3"/>
    </row>
    <row r="114" spans="1:26" ht="14.4" hidden="1" outlineLevel="1" x14ac:dyDescent="0.3">
      <c r="A114" s="3"/>
      <c r="B114" s="10" t="s">
        <v>50</v>
      </c>
      <c r="C114" s="62"/>
      <c r="D114" s="62"/>
      <c r="E114" s="12">
        <v>0</v>
      </c>
      <c r="F114" s="12">
        <v>0</v>
      </c>
      <c r="G114" s="65"/>
      <c r="H114" s="65"/>
      <c r="I114" s="112"/>
      <c r="J114" s="65"/>
      <c r="K114" s="37"/>
      <c r="L114" s="37"/>
      <c r="M114" s="37"/>
      <c r="N114" s="37"/>
      <c r="O114" s="37"/>
      <c r="P114" s="37"/>
      <c r="Q114" s="37"/>
      <c r="R114" s="37"/>
      <c r="S114" s="37"/>
      <c r="T114" s="37"/>
      <c r="U114" s="3"/>
      <c r="W114" s="3"/>
      <c r="X114" s="3"/>
      <c r="Y114" s="3"/>
      <c r="Z114" s="3"/>
    </row>
    <row r="115" spans="1:26" ht="14.4" hidden="1" outlineLevel="1" x14ac:dyDescent="0.3">
      <c r="A115" s="3"/>
      <c r="B115" s="10" t="s">
        <v>50</v>
      </c>
      <c r="C115" s="62"/>
      <c r="D115" s="62"/>
      <c r="E115" s="12">
        <v>0</v>
      </c>
      <c r="F115" s="12">
        <v>0</v>
      </c>
      <c r="G115" s="65"/>
      <c r="H115" s="65"/>
      <c r="I115" s="112"/>
      <c r="J115" s="65"/>
      <c r="K115" s="37"/>
      <c r="L115" s="37"/>
      <c r="M115" s="37"/>
      <c r="N115" s="37"/>
      <c r="O115" s="37"/>
      <c r="P115" s="37"/>
      <c r="Q115" s="37"/>
      <c r="R115" s="37"/>
      <c r="S115" s="37"/>
      <c r="T115" s="37"/>
      <c r="U115" s="3"/>
      <c r="W115" s="3"/>
      <c r="X115" s="3"/>
      <c r="Y115" s="3"/>
      <c r="Z115" s="3"/>
    </row>
    <row r="116" spans="1:26" ht="14.4" hidden="1" outlineLevel="1" x14ac:dyDescent="0.3">
      <c r="A116" s="3"/>
      <c r="B116" s="10" t="s">
        <v>50</v>
      </c>
      <c r="C116" s="62"/>
      <c r="D116" s="62"/>
      <c r="E116" s="12">
        <v>0</v>
      </c>
      <c r="F116" s="12">
        <v>0</v>
      </c>
      <c r="G116" s="65"/>
      <c r="H116" s="65"/>
      <c r="I116" s="112"/>
      <c r="J116" s="65"/>
      <c r="K116" s="37"/>
      <c r="L116" s="37"/>
      <c r="M116" s="37"/>
      <c r="N116" s="37"/>
      <c r="O116" s="37"/>
      <c r="P116" s="37"/>
      <c r="Q116" s="37"/>
      <c r="R116" s="37"/>
      <c r="S116" s="37"/>
      <c r="T116" s="37"/>
      <c r="U116" s="3"/>
      <c r="W116" s="3"/>
      <c r="X116" s="3"/>
      <c r="Y116" s="3"/>
      <c r="Z116" s="3"/>
    </row>
    <row r="117" spans="1:26" ht="14.4" hidden="1" outlineLevel="1" x14ac:dyDescent="0.3">
      <c r="A117" s="3"/>
      <c r="B117" s="10" t="s">
        <v>50</v>
      </c>
      <c r="C117" s="62"/>
      <c r="D117" s="62"/>
      <c r="E117" s="12">
        <v>0</v>
      </c>
      <c r="F117" s="12">
        <v>0</v>
      </c>
      <c r="G117" s="65"/>
      <c r="H117" s="65"/>
      <c r="I117" s="89"/>
      <c r="J117" s="65"/>
      <c r="K117" s="37"/>
      <c r="L117" s="37"/>
      <c r="M117" s="37"/>
      <c r="N117" s="37"/>
      <c r="O117" s="37"/>
      <c r="P117" s="37"/>
      <c r="Q117" s="37"/>
      <c r="R117" s="37"/>
      <c r="S117" s="37"/>
      <c r="T117" s="37"/>
      <c r="U117" s="3"/>
      <c r="W117" s="3"/>
      <c r="X117" s="3"/>
      <c r="Y117" s="3"/>
      <c r="Z117" s="3"/>
    </row>
    <row r="118" spans="1:26" hidden="1" outlineLevel="1" x14ac:dyDescent="0.3">
      <c r="A118" s="3"/>
      <c r="B118" s="91" t="s">
        <v>632</v>
      </c>
      <c r="C118" s="92"/>
      <c r="D118" s="92"/>
      <c r="E118" s="93">
        <f>SUM(E119:E133)</f>
        <v>0</v>
      </c>
      <c r="F118" s="93">
        <f>SUMIF(D119:D133,"OK",F119:F133)</f>
        <v>1905.2799999999997</v>
      </c>
      <c r="G118" s="94"/>
      <c r="H118" s="94"/>
      <c r="I118" s="95"/>
      <c r="J118" s="94"/>
      <c r="K118" s="37"/>
      <c r="L118" s="37"/>
      <c r="M118" s="37"/>
      <c r="N118" s="37"/>
      <c r="O118" s="37"/>
      <c r="P118" s="37"/>
      <c r="Q118" s="37"/>
      <c r="R118" s="37"/>
      <c r="S118" s="37"/>
      <c r="T118" s="37"/>
      <c r="U118" s="3"/>
      <c r="W118" s="3"/>
      <c r="X118" s="3"/>
      <c r="Y118" s="3"/>
      <c r="Z118" s="3"/>
    </row>
    <row r="119" spans="1:26" ht="14.4" hidden="1" outlineLevel="1" x14ac:dyDescent="0.3">
      <c r="A119" s="3"/>
      <c r="B119" s="10" t="s">
        <v>1097</v>
      </c>
      <c r="C119" s="62">
        <v>7</v>
      </c>
      <c r="D119" s="62" t="s">
        <v>94</v>
      </c>
      <c r="E119" s="12">
        <v>0</v>
      </c>
      <c r="F119" s="12">
        <v>45</v>
      </c>
      <c r="G119" s="65"/>
      <c r="H119" s="65" t="s">
        <v>37</v>
      </c>
      <c r="I119" s="112" t="s">
        <v>1098</v>
      </c>
      <c r="J119" s="65"/>
      <c r="K119" s="37"/>
      <c r="L119" s="37"/>
      <c r="M119" s="37"/>
      <c r="N119" s="37"/>
      <c r="O119" s="37"/>
      <c r="P119" s="37"/>
      <c r="Q119" s="37"/>
      <c r="R119" s="37"/>
      <c r="S119" s="37"/>
      <c r="T119" s="37"/>
      <c r="U119" s="3"/>
      <c r="W119" s="3"/>
      <c r="X119" s="3"/>
      <c r="Y119" s="3"/>
      <c r="Z119" s="3"/>
    </row>
    <row r="120" spans="1:26" ht="14.4" hidden="1" outlineLevel="1" x14ac:dyDescent="0.3">
      <c r="A120" s="3"/>
      <c r="B120" s="10" t="s">
        <v>1097</v>
      </c>
      <c r="C120" s="62">
        <v>7</v>
      </c>
      <c r="D120" s="62" t="s">
        <v>94</v>
      </c>
      <c r="E120" s="12">
        <v>0</v>
      </c>
      <c r="F120" s="12">
        <v>245.41</v>
      </c>
      <c r="G120" s="89"/>
      <c r="H120" s="65" t="s">
        <v>37</v>
      </c>
      <c r="I120" s="112" t="s">
        <v>1099</v>
      </c>
      <c r="J120" s="65"/>
      <c r="K120" s="37"/>
      <c r="L120" s="37"/>
      <c r="M120" s="37"/>
      <c r="N120" s="37"/>
      <c r="O120" s="37"/>
      <c r="P120" s="37"/>
      <c r="Q120" s="37"/>
      <c r="R120" s="37"/>
      <c r="S120" s="37"/>
      <c r="T120" s="37"/>
      <c r="U120" s="3"/>
      <c r="W120" s="3"/>
      <c r="X120" s="3"/>
      <c r="Y120" s="3"/>
      <c r="Z120" s="3"/>
    </row>
    <row r="121" spans="1:26" ht="14.4" hidden="1" outlineLevel="1" x14ac:dyDescent="0.3">
      <c r="A121" s="3"/>
      <c r="B121" s="10" t="s">
        <v>1100</v>
      </c>
      <c r="C121" s="62">
        <v>23</v>
      </c>
      <c r="D121" s="62" t="s">
        <v>94</v>
      </c>
      <c r="E121" s="12">
        <v>0</v>
      </c>
      <c r="F121" s="12">
        <v>780</v>
      </c>
      <c r="G121" s="65" t="s">
        <v>649</v>
      </c>
      <c r="H121" s="65" t="s">
        <v>37</v>
      </c>
      <c r="I121" s="112" t="s">
        <v>1101</v>
      </c>
      <c r="J121" s="65"/>
      <c r="K121" s="37"/>
      <c r="L121" s="37"/>
      <c r="M121" s="37"/>
      <c r="N121" s="37"/>
      <c r="O121" s="37"/>
      <c r="P121" s="37"/>
      <c r="Q121" s="37"/>
      <c r="R121" s="37"/>
      <c r="S121" s="37"/>
      <c r="T121" s="37"/>
      <c r="U121" s="3"/>
      <c r="W121" s="3"/>
      <c r="X121" s="3"/>
      <c r="Y121" s="3"/>
      <c r="Z121" s="3"/>
    </row>
    <row r="122" spans="1:26" ht="14.4" hidden="1" outlineLevel="1" x14ac:dyDescent="0.3">
      <c r="A122" s="3"/>
      <c r="B122" s="10" t="s">
        <v>1100</v>
      </c>
      <c r="C122" s="62"/>
      <c r="D122" s="62"/>
      <c r="E122" s="12">
        <v>0</v>
      </c>
      <c r="F122" s="12">
        <v>0</v>
      </c>
      <c r="G122" s="65"/>
      <c r="H122" s="65"/>
      <c r="I122" s="128"/>
      <c r="J122" s="65"/>
      <c r="K122" s="37"/>
      <c r="L122" s="37"/>
      <c r="M122" s="37"/>
      <c r="N122" s="37"/>
      <c r="O122" s="37"/>
      <c r="P122" s="37"/>
      <c r="Q122" s="37"/>
      <c r="R122" s="37"/>
      <c r="S122" s="37"/>
      <c r="T122" s="37"/>
      <c r="U122" s="3"/>
      <c r="W122" s="3"/>
      <c r="X122" s="3"/>
      <c r="Y122" s="3"/>
      <c r="Z122" s="3"/>
    </row>
    <row r="123" spans="1:26" ht="14.4" hidden="1" outlineLevel="1" x14ac:dyDescent="0.3">
      <c r="A123" s="3"/>
      <c r="B123" s="10" t="s">
        <v>1100</v>
      </c>
      <c r="C123" s="62"/>
      <c r="D123" s="62"/>
      <c r="E123" s="12">
        <v>0</v>
      </c>
      <c r="F123" s="12">
        <v>0</v>
      </c>
      <c r="G123" s="65"/>
      <c r="H123" s="65"/>
      <c r="I123" s="112"/>
      <c r="J123" s="65"/>
      <c r="K123" s="37"/>
      <c r="L123" s="37"/>
      <c r="M123" s="37"/>
      <c r="N123" s="37"/>
      <c r="O123" s="37"/>
      <c r="P123" s="37"/>
      <c r="Q123" s="37"/>
      <c r="R123" s="37"/>
      <c r="S123" s="37"/>
      <c r="T123" s="37"/>
      <c r="U123" s="3"/>
      <c r="W123" s="3"/>
      <c r="X123" s="3"/>
      <c r="Y123" s="3"/>
      <c r="Z123" s="3"/>
    </row>
    <row r="124" spans="1:26" ht="14.4" hidden="1" outlineLevel="1" x14ac:dyDescent="0.3">
      <c r="A124" s="3"/>
      <c r="B124" s="10" t="s">
        <v>1100</v>
      </c>
      <c r="C124" s="62"/>
      <c r="D124" s="62"/>
      <c r="E124" s="12">
        <v>0</v>
      </c>
      <c r="F124" s="12">
        <v>0</v>
      </c>
      <c r="G124" s="65"/>
      <c r="H124" s="65"/>
      <c r="I124" s="112"/>
      <c r="J124" s="65"/>
      <c r="K124" s="37"/>
      <c r="L124" s="37"/>
      <c r="M124" s="37"/>
      <c r="N124" s="37"/>
      <c r="O124" s="37"/>
      <c r="P124" s="37"/>
      <c r="Q124" s="37"/>
      <c r="R124" s="37"/>
      <c r="S124" s="37"/>
      <c r="T124" s="37"/>
      <c r="U124" s="3"/>
      <c r="W124" s="3"/>
      <c r="X124" s="3"/>
      <c r="Y124" s="3"/>
      <c r="Z124" s="3"/>
    </row>
    <row r="125" spans="1:26" ht="14.4" hidden="1" outlineLevel="1" x14ac:dyDescent="0.3">
      <c r="A125" s="3"/>
      <c r="B125" s="10" t="s">
        <v>1100</v>
      </c>
      <c r="C125" s="62"/>
      <c r="D125" s="62"/>
      <c r="E125" s="12">
        <v>0</v>
      </c>
      <c r="F125" s="12">
        <v>0</v>
      </c>
      <c r="G125" s="65"/>
      <c r="H125" s="65"/>
      <c r="I125" s="89"/>
      <c r="J125" s="65"/>
      <c r="K125" s="37"/>
      <c r="L125" s="37"/>
      <c r="M125" s="37"/>
      <c r="N125" s="37"/>
      <c r="O125" s="37"/>
      <c r="P125" s="37"/>
      <c r="Q125" s="37"/>
      <c r="R125" s="37"/>
      <c r="S125" s="37"/>
      <c r="T125" s="37"/>
      <c r="U125" s="3"/>
      <c r="W125" s="3"/>
      <c r="X125" s="3"/>
      <c r="Y125" s="3"/>
      <c r="Z125" s="3"/>
    </row>
    <row r="126" spans="1:26" ht="14.4" hidden="1" outlineLevel="1" x14ac:dyDescent="0.3">
      <c r="A126" s="3"/>
      <c r="B126" s="10" t="s">
        <v>1100</v>
      </c>
      <c r="C126" s="62"/>
      <c r="D126" s="62"/>
      <c r="E126" s="12">
        <v>0</v>
      </c>
      <c r="F126" s="12">
        <v>0</v>
      </c>
      <c r="G126" s="65"/>
      <c r="H126" s="65"/>
      <c r="I126" s="89"/>
      <c r="J126" s="65"/>
      <c r="K126" s="37"/>
      <c r="L126" s="37"/>
      <c r="M126" s="37"/>
      <c r="N126" s="37"/>
      <c r="O126" s="37"/>
      <c r="P126" s="37"/>
      <c r="Q126" s="37"/>
      <c r="R126" s="37"/>
      <c r="S126" s="37"/>
      <c r="T126" s="37"/>
      <c r="U126" s="3"/>
      <c r="W126" s="3"/>
      <c r="X126" s="3"/>
      <c r="Y126" s="3"/>
      <c r="Z126" s="3"/>
    </row>
    <row r="127" spans="1:26" ht="14.4" hidden="1" outlineLevel="1" x14ac:dyDescent="0.3">
      <c r="A127" s="3"/>
      <c r="B127" s="10" t="s">
        <v>1102</v>
      </c>
      <c r="C127" s="62">
        <v>29</v>
      </c>
      <c r="D127" s="62" t="s">
        <v>94</v>
      </c>
      <c r="E127" s="12">
        <v>0</v>
      </c>
      <c r="F127" s="12">
        <v>189</v>
      </c>
      <c r="G127" s="65"/>
      <c r="H127" s="65" t="s">
        <v>37</v>
      </c>
      <c r="I127" s="112" t="s">
        <v>1103</v>
      </c>
      <c r="J127" s="65"/>
      <c r="K127" s="37"/>
      <c r="L127" s="37"/>
      <c r="M127" s="37"/>
      <c r="N127" s="37"/>
      <c r="O127" s="37"/>
      <c r="P127" s="37"/>
      <c r="Q127" s="37"/>
      <c r="R127" s="37"/>
      <c r="S127" s="37"/>
      <c r="T127" s="37"/>
      <c r="U127" s="3"/>
      <c r="W127" s="3"/>
      <c r="X127" s="3"/>
      <c r="Y127" s="3"/>
      <c r="Z127" s="3"/>
    </row>
    <row r="128" spans="1:26" ht="14.4" hidden="1" outlineLevel="1" x14ac:dyDescent="0.3">
      <c r="A128" s="3"/>
      <c r="B128" s="10" t="s">
        <v>1104</v>
      </c>
      <c r="C128" s="62">
        <v>23</v>
      </c>
      <c r="D128" s="62" t="s">
        <v>94</v>
      </c>
      <c r="E128" s="12">
        <v>0</v>
      </c>
      <c r="F128" s="12">
        <v>130</v>
      </c>
      <c r="G128" s="65" t="s">
        <v>649</v>
      </c>
      <c r="H128" s="65" t="s">
        <v>37</v>
      </c>
      <c r="I128" s="112" t="s">
        <v>1105</v>
      </c>
      <c r="J128" s="65"/>
      <c r="K128" s="37"/>
      <c r="L128" s="37"/>
      <c r="M128" s="37"/>
      <c r="N128" s="37"/>
      <c r="O128" s="37"/>
      <c r="P128" s="37"/>
      <c r="Q128" s="37"/>
      <c r="R128" s="37"/>
      <c r="S128" s="37"/>
      <c r="T128" s="37"/>
      <c r="U128" s="3"/>
      <c r="W128" s="3"/>
      <c r="X128" s="3"/>
      <c r="Y128" s="3"/>
      <c r="Z128" s="3"/>
    </row>
    <row r="129" spans="1:26" ht="14.4" hidden="1" outlineLevel="1" x14ac:dyDescent="0.3">
      <c r="A129" s="3"/>
      <c r="B129" s="10" t="s">
        <v>1104</v>
      </c>
      <c r="C129" s="62">
        <v>26</v>
      </c>
      <c r="D129" s="62" t="s">
        <v>94</v>
      </c>
      <c r="E129" s="12">
        <v>0</v>
      </c>
      <c r="F129" s="12">
        <v>15.87</v>
      </c>
      <c r="G129" s="65" t="s">
        <v>362</v>
      </c>
      <c r="H129" s="65" t="s">
        <v>37</v>
      </c>
      <c r="I129" s="112" t="s">
        <v>1106</v>
      </c>
      <c r="J129" s="65"/>
      <c r="K129" s="37"/>
      <c r="L129" s="37"/>
      <c r="M129" s="37"/>
      <c r="N129" s="37"/>
      <c r="O129" s="37"/>
      <c r="P129" s="37"/>
      <c r="Q129" s="37"/>
      <c r="R129" s="37"/>
      <c r="S129" s="37"/>
      <c r="T129" s="37"/>
      <c r="U129" s="3"/>
      <c r="W129" s="3"/>
      <c r="X129" s="3"/>
      <c r="Y129" s="3"/>
      <c r="Z129" s="3"/>
    </row>
    <row r="130" spans="1:26" ht="14.4" hidden="1" outlineLevel="1" x14ac:dyDescent="0.3">
      <c r="A130" s="3"/>
      <c r="B130" s="10" t="s">
        <v>1104</v>
      </c>
      <c r="C130" s="62">
        <v>26</v>
      </c>
      <c r="D130" s="62" t="s">
        <v>94</v>
      </c>
      <c r="E130" s="12">
        <v>0</v>
      </c>
      <c r="F130" s="12">
        <v>500</v>
      </c>
      <c r="G130" s="65" t="s">
        <v>1107</v>
      </c>
      <c r="H130" s="65" t="s">
        <v>37</v>
      </c>
      <c r="I130" s="112" t="s">
        <v>1108</v>
      </c>
      <c r="J130" s="65"/>
      <c r="K130" s="37"/>
      <c r="L130" s="37"/>
      <c r="M130" s="37"/>
      <c r="N130" s="37"/>
      <c r="O130" s="37"/>
      <c r="P130" s="37"/>
      <c r="Q130" s="37"/>
      <c r="R130" s="37"/>
      <c r="S130" s="37"/>
      <c r="T130" s="37"/>
      <c r="U130" s="3"/>
      <c r="W130" s="3"/>
      <c r="X130" s="3"/>
      <c r="Y130" s="3"/>
      <c r="Z130" s="3"/>
    </row>
    <row r="131" spans="1:26" ht="14.4" hidden="1" outlineLevel="1" x14ac:dyDescent="0.3">
      <c r="A131" s="3"/>
      <c r="B131" s="10" t="s">
        <v>1104</v>
      </c>
      <c r="C131" s="62"/>
      <c r="D131" s="62"/>
      <c r="E131" s="12">
        <v>0</v>
      </c>
      <c r="F131" s="12">
        <v>0</v>
      </c>
      <c r="G131" s="65"/>
      <c r="H131" s="65"/>
      <c r="I131" s="89"/>
      <c r="J131" s="65"/>
      <c r="K131" s="37"/>
      <c r="L131" s="37"/>
      <c r="M131" s="37"/>
      <c r="N131" s="37"/>
      <c r="O131" s="37"/>
      <c r="P131" s="37"/>
      <c r="Q131" s="37"/>
      <c r="R131" s="37"/>
      <c r="S131" s="37"/>
      <c r="T131" s="37"/>
      <c r="U131" s="3"/>
      <c r="W131" s="3"/>
      <c r="X131" s="3"/>
      <c r="Y131" s="3"/>
      <c r="Z131" s="3"/>
    </row>
    <row r="132" spans="1:26" ht="14.4" hidden="1" outlineLevel="1" x14ac:dyDescent="0.3">
      <c r="A132" s="3"/>
      <c r="B132" s="10" t="s">
        <v>1104</v>
      </c>
      <c r="C132" s="62"/>
      <c r="D132" s="62"/>
      <c r="E132" s="12">
        <v>0</v>
      </c>
      <c r="F132" s="12">
        <v>0</v>
      </c>
      <c r="G132" s="65"/>
      <c r="H132" s="65"/>
      <c r="I132" s="89"/>
      <c r="J132" s="65"/>
      <c r="K132" s="37"/>
      <c r="L132" s="37"/>
      <c r="M132" s="37"/>
      <c r="N132" s="37"/>
      <c r="O132" s="37"/>
      <c r="P132" s="37"/>
      <c r="Q132" s="37"/>
      <c r="R132" s="37"/>
      <c r="S132" s="37"/>
      <c r="T132" s="37"/>
      <c r="U132" s="3"/>
      <c r="W132" s="3"/>
      <c r="X132" s="3"/>
      <c r="Y132" s="3"/>
      <c r="Z132" s="3"/>
    </row>
    <row r="133" spans="1:26" ht="14.4" hidden="1" outlineLevel="1" x14ac:dyDescent="0.3">
      <c r="A133" s="3"/>
      <c r="B133" s="10" t="s">
        <v>1104</v>
      </c>
      <c r="C133" s="62"/>
      <c r="D133" s="62"/>
      <c r="E133" s="12">
        <v>0</v>
      </c>
      <c r="F133" s="12">
        <v>0</v>
      </c>
      <c r="G133" s="65"/>
      <c r="H133" s="65"/>
      <c r="I133" s="89"/>
      <c r="J133" s="65"/>
      <c r="K133" s="37"/>
      <c r="L133" s="37"/>
      <c r="M133" s="37"/>
      <c r="N133" s="37"/>
      <c r="O133" s="37"/>
      <c r="P133" s="37"/>
      <c r="Q133" s="37"/>
      <c r="R133" s="37"/>
      <c r="S133" s="37"/>
      <c r="T133" s="37"/>
      <c r="U133" s="3"/>
      <c r="W133" s="3"/>
      <c r="X133" s="3"/>
      <c r="Y133" s="3"/>
      <c r="Z133" s="3"/>
    </row>
    <row r="134" spans="1:26" ht="20.399999999999999" collapsed="1" x14ac:dyDescent="0.3">
      <c r="A134" s="3"/>
      <c r="B134" s="84" t="s">
        <v>87</v>
      </c>
      <c r="C134" s="85" t="s">
        <v>43</v>
      </c>
      <c r="D134" s="85" t="s">
        <v>43</v>
      </c>
      <c r="E134" s="86">
        <f>SUM(E135:E143)</f>
        <v>0</v>
      </c>
      <c r="F134" s="86">
        <f>SUMIF(D135:D143,"OK",F135:F143)</f>
        <v>513.21</v>
      </c>
      <c r="G134" s="87"/>
      <c r="H134" s="87"/>
      <c r="I134" s="88"/>
      <c r="J134" s="87"/>
      <c r="K134" s="37"/>
      <c r="L134" s="37"/>
      <c r="M134" s="37"/>
      <c r="N134" s="37"/>
      <c r="O134" s="37"/>
      <c r="P134" s="37"/>
      <c r="Q134" s="37"/>
      <c r="R134" s="37"/>
      <c r="S134" s="37"/>
      <c r="T134" s="37"/>
      <c r="U134" s="3"/>
      <c r="W134" s="3"/>
      <c r="X134" s="3"/>
      <c r="Y134" s="3"/>
      <c r="Z134" s="3"/>
    </row>
    <row r="135" spans="1:26" ht="14.4" hidden="1" outlineLevel="1" x14ac:dyDescent="0.3">
      <c r="A135" s="3"/>
      <c r="B135" s="10" t="s">
        <v>839</v>
      </c>
      <c r="C135" s="80">
        <v>16</v>
      </c>
      <c r="D135" s="62" t="s">
        <v>94</v>
      </c>
      <c r="E135" s="12">
        <v>0</v>
      </c>
      <c r="F135" s="12">
        <v>513.21</v>
      </c>
      <c r="G135" s="65" t="s">
        <v>1109</v>
      </c>
      <c r="H135" s="65" t="s">
        <v>37</v>
      </c>
      <c r="I135" s="112" t="s">
        <v>1110</v>
      </c>
      <c r="J135" s="89"/>
      <c r="K135" s="37"/>
      <c r="L135" s="37"/>
      <c r="M135" s="37"/>
      <c r="N135" s="37"/>
      <c r="O135" s="37"/>
      <c r="P135" s="37"/>
      <c r="Q135" s="37"/>
      <c r="R135" s="37"/>
      <c r="S135" s="37"/>
      <c r="T135" s="37"/>
      <c r="U135" s="3"/>
      <c r="W135" s="3"/>
      <c r="X135" s="3"/>
      <c r="Y135" s="3"/>
      <c r="Z135" s="3"/>
    </row>
    <row r="136" spans="1:26" ht="14.4" hidden="1" outlineLevel="1" x14ac:dyDescent="0.3">
      <c r="A136" s="3"/>
      <c r="B136" s="10" t="s">
        <v>354</v>
      </c>
      <c r="C136" s="62"/>
      <c r="D136" s="62"/>
      <c r="E136" s="12">
        <v>0</v>
      </c>
      <c r="F136" s="12">
        <v>0</v>
      </c>
      <c r="G136" s="89"/>
      <c r="H136" s="65"/>
      <c r="I136" s="112"/>
      <c r="J136" s="65"/>
      <c r="K136" s="37"/>
      <c r="L136" s="37"/>
      <c r="M136" s="37"/>
      <c r="N136" s="37"/>
      <c r="O136" s="37"/>
      <c r="P136" s="37"/>
      <c r="Q136" s="37"/>
      <c r="R136" s="37"/>
      <c r="S136" s="37"/>
      <c r="T136" s="37"/>
      <c r="U136" s="3"/>
      <c r="W136" s="3"/>
      <c r="X136" s="3"/>
      <c r="Y136" s="3"/>
      <c r="Z136" s="3"/>
    </row>
    <row r="137" spans="1:26" ht="14.4" hidden="1" outlineLevel="1" x14ac:dyDescent="0.3">
      <c r="A137" s="3"/>
      <c r="B137" s="10" t="s">
        <v>355</v>
      </c>
      <c r="C137" s="62"/>
      <c r="D137" s="62"/>
      <c r="E137" s="12">
        <v>0</v>
      </c>
      <c r="F137" s="12">
        <v>0</v>
      </c>
      <c r="G137" s="65"/>
      <c r="H137" s="65"/>
      <c r="I137" s="89"/>
      <c r="J137" s="65"/>
      <c r="K137" s="37"/>
      <c r="L137" s="37"/>
      <c r="M137" s="37"/>
      <c r="N137" s="37"/>
      <c r="O137" s="37"/>
      <c r="P137" s="37"/>
      <c r="Q137" s="37"/>
      <c r="R137" s="37"/>
      <c r="S137" s="37"/>
      <c r="T137" s="37"/>
      <c r="U137" s="3"/>
      <c r="W137" s="3"/>
      <c r="X137" s="3"/>
      <c r="Y137" s="3"/>
      <c r="Z137" s="3"/>
    </row>
    <row r="138" spans="1:26" ht="14.4" hidden="1" outlineLevel="1" x14ac:dyDescent="0.3">
      <c r="A138" s="3"/>
      <c r="B138" s="10" t="s">
        <v>369</v>
      </c>
      <c r="C138" s="62"/>
      <c r="D138" s="62"/>
      <c r="E138" s="12">
        <v>0</v>
      </c>
      <c r="F138" s="12">
        <v>0</v>
      </c>
      <c r="G138" s="65"/>
      <c r="H138" s="65"/>
      <c r="I138" s="89"/>
      <c r="J138" s="65"/>
      <c r="K138" s="37"/>
      <c r="L138" s="37"/>
      <c r="M138" s="37"/>
      <c r="N138" s="37"/>
      <c r="O138" s="37"/>
      <c r="P138" s="37"/>
      <c r="Q138" s="37"/>
      <c r="R138" s="37"/>
      <c r="S138" s="37"/>
      <c r="T138" s="37"/>
      <c r="U138" s="3"/>
      <c r="W138" s="3"/>
      <c r="X138" s="3"/>
      <c r="Y138" s="3"/>
      <c r="Z138" s="3"/>
    </row>
    <row r="139" spans="1:26" ht="14.4" hidden="1" outlineLevel="1" x14ac:dyDescent="0.3">
      <c r="A139" s="3"/>
      <c r="B139" s="10" t="s">
        <v>327</v>
      </c>
      <c r="C139" s="62"/>
      <c r="D139" s="62"/>
      <c r="E139" s="12">
        <v>0</v>
      </c>
      <c r="F139" s="12">
        <v>0</v>
      </c>
      <c r="G139" s="65"/>
      <c r="H139" s="65"/>
      <c r="I139" s="89"/>
      <c r="J139" s="65"/>
      <c r="K139" s="37"/>
      <c r="L139" s="37"/>
      <c r="M139" s="37"/>
      <c r="N139" s="37"/>
      <c r="O139" s="37"/>
      <c r="P139" s="37"/>
      <c r="Q139" s="37"/>
      <c r="R139" s="37"/>
      <c r="S139" s="37"/>
      <c r="T139" s="37"/>
      <c r="U139" s="3"/>
      <c r="W139" s="3"/>
      <c r="X139" s="3"/>
      <c r="Y139" s="3"/>
      <c r="Z139" s="3"/>
    </row>
    <row r="140" spans="1:26" ht="14.4" hidden="1" outlineLevel="1" x14ac:dyDescent="0.3">
      <c r="A140" s="3"/>
      <c r="B140" s="10" t="s">
        <v>328</v>
      </c>
      <c r="C140" s="62"/>
      <c r="D140" s="62"/>
      <c r="E140" s="12">
        <v>0</v>
      </c>
      <c r="F140" s="12">
        <v>0</v>
      </c>
      <c r="G140" s="65"/>
      <c r="H140" s="65"/>
      <c r="I140" s="89"/>
      <c r="J140" s="65"/>
      <c r="K140" s="37"/>
      <c r="L140" s="37"/>
      <c r="M140" s="37"/>
      <c r="N140" s="37"/>
      <c r="O140" s="37"/>
      <c r="P140" s="37"/>
      <c r="Q140" s="37"/>
      <c r="R140" s="37"/>
      <c r="S140" s="37"/>
      <c r="T140" s="37"/>
      <c r="U140" s="3"/>
      <c r="W140" s="3"/>
      <c r="X140" s="3"/>
      <c r="Y140" s="3"/>
      <c r="Z140" s="3"/>
    </row>
    <row r="141" spans="1:26" ht="14.4" hidden="1" outlineLevel="1" x14ac:dyDescent="0.3">
      <c r="A141" s="3"/>
      <c r="B141" s="10" t="s">
        <v>370</v>
      </c>
      <c r="C141" s="62"/>
      <c r="D141" s="62"/>
      <c r="E141" s="12">
        <v>0</v>
      </c>
      <c r="F141" s="12">
        <v>0</v>
      </c>
      <c r="G141" s="65"/>
      <c r="H141" s="65"/>
      <c r="I141" s="89"/>
      <c r="J141" s="65"/>
      <c r="K141" s="37"/>
      <c r="L141" s="37"/>
      <c r="M141" s="37"/>
      <c r="N141" s="37"/>
      <c r="O141" s="37"/>
      <c r="P141" s="37"/>
      <c r="Q141" s="37"/>
      <c r="R141" s="37"/>
      <c r="S141" s="37"/>
      <c r="T141" s="37"/>
      <c r="U141" s="3"/>
      <c r="W141" s="3"/>
      <c r="X141" s="3"/>
      <c r="Y141" s="3"/>
      <c r="Z141" s="3"/>
    </row>
    <row r="142" spans="1:26" ht="14.4" hidden="1" outlineLevel="1" x14ac:dyDescent="0.3">
      <c r="A142" s="3"/>
      <c r="B142" s="10" t="s">
        <v>371</v>
      </c>
      <c r="C142" s="62"/>
      <c r="D142" s="62"/>
      <c r="E142" s="12">
        <v>0</v>
      </c>
      <c r="F142" s="12">
        <v>0</v>
      </c>
      <c r="G142" s="65"/>
      <c r="H142" s="65"/>
      <c r="I142" s="89"/>
      <c r="J142" s="65"/>
      <c r="K142" s="37"/>
      <c r="L142" s="37"/>
      <c r="M142" s="37"/>
      <c r="N142" s="37"/>
      <c r="O142" s="37"/>
      <c r="P142" s="37"/>
      <c r="Q142" s="37"/>
      <c r="R142" s="37"/>
      <c r="S142" s="37"/>
      <c r="T142" s="37"/>
      <c r="U142" s="3"/>
      <c r="W142" s="3"/>
      <c r="X142" s="3"/>
      <c r="Y142" s="3"/>
      <c r="Z142" s="3"/>
    </row>
    <row r="143" spans="1:26" ht="14.4" hidden="1" outlineLevel="1" x14ac:dyDescent="0.3">
      <c r="A143" s="3"/>
      <c r="B143" s="10" t="s">
        <v>372</v>
      </c>
      <c r="C143" s="62"/>
      <c r="D143" s="62"/>
      <c r="E143" s="12">
        <v>0</v>
      </c>
      <c r="F143" s="12">
        <v>0</v>
      </c>
      <c r="G143" s="65"/>
      <c r="H143" s="65"/>
      <c r="I143" s="89"/>
      <c r="J143" s="65"/>
      <c r="K143" s="37"/>
      <c r="L143" s="37"/>
      <c r="M143" s="37"/>
      <c r="N143" s="37"/>
      <c r="O143" s="37"/>
      <c r="P143" s="37"/>
      <c r="Q143" s="37"/>
      <c r="R143" s="37"/>
      <c r="S143" s="37"/>
      <c r="T143" s="37"/>
      <c r="U143" s="3"/>
      <c r="W143" s="3"/>
      <c r="X143" s="3"/>
      <c r="Y143" s="3"/>
      <c r="Z143" s="3"/>
    </row>
    <row r="144" spans="1:26" ht="20.399999999999999" collapsed="1" x14ac:dyDescent="0.3">
      <c r="A144" s="3"/>
      <c r="B144" s="84" t="s">
        <v>88</v>
      </c>
      <c r="C144" s="85" t="s">
        <v>43</v>
      </c>
      <c r="D144" s="85" t="s">
        <v>43</v>
      </c>
      <c r="E144" s="86">
        <f t="shared" ref="E144:F144" si="2">SUM(E145,E151,E157,E163)</f>
        <v>0</v>
      </c>
      <c r="F144" s="86">
        <f t="shared" si="2"/>
        <v>13929.08</v>
      </c>
      <c r="G144" s="87"/>
      <c r="H144" s="87"/>
      <c r="I144" s="88"/>
      <c r="J144" s="87"/>
      <c r="K144" s="37"/>
      <c r="L144" s="37"/>
      <c r="M144" s="37"/>
      <c r="N144" s="37"/>
      <c r="O144" s="37"/>
      <c r="P144" s="37"/>
      <c r="Q144" s="37"/>
      <c r="R144" s="37"/>
      <c r="S144" s="37"/>
      <c r="T144" s="37"/>
      <c r="U144" s="3"/>
      <c r="W144" s="3"/>
      <c r="X144" s="3"/>
      <c r="Y144" s="3"/>
      <c r="Z144" s="3"/>
    </row>
    <row r="145" spans="1:26" hidden="1" outlineLevel="1" x14ac:dyDescent="0.3">
      <c r="A145" s="3"/>
      <c r="B145" s="91" t="s">
        <v>380</v>
      </c>
      <c r="C145" s="92"/>
      <c r="D145" s="92"/>
      <c r="E145" s="93">
        <f>SUM(E146:E150)</f>
        <v>0</v>
      </c>
      <c r="F145" s="93">
        <f>SUMIF(D146:D150,"OK",F146:F150)</f>
        <v>13929.08</v>
      </c>
      <c r="G145" s="94"/>
      <c r="H145" s="94"/>
      <c r="I145" s="95"/>
      <c r="J145" s="94"/>
      <c r="K145" s="37"/>
      <c r="L145" s="37"/>
      <c r="M145" s="37"/>
      <c r="N145" s="37"/>
      <c r="O145" s="37"/>
      <c r="P145" s="37"/>
      <c r="Q145" s="37"/>
      <c r="R145" s="37"/>
      <c r="S145" s="37"/>
      <c r="T145" s="37"/>
      <c r="U145" s="3"/>
      <c r="W145" s="3"/>
      <c r="X145" s="3"/>
      <c r="Y145" s="3"/>
      <c r="Z145" s="3"/>
    </row>
    <row r="146" spans="1:26" ht="14.4" hidden="1" outlineLevel="1" x14ac:dyDescent="0.3">
      <c r="A146" s="3"/>
      <c r="B146" s="10" t="s">
        <v>844</v>
      </c>
      <c r="C146" s="62">
        <v>16</v>
      </c>
      <c r="D146" s="62" t="s">
        <v>94</v>
      </c>
      <c r="E146" s="12">
        <v>0</v>
      </c>
      <c r="F146" s="12">
        <v>537</v>
      </c>
      <c r="G146" s="65" t="s">
        <v>1111</v>
      </c>
      <c r="H146" s="65" t="s">
        <v>37</v>
      </c>
      <c r="I146" s="112" t="s">
        <v>1112</v>
      </c>
      <c r="J146" s="65"/>
      <c r="K146" s="37"/>
      <c r="L146" s="37"/>
      <c r="M146" s="37"/>
      <c r="N146" s="37"/>
      <c r="O146" s="37"/>
      <c r="P146" s="37"/>
      <c r="Q146" s="37"/>
      <c r="R146" s="37"/>
      <c r="S146" s="37"/>
      <c r="T146" s="37"/>
      <c r="U146" s="3"/>
      <c r="W146" s="3"/>
      <c r="X146" s="3"/>
      <c r="Y146" s="3"/>
      <c r="Z146" s="3"/>
    </row>
    <row r="147" spans="1:26" ht="14.4" hidden="1" outlineLevel="1" x14ac:dyDescent="0.3">
      <c r="A147" s="3"/>
      <c r="B147" s="10" t="s">
        <v>850</v>
      </c>
      <c r="C147" s="62">
        <v>16</v>
      </c>
      <c r="D147" s="62" t="s">
        <v>94</v>
      </c>
      <c r="E147" s="12">
        <v>0</v>
      </c>
      <c r="F147" s="12">
        <v>665.08</v>
      </c>
      <c r="G147" s="65" t="s">
        <v>1113</v>
      </c>
      <c r="H147" s="65" t="s">
        <v>37</v>
      </c>
      <c r="I147" s="112" t="s">
        <v>1114</v>
      </c>
      <c r="J147" s="65"/>
      <c r="K147" s="37"/>
      <c r="L147" s="37"/>
      <c r="M147" s="37"/>
      <c r="N147" s="37"/>
      <c r="O147" s="37"/>
      <c r="P147" s="37"/>
      <c r="Q147" s="37"/>
      <c r="R147" s="37"/>
      <c r="S147" s="37"/>
      <c r="T147" s="37"/>
      <c r="U147" s="3"/>
      <c r="W147" s="3"/>
      <c r="X147" s="3"/>
      <c r="Y147" s="3"/>
      <c r="Z147" s="3"/>
    </row>
    <row r="148" spans="1:26" ht="14.4" hidden="1" outlineLevel="1" x14ac:dyDescent="0.3">
      <c r="A148" s="3"/>
      <c r="B148" s="10" t="s">
        <v>856</v>
      </c>
      <c r="C148" s="62">
        <v>16</v>
      </c>
      <c r="D148" s="62" t="s">
        <v>94</v>
      </c>
      <c r="E148" s="12">
        <v>0</v>
      </c>
      <c r="F148" s="12">
        <v>2727</v>
      </c>
      <c r="G148" s="65" t="s">
        <v>1115</v>
      </c>
      <c r="H148" s="65" t="s">
        <v>37</v>
      </c>
      <c r="I148" s="112" t="s">
        <v>1116</v>
      </c>
      <c r="J148" s="65"/>
      <c r="K148" s="37"/>
      <c r="L148" s="37"/>
      <c r="M148" s="37"/>
      <c r="N148" s="37"/>
      <c r="O148" s="37"/>
      <c r="P148" s="37"/>
      <c r="Q148" s="37"/>
      <c r="R148" s="37"/>
      <c r="S148" s="37"/>
      <c r="T148" s="37"/>
      <c r="U148" s="3"/>
      <c r="W148" s="3"/>
      <c r="X148" s="3"/>
      <c r="Y148" s="3"/>
      <c r="Z148" s="3"/>
    </row>
    <row r="149" spans="1:26" ht="14.4" hidden="1" outlineLevel="1" x14ac:dyDescent="0.3">
      <c r="A149" s="3"/>
      <c r="B149" s="10" t="s">
        <v>1117</v>
      </c>
      <c r="C149" s="62">
        <v>7</v>
      </c>
      <c r="D149" s="62" t="s">
        <v>94</v>
      </c>
      <c r="E149" s="12">
        <v>0</v>
      </c>
      <c r="F149" s="12">
        <v>5000</v>
      </c>
      <c r="G149" s="65" t="s">
        <v>1118</v>
      </c>
      <c r="H149" s="65" t="s">
        <v>37</v>
      </c>
      <c r="I149" s="112" t="s">
        <v>1119</v>
      </c>
      <c r="J149" s="65"/>
      <c r="K149" s="37"/>
      <c r="L149" s="37"/>
      <c r="M149" s="37"/>
      <c r="N149" s="37"/>
      <c r="O149" s="37"/>
      <c r="P149" s="37"/>
      <c r="Q149" s="37"/>
      <c r="R149" s="37"/>
      <c r="S149" s="37"/>
      <c r="T149" s="37"/>
      <c r="U149" s="3"/>
      <c r="W149" s="3"/>
      <c r="X149" s="3"/>
      <c r="Y149" s="3"/>
      <c r="Z149" s="3"/>
    </row>
    <row r="150" spans="1:26" ht="14.4" hidden="1" outlineLevel="1" x14ac:dyDescent="0.3">
      <c r="A150" s="3"/>
      <c r="B150" s="10" t="s">
        <v>1117</v>
      </c>
      <c r="C150" s="62">
        <v>16</v>
      </c>
      <c r="D150" s="62" t="s">
        <v>94</v>
      </c>
      <c r="E150" s="12">
        <v>0</v>
      </c>
      <c r="F150" s="12">
        <v>5000</v>
      </c>
      <c r="G150" s="65" t="s">
        <v>1120</v>
      </c>
      <c r="H150" s="65" t="s">
        <v>37</v>
      </c>
      <c r="I150" s="112" t="s">
        <v>1119</v>
      </c>
      <c r="J150" s="65"/>
      <c r="K150" s="37"/>
      <c r="L150" s="37"/>
      <c r="M150" s="37"/>
      <c r="N150" s="37"/>
      <c r="O150" s="37"/>
      <c r="P150" s="37"/>
      <c r="Q150" s="37"/>
      <c r="R150" s="37"/>
      <c r="S150" s="37"/>
      <c r="T150" s="37"/>
      <c r="U150" s="3"/>
      <c r="W150" s="3"/>
      <c r="X150" s="3"/>
      <c r="Y150" s="3"/>
      <c r="Z150" s="3"/>
    </row>
    <row r="151" spans="1:26" hidden="1" outlineLevel="1" x14ac:dyDescent="0.3">
      <c r="A151" s="3"/>
      <c r="B151" s="91" t="s">
        <v>643</v>
      </c>
      <c r="C151" s="92"/>
      <c r="D151" s="92"/>
      <c r="E151" s="93">
        <f>SUM(E152:E156)</f>
        <v>0</v>
      </c>
      <c r="F151" s="93">
        <f>SUMIF(D152:D156,"OK",F152:F156)</f>
        <v>0</v>
      </c>
      <c r="G151" s="94"/>
      <c r="H151" s="94"/>
      <c r="I151" s="95"/>
      <c r="J151" s="94"/>
      <c r="K151" s="37"/>
      <c r="L151" s="37"/>
      <c r="M151" s="37"/>
      <c r="N151" s="37"/>
      <c r="O151" s="37"/>
      <c r="P151" s="37"/>
      <c r="Q151" s="37"/>
      <c r="R151" s="37"/>
      <c r="S151" s="37"/>
      <c r="T151" s="37"/>
      <c r="U151" s="3"/>
      <c r="W151" s="3"/>
      <c r="X151" s="3"/>
      <c r="Y151" s="3"/>
      <c r="Z151" s="3"/>
    </row>
    <row r="152" spans="1:26" ht="14.4" hidden="1" outlineLevel="1" x14ac:dyDescent="0.3">
      <c r="A152" s="3"/>
      <c r="B152" s="10" t="s">
        <v>353</v>
      </c>
      <c r="C152" s="62"/>
      <c r="D152" s="62"/>
      <c r="E152" s="12">
        <v>0</v>
      </c>
      <c r="F152" s="12">
        <v>0</v>
      </c>
      <c r="G152" s="65"/>
      <c r="H152" s="65"/>
      <c r="I152" s="89"/>
      <c r="J152" s="65"/>
      <c r="K152" s="37"/>
      <c r="L152" s="37"/>
      <c r="M152" s="37"/>
      <c r="N152" s="37"/>
      <c r="O152" s="37"/>
      <c r="P152" s="37"/>
      <c r="Q152" s="37"/>
      <c r="R152" s="37"/>
      <c r="S152" s="37"/>
      <c r="T152" s="37"/>
      <c r="U152" s="3"/>
      <c r="W152" s="3"/>
      <c r="X152" s="3"/>
      <c r="Y152" s="3"/>
      <c r="Z152" s="3"/>
    </row>
    <row r="153" spans="1:26" ht="14.4" hidden="1" outlineLevel="1" x14ac:dyDescent="0.3">
      <c r="A153" s="3"/>
      <c r="B153" s="10" t="s">
        <v>354</v>
      </c>
      <c r="C153" s="62"/>
      <c r="D153" s="62"/>
      <c r="E153" s="12">
        <v>0</v>
      </c>
      <c r="F153" s="12">
        <v>0</v>
      </c>
      <c r="G153" s="65"/>
      <c r="H153" s="65"/>
      <c r="I153" s="89"/>
      <c r="J153" s="65"/>
      <c r="K153" s="37"/>
      <c r="L153" s="37"/>
      <c r="M153" s="37"/>
      <c r="N153" s="37"/>
      <c r="O153" s="37"/>
      <c r="P153" s="37"/>
      <c r="Q153" s="37"/>
      <c r="R153" s="37"/>
      <c r="S153" s="37"/>
      <c r="T153" s="37"/>
      <c r="U153" s="3"/>
      <c r="W153" s="3"/>
      <c r="X153" s="3"/>
      <c r="Y153" s="3"/>
      <c r="Z153" s="3"/>
    </row>
    <row r="154" spans="1:26" ht="14.4" hidden="1" outlineLevel="1" x14ac:dyDescent="0.3">
      <c r="A154" s="3"/>
      <c r="B154" s="10" t="s">
        <v>355</v>
      </c>
      <c r="C154" s="62"/>
      <c r="D154" s="62"/>
      <c r="E154" s="12">
        <v>0</v>
      </c>
      <c r="F154" s="12">
        <v>0</v>
      </c>
      <c r="G154" s="65"/>
      <c r="H154" s="65"/>
      <c r="I154" s="89"/>
      <c r="J154" s="65"/>
      <c r="K154" s="37"/>
      <c r="L154" s="37"/>
      <c r="M154" s="37"/>
      <c r="N154" s="37"/>
      <c r="O154" s="37"/>
      <c r="P154" s="37"/>
      <c r="Q154" s="37"/>
      <c r="R154" s="37"/>
      <c r="S154" s="37"/>
      <c r="T154" s="37"/>
      <c r="U154" s="3"/>
      <c r="W154" s="3"/>
      <c r="X154" s="3"/>
      <c r="Y154" s="3"/>
      <c r="Z154" s="3"/>
    </row>
    <row r="155" spans="1:26" ht="14.4" hidden="1" outlineLevel="1" x14ac:dyDescent="0.3">
      <c r="A155" s="3"/>
      <c r="B155" s="10" t="s">
        <v>369</v>
      </c>
      <c r="C155" s="62"/>
      <c r="D155" s="62"/>
      <c r="E155" s="12">
        <v>0</v>
      </c>
      <c r="F155" s="12">
        <v>0</v>
      </c>
      <c r="G155" s="65"/>
      <c r="H155" s="65"/>
      <c r="I155" s="89"/>
      <c r="J155" s="65"/>
      <c r="K155" s="37"/>
      <c r="L155" s="37"/>
      <c r="M155" s="37"/>
      <c r="N155" s="37"/>
      <c r="O155" s="37"/>
      <c r="P155" s="37"/>
      <c r="Q155" s="37"/>
      <c r="R155" s="37"/>
      <c r="S155" s="37"/>
      <c r="T155" s="37"/>
      <c r="U155" s="3"/>
      <c r="W155" s="3"/>
      <c r="X155" s="3"/>
      <c r="Y155" s="3"/>
      <c r="Z155" s="3"/>
    </row>
    <row r="156" spans="1:26" ht="14.4" hidden="1" outlineLevel="1" x14ac:dyDescent="0.3">
      <c r="A156" s="3"/>
      <c r="B156" s="10" t="s">
        <v>327</v>
      </c>
      <c r="C156" s="62"/>
      <c r="D156" s="62"/>
      <c r="E156" s="12">
        <v>0</v>
      </c>
      <c r="F156" s="12">
        <v>0</v>
      </c>
      <c r="G156" s="65"/>
      <c r="H156" s="65"/>
      <c r="I156" s="89"/>
      <c r="J156" s="65"/>
      <c r="K156" s="37"/>
      <c r="L156" s="37"/>
      <c r="M156" s="37"/>
      <c r="N156" s="37"/>
      <c r="O156" s="37"/>
      <c r="P156" s="37"/>
      <c r="Q156" s="37"/>
      <c r="R156" s="37"/>
      <c r="S156" s="37"/>
      <c r="T156" s="37"/>
      <c r="U156" s="3"/>
      <c r="W156" s="3"/>
      <c r="X156" s="3"/>
      <c r="Y156" s="3"/>
      <c r="Z156" s="3"/>
    </row>
    <row r="157" spans="1:26" hidden="1" outlineLevel="1" x14ac:dyDescent="0.3">
      <c r="A157" s="3"/>
      <c r="B157" s="91" t="s">
        <v>381</v>
      </c>
      <c r="C157" s="92"/>
      <c r="D157" s="92"/>
      <c r="E157" s="93">
        <f>SUM(E158:E162)</f>
        <v>0</v>
      </c>
      <c r="F157" s="93">
        <f>SUMIF(D158:D162,"OK",F158:F162)</f>
        <v>0</v>
      </c>
      <c r="G157" s="94"/>
      <c r="H157" s="94"/>
      <c r="I157" s="95"/>
      <c r="J157" s="94"/>
      <c r="K157" s="37"/>
      <c r="L157" s="37"/>
      <c r="M157" s="37"/>
      <c r="N157" s="37"/>
      <c r="O157" s="37"/>
      <c r="P157" s="37"/>
      <c r="Q157" s="37"/>
      <c r="R157" s="37"/>
      <c r="S157" s="37"/>
      <c r="T157" s="37"/>
      <c r="U157" s="3"/>
      <c r="W157" s="3"/>
      <c r="X157" s="3"/>
      <c r="Y157" s="3"/>
      <c r="Z157" s="3"/>
    </row>
    <row r="158" spans="1:26" ht="14.4" hidden="1" outlineLevel="1" x14ac:dyDescent="0.3">
      <c r="A158" s="3"/>
      <c r="B158" s="10" t="s">
        <v>353</v>
      </c>
      <c r="C158" s="62"/>
      <c r="D158" s="62"/>
      <c r="E158" s="12">
        <v>0</v>
      </c>
      <c r="F158" s="12">
        <v>0</v>
      </c>
      <c r="G158" s="65"/>
      <c r="H158" s="65"/>
      <c r="I158" s="89"/>
      <c r="J158" s="65"/>
      <c r="K158" s="37"/>
      <c r="L158" s="37"/>
      <c r="M158" s="37"/>
      <c r="N158" s="37"/>
      <c r="O158" s="37"/>
      <c r="P158" s="37"/>
      <c r="Q158" s="37"/>
      <c r="R158" s="37"/>
      <c r="S158" s="37"/>
      <c r="T158" s="37"/>
      <c r="U158" s="3"/>
      <c r="W158" s="3"/>
      <c r="X158" s="3"/>
      <c r="Y158" s="3"/>
      <c r="Z158" s="3"/>
    </row>
    <row r="159" spans="1:26" ht="14.4" hidden="1" outlineLevel="1" x14ac:dyDescent="0.3">
      <c r="A159" s="3"/>
      <c r="B159" s="10" t="s">
        <v>354</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4.4" hidden="1" outlineLevel="1" x14ac:dyDescent="0.3">
      <c r="A160" s="3"/>
      <c r="B160" s="10" t="s">
        <v>355</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4.4" hidden="1" outlineLevel="1" x14ac:dyDescent="0.3">
      <c r="A161" s="3"/>
      <c r="B161" s="10" t="s">
        <v>369</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t="14.4" hidden="1" outlineLevel="1" x14ac:dyDescent="0.3">
      <c r="A162" s="3"/>
      <c r="B162" s="10" t="s">
        <v>327</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idden="1" outlineLevel="1" x14ac:dyDescent="0.3">
      <c r="A163" s="3"/>
      <c r="B163" s="91" t="s">
        <v>382</v>
      </c>
      <c r="C163" s="92"/>
      <c r="D163" s="92"/>
      <c r="E163" s="93">
        <f>SUM(E164:E168)</f>
        <v>0</v>
      </c>
      <c r="F163" s="93">
        <f>SUMIF(D164:D168,"OK",F164:F168)</f>
        <v>0</v>
      </c>
      <c r="G163" s="94"/>
      <c r="H163" s="94"/>
      <c r="I163" s="95"/>
      <c r="J163" s="94"/>
      <c r="K163" s="37"/>
      <c r="L163" s="37"/>
      <c r="M163" s="37"/>
      <c r="N163" s="37"/>
      <c r="O163" s="37"/>
      <c r="P163" s="37"/>
      <c r="Q163" s="37"/>
      <c r="R163" s="37"/>
      <c r="S163" s="37"/>
      <c r="T163" s="37"/>
      <c r="U163" s="3"/>
      <c r="W163" s="3"/>
      <c r="X163" s="3"/>
      <c r="Y163" s="3"/>
      <c r="Z163" s="3"/>
    </row>
    <row r="164" spans="1:26" ht="14.4" hidden="1" outlineLevel="1" x14ac:dyDescent="0.3">
      <c r="A164" s="3"/>
      <c r="B164" s="10" t="s">
        <v>353</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4.4" hidden="1" outlineLevel="1" x14ac:dyDescent="0.3">
      <c r="A165" s="3"/>
      <c r="B165" s="10" t="s">
        <v>354</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4.4" hidden="1" outlineLevel="1" x14ac:dyDescent="0.3">
      <c r="A166" s="3"/>
      <c r="B166" s="10" t="s">
        <v>355</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4.4" hidden="1" outlineLevel="1" x14ac:dyDescent="0.3">
      <c r="A167" s="3"/>
      <c r="B167" s="10" t="s">
        <v>369</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t="14.4" hidden="1" outlineLevel="1" x14ac:dyDescent="0.3">
      <c r="A168" s="3"/>
      <c r="B168" s="10" t="s">
        <v>327</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20.399999999999999" collapsed="1" x14ac:dyDescent="0.3">
      <c r="A169" s="3"/>
      <c r="B169" s="84" t="s">
        <v>383</v>
      </c>
      <c r="C169" s="85" t="s">
        <v>43</v>
      </c>
      <c r="D169" s="85" t="s">
        <v>43</v>
      </c>
      <c r="E169" s="86">
        <f>SUM(E170:E174)</f>
        <v>0</v>
      </c>
      <c r="F169" s="86">
        <f>SUMIF(D170:D174,"OK",F170:F174)</f>
        <v>0</v>
      </c>
      <c r="G169" s="87"/>
      <c r="H169" s="87"/>
      <c r="I169" s="88"/>
      <c r="J169" s="87"/>
      <c r="K169" s="37"/>
      <c r="L169" s="37"/>
      <c r="M169" s="37"/>
      <c r="N169" s="37"/>
      <c r="O169" s="37"/>
      <c r="P169" s="37"/>
      <c r="Q169" s="37"/>
      <c r="R169" s="37"/>
      <c r="S169" s="37"/>
      <c r="T169" s="37"/>
      <c r="U169" s="3"/>
      <c r="W169" s="3"/>
      <c r="X169" s="3"/>
      <c r="Y169" s="3"/>
      <c r="Z169" s="3"/>
    </row>
    <row r="170" spans="1:26" ht="14.4" hidden="1" outlineLevel="1" x14ac:dyDescent="0.3">
      <c r="A170" s="3"/>
      <c r="B170" s="10" t="s">
        <v>1014</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4.4" hidden="1" outlineLevel="1" x14ac:dyDescent="0.3">
      <c r="A171" s="3"/>
      <c r="B171" s="10" t="s">
        <v>354</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4.4" hidden="1" outlineLevel="1" x14ac:dyDescent="0.3">
      <c r="A172" s="3"/>
      <c r="B172" s="10" t="s">
        <v>355</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4.4" hidden="1" outlineLevel="1" x14ac:dyDescent="0.3">
      <c r="A173" s="3"/>
      <c r="B173" s="10" t="s">
        <v>369</v>
      </c>
      <c r="C173" s="62"/>
      <c r="D173" s="62"/>
      <c r="E173" s="12">
        <v>0</v>
      </c>
      <c r="F173" s="12">
        <v>0</v>
      </c>
      <c r="G173" s="65"/>
      <c r="H173" s="65"/>
      <c r="I173" s="89"/>
      <c r="J173" s="65"/>
      <c r="K173" s="37"/>
      <c r="L173" s="37"/>
      <c r="M173" s="37"/>
      <c r="N173" s="37"/>
      <c r="O173" s="37"/>
      <c r="P173" s="37"/>
      <c r="Q173" s="37"/>
      <c r="R173" s="37"/>
      <c r="S173" s="37"/>
      <c r="T173" s="37"/>
      <c r="U173" s="3"/>
      <c r="W173" s="3"/>
      <c r="X173" s="3"/>
      <c r="Y173" s="3"/>
      <c r="Z173" s="3"/>
    </row>
    <row r="174" spans="1:26" ht="14.4" hidden="1" outlineLevel="1" x14ac:dyDescent="0.3">
      <c r="A174" s="3"/>
      <c r="B174" s="10" t="s">
        <v>327</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20.399999999999999" collapsed="1" x14ac:dyDescent="0.3">
      <c r="A175" s="3"/>
      <c r="B175" s="84" t="s">
        <v>384</v>
      </c>
      <c r="C175" s="85" t="s">
        <v>43</v>
      </c>
      <c r="D175" s="85" t="s">
        <v>43</v>
      </c>
      <c r="E175" s="86">
        <f>SUM(E176:E203)</f>
        <v>0</v>
      </c>
      <c r="F175" s="86">
        <f>SUMIF(D176:D203,"OK",F176:F203)</f>
        <v>3300.12</v>
      </c>
      <c r="G175" s="87"/>
      <c r="H175" s="87"/>
      <c r="I175" s="88"/>
      <c r="J175" s="87"/>
      <c r="K175" s="37"/>
      <c r="L175" s="37"/>
      <c r="M175" s="37"/>
      <c r="N175" s="37"/>
      <c r="O175" s="37"/>
      <c r="P175" s="37"/>
      <c r="Q175" s="37"/>
      <c r="R175" s="37"/>
      <c r="S175" s="37"/>
      <c r="T175" s="37"/>
      <c r="U175" s="3"/>
      <c r="W175" s="3"/>
      <c r="X175" s="3"/>
      <c r="Y175" s="3"/>
      <c r="Z175" s="3"/>
    </row>
    <row r="176" spans="1:26" ht="14.4" hidden="1" outlineLevel="1" x14ac:dyDescent="0.3">
      <c r="A176" s="3"/>
      <c r="B176" s="10" t="s">
        <v>864</v>
      </c>
      <c r="C176" s="80">
        <v>1</v>
      </c>
      <c r="D176" s="62" t="s">
        <v>94</v>
      </c>
      <c r="E176" s="12">
        <v>0</v>
      </c>
      <c r="F176" s="12">
        <v>60</v>
      </c>
      <c r="G176" s="89" t="s">
        <v>1121</v>
      </c>
      <c r="H176" s="65" t="s">
        <v>37</v>
      </c>
      <c r="I176" s="112" t="s">
        <v>1122</v>
      </c>
      <c r="J176" s="65"/>
      <c r="K176" s="37"/>
      <c r="L176" s="37"/>
      <c r="M176" s="37"/>
      <c r="N176" s="37"/>
      <c r="O176" s="37"/>
      <c r="P176" s="37"/>
      <c r="Q176" s="37"/>
      <c r="R176" s="37"/>
      <c r="S176" s="37"/>
      <c r="T176" s="37"/>
      <c r="U176" s="3"/>
      <c r="W176" s="3"/>
      <c r="X176" s="3"/>
      <c r="Y176" s="3"/>
      <c r="Z176" s="3"/>
    </row>
    <row r="177" spans="1:26" ht="14.4" hidden="1" outlineLevel="1" x14ac:dyDescent="0.3">
      <c r="A177" s="3"/>
      <c r="B177" s="10" t="s">
        <v>1123</v>
      </c>
      <c r="C177" s="62">
        <v>2</v>
      </c>
      <c r="D177" s="62" t="s">
        <v>94</v>
      </c>
      <c r="E177" s="12">
        <v>0</v>
      </c>
      <c r="F177" s="12">
        <v>215</v>
      </c>
      <c r="G177" s="89"/>
      <c r="H177" s="65" t="s">
        <v>37</v>
      </c>
      <c r="I177" s="112" t="s">
        <v>1124</v>
      </c>
      <c r="J177" s="89"/>
      <c r="K177" s="37"/>
      <c r="L177" s="37"/>
      <c r="M177" s="37"/>
      <c r="N177" s="37"/>
      <c r="O177" s="37"/>
      <c r="P177" s="37"/>
      <c r="Q177" s="37"/>
      <c r="R177" s="37"/>
      <c r="S177" s="37"/>
      <c r="T177" s="37"/>
      <c r="U177" s="3"/>
      <c r="W177" s="3"/>
      <c r="X177" s="3"/>
      <c r="Y177" s="3"/>
      <c r="Z177" s="3"/>
    </row>
    <row r="178" spans="1:26" ht="14.4" hidden="1" outlineLevel="1" x14ac:dyDescent="0.3">
      <c r="A178" s="3"/>
      <c r="B178" s="10" t="s">
        <v>1125</v>
      </c>
      <c r="C178" s="62">
        <v>7</v>
      </c>
      <c r="D178" s="62" t="s">
        <v>94</v>
      </c>
      <c r="E178" s="12">
        <v>0</v>
      </c>
      <c r="F178" s="12">
        <v>200</v>
      </c>
      <c r="G178" s="65"/>
      <c r="H178" s="65" t="s">
        <v>37</v>
      </c>
      <c r="I178" s="112" t="s">
        <v>1126</v>
      </c>
      <c r="J178" s="65"/>
      <c r="K178" s="37"/>
      <c r="L178" s="37"/>
      <c r="M178" s="37"/>
      <c r="N178" s="37"/>
      <c r="O178" s="37"/>
      <c r="P178" s="37"/>
      <c r="Q178" s="37"/>
      <c r="R178" s="37"/>
      <c r="S178" s="37"/>
      <c r="T178" s="37"/>
      <c r="U178" s="3"/>
      <c r="W178" s="3"/>
      <c r="X178" s="3"/>
      <c r="Y178" s="3"/>
      <c r="Z178" s="3"/>
    </row>
    <row r="179" spans="1:26" ht="14.4" hidden="1" outlineLevel="1" x14ac:dyDescent="0.3">
      <c r="A179" s="3"/>
      <c r="B179" s="10" t="s">
        <v>864</v>
      </c>
      <c r="C179" s="62">
        <v>8</v>
      </c>
      <c r="D179" s="62" t="s">
        <v>94</v>
      </c>
      <c r="E179" s="12">
        <v>0</v>
      </c>
      <c r="F179" s="12">
        <v>40</v>
      </c>
      <c r="G179" s="89"/>
      <c r="H179" s="65" t="s">
        <v>37</v>
      </c>
      <c r="I179" s="112" t="s">
        <v>1127</v>
      </c>
      <c r="J179" s="65"/>
      <c r="K179" s="37"/>
      <c r="L179" s="37"/>
      <c r="M179" s="37"/>
      <c r="N179" s="37"/>
      <c r="O179" s="37"/>
      <c r="P179" s="37"/>
      <c r="Q179" s="37"/>
      <c r="R179" s="37"/>
      <c r="S179" s="37"/>
      <c r="T179" s="37"/>
      <c r="U179" s="3"/>
      <c r="W179" s="3"/>
      <c r="X179" s="3"/>
      <c r="Y179" s="3"/>
      <c r="Z179" s="3"/>
    </row>
    <row r="180" spans="1:26" ht="14.4" hidden="1" outlineLevel="1" x14ac:dyDescent="0.3">
      <c r="A180" s="3"/>
      <c r="B180" s="10" t="s">
        <v>1128</v>
      </c>
      <c r="C180" s="62">
        <v>23</v>
      </c>
      <c r="D180" s="62" t="s">
        <v>94</v>
      </c>
      <c r="E180" s="12">
        <v>0</v>
      </c>
      <c r="F180" s="12">
        <v>1148.24</v>
      </c>
      <c r="G180" s="65" t="s">
        <v>1129</v>
      </c>
      <c r="H180" s="65" t="s">
        <v>37</v>
      </c>
      <c r="I180" s="112" t="s">
        <v>1130</v>
      </c>
      <c r="J180" s="65"/>
      <c r="K180" s="37"/>
      <c r="L180" s="37"/>
      <c r="M180" s="37"/>
      <c r="N180" s="37"/>
      <c r="O180" s="37"/>
      <c r="P180" s="37"/>
      <c r="Q180" s="37"/>
      <c r="R180" s="37"/>
      <c r="S180" s="37"/>
      <c r="T180" s="37"/>
      <c r="U180" s="3"/>
      <c r="W180" s="3"/>
      <c r="X180" s="3"/>
      <c r="Y180" s="3"/>
      <c r="Z180" s="3"/>
    </row>
    <row r="181" spans="1:26" ht="14.4" hidden="1" outlineLevel="1" x14ac:dyDescent="0.3">
      <c r="A181" s="3"/>
      <c r="B181" s="10" t="s">
        <v>1128</v>
      </c>
      <c r="C181" s="62">
        <v>23</v>
      </c>
      <c r="D181" s="62" t="s">
        <v>94</v>
      </c>
      <c r="E181" s="12">
        <v>0</v>
      </c>
      <c r="F181" s="12">
        <v>41.39</v>
      </c>
      <c r="G181" s="65" t="s">
        <v>1131</v>
      </c>
      <c r="H181" s="65" t="s">
        <v>37</v>
      </c>
      <c r="I181" s="112" t="s">
        <v>1132</v>
      </c>
      <c r="J181" s="65"/>
      <c r="K181" s="37"/>
      <c r="L181" s="37"/>
      <c r="M181" s="37"/>
      <c r="N181" s="37"/>
      <c r="O181" s="37"/>
      <c r="P181" s="37"/>
      <c r="Q181" s="37"/>
      <c r="R181" s="37"/>
      <c r="S181" s="37"/>
      <c r="T181" s="37"/>
      <c r="U181" s="3"/>
      <c r="W181" s="3"/>
      <c r="X181" s="3"/>
      <c r="Y181" s="3"/>
      <c r="Z181" s="3"/>
    </row>
    <row r="182" spans="1:26" ht="14.4" hidden="1" outlineLevel="1" x14ac:dyDescent="0.3">
      <c r="A182" s="3"/>
      <c r="B182" s="10" t="s">
        <v>1128</v>
      </c>
      <c r="C182" s="62">
        <v>24</v>
      </c>
      <c r="D182" s="62" t="s">
        <v>94</v>
      </c>
      <c r="E182" s="12">
        <v>0</v>
      </c>
      <c r="F182" s="12">
        <v>40</v>
      </c>
      <c r="G182" s="65" t="s">
        <v>1133</v>
      </c>
      <c r="H182" s="65" t="s">
        <v>37</v>
      </c>
      <c r="I182" s="112" t="s">
        <v>1134</v>
      </c>
      <c r="J182" s="65"/>
      <c r="K182" s="37"/>
      <c r="L182" s="37"/>
      <c r="M182" s="37"/>
      <c r="N182" s="37"/>
      <c r="O182" s="37"/>
      <c r="P182" s="37"/>
      <c r="Q182" s="37"/>
      <c r="R182" s="37"/>
      <c r="S182" s="37"/>
      <c r="T182" s="37"/>
      <c r="U182" s="3"/>
      <c r="W182" s="3"/>
      <c r="X182" s="3"/>
      <c r="Y182" s="3"/>
      <c r="Z182" s="3"/>
    </row>
    <row r="183" spans="1:26" ht="14.4" hidden="1" outlineLevel="1" x14ac:dyDescent="0.3">
      <c r="A183" s="3"/>
      <c r="B183" s="10" t="s">
        <v>1128</v>
      </c>
      <c r="C183" s="62">
        <v>25</v>
      </c>
      <c r="D183" s="62" t="s">
        <v>94</v>
      </c>
      <c r="E183" s="12">
        <v>0</v>
      </c>
      <c r="F183" s="12">
        <v>600</v>
      </c>
      <c r="G183" s="65" t="s">
        <v>1135</v>
      </c>
      <c r="H183" s="65" t="s">
        <v>37</v>
      </c>
      <c r="I183" s="112" t="s">
        <v>1134</v>
      </c>
      <c r="J183" s="65"/>
      <c r="K183" s="37"/>
      <c r="L183" s="37"/>
      <c r="M183" s="37"/>
      <c r="N183" s="37"/>
      <c r="O183" s="37"/>
      <c r="P183" s="37"/>
      <c r="Q183" s="37"/>
      <c r="R183" s="37"/>
      <c r="S183" s="37"/>
      <c r="T183" s="37"/>
      <c r="U183" s="3"/>
      <c r="W183" s="3"/>
      <c r="X183" s="3"/>
      <c r="Y183" s="3"/>
      <c r="Z183" s="3"/>
    </row>
    <row r="184" spans="1:26" ht="14.4" hidden="1" outlineLevel="1" x14ac:dyDescent="0.3">
      <c r="A184" s="3"/>
      <c r="B184" s="10" t="s">
        <v>1128</v>
      </c>
      <c r="C184" s="62">
        <v>25</v>
      </c>
      <c r="D184" s="62" t="s">
        <v>94</v>
      </c>
      <c r="E184" s="12">
        <v>0</v>
      </c>
      <c r="F184" s="12">
        <v>60</v>
      </c>
      <c r="G184" s="65" t="s">
        <v>1136</v>
      </c>
      <c r="H184" s="65" t="s">
        <v>37</v>
      </c>
      <c r="I184" s="112" t="s">
        <v>1134</v>
      </c>
      <c r="J184" s="65"/>
      <c r="K184" s="37"/>
      <c r="L184" s="37"/>
      <c r="M184" s="37"/>
      <c r="N184" s="37"/>
      <c r="O184" s="37"/>
      <c r="P184" s="37"/>
      <c r="Q184" s="37"/>
      <c r="R184" s="37"/>
      <c r="S184" s="37"/>
      <c r="T184" s="37"/>
      <c r="U184" s="3"/>
      <c r="W184" s="3"/>
      <c r="X184" s="3"/>
      <c r="Y184" s="3"/>
      <c r="Z184" s="3"/>
    </row>
    <row r="185" spans="1:26" ht="14.4" hidden="1" outlineLevel="1" x14ac:dyDescent="0.3">
      <c r="A185" s="3"/>
      <c r="B185" s="10" t="s">
        <v>1128</v>
      </c>
      <c r="C185" s="62">
        <v>28</v>
      </c>
      <c r="D185" s="62" t="s">
        <v>94</v>
      </c>
      <c r="E185" s="12">
        <v>0</v>
      </c>
      <c r="F185" s="12">
        <v>213.49</v>
      </c>
      <c r="G185" s="65" t="s">
        <v>1137</v>
      </c>
      <c r="H185" s="65" t="s">
        <v>37</v>
      </c>
      <c r="I185" s="112" t="s">
        <v>1138</v>
      </c>
      <c r="J185" s="65"/>
      <c r="K185" s="37"/>
      <c r="L185" s="37"/>
      <c r="M185" s="37"/>
      <c r="N185" s="37"/>
      <c r="O185" s="37"/>
      <c r="P185" s="37"/>
      <c r="Q185" s="37"/>
      <c r="R185" s="37"/>
      <c r="S185" s="37"/>
      <c r="T185" s="37"/>
      <c r="U185" s="3"/>
      <c r="W185" s="3"/>
      <c r="X185" s="3"/>
      <c r="Y185" s="3"/>
      <c r="Z185" s="3"/>
    </row>
    <row r="186" spans="1:26" ht="14.4" hidden="1" outlineLevel="1" x14ac:dyDescent="0.3">
      <c r="A186" s="3"/>
      <c r="B186" s="10" t="s">
        <v>1128</v>
      </c>
      <c r="C186" s="62">
        <v>30</v>
      </c>
      <c r="D186" s="62" t="s">
        <v>94</v>
      </c>
      <c r="E186" s="12">
        <v>0</v>
      </c>
      <c r="F186" s="12">
        <v>318.35000000000002</v>
      </c>
      <c r="G186" s="65" t="s">
        <v>1139</v>
      </c>
      <c r="H186" s="65" t="s">
        <v>37</v>
      </c>
      <c r="I186" s="112" t="s">
        <v>1140</v>
      </c>
      <c r="J186" s="65"/>
      <c r="K186" s="37"/>
      <c r="L186" s="37"/>
      <c r="M186" s="37"/>
      <c r="N186" s="37"/>
      <c r="O186" s="37"/>
      <c r="P186" s="37"/>
      <c r="Q186" s="37"/>
      <c r="R186" s="37"/>
      <c r="S186" s="37"/>
      <c r="T186" s="37"/>
      <c r="U186" s="3"/>
      <c r="W186" s="3"/>
      <c r="X186" s="3"/>
      <c r="Y186" s="3"/>
      <c r="Z186" s="3"/>
    </row>
    <row r="187" spans="1:26" ht="14.4" hidden="1" outlineLevel="1" x14ac:dyDescent="0.3">
      <c r="A187" s="3"/>
      <c r="B187" s="10" t="s">
        <v>1128</v>
      </c>
      <c r="C187" s="62">
        <v>30</v>
      </c>
      <c r="D187" s="62" t="s">
        <v>94</v>
      </c>
      <c r="E187" s="12">
        <v>0</v>
      </c>
      <c r="F187" s="12">
        <v>313.64999999999998</v>
      </c>
      <c r="G187" s="65" t="s">
        <v>1131</v>
      </c>
      <c r="H187" s="65" t="s">
        <v>37</v>
      </c>
      <c r="I187" s="112" t="s">
        <v>1141</v>
      </c>
      <c r="J187" s="65"/>
      <c r="K187" s="37"/>
      <c r="L187" s="37"/>
      <c r="M187" s="37"/>
      <c r="N187" s="37"/>
      <c r="O187" s="37"/>
      <c r="P187" s="37"/>
      <c r="Q187" s="37"/>
      <c r="R187" s="37"/>
      <c r="S187" s="37"/>
      <c r="T187" s="37"/>
      <c r="U187" s="3"/>
      <c r="W187" s="3"/>
      <c r="X187" s="3"/>
      <c r="Y187" s="3"/>
      <c r="Z187" s="3"/>
    </row>
    <row r="188" spans="1:26" ht="14.4" hidden="1" outlineLevel="1" x14ac:dyDescent="0.3">
      <c r="A188" s="3"/>
      <c r="B188" s="10" t="s">
        <v>1128</v>
      </c>
      <c r="C188" s="62"/>
      <c r="D188" s="62"/>
      <c r="E188" s="12">
        <v>0</v>
      </c>
      <c r="F188" s="12">
        <v>0</v>
      </c>
      <c r="G188" s="65"/>
      <c r="H188" s="65"/>
      <c r="I188" s="112"/>
      <c r="J188" s="65"/>
      <c r="K188" s="37"/>
      <c r="L188" s="37"/>
      <c r="M188" s="37"/>
      <c r="N188" s="37"/>
      <c r="O188" s="37"/>
      <c r="P188" s="37"/>
      <c r="Q188" s="37"/>
      <c r="R188" s="37"/>
      <c r="S188" s="37"/>
      <c r="T188" s="37"/>
      <c r="U188" s="3"/>
      <c r="W188" s="3"/>
      <c r="X188" s="3"/>
      <c r="Y188" s="3"/>
      <c r="Z188" s="3"/>
    </row>
    <row r="189" spans="1:26" ht="14.4" hidden="1" outlineLevel="1" x14ac:dyDescent="0.3">
      <c r="A189" s="3"/>
      <c r="B189" s="10" t="s">
        <v>1128</v>
      </c>
      <c r="C189" s="62"/>
      <c r="D189" s="62"/>
      <c r="E189" s="12">
        <v>0</v>
      </c>
      <c r="F189" s="12">
        <v>0</v>
      </c>
      <c r="G189" s="65"/>
      <c r="H189" s="65"/>
      <c r="I189" s="112"/>
      <c r="J189" s="65"/>
      <c r="K189" s="37"/>
      <c r="L189" s="37"/>
      <c r="M189" s="37"/>
      <c r="N189" s="37"/>
      <c r="O189" s="37"/>
      <c r="P189" s="37"/>
      <c r="Q189" s="37"/>
      <c r="R189" s="37"/>
      <c r="S189" s="37"/>
      <c r="T189" s="37"/>
      <c r="U189" s="3"/>
      <c r="W189" s="3"/>
      <c r="X189" s="3"/>
      <c r="Y189" s="3"/>
      <c r="Z189" s="3"/>
    </row>
    <row r="190" spans="1:26" ht="14.4" hidden="1" outlineLevel="1" x14ac:dyDescent="0.3">
      <c r="A190" s="3"/>
      <c r="B190" s="10" t="s">
        <v>1128</v>
      </c>
      <c r="C190" s="62"/>
      <c r="D190" s="62"/>
      <c r="E190" s="12">
        <v>0</v>
      </c>
      <c r="F190" s="12">
        <v>0</v>
      </c>
      <c r="G190" s="65"/>
      <c r="H190" s="65"/>
      <c r="I190" s="112"/>
      <c r="J190" s="65"/>
      <c r="K190" s="37"/>
      <c r="L190" s="37"/>
      <c r="M190" s="37"/>
      <c r="N190" s="37"/>
      <c r="O190" s="37"/>
      <c r="P190" s="37"/>
      <c r="Q190" s="37"/>
      <c r="R190" s="37"/>
      <c r="S190" s="37"/>
      <c r="T190" s="37"/>
      <c r="U190" s="3"/>
      <c r="W190" s="3"/>
      <c r="X190" s="3"/>
      <c r="Y190" s="3"/>
      <c r="Z190" s="3"/>
    </row>
    <row r="191" spans="1:26" ht="14.4" hidden="1" outlineLevel="1" x14ac:dyDescent="0.3">
      <c r="A191" s="3"/>
      <c r="B191" s="10" t="s">
        <v>1128</v>
      </c>
      <c r="C191" s="62"/>
      <c r="D191" s="62"/>
      <c r="E191" s="12">
        <v>0</v>
      </c>
      <c r="F191" s="12">
        <v>0</v>
      </c>
      <c r="G191" s="65"/>
      <c r="H191" s="65"/>
      <c r="I191" s="112"/>
      <c r="J191" s="65"/>
      <c r="K191" s="37"/>
      <c r="L191" s="37"/>
      <c r="M191" s="37"/>
      <c r="N191" s="37"/>
      <c r="O191" s="37"/>
      <c r="P191" s="37"/>
      <c r="Q191" s="37"/>
      <c r="R191" s="37"/>
      <c r="S191" s="37"/>
      <c r="T191" s="37"/>
      <c r="U191" s="3"/>
      <c r="W191" s="3"/>
      <c r="X191" s="3"/>
      <c r="Y191" s="3"/>
      <c r="Z191" s="3"/>
    </row>
    <row r="192" spans="1:26" ht="14.4" hidden="1" outlineLevel="1" x14ac:dyDescent="0.3">
      <c r="A192" s="3"/>
      <c r="B192" s="10" t="s">
        <v>1128</v>
      </c>
      <c r="C192" s="62"/>
      <c r="D192" s="62"/>
      <c r="E192" s="12">
        <v>0</v>
      </c>
      <c r="F192" s="12">
        <v>0</v>
      </c>
      <c r="G192" s="65"/>
      <c r="H192" s="65"/>
      <c r="I192" s="112"/>
      <c r="J192" s="65"/>
      <c r="K192" s="37"/>
      <c r="L192" s="37"/>
      <c r="M192" s="37"/>
      <c r="N192" s="37"/>
      <c r="O192" s="37"/>
      <c r="P192" s="37"/>
      <c r="Q192" s="37"/>
      <c r="R192" s="37"/>
      <c r="S192" s="37"/>
      <c r="T192" s="37"/>
      <c r="U192" s="3"/>
      <c r="W192" s="3"/>
      <c r="X192" s="3"/>
      <c r="Y192" s="3"/>
      <c r="Z192" s="3"/>
    </row>
    <row r="193" spans="1:26" ht="14.4" hidden="1" outlineLevel="1" x14ac:dyDescent="0.3">
      <c r="A193" s="3"/>
      <c r="B193" s="10" t="s">
        <v>1128</v>
      </c>
      <c r="C193" s="62"/>
      <c r="D193" s="62"/>
      <c r="E193" s="12">
        <v>0</v>
      </c>
      <c r="F193" s="12">
        <v>0</v>
      </c>
      <c r="G193" s="65"/>
      <c r="H193" s="65"/>
      <c r="I193" s="112"/>
      <c r="J193" s="65"/>
      <c r="K193" s="37"/>
      <c r="L193" s="37"/>
      <c r="M193" s="37"/>
      <c r="N193" s="37"/>
      <c r="O193" s="37"/>
      <c r="P193" s="37"/>
      <c r="Q193" s="37"/>
      <c r="R193" s="37"/>
      <c r="S193" s="37"/>
      <c r="T193" s="37"/>
      <c r="U193" s="3"/>
      <c r="W193" s="3"/>
      <c r="X193" s="3"/>
      <c r="Y193" s="3"/>
      <c r="Z193" s="3"/>
    </row>
    <row r="194" spans="1:26" ht="14.4" hidden="1" outlineLevel="1" x14ac:dyDescent="0.3">
      <c r="A194" s="3"/>
      <c r="B194" s="10" t="s">
        <v>864</v>
      </c>
      <c r="C194" s="62">
        <v>25</v>
      </c>
      <c r="D194" s="62" t="s">
        <v>94</v>
      </c>
      <c r="E194" s="12">
        <v>0</v>
      </c>
      <c r="F194" s="12">
        <v>50</v>
      </c>
      <c r="G194" s="65"/>
      <c r="H194" s="65" t="s">
        <v>37</v>
      </c>
      <c r="I194" s="112" t="s">
        <v>1142</v>
      </c>
      <c r="J194" s="65"/>
      <c r="K194" s="37"/>
      <c r="L194" s="37"/>
      <c r="M194" s="37"/>
      <c r="N194" s="37"/>
      <c r="O194" s="37"/>
      <c r="P194" s="37"/>
      <c r="Q194" s="37"/>
      <c r="R194" s="37"/>
      <c r="S194" s="37"/>
      <c r="T194" s="37"/>
      <c r="U194" s="3"/>
      <c r="W194" s="3"/>
      <c r="X194" s="3"/>
      <c r="Y194" s="3"/>
      <c r="Z194" s="3"/>
    </row>
    <row r="195" spans="1:26" ht="14.4" hidden="1" outlineLevel="1" x14ac:dyDescent="0.3">
      <c r="A195" s="3"/>
      <c r="B195" s="10" t="s">
        <v>50</v>
      </c>
      <c r="C195" s="62"/>
      <c r="D195" s="62"/>
      <c r="E195" s="12">
        <v>0</v>
      </c>
      <c r="F195" s="12">
        <v>0</v>
      </c>
      <c r="G195" s="65"/>
      <c r="H195" s="65"/>
      <c r="I195" s="112"/>
      <c r="J195" s="65"/>
      <c r="K195" s="37"/>
      <c r="L195" s="37"/>
      <c r="M195" s="37"/>
      <c r="N195" s="37"/>
      <c r="O195" s="37"/>
      <c r="P195" s="37"/>
      <c r="Q195" s="37"/>
      <c r="R195" s="37"/>
      <c r="S195" s="37"/>
      <c r="T195" s="37"/>
      <c r="U195" s="3"/>
      <c r="W195" s="3"/>
      <c r="X195" s="3"/>
      <c r="Y195" s="3"/>
      <c r="Z195" s="3"/>
    </row>
    <row r="196" spans="1:26" ht="14.4" hidden="1" outlineLevel="1" x14ac:dyDescent="0.3">
      <c r="A196" s="3"/>
      <c r="B196" s="10" t="s">
        <v>50</v>
      </c>
      <c r="C196" s="62"/>
      <c r="D196" s="62"/>
      <c r="E196" s="12">
        <v>0</v>
      </c>
      <c r="F196" s="12">
        <v>0</v>
      </c>
      <c r="G196" s="65"/>
      <c r="H196" s="65"/>
      <c r="I196" s="112"/>
      <c r="J196" s="65"/>
      <c r="K196" s="37"/>
      <c r="L196" s="37"/>
      <c r="M196" s="37"/>
      <c r="N196" s="37"/>
      <c r="O196" s="37"/>
      <c r="P196" s="37"/>
      <c r="Q196" s="37"/>
      <c r="R196" s="37"/>
      <c r="S196" s="37"/>
      <c r="T196" s="37"/>
      <c r="U196" s="3"/>
      <c r="W196" s="3"/>
      <c r="X196" s="3"/>
      <c r="Y196" s="3"/>
      <c r="Z196" s="3"/>
    </row>
    <row r="197" spans="1:26" ht="14.4" hidden="1" outlineLevel="1" x14ac:dyDescent="0.3">
      <c r="A197" s="3"/>
      <c r="B197" s="10" t="s">
        <v>50</v>
      </c>
      <c r="C197" s="62"/>
      <c r="D197" s="62"/>
      <c r="E197" s="12">
        <v>0</v>
      </c>
      <c r="F197" s="12">
        <v>0</v>
      </c>
      <c r="G197" s="65"/>
      <c r="H197" s="65"/>
      <c r="I197" s="112"/>
      <c r="J197" s="65"/>
      <c r="K197" s="37"/>
      <c r="L197" s="37"/>
      <c r="M197" s="37"/>
      <c r="N197" s="37"/>
      <c r="O197" s="37"/>
      <c r="P197" s="37"/>
      <c r="Q197" s="37"/>
      <c r="R197" s="37"/>
      <c r="S197" s="37"/>
      <c r="T197" s="37"/>
      <c r="U197" s="3"/>
      <c r="W197" s="3"/>
      <c r="X197" s="3"/>
      <c r="Y197" s="3"/>
      <c r="Z197" s="3"/>
    </row>
    <row r="198" spans="1:26" ht="14.4" hidden="1" outlineLevel="1" x14ac:dyDescent="0.3">
      <c r="A198" s="3"/>
      <c r="B198" s="10" t="s">
        <v>50</v>
      </c>
      <c r="C198" s="62"/>
      <c r="D198" s="62"/>
      <c r="E198" s="12">
        <v>0</v>
      </c>
      <c r="F198" s="12">
        <v>0</v>
      </c>
      <c r="G198" s="65"/>
      <c r="H198" s="65"/>
      <c r="I198" s="112"/>
      <c r="J198" s="65"/>
      <c r="K198" s="37"/>
      <c r="L198" s="37"/>
      <c r="M198" s="37"/>
      <c r="N198" s="37"/>
      <c r="O198" s="37"/>
      <c r="P198" s="37"/>
      <c r="Q198" s="37"/>
      <c r="R198" s="37"/>
      <c r="S198" s="37"/>
      <c r="T198" s="37"/>
      <c r="U198" s="3"/>
      <c r="W198" s="3"/>
      <c r="X198" s="3"/>
      <c r="Y198" s="3"/>
      <c r="Z198" s="3"/>
    </row>
    <row r="199" spans="1:26" ht="14.4" hidden="1" outlineLevel="1" x14ac:dyDescent="0.3">
      <c r="A199" s="3"/>
      <c r="B199" s="10" t="s">
        <v>50</v>
      </c>
      <c r="C199" s="62"/>
      <c r="D199" s="62"/>
      <c r="E199" s="12">
        <v>0</v>
      </c>
      <c r="F199" s="12">
        <v>0</v>
      </c>
      <c r="G199" s="65"/>
      <c r="H199" s="65"/>
      <c r="I199" s="89"/>
      <c r="J199" s="65"/>
      <c r="K199" s="37"/>
      <c r="L199" s="37"/>
      <c r="M199" s="37"/>
      <c r="N199" s="37"/>
      <c r="O199" s="37"/>
      <c r="P199" s="37"/>
      <c r="Q199" s="37"/>
      <c r="R199" s="37"/>
      <c r="S199" s="37"/>
      <c r="T199" s="37"/>
      <c r="U199" s="3"/>
      <c r="W199" s="3"/>
      <c r="X199" s="3"/>
      <c r="Y199" s="3"/>
      <c r="Z199" s="3"/>
    </row>
    <row r="200" spans="1:26" ht="14.4" hidden="1" outlineLevel="1" x14ac:dyDescent="0.3">
      <c r="A200" s="3"/>
      <c r="B200" s="10" t="s">
        <v>50</v>
      </c>
      <c r="C200" s="62"/>
      <c r="D200" s="62"/>
      <c r="E200" s="12">
        <v>0</v>
      </c>
      <c r="F200" s="12">
        <v>0</v>
      </c>
      <c r="G200" s="65"/>
      <c r="H200" s="65"/>
      <c r="I200" s="89"/>
      <c r="J200" s="65"/>
      <c r="K200" s="37"/>
      <c r="L200" s="37"/>
      <c r="M200" s="37"/>
      <c r="N200" s="37"/>
      <c r="O200" s="37"/>
      <c r="P200" s="37"/>
      <c r="Q200" s="37"/>
      <c r="R200" s="37"/>
      <c r="S200" s="37"/>
      <c r="T200" s="37"/>
      <c r="U200" s="3"/>
      <c r="W200" s="3"/>
      <c r="X200" s="3"/>
      <c r="Y200" s="3"/>
      <c r="Z200" s="3"/>
    </row>
    <row r="201" spans="1:26" ht="14.4" hidden="1" outlineLevel="1" x14ac:dyDescent="0.3">
      <c r="A201" s="3"/>
      <c r="B201" s="10" t="s">
        <v>50</v>
      </c>
      <c r="C201" s="62"/>
      <c r="D201" s="62"/>
      <c r="E201" s="12">
        <v>0</v>
      </c>
      <c r="F201" s="12">
        <v>0</v>
      </c>
      <c r="G201" s="65"/>
      <c r="H201" s="65"/>
      <c r="I201" s="89"/>
      <c r="J201" s="65"/>
      <c r="K201" s="37"/>
      <c r="L201" s="37"/>
      <c r="M201" s="37"/>
      <c r="N201" s="37"/>
      <c r="O201" s="37"/>
      <c r="P201" s="37"/>
      <c r="Q201" s="37"/>
      <c r="R201" s="37"/>
      <c r="S201" s="37"/>
      <c r="T201" s="37"/>
      <c r="U201" s="3"/>
      <c r="W201" s="3"/>
      <c r="X201" s="3"/>
      <c r="Y201" s="3"/>
      <c r="Z201" s="3"/>
    </row>
    <row r="202" spans="1:26" ht="14.4" hidden="1" outlineLevel="1" x14ac:dyDescent="0.3">
      <c r="A202" s="3"/>
      <c r="B202" s="10" t="s">
        <v>50</v>
      </c>
      <c r="C202" s="62"/>
      <c r="D202" s="62"/>
      <c r="E202" s="12">
        <v>0</v>
      </c>
      <c r="F202" s="12">
        <v>0</v>
      </c>
      <c r="G202" s="65"/>
      <c r="H202" s="65"/>
      <c r="I202" s="89"/>
      <c r="J202" s="65"/>
      <c r="K202" s="37"/>
      <c r="L202" s="37"/>
      <c r="M202" s="37"/>
      <c r="N202" s="37"/>
      <c r="O202" s="37"/>
      <c r="P202" s="37"/>
      <c r="Q202" s="37"/>
      <c r="R202" s="37"/>
      <c r="S202" s="37"/>
      <c r="T202" s="37"/>
      <c r="U202" s="3"/>
      <c r="W202" s="3"/>
      <c r="X202" s="3"/>
      <c r="Y202" s="3"/>
      <c r="Z202" s="3"/>
    </row>
    <row r="203" spans="1:26" ht="14.4" hidden="1" outlineLevel="1" x14ac:dyDescent="0.3">
      <c r="A203" s="3"/>
      <c r="B203" s="10" t="s">
        <v>50</v>
      </c>
      <c r="C203" s="62"/>
      <c r="D203" s="62"/>
      <c r="E203" s="12">
        <v>0</v>
      </c>
      <c r="F203" s="12">
        <v>0</v>
      </c>
      <c r="G203" s="65"/>
      <c r="H203" s="65"/>
      <c r="I203" s="89"/>
      <c r="J203" s="65"/>
      <c r="K203" s="37"/>
      <c r="L203" s="37"/>
      <c r="M203" s="37"/>
      <c r="N203" s="37"/>
      <c r="O203" s="37"/>
      <c r="P203" s="37"/>
      <c r="Q203" s="37"/>
      <c r="R203" s="37"/>
      <c r="S203" s="37"/>
      <c r="T203" s="37"/>
      <c r="U203" s="3"/>
      <c r="W203" s="3"/>
      <c r="X203" s="3"/>
      <c r="Y203" s="3"/>
      <c r="Z203" s="3"/>
    </row>
    <row r="204" spans="1:26" ht="20.399999999999999" collapsed="1" x14ac:dyDescent="0.3">
      <c r="A204" s="3"/>
      <c r="B204" s="84" t="s">
        <v>394</v>
      </c>
      <c r="C204" s="85" t="s">
        <v>43</v>
      </c>
      <c r="D204" s="85" t="s">
        <v>43</v>
      </c>
      <c r="E204" s="86">
        <f>SUM(E205:E213)</f>
        <v>0</v>
      </c>
      <c r="F204" s="86">
        <f>SUMIF(D205:D213,"OK",F205:F213)</f>
        <v>100</v>
      </c>
      <c r="G204" s="87"/>
      <c r="H204" s="87"/>
      <c r="I204" s="88"/>
      <c r="J204" s="87"/>
      <c r="K204" s="37"/>
      <c r="L204" s="37"/>
      <c r="M204" s="37"/>
      <c r="N204" s="37"/>
      <c r="O204" s="37"/>
      <c r="P204" s="37"/>
      <c r="Q204" s="37"/>
      <c r="R204" s="37"/>
      <c r="S204" s="37"/>
      <c r="T204" s="37"/>
      <c r="U204" s="3"/>
      <c r="W204" s="3"/>
      <c r="X204" s="3"/>
      <c r="Y204" s="3"/>
      <c r="Z204" s="3"/>
    </row>
    <row r="205" spans="1:26" ht="14.4" hidden="1" outlineLevel="1" x14ac:dyDescent="0.3">
      <c r="A205" s="3"/>
      <c r="B205" s="10" t="s">
        <v>1143</v>
      </c>
      <c r="C205" s="62">
        <v>11</v>
      </c>
      <c r="D205" s="62" t="s">
        <v>94</v>
      </c>
      <c r="E205" s="12">
        <v>0</v>
      </c>
      <c r="F205" s="12">
        <v>100</v>
      </c>
      <c r="G205" s="65"/>
      <c r="H205" s="65" t="s">
        <v>37</v>
      </c>
      <c r="I205" s="112" t="s">
        <v>1144</v>
      </c>
      <c r="J205" s="65"/>
      <c r="K205" s="37"/>
      <c r="L205" s="37"/>
      <c r="M205" s="37"/>
      <c r="N205" s="37"/>
      <c r="O205" s="37"/>
      <c r="P205" s="37"/>
      <c r="Q205" s="37"/>
      <c r="R205" s="37"/>
      <c r="S205" s="37"/>
      <c r="T205" s="37"/>
      <c r="U205" s="3"/>
      <c r="W205" s="3"/>
      <c r="X205" s="3"/>
      <c r="Y205" s="3"/>
      <c r="Z205" s="3"/>
    </row>
    <row r="206" spans="1:26" ht="14.4" hidden="1" outlineLevel="1" x14ac:dyDescent="0.3">
      <c r="A206" s="3"/>
      <c r="B206" s="10" t="s">
        <v>354</v>
      </c>
      <c r="C206" s="62"/>
      <c r="D206" s="62"/>
      <c r="E206" s="12">
        <v>0</v>
      </c>
      <c r="F206" s="12">
        <v>0</v>
      </c>
      <c r="G206" s="65"/>
      <c r="H206" s="65"/>
      <c r="I206" s="112"/>
      <c r="J206" s="65"/>
      <c r="K206" s="37"/>
      <c r="L206" s="37"/>
      <c r="M206" s="37"/>
      <c r="N206" s="37"/>
      <c r="O206" s="37"/>
      <c r="P206" s="37"/>
      <c r="Q206" s="37"/>
      <c r="R206" s="37"/>
      <c r="S206" s="37"/>
      <c r="T206" s="37"/>
      <c r="U206" s="3"/>
      <c r="W206" s="3"/>
      <c r="X206" s="3"/>
      <c r="Y206" s="3"/>
      <c r="Z206" s="3"/>
    </row>
    <row r="207" spans="1:26" ht="14.4" hidden="1" outlineLevel="1" x14ac:dyDescent="0.3">
      <c r="A207" s="3"/>
      <c r="B207" s="10" t="s">
        <v>355</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4.4" hidden="1" outlineLevel="1" x14ac:dyDescent="0.3">
      <c r="A208" s="3"/>
      <c r="B208" s="10" t="s">
        <v>369</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4.4" hidden="1" outlineLevel="1" x14ac:dyDescent="0.3">
      <c r="A209" s="3"/>
      <c r="B209" s="10" t="s">
        <v>327</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4.4" hidden="1" outlineLevel="1" x14ac:dyDescent="0.3">
      <c r="A210" s="3"/>
      <c r="B210" s="10" t="s">
        <v>328</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4.4" hidden="1" outlineLevel="1" x14ac:dyDescent="0.3">
      <c r="A211" s="3"/>
      <c r="B211" s="10" t="s">
        <v>370</v>
      </c>
      <c r="C211" s="62"/>
      <c r="D211" s="62"/>
      <c r="E211" s="12">
        <v>0</v>
      </c>
      <c r="F211" s="12">
        <v>0</v>
      </c>
      <c r="G211" s="65"/>
      <c r="H211" s="65"/>
      <c r="I211" s="89"/>
      <c r="J211" s="65"/>
      <c r="K211" s="37"/>
      <c r="L211" s="37"/>
      <c r="M211" s="37"/>
      <c r="N211" s="37"/>
      <c r="O211" s="37"/>
      <c r="P211" s="37"/>
      <c r="Q211" s="37"/>
      <c r="R211" s="37"/>
      <c r="S211" s="37"/>
      <c r="T211" s="37"/>
      <c r="U211" s="3"/>
      <c r="W211" s="3"/>
      <c r="X211" s="3"/>
      <c r="Y211" s="3"/>
      <c r="Z211" s="3"/>
    </row>
    <row r="212" spans="1:26" ht="14.4" hidden="1" outlineLevel="1" x14ac:dyDescent="0.3">
      <c r="A212" s="3"/>
      <c r="B212" s="10" t="s">
        <v>371</v>
      </c>
      <c r="C212" s="62"/>
      <c r="D212" s="62"/>
      <c r="E212" s="12">
        <v>0</v>
      </c>
      <c r="F212" s="12">
        <v>0</v>
      </c>
      <c r="G212" s="65"/>
      <c r="H212" s="65"/>
      <c r="I212" s="89"/>
      <c r="J212" s="65"/>
      <c r="K212" s="37"/>
      <c r="L212" s="37"/>
      <c r="M212" s="37"/>
      <c r="N212" s="37"/>
      <c r="O212" s="37"/>
      <c r="P212" s="37"/>
      <c r="Q212" s="37"/>
      <c r="R212" s="37"/>
      <c r="S212" s="37"/>
      <c r="T212" s="37"/>
      <c r="U212" s="3"/>
      <c r="W212" s="3"/>
      <c r="X212" s="3"/>
      <c r="Y212" s="3"/>
      <c r="Z212" s="3"/>
    </row>
    <row r="213" spans="1:26" ht="14.4" hidden="1" outlineLevel="1" x14ac:dyDescent="0.3">
      <c r="A213" s="3"/>
      <c r="B213" s="10" t="s">
        <v>372</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20.399999999999999" collapsed="1" x14ac:dyDescent="0.3">
      <c r="A214" s="3"/>
      <c r="B214" s="84" t="s">
        <v>401</v>
      </c>
      <c r="C214" s="85" t="s">
        <v>43</v>
      </c>
      <c r="D214" s="85" t="s">
        <v>43</v>
      </c>
      <c r="E214" s="86">
        <f>SUM(E215:E223)</f>
        <v>0</v>
      </c>
      <c r="F214" s="86">
        <f>SUMIF(D215:D223,"OK",F215:F223)</f>
        <v>0</v>
      </c>
      <c r="G214" s="87"/>
      <c r="H214" s="87"/>
      <c r="I214" s="88"/>
      <c r="J214" s="87"/>
      <c r="K214" s="37"/>
      <c r="L214" s="37"/>
      <c r="M214" s="37"/>
      <c r="N214" s="37"/>
      <c r="O214" s="37"/>
      <c r="P214" s="37"/>
      <c r="Q214" s="37"/>
      <c r="R214" s="37"/>
      <c r="S214" s="37"/>
      <c r="T214" s="37"/>
      <c r="U214" s="3"/>
      <c r="W214" s="3"/>
      <c r="X214" s="3"/>
      <c r="Y214" s="3"/>
      <c r="Z214" s="3"/>
    </row>
    <row r="215" spans="1:26" ht="14.4" hidden="1" outlineLevel="1" x14ac:dyDescent="0.3">
      <c r="A215" s="3"/>
      <c r="B215" s="10" t="s">
        <v>1145</v>
      </c>
      <c r="C215" s="62"/>
      <c r="D215" s="62"/>
      <c r="E215" s="12">
        <v>0</v>
      </c>
      <c r="F215" s="12">
        <v>0</v>
      </c>
      <c r="G215" s="65"/>
      <c r="H215" s="65"/>
      <c r="I215" s="112"/>
      <c r="J215" s="65"/>
      <c r="K215" s="37"/>
      <c r="L215" s="37"/>
      <c r="M215" s="37"/>
      <c r="N215" s="37"/>
      <c r="O215" s="37"/>
      <c r="P215" s="37"/>
      <c r="Q215" s="37"/>
      <c r="R215" s="37"/>
      <c r="S215" s="37"/>
      <c r="T215" s="37"/>
      <c r="U215" s="3"/>
      <c r="W215" s="3"/>
      <c r="X215" s="3"/>
      <c r="Y215" s="3"/>
      <c r="Z215" s="3"/>
    </row>
    <row r="216" spans="1:26" ht="14.4" hidden="1" outlineLevel="1" x14ac:dyDescent="0.3">
      <c r="A216" s="3"/>
      <c r="B216" s="10" t="s">
        <v>1146</v>
      </c>
      <c r="C216" s="62"/>
      <c r="D216" s="62"/>
      <c r="E216" s="12">
        <v>0</v>
      </c>
      <c r="F216" s="12">
        <v>0</v>
      </c>
      <c r="G216" s="65"/>
      <c r="H216" s="65"/>
      <c r="I216" s="112"/>
      <c r="J216" s="65"/>
      <c r="K216" s="37"/>
      <c r="L216" s="37"/>
      <c r="M216" s="37"/>
      <c r="N216" s="37"/>
      <c r="O216" s="37"/>
      <c r="P216" s="37"/>
      <c r="Q216" s="37"/>
      <c r="R216" s="37"/>
      <c r="S216" s="37"/>
      <c r="T216" s="37"/>
      <c r="U216" s="3"/>
      <c r="W216" s="3"/>
      <c r="X216" s="3"/>
      <c r="Y216" s="3"/>
      <c r="Z216" s="3"/>
    </row>
    <row r="217" spans="1:26" ht="14.4" hidden="1" outlineLevel="1" x14ac:dyDescent="0.3">
      <c r="A217" s="3"/>
      <c r="B217" s="10" t="s">
        <v>355</v>
      </c>
      <c r="C217" s="62"/>
      <c r="D217" s="62"/>
      <c r="E217" s="12">
        <v>0</v>
      </c>
      <c r="F217" s="12">
        <v>0</v>
      </c>
      <c r="G217" s="65"/>
      <c r="H217" s="65"/>
      <c r="I217" s="112"/>
      <c r="J217" s="65"/>
      <c r="K217" s="37"/>
      <c r="L217" s="37"/>
      <c r="M217" s="37"/>
      <c r="N217" s="37"/>
      <c r="O217" s="37"/>
      <c r="P217" s="37"/>
      <c r="Q217" s="37"/>
      <c r="R217" s="37"/>
      <c r="S217" s="37"/>
      <c r="T217" s="37"/>
      <c r="U217" s="3"/>
      <c r="W217" s="3"/>
      <c r="X217" s="3"/>
      <c r="Y217" s="3"/>
      <c r="Z217" s="3"/>
    </row>
    <row r="218" spans="1:26" ht="14.4" hidden="1" outlineLevel="1" x14ac:dyDescent="0.3">
      <c r="A218" s="3"/>
      <c r="B218" s="10" t="s">
        <v>369</v>
      </c>
      <c r="C218" s="62"/>
      <c r="D218" s="62"/>
      <c r="E218" s="12">
        <v>0</v>
      </c>
      <c r="F218" s="12">
        <v>0</v>
      </c>
      <c r="G218" s="65"/>
      <c r="H218" s="65"/>
      <c r="I218" s="112"/>
      <c r="J218" s="65"/>
      <c r="K218" s="37"/>
      <c r="L218" s="37"/>
      <c r="M218" s="37"/>
      <c r="N218" s="37"/>
      <c r="O218" s="37"/>
      <c r="P218" s="37"/>
      <c r="Q218" s="37"/>
      <c r="R218" s="37"/>
      <c r="S218" s="37"/>
      <c r="T218" s="37"/>
      <c r="U218" s="3"/>
      <c r="W218" s="3"/>
      <c r="X218" s="3"/>
      <c r="Y218" s="3"/>
      <c r="Z218" s="3"/>
    </row>
    <row r="219" spans="1:26" ht="14.4" hidden="1" outlineLevel="1" x14ac:dyDescent="0.3">
      <c r="A219" s="3"/>
      <c r="B219" s="10" t="s">
        <v>327</v>
      </c>
      <c r="C219" s="62"/>
      <c r="D219" s="62"/>
      <c r="E219" s="12">
        <v>0</v>
      </c>
      <c r="F219" s="12">
        <v>0</v>
      </c>
      <c r="G219" s="65"/>
      <c r="H219" s="65"/>
      <c r="I219" s="112"/>
      <c r="J219" s="65"/>
      <c r="K219" s="37"/>
      <c r="L219" s="37"/>
      <c r="M219" s="37"/>
      <c r="N219" s="37"/>
      <c r="O219" s="37"/>
      <c r="P219" s="37"/>
      <c r="Q219" s="37"/>
      <c r="R219" s="37"/>
      <c r="S219" s="37"/>
      <c r="T219" s="37"/>
      <c r="U219" s="3"/>
      <c r="W219" s="3"/>
      <c r="X219" s="3"/>
      <c r="Y219" s="3"/>
      <c r="Z219" s="3"/>
    </row>
    <row r="220" spans="1:26" ht="14.4" hidden="1" outlineLevel="1" x14ac:dyDescent="0.3">
      <c r="A220" s="3"/>
      <c r="B220" s="10" t="s">
        <v>328</v>
      </c>
      <c r="C220" s="62"/>
      <c r="D220" s="62"/>
      <c r="E220" s="12">
        <v>0</v>
      </c>
      <c r="F220" s="12">
        <v>0</v>
      </c>
      <c r="G220" s="65"/>
      <c r="H220" s="65"/>
      <c r="I220" s="112"/>
      <c r="J220" s="65"/>
      <c r="K220" s="37"/>
      <c r="L220" s="37"/>
      <c r="M220" s="37"/>
      <c r="N220" s="37"/>
      <c r="O220" s="37"/>
      <c r="P220" s="37"/>
      <c r="Q220" s="37"/>
      <c r="R220" s="37"/>
      <c r="S220" s="37"/>
      <c r="T220" s="37"/>
      <c r="U220" s="3"/>
      <c r="W220" s="3"/>
      <c r="X220" s="3"/>
      <c r="Y220" s="3"/>
      <c r="Z220" s="3"/>
    </row>
    <row r="221" spans="1:26" ht="14.4" hidden="1" outlineLevel="1" x14ac:dyDescent="0.3">
      <c r="A221" s="3"/>
      <c r="B221" s="10" t="s">
        <v>370</v>
      </c>
      <c r="C221" s="62"/>
      <c r="D221" s="62"/>
      <c r="E221" s="12">
        <v>0</v>
      </c>
      <c r="F221" s="12">
        <v>0</v>
      </c>
      <c r="G221" s="65"/>
      <c r="H221" s="65"/>
      <c r="I221" s="112"/>
      <c r="J221" s="65"/>
      <c r="K221" s="37"/>
      <c r="L221" s="37"/>
      <c r="M221" s="37"/>
      <c r="N221" s="37"/>
      <c r="O221" s="37"/>
      <c r="P221" s="37"/>
      <c r="Q221" s="37"/>
      <c r="R221" s="37"/>
      <c r="S221" s="37"/>
      <c r="T221" s="37"/>
      <c r="U221" s="3"/>
      <c r="W221" s="3"/>
      <c r="X221" s="3"/>
      <c r="Y221" s="3"/>
      <c r="Z221" s="3"/>
    </row>
    <row r="222" spans="1:26" ht="14.4" hidden="1" outlineLevel="1" x14ac:dyDescent="0.3">
      <c r="A222" s="3"/>
      <c r="B222" s="10" t="s">
        <v>371</v>
      </c>
      <c r="C222" s="62"/>
      <c r="D222" s="62"/>
      <c r="E222" s="12">
        <v>0</v>
      </c>
      <c r="F222" s="12">
        <v>0</v>
      </c>
      <c r="G222" s="89"/>
      <c r="H222" s="65"/>
      <c r="I222" s="112"/>
      <c r="J222" s="65"/>
      <c r="K222" s="37"/>
      <c r="L222" s="37"/>
      <c r="M222" s="37"/>
      <c r="N222" s="37"/>
      <c r="O222" s="37"/>
      <c r="P222" s="37"/>
      <c r="Q222" s="37"/>
      <c r="R222" s="37"/>
      <c r="S222" s="37"/>
      <c r="T222" s="37"/>
      <c r="U222" s="3"/>
      <c r="W222" s="3"/>
      <c r="X222" s="3"/>
      <c r="Y222" s="3"/>
      <c r="Z222" s="3"/>
    </row>
    <row r="223" spans="1:26" ht="14.4" hidden="1" outlineLevel="1" x14ac:dyDescent="0.3">
      <c r="A223" s="3"/>
      <c r="B223" s="10" t="s">
        <v>372</v>
      </c>
      <c r="C223" s="62"/>
      <c r="D223" s="62"/>
      <c r="E223" s="12">
        <v>0</v>
      </c>
      <c r="F223" s="12">
        <v>0</v>
      </c>
      <c r="G223" s="89"/>
      <c r="H223" s="65"/>
      <c r="I223" s="112"/>
      <c r="J223" s="65"/>
      <c r="K223" s="37"/>
      <c r="L223" s="37"/>
      <c r="M223" s="37"/>
      <c r="N223" s="37"/>
      <c r="O223" s="37"/>
      <c r="P223" s="37"/>
      <c r="Q223" s="37"/>
      <c r="R223" s="37"/>
      <c r="S223" s="37"/>
      <c r="T223" s="37"/>
      <c r="U223" s="3"/>
      <c r="W223" s="3"/>
      <c r="X223" s="3"/>
      <c r="Y223" s="3"/>
      <c r="Z223" s="3"/>
    </row>
    <row r="224" spans="1:26" ht="20.399999999999999" collapsed="1" x14ac:dyDescent="0.3">
      <c r="A224" s="3"/>
      <c r="B224" s="84" t="s">
        <v>402</v>
      </c>
      <c r="C224" s="85" t="s">
        <v>43</v>
      </c>
      <c r="D224" s="85" t="s">
        <v>43</v>
      </c>
      <c r="E224" s="86">
        <f>SUM(E225:E233)</f>
        <v>0</v>
      </c>
      <c r="F224" s="86">
        <f>SUMIF(D225:D233,"OK",F225:F233)</f>
        <v>0</v>
      </c>
      <c r="G224" s="87"/>
      <c r="H224" s="87"/>
      <c r="I224" s="88"/>
      <c r="J224" s="87"/>
      <c r="K224" s="37"/>
      <c r="L224" s="37"/>
      <c r="M224" s="37"/>
      <c r="N224" s="37"/>
      <c r="O224" s="37"/>
      <c r="P224" s="37"/>
      <c r="Q224" s="37"/>
      <c r="R224" s="37"/>
      <c r="S224" s="37"/>
      <c r="T224" s="37"/>
      <c r="U224" s="3"/>
      <c r="W224" s="3"/>
      <c r="X224" s="3"/>
      <c r="Y224" s="3"/>
      <c r="Z224" s="3"/>
    </row>
    <row r="225" spans="1:26" ht="14.4" hidden="1" outlineLevel="1" x14ac:dyDescent="0.3">
      <c r="A225" s="3"/>
      <c r="B225" s="10" t="s">
        <v>353</v>
      </c>
      <c r="C225" s="62"/>
      <c r="D225" s="62"/>
      <c r="E225" s="12">
        <v>0</v>
      </c>
      <c r="F225" s="12">
        <v>0</v>
      </c>
      <c r="G225" s="65"/>
      <c r="H225" s="65"/>
      <c r="I225" s="89"/>
      <c r="J225" s="65"/>
      <c r="K225" s="37"/>
      <c r="L225" s="37"/>
      <c r="M225" s="37"/>
      <c r="N225" s="37"/>
      <c r="O225" s="37"/>
      <c r="P225" s="37"/>
      <c r="Q225" s="37"/>
      <c r="R225" s="37"/>
      <c r="S225" s="37"/>
      <c r="T225" s="37"/>
      <c r="U225" s="3"/>
      <c r="W225" s="3"/>
      <c r="X225" s="3"/>
      <c r="Y225" s="3"/>
      <c r="Z225" s="3"/>
    </row>
    <row r="226" spans="1:26" ht="14.4" hidden="1" outlineLevel="1" x14ac:dyDescent="0.3">
      <c r="A226" s="3"/>
      <c r="B226" s="10" t="s">
        <v>354</v>
      </c>
      <c r="C226" s="62"/>
      <c r="D226" s="62"/>
      <c r="E226" s="12">
        <v>0</v>
      </c>
      <c r="F226" s="12">
        <v>0</v>
      </c>
      <c r="G226" s="65"/>
      <c r="H226" s="65"/>
      <c r="I226" s="89"/>
      <c r="J226" s="65"/>
      <c r="K226" s="37"/>
      <c r="L226" s="37"/>
      <c r="M226" s="37"/>
      <c r="N226" s="37"/>
      <c r="O226" s="37"/>
      <c r="P226" s="37"/>
      <c r="Q226" s="37"/>
      <c r="R226" s="37"/>
      <c r="S226" s="37"/>
      <c r="T226" s="37"/>
      <c r="U226" s="3"/>
      <c r="W226" s="3"/>
      <c r="X226" s="3"/>
      <c r="Y226" s="3"/>
      <c r="Z226" s="3"/>
    </row>
    <row r="227" spans="1:26" ht="14.4" hidden="1" outlineLevel="1" x14ac:dyDescent="0.3">
      <c r="A227" s="3"/>
      <c r="B227" s="10" t="s">
        <v>355</v>
      </c>
      <c r="C227" s="62"/>
      <c r="D227" s="62"/>
      <c r="E227" s="12">
        <v>0</v>
      </c>
      <c r="F227" s="12">
        <v>0</v>
      </c>
      <c r="G227" s="65"/>
      <c r="H227" s="65"/>
      <c r="I227" s="89"/>
      <c r="J227" s="65"/>
      <c r="K227" s="37"/>
      <c r="L227" s="37"/>
      <c r="M227" s="37"/>
      <c r="N227" s="37"/>
      <c r="O227" s="37"/>
      <c r="P227" s="37"/>
      <c r="Q227" s="37"/>
      <c r="R227" s="37"/>
      <c r="S227" s="37"/>
      <c r="T227" s="37"/>
      <c r="U227" s="3"/>
      <c r="W227" s="3"/>
      <c r="X227" s="3"/>
      <c r="Y227" s="3"/>
      <c r="Z227" s="3"/>
    </row>
    <row r="228" spans="1:26" ht="14.4" hidden="1" outlineLevel="1" x14ac:dyDescent="0.3">
      <c r="A228" s="3"/>
      <c r="B228" s="10" t="s">
        <v>369</v>
      </c>
      <c r="C228" s="62"/>
      <c r="D228" s="62"/>
      <c r="E228" s="12">
        <v>0</v>
      </c>
      <c r="F228" s="12">
        <v>0</v>
      </c>
      <c r="G228" s="65"/>
      <c r="H228" s="65"/>
      <c r="I228" s="89"/>
      <c r="J228" s="65"/>
      <c r="K228" s="37"/>
      <c r="L228" s="37"/>
      <c r="M228" s="37"/>
      <c r="N228" s="37"/>
      <c r="O228" s="37"/>
      <c r="P228" s="37"/>
      <c r="Q228" s="37"/>
      <c r="R228" s="37"/>
      <c r="S228" s="37"/>
      <c r="T228" s="37"/>
      <c r="U228" s="3"/>
      <c r="W228" s="3"/>
      <c r="X228" s="3"/>
      <c r="Y228" s="3"/>
      <c r="Z228" s="3"/>
    </row>
    <row r="229" spans="1:26" ht="14.4" hidden="1" outlineLevel="1" x14ac:dyDescent="0.3">
      <c r="A229" s="3"/>
      <c r="B229" s="10" t="s">
        <v>327</v>
      </c>
      <c r="C229" s="62"/>
      <c r="D229" s="62"/>
      <c r="E229" s="12">
        <v>0</v>
      </c>
      <c r="F229" s="12">
        <v>0</v>
      </c>
      <c r="G229" s="65"/>
      <c r="H229" s="65"/>
      <c r="I229" s="89"/>
      <c r="J229" s="65"/>
      <c r="K229" s="37"/>
      <c r="L229" s="37"/>
      <c r="M229" s="37"/>
      <c r="N229" s="37"/>
      <c r="O229" s="37"/>
      <c r="P229" s="37"/>
      <c r="Q229" s="37"/>
      <c r="R229" s="37"/>
      <c r="S229" s="37"/>
      <c r="T229" s="37"/>
      <c r="U229" s="3"/>
      <c r="W229" s="3"/>
      <c r="X229" s="3"/>
      <c r="Y229" s="3"/>
      <c r="Z229" s="3"/>
    </row>
    <row r="230" spans="1:26" ht="14.4" hidden="1" outlineLevel="1" x14ac:dyDescent="0.3">
      <c r="A230" s="3"/>
      <c r="B230" s="10" t="s">
        <v>328</v>
      </c>
      <c r="C230" s="62"/>
      <c r="D230" s="62"/>
      <c r="E230" s="12">
        <v>0</v>
      </c>
      <c r="F230" s="12">
        <v>0</v>
      </c>
      <c r="G230" s="65"/>
      <c r="H230" s="65"/>
      <c r="I230" s="89"/>
      <c r="J230" s="65"/>
      <c r="K230" s="37"/>
      <c r="L230" s="37"/>
      <c r="M230" s="37"/>
      <c r="N230" s="37"/>
      <c r="O230" s="37"/>
      <c r="P230" s="37"/>
      <c r="Q230" s="37"/>
      <c r="R230" s="37"/>
      <c r="S230" s="37"/>
      <c r="T230" s="37"/>
      <c r="U230" s="3"/>
      <c r="W230" s="3"/>
      <c r="X230" s="3"/>
      <c r="Y230" s="3"/>
      <c r="Z230" s="3"/>
    </row>
    <row r="231" spans="1:26" ht="14.4" hidden="1" outlineLevel="1" x14ac:dyDescent="0.3">
      <c r="A231" s="3"/>
      <c r="B231" s="10" t="s">
        <v>370</v>
      </c>
      <c r="C231" s="62"/>
      <c r="D231" s="62"/>
      <c r="E231" s="12">
        <v>0</v>
      </c>
      <c r="F231" s="12">
        <v>0</v>
      </c>
      <c r="G231" s="65"/>
      <c r="H231" s="65"/>
      <c r="I231" s="89"/>
      <c r="J231" s="65"/>
      <c r="K231" s="37"/>
      <c r="L231" s="37"/>
      <c r="M231" s="37"/>
      <c r="N231" s="37"/>
      <c r="O231" s="37"/>
      <c r="P231" s="37"/>
      <c r="Q231" s="37"/>
      <c r="R231" s="37"/>
      <c r="S231" s="37"/>
      <c r="T231" s="37"/>
      <c r="U231" s="3"/>
      <c r="W231" s="3"/>
      <c r="X231" s="3"/>
      <c r="Y231" s="3"/>
      <c r="Z231" s="3"/>
    </row>
    <row r="232" spans="1:26" ht="14.4" hidden="1" outlineLevel="1" x14ac:dyDescent="0.3">
      <c r="A232" s="3"/>
      <c r="B232" s="10" t="s">
        <v>371</v>
      </c>
      <c r="C232" s="62"/>
      <c r="D232" s="62"/>
      <c r="E232" s="12">
        <v>0</v>
      </c>
      <c r="F232" s="12">
        <v>0</v>
      </c>
      <c r="G232" s="65"/>
      <c r="H232" s="65"/>
      <c r="I232" s="89"/>
      <c r="J232" s="65"/>
      <c r="K232" s="37"/>
      <c r="L232" s="37"/>
      <c r="M232" s="37"/>
      <c r="N232" s="37"/>
      <c r="O232" s="37"/>
      <c r="P232" s="37"/>
      <c r="Q232" s="37"/>
      <c r="R232" s="37"/>
      <c r="S232" s="37"/>
      <c r="T232" s="37"/>
      <c r="U232" s="3"/>
      <c r="W232" s="3"/>
      <c r="X232" s="3"/>
      <c r="Y232" s="3"/>
      <c r="Z232" s="3"/>
    </row>
    <row r="233" spans="1:26" ht="14.4" hidden="1" outlineLevel="1" x14ac:dyDescent="0.3">
      <c r="A233" s="3"/>
      <c r="B233" s="10" t="s">
        <v>372</v>
      </c>
      <c r="C233" s="62"/>
      <c r="D233" s="62"/>
      <c r="E233" s="12">
        <v>0</v>
      </c>
      <c r="F233" s="12">
        <v>0</v>
      </c>
      <c r="G233" s="65"/>
      <c r="H233" s="65"/>
      <c r="I233" s="89"/>
      <c r="J233" s="65"/>
      <c r="K233" s="37"/>
      <c r="L233" s="37"/>
      <c r="M233" s="37"/>
      <c r="N233" s="37"/>
      <c r="O233" s="37"/>
      <c r="P233" s="37"/>
      <c r="Q233" s="37"/>
      <c r="R233" s="37"/>
      <c r="S233" s="37"/>
      <c r="T233" s="37"/>
      <c r="U233" s="3"/>
      <c r="W233" s="3"/>
      <c r="X233" s="3"/>
      <c r="Y233" s="3"/>
      <c r="Z233" s="3"/>
    </row>
    <row r="234" spans="1:26" ht="20.399999999999999" collapsed="1" x14ac:dyDescent="0.3">
      <c r="A234" s="3"/>
      <c r="B234" s="84" t="s">
        <v>403</v>
      </c>
      <c r="C234" s="85" t="s">
        <v>43</v>
      </c>
      <c r="D234" s="85" t="s">
        <v>43</v>
      </c>
      <c r="E234" s="86">
        <f>SUM(E235:E243)</f>
        <v>0</v>
      </c>
      <c r="F234" s="86">
        <f>SUMIF(D235:D243,"OK",F235:F243)</f>
        <v>1240</v>
      </c>
      <c r="G234" s="87"/>
      <c r="H234" s="87"/>
      <c r="I234" s="88"/>
      <c r="J234" s="87"/>
      <c r="K234" s="37"/>
      <c r="L234" s="37"/>
      <c r="M234" s="37"/>
      <c r="N234" s="37"/>
      <c r="O234" s="37"/>
      <c r="P234" s="37"/>
      <c r="Q234" s="37"/>
      <c r="R234" s="37"/>
      <c r="S234" s="37"/>
      <c r="T234" s="37"/>
      <c r="U234" s="3"/>
      <c r="W234" s="3"/>
      <c r="X234" s="3"/>
      <c r="Y234" s="3"/>
      <c r="Z234" s="3"/>
    </row>
    <row r="235" spans="1:26" ht="14.4" hidden="1" outlineLevel="1" x14ac:dyDescent="0.3">
      <c r="A235" s="3"/>
      <c r="B235" s="10" t="s">
        <v>1147</v>
      </c>
      <c r="C235" s="62">
        <v>30</v>
      </c>
      <c r="D235" s="62" t="s">
        <v>94</v>
      </c>
      <c r="E235" s="12">
        <v>0</v>
      </c>
      <c r="F235" s="12">
        <v>1160</v>
      </c>
      <c r="G235" s="89"/>
      <c r="H235" s="65" t="s">
        <v>37</v>
      </c>
      <c r="I235" s="112" t="s">
        <v>1060</v>
      </c>
      <c r="J235" s="65"/>
      <c r="K235" s="37"/>
      <c r="L235" s="37"/>
      <c r="M235" s="37"/>
      <c r="N235" s="37"/>
      <c r="O235" s="37"/>
      <c r="P235" s="37"/>
      <c r="Q235" s="37"/>
      <c r="R235" s="37"/>
      <c r="S235" s="37"/>
      <c r="T235" s="37"/>
      <c r="U235" s="3"/>
      <c r="W235" s="3"/>
      <c r="X235" s="3"/>
      <c r="Y235" s="3"/>
      <c r="Z235" s="3"/>
    </row>
    <row r="236" spans="1:26" ht="14.4" hidden="1" outlineLevel="1" x14ac:dyDescent="0.3">
      <c r="A236" s="3"/>
      <c r="B236" s="10" t="s">
        <v>1148</v>
      </c>
      <c r="C236" s="62">
        <v>30</v>
      </c>
      <c r="D236" s="62" t="s">
        <v>94</v>
      </c>
      <c r="E236" s="12">
        <v>0</v>
      </c>
      <c r="F236" s="12">
        <v>80</v>
      </c>
      <c r="G236" s="65"/>
      <c r="H236" s="65" t="s">
        <v>37</v>
      </c>
      <c r="I236" s="112" t="s">
        <v>1060</v>
      </c>
      <c r="J236" s="65"/>
      <c r="K236" s="37"/>
      <c r="L236" s="37"/>
      <c r="M236" s="37"/>
      <c r="N236" s="37"/>
      <c r="O236" s="37"/>
      <c r="P236" s="37"/>
      <c r="Q236" s="37"/>
      <c r="R236" s="37"/>
      <c r="S236" s="37"/>
      <c r="T236" s="37"/>
      <c r="U236" s="3"/>
      <c r="W236" s="3"/>
      <c r="X236" s="3"/>
      <c r="Y236" s="3"/>
      <c r="Z236" s="3"/>
    </row>
    <row r="237" spans="1:26" ht="14.4" hidden="1" outlineLevel="1" x14ac:dyDescent="0.3">
      <c r="A237" s="3"/>
      <c r="B237" s="10" t="s">
        <v>355</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4.4" hidden="1" outlineLevel="1" x14ac:dyDescent="0.3">
      <c r="A238" s="3"/>
      <c r="B238" s="10" t="s">
        <v>369</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4.4" hidden="1" outlineLevel="1" x14ac:dyDescent="0.3">
      <c r="A239" s="3"/>
      <c r="B239" s="10" t="s">
        <v>327</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4.4" hidden="1" outlineLevel="1" x14ac:dyDescent="0.3">
      <c r="A240" s="3"/>
      <c r="B240" s="10" t="s">
        <v>328</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4.4" hidden="1" outlineLevel="1" x14ac:dyDescent="0.3">
      <c r="A241" s="3"/>
      <c r="B241" s="10" t="s">
        <v>370</v>
      </c>
      <c r="C241" s="62"/>
      <c r="D241" s="62"/>
      <c r="E241" s="12">
        <v>0</v>
      </c>
      <c r="F241" s="12">
        <v>0</v>
      </c>
      <c r="G241" s="65"/>
      <c r="H241" s="65"/>
      <c r="I241" s="89"/>
      <c r="J241" s="65"/>
      <c r="K241" s="37"/>
      <c r="L241" s="37"/>
      <c r="M241" s="37"/>
      <c r="N241" s="37"/>
      <c r="O241" s="37"/>
      <c r="P241" s="37"/>
      <c r="Q241" s="37"/>
      <c r="R241" s="37"/>
      <c r="S241" s="37"/>
      <c r="T241" s="37"/>
      <c r="U241" s="3"/>
      <c r="W241" s="3"/>
      <c r="X241" s="3"/>
      <c r="Y241" s="3"/>
      <c r="Z241" s="3"/>
    </row>
    <row r="242" spans="1:26" ht="14.4" hidden="1" outlineLevel="1" x14ac:dyDescent="0.3">
      <c r="A242" s="3"/>
      <c r="B242" s="10" t="s">
        <v>371</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4.4" hidden="1" outlineLevel="1" x14ac:dyDescent="0.3">
      <c r="A243" s="3"/>
      <c r="B243" s="10" t="s">
        <v>372</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20.399999999999999" collapsed="1" x14ac:dyDescent="0.3">
      <c r="A244" s="3"/>
      <c r="B244" s="84" t="s">
        <v>405</v>
      </c>
      <c r="C244" s="85" t="s">
        <v>43</v>
      </c>
      <c r="D244" s="85" t="s">
        <v>43</v>
      </c>
      <c r="E244" s="86">
        <f>SUM(E245:E253)</f>
        <v>0</v>
      </c>
      <c r="F244" s="86">
        <f>SUMIF(D245:D253,"OK",F245:F253)</f>
        <v>0</v>
      </c>
      <c r="G244" s="87"/>
      <c r="H244" s="87"/>
      <c r="I244" s="88"/>
      <c r="J244" s="87"/>
      <c r="K244" s="37"/>
      <c r="L244" s="37"/>
      <c r="M244" s="37"/>
      <c r="N244" s="37"/>
      <c r="O244" s="37"/>
      <c r="P244" s="37"/>
      <c r="Q244" s="37"/>
      <c r="R244" s="37"/>
      <c r="S244" s="37"/>
      <c r="T244" s="37"/>
      <c r="U244" s="3"/>
      <c r="W244" s="3"/>
      <c r="X244" s="3"/>
      <c r="Y244" s="3"/>
      <c r="Z244" s="3"/>
    </row>
    <row r="245" spans="1:26" ht="14.4" hidden="1" outlineLevel="1" x14ac:dyDescent="0.3">
      <c r="A245" s="3"/>
      <c r="B245" s="10" t="s">
        <v>1023</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t="14.4" hidden="1" outlineLevel="1" x14ac:dyDescent="0.3">
      <c r="A246" s="3"/>
      <c r="B246" s="10" t="s">
        <v>354</v>
      </c>
      <c r="C246" s="62"/>
      <c r="D246" s="62"/>
      <c r="E246" s="12">
        <v>0</v>
      </c>
      <c r="F246" s="12">
        <v>0</v>
      </c>
      <c r="G246" s="65"/>
      <c r="H246" s="65"/>
      <c r="I246" s="89"/>
      <c r="J246" s="65"/>
      <c r="K246" s="37"/>
      <c r="L246" s="37"/>
      <c r="M246" s="37"/>
      <c r="N246" s="37"/>
      <c r="O246" s="37"/>
      <c r="P246" s="37"/>
      <c r="Q246" s="37"/>
      <c r="R246" s="37"/>
      <c r="S246" s="37"/>
      <c r="T246" s="37"/>
      <c r="U246" s="3"/>
      <c r="W246" s="3"/>
      <c r="X246" s="3"/>
      <c r="Y246" s="3"/>
      <c r="Z246" s="3"/>
    </row>
    <row r="247" spans="1:26" ht="14.4" hidden="1" outlineLevel="1" x14ac:dyDescent="0.3">
      <c r="A247" s="3"/>
      <c r="B247" s="10" t="s">
        <v>355</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14.4" hidden="1" outlineLevel="1" x14ac:dyDescent="0.3">
      <c r="A248" s="3"/>
      <c r="B248" s="10" t="s">
        <v>369</v>
      </c>
      <c r="C248" s="62"/>
      <c r="D248" s="62"/>
      <c r="E248" s="12">
        <v>0</v>
      </c>
      <c r="F248" s="12">
        <v>0</v>
      </c>
      <c r="G248" s="65"/>
      <c r="H248" s="65"/>
      <c r="I248" s="89"/>
      <c r="J248" s="65"/>
      <c r="K248" s="37"/>
      <c r="L248" s="37"/>
      <c r="M248" s="37"/>
      <c r="N248" s="37"/>
      <c r="O248" s="37"/>
      <c r="P248" s="37"/>
      <c r="Q248" s="37"/>
      <c r="R248" s="37"/>
      <c r="S248" s="37"/>
      <c r="T248" s="37"/>
      <c r="U248" s="3"/>
      <c r="W248" s="3"/>
      <c r="X248" s="3"/>
      <c r="Y248" s="3"/>
      <c r="Z248" s="3"/>
    </row>
    <row r="249" spans="1:26" ht="14.4" hidden="1" outlineLevel="1" x14ac:dyDescent="0.3">
      <c r="A249" s="3"/>
      <c r="B249" s="10" t="s">
        <v>327</v>
      </c>
      <c r="C249" s="62"/>
      <c r="D249" s="62"/>
      <c r="E249" s="12">
        <v>0</v>
      </c>
      <c r="F249" s="12">
        <v>0</v>
      </c>
      <c r="G249" s="65"/>
      <c r="H249" s="65"/>
      <c r="I249" s="89"/>
      <c r="J249" s="65"/>
      <c r="K249" s="37"/>
      <c r="L249" s="37"/>
      <c r="M249" s="37"/>
      <c r="N249" s="37"/>
      <c r="O249" s="37"/>
      <c r="P249" s="37"/>
      <c r="Q249" s="37"/>
      <c r="R249" s="37"/>
      <c r="S249" s="37"/>
      <c r="T249" s="37"/>
      <c r="U249" s="3"/>
      <c r="W249" s="3"/>
      <c r="X249" s="3"/>
      <c r="Y249" s="3"/>
      <c r="Z249" s="3"/>
    </row>
    <row r="250" spans="1:26" ht="14.4" hidden="1" outlineLevel="1" x14ac:dyDescent="0.3">
      <c r="A250" s="3"/>
      <c r="B250" s="10" t="s">
        <v>328</v>
      </c>
      <c r="C250" s="62"/>
      <c r="D250" s="62"/>
      <c r="E250" s="12">
        <v>0</v>
      </c>
      <c r="F250" s="12">
        <v>0</v>
      </c>
      <c r="G250" s="65"/>
      <c r="H250" s="65"/>
      <c r="I250" s="89"/>
      <c r="J250" s="65"/>
      <c r="K250" s="37"/>
      <c r="L250" s="37"/>
      <c r="M250" s="37"/>
      <c r="N250" s="37"/>
      <c r="O250" s="37"/>
      <c r="P250" s="37"/>
      <c r="Q250" s="37"/>
      <c r="R250" s="37"/>
      <c r="S250" s="37"/>
      <c r="T250" s="37"/>
      <c r="U250" s="3"/>
      <c r="W250" s="3"/>
      <c r="X250" s="3"/>
      <c r="Y250" s="3"/>
      <c r="Z250" s="3"/>
    </row>
    <row r="251" spans="1:26" ht="14.4" hidden="1" outlineLevel="1" x14ac:dyDescent="0.3">
      <c r="A251" s="3"/>
      <c r="B251" s="10" t="s">
        <v>370</v>
      </c>
      <c r="C251" s="62"/>
      <c r="D251" s="62"/>
      <c r="E251" s="12">
        <v>0</v>
      </c>
      <c r="F251" s="12">
        <v>0</v>
      </c>
      <c r="G251" s="65"/>
      <c r="H251" s="65"/>
      <c r="I251" s="89"/>
      <c r="J251" s="65"/>
      <c r="K251" s="37"/>
      <c r="L251" s="37"/>
      <c r="M251" s="37"/>
      <c r="N251" s="37"/>
      <c r="O251" s="37"/>
      <c r="P251" s="37"/>
      <c r="Q251" s="37"/>
      <c r="R251" s="37"/>
      <c r="S251" s="37"/>
      <c r="T251" s="37"/>
      <c r="U251" s="3"/>
      <c r="W251" s="3"/>
      <c r="X251" s="3"/>
      <c r="Y251" s="3"/>
      <c r="Z251" s="3"/>
    </row>
    <row r="252" spans="1:26" ht="14.4" hidden="1" outlineLevel="1" x14ac:dyDescent="0.3">
      <c r="A252" s="3"/>
      <c r="B252" s="10" t="s">
        <v>371</v>
      </c>
      <c r="C252" s="62"/>
      <c r="D252" s="62"/>
      <c r="E252" s="12">
        <v>0</v>
      </c>
      <c r="F252" s="12">
        <v>0</v>
      </c>
      <c r="G252" s="65"/>
      <c r="H252" s="65"/>
      <c r="I252" s="89"/>
      <c r="J252" s="65"/>
      <c r="K252" s="37"/>
      <c r="L252" s="37"/>
      <c r="M252" s="37"/>
      <c r="N252" s="37"/>
      <c r="O252" s="37"/>
      <c r="P252" s="37"/>
      <c r="Q252" s="37"/>
      <c r="R252" s="37"/>
      <c r="S252" s="37"/>
      <c r="T252" s="37"/>
      <c r="U252" s="3"/>
      <c r="W252" s="3"/>
      <c r="X252" s="3"/>
      <c r="Y252" s="3"/>
      <c r="Z252" s="3"/>
    </row>
    <row r="253" spans="1:26" ht="14.4" hidden="1" outlineLevel="1" x14ac:dyDescent="0.3">
      <c r="A253" s="3"/>
      <c r="B253" s="10" t="s">
        <v>372</v>
      </c>
      <c r="C253" s="62"/>
      <c r="D253" s="62"/>
      <c r="E253" s="12">
        <v>0</v>
      </c>
      <c r="F253" s="12">
        <v>0</v>
      </c>
      <c r="G253" s="65"/>
      <c r="H253" s="65"/>
      <c r="I253" s="89"/>
      <c r="J253" s="65"/>
      <c r="K253" s="37"/>
      <c r="L253" s="37"/>
      <c r="M253" s="37"/>
      <c r="N253" s="37"/>
      <c r="O253" s="37"/>
      <c r="P253" s="37"/>
      <c r="Q253" s="37"/>
      <c r="R253" s="37"/>
      <c r="S253" s="37"/>
      <c r="T253" s="37"/>
      <c r="U253" s="3"/>
      <c r="W253" s="3"/>
      <c r="X253" s="3"/>
      <c r="Y253" s="3"/>
      <c r="Z253" s="3"/>
    </row>
    <row r="254" spans="1:26" ht="20.399999999999999" collapsed="1" x14ac:dyDescent="0.3">
      <c r="A254" s="3"/>
      <c r="B254" s="84" t="s">
        <v>408</v>
      </c>
      <c r="C254" s="85" t="s">
        <v>43</v>
      </c>
      <c r="D254" s="85" t="s">
        <v>43</v>
      </c>
      <c r="E254" s="86">
        <f>SUM(E255,E265,E275,E285)</f>
        <v>0</v>
      </c>
      <c r="F254" s="86">
        <f>SUM(F255,F265,F275,F285,F295)</f>
        <v>0</v>
      </c>
      <c r="G254" s="87"/>
      <c r="H254" s="87"/>
      <c r="I254" s="88"/>
      <c r="J254" s="87"/>
      <c r="K254" s="37"/>
      <c r="L254" s="37"/>
      <c r="M254" s="37"/>
      <c r="N254" s="37"/>
      <c r="O254" s="37"/>
      <c r="P254" s="37"/>
      <c r="Q254" s="37"/>
      <c r="R254" s="37"/>
      <c r="S254" s="37"/>
      <c r="T254" s="37"/>
      <c r="U254" s="3"/>
      <c r="W254" s="3"/>
      <c r="X254" s="3"/>
      <c r="Y254" s="3"/>
      <c r="Z254" s="3"/>
    </row>
    <row r="255" spans="1:26" hidden="1" outlineLevel="1" x14ac:dyDescent="0.3">
      <c r="A255" s="3"/>
      <c r="B255" s="91" t="s">
        <v>232</v>
      </c>
      <c r="C255" s="92"/>
      <c r="D255" s="92"/>
      <c r="E255" s="93">
        <f>SUM(E256:E264)</f>
        <v>0</v>
      </c>
      <c r="F255" s="93">
        <f>SUMIF(D256:D264,"OK",F256:F264)</f>
        <v>0</v>
      </c>
      <c r="G255" s="94"/>
      <c r="H255" s="94"/>
      <c r="I255" s="95"/>
      <c r="J255" s="94"/>
      <c r="K255" s="37"/>
      <c r="L255" s="37"/>
      <c r="M255" s="37"/>
      <c r="N255" s="37"/>
      <c r="O255" s="37"/>
      <c r="P255" s="37"/>
      <c r="Q255" s="37"/>
      <c r="R255" s="37"/>
      <c r="S255" s="37"/>
      <c r="T255" s="37"/>
      <c r="U255" s="3"/>
      <c r="W255" s="3"/>
      <c r="X255" s="3"/>
      <c r="Y255" s="3"/>
      <c r="Z255" s="3"/>
    </row>
    <row r="256" spans="1:26" ht="14.4" hidden="1" outlineLevel="1" x14ac:dyDescent="0.3">
      <c r="A256" s="3"/>
      <c r="B256" s="10" t="s">
        <v>353</v>
      </c>
      <c r="C256" s="62"/>
      <c r="D256" s="62"/>
      <c r="E256" s="12">
        <v>0</v>
      </c>
      <c r="F256" s="12">
        <v>0</v>
      </c>
      <c r="G256" s="65"/>
      <c r="H256" s="65"/>
      <c r="I256" s="126"/>
      <c r="J256" s="65"/>
      <c r="K256" s="37"/>
      <c r="L256" s="37"/>
      <c r="M256" s="37"/>
      <c r="N256" s="37"/>
      <c r="O256" s="37"/>
      <c r="P256" s="37"/>
      <c r="Q256" s="37"/>
      <c r="R256" s="37"/>
      <c r="S256" s="37"/>
      <c r="T256" s="37"/>
      <c r="U256" s="3"/>
      <c r="W256" s="3"/>
      <c r="X256" s="3"/>
      <c r="Y256" s="3"/>
      <c r="Z256" s="3"/>
    </row>
    <row r="257" spans="1:26" ht="14.4" hidden="1" outlineLevel="1" x14ac:dyDescent="0.3">
      <c r="A257" s="3"/>
      <c r="B257" s="10" t="s">
        <v>354</v>
      </c>
      <c r="C257" s="62"/>
      <c r="D257" s="62"/>
      <c r="E257" s="12">
        <v>0</v>
      </c>
      <c r="F257" s="12">
        <v>0</v>
      </c>
      <c r="G257" s="65"/>
      <c r="H257" s="65"/>
      <c r="I257" s="126"/>
      <c r="J257" s="65"/>
      <c r="K257" s="37"/>
      <c r="L257" s="37"/>
      <c r="M257" s="37"/>
      <c r="N257" s="37"/>
      <c r="O257" s="37"/>
      <c r="P257" s="37"/>
      <c r="Q257" s="37"/>
      <c r="R257" s="37"/>
      <c r="S257" s="37"/>
      <c r="T257" s="37"/>
      <c r="U257" s="3"/>
      <c r="W257" s="3"/>
      <c r="X257" s="3"/>
      <c r="Y257" s="3"/>
      <c r="Z257" s="3"/>
    </row>
    <row r="258" spans="1:26" ht="14.4" hidden="1" outlineLevel="1" x14ac:dyDescent="0.3">
      <c r="A258" s="3"/>
      <c r="B258" s="10" t="s">
        <v>355</v>
      </c>
      <c r="C258" s="62"/>
      <c r="D258" s="62"/>
      <c r="E258" s="12">
        <v>0</v>
      </c>
      <c r="F258" s="12">
        <v>0</v>
      </c>
      <c r="G258" s="65"/>
      <c r="H258" s="65"/>
      <c r="I258" s="126"/>
      <c r="J258" s="65"/>
      <c r="K258" s="37"/>
      <c r="L258" s="37"/>
      <c r="M258" s="37"/>
      <c r="N258" s="37"/>
      <c r="O258" s="37"/>
      <c r="P258" s="37"/>
      <c r="Q258" s="37"/>
      <c r="R258" s="37"/>
      <c r="S258" s="37"/>
      <c r="T258" s="37"/>
      <c r="U258" s="3"/>
      <c r="W258" s="3"/>
      <c r="X258" s="3"/>
      <c r="Y258" s="3"/>
      <c r="Z258" s="3"/>
    </row>
    <row r="259" spans="1:26" ht="14.4" hidden="1" outlineLevel="1" x14ac:dyDescent="0.3">
      <c r="A259" s="3"/>
      <c r="B259" s="10" t="s">
        <v>369</v>
      </c>
      <c r="C259" s="62"/>
      <c r="D259" s="62"/>
      <c r="E259" s="12">
        <v>0</v>
      </c>
      <c r="F259" s="12">
        <v>0</v>
      </c>
      <c r="G259" s="65"/>
      <c r="H259" s="65"/>
      <c r="I259" s="112"/>
      <c r="J259" s="65"/>
      <c r="K259" s="37"/>
      <c r="L259" s="37"/>
      <c r="M259" s="37"/>
      <c r="N259" s="37"/>
      <c r="O259" s="37"/>
      <c r="P259" s="37"/>
      <c r="Q259" s="37"/>
      <c r="R259" s="37"/>
      <c r="S259" s="37"/>
      <c r="T259" s="37"/>
      <c r="U259" s="3"/>
      <c r="W259" s="3"/>
      <c r="X259" s="3"/>
      <c r="Y259" s="3"/>
      <c r="Z259" s="3"/>
    </row>
    <row r="260" spans="1:26" ht="14.4" hidden="1" outlineLevel="1" x14ac:dyDescent="0.3">
      <c r="A260" s="3"/>
      <c r="B260" s="10" t="s">
        <v>327</v>
      </c>
      <c r="C260" s="62"/>
      <c r="D260" s="62"/>
      <c r="E260" s="12">
        <v>0</v>
      </c>
      <c r="F260" s="12">
        <v>0</v>
      </c>
      <c r="G260" s="65"/>
      <c r="H260" s="65"/>
      <c r="I260" s="112"/>
      <c r="J260" s="65"/>
      <c r="K260" s="37"/>
      <c r="L260" s="37"/>
      <c r="M260" s="37"/>
      <c r="N260" s="37"/>
      <c r="O260" s="37"/>
      <c r="P260" s="37"/>
      <c r="Q260" s="37"/>
      <c r="R260" s="37"/>
      <c r="S260" s="37"/>
      <c r="T260" s="37"/>
      <c r="U260" s="3"/>
      <c r="W260" s="3"/>
      <c r="X260" s="3"/>
      <c r="Y260" s="3"/>
      <c r="Z260" s="3"/>
    </row>
    <row r="261" spans="1:26" ht="14.4" hidden="1" outlineLevel="1" x14ac:dyDescent="0.3">
      <c r="A261" s="3"/>
      <c r="B261" s="10" t="s">
        <v>328</v>
      </c>
      <c r="C261" s="62"/>
      <c r="D261" s="62"/>
      <c r="E261" s="12">
        <v>0</v>
      </c>
      <c r="F261" s="12">
        <v>0</v>
      </c>
      <c r="G261" s="65"/>
      <c r="H261" s="65"/>
      <c r="I261" s="89"/>
      <c r="J261" s="65"/>
      <c r="K261" s="37"/>
      <c r="L261" s="37"/>
      <c r="M261" s="37"/>
      <c r="N261" s="37"/>
      <c r="O261" s="37"/>
      <c r="P261" s="37"/>
      <c r="Q261" s="37"/>
      <c r="R261" s="37"/>
      <c r="S261" s="37"/>
      <c r="T261" s="37"/>
      <c r="U261" s="3"/>
      <c r="W261" s="3"/>
      <c r="X261" s="3"/>
      <c r="Y261" s="3"/>
      <c r="Z261" s="3"/>
    </row>
    <row r="262" spans="1:26" ht="14.4" hidden="1" outlineLevel="1" x14ac:dyDescent="0.3">
      <c r="A262" s="3"/>
      <c r="B262" s="10" t="s">
        <v>370</v>
      </c>
      <c r="C262" s="62"/>
      <c r="D262" s="62"/>
      <c r="E262" s="12">
        <v>0</v>
      </c>
      <c r="F262" s="12">
        <v>0</v>
      </c>
      <c r="G262" s="65"/>
      <c r="H262" s="65"/>
      <c r="I262" s="89"/>
      <c r="J262" s="65"/>
      <c r="K262" s="37"/>
      <c r="L262" s="37"/>
      <c r="M262" s="37"/>
      <c r="N262" s="37"/>
      <c r="O262" s="37"/>
      <c r="P262" s="37"/>
      <c r="Q262" s="37"/>
      <c r="R262" s="37"/>
      <c r="S262" s="37"/>
      <c r="T262" s="37"/>
      <c r="U262" s="3"/>
      <c r="W262" s="3"/>
      <c r="X262" s="3"/>
      <c r="Y262" s="3"/>
      <c r="Z262" s="3"/>
    </row>
    <row r="263" spans="1:26" ht="14.4" hidden="1" outlineLevel="1" x14ac:dyDescent="0.3">
      <c r="A263" s="3"/>
      <c r="B263" s="10" t="s">
        <v>371</v>
      </c>
      <c r="C263" s="62"/>
      <c r="D263" s="62"/>
      <c r="E263" s="12">
        <v>0</v>
      </c>
      <c r="F263" s="12">
        <v>0</v>
      </c>
      <c r="G263" s="65"/>
      <c r="H263" s="65"/>
      <c r="I263" s="89"/>
      <c r="J263" s="65"/>
      <c r="K263" s="37"/>
      <c r="L263" s="37"/>
      <c r="M263" s="37"/>
      <c r="N263" s="37"/>
      <c r="O263" s="37"/>
      <c r="P263" s="37"/>
      <c r="Q263" s="37"/>
      <c r="R263" s="37"/>
      <c r="S263" s="37"/>
      <c r="T263" s="37"/>
      <c r="U263" s="3"/>
      <c r="W263" s="3"/>
      <c r="X263" s="3"/>
      <c r="Y263" s="3"/>
      <c r="Z263" s="3"/>
    </row>
    <row r="264" spans="1:26" ht="14.4" hidden="1" outlineLevel="1" x14ac:dyDescent="0.3">
      <c r="A264" s="3"/>
      <c r="B264" s="10" t="s">
        <v>372</v>
      </c>
      <c r="C264" s="62"/>
      <c r="D264" s="62"/>
      <c r="E264" s="12">
        <v>0</v>
      </c>
      <c r="F264" s="12">
        <v>0</v>
      </c>
      <c r="G264" s="65"/>
      <c r="H264" s="65"/>
      <c r="I264" s="89"/>
      <c r="J264" s="65"/>
      <c r="K264" s="37"/>
      <c r="L264" s="37"/>
      <c r="M264" s="37"/>
      <c r="N264" s="37"/>
      <c r="O264" s="37"/>
      <c r="P264" s="37"/>
      <c r="Q264" s="37"/>
      <c r="R264" s="37"/>
      <c r="S264" s="37"/>
      <c r="T264" s="37"/>
      <c r="U264" s="3"/>
      <c r="W264" s="3"/>
      <c r="X264" s="3"/>
      <c r="Y264" s="3"/>
      <c r="Z264" s="3"/>
    </row>
    <row r="265" spans="1:26" hidden="1" outlineLevel="1" x14ac:dyDescent="0.3">
      <c r="A265" s="3"/>
      <c r="B265" s="91" t="s">
        <v>651</v>
      </c>
      <c r="C265" s="92"/>
      <c r="D265" s="92"/>
      <c r="E265" s="93">
        <f>SUM(E266:E274)</f>
        <v>0</v>
      </c>
      <c r="F265" s="93">
        <f>SUMIF(D266:D274,"OK",F266:F274)</f>
        <v>0</v>
      </c>
      <c r="G265" s="94"/>
      <c r="H265" s="94"/>
      <c r="I265" s="95"/>
      <c r="J265" s="94"/>
      <c r="K265" s="37"/>
      <c r="L265" s="37"/>
      <c r="M265" s="37"/>
      <c r="N265" s="37"/>
      <c r="O265" s="37"/>
      <c r="P265" s="37"/>
      <c r="Q265" s="37"/>
      <c r="R265" s="37"/>
      <c r="S265" s="37"/>
      <c r="T265" s="37"/>
      <c r="U265" s="3"/>
      <c r="W265" s="3"/>
      <c r="X265" s="3"/>
      <c r="Y265" s="3"/>
      <c r="Z265" s="3"/>
    </row>
    <row r="266" spans="1:26" ht="14.4" hidden="1" outlineLevel="1" x14ac:dyDescent="0.3">
      <c r="A266" s="3"/>
      <c r="B266" s="10" t="s">
        <v>353</v>
      </c>
      <c r="C266" s="62"/>
      <c r="D266" s="62"/>
      <c r="E266" s="12">
        <v>0</v>
      </c>
      <c r="F266" s="12">
        <v>0</v>
      </c>
      <c r="G266" s="65"/>
      <c r="H266" s="65"/>
      <c r="I266" s="112"/>
      <c r="J266" s="65"/>
      <c r="K266" s="37"/>
      <c r="L266" s="37"/>
      <c r="M266" s="37"/>
      <c r="N266" s="37"/>
      <c r="O266" s="37"/>
      <c r="P266" s="37"/>
      <c r="Q266" s="37"/>
      <c r="R266" s="37"/>
      <c r="S266" s="37"/>
      <c r="T266" s="37"/>
      <c r="U266" s="3"/>
      <c r="W266" s="3"/>
      <c r="X266" s="3"/>
      <c r="Y266" s="3"/>
      <c r="Z266" s="3"/>
    </row>
    <row r="267" spans="1:26" ht="14.4" hidden="1" outlineLevel="1" x14ac:dyDescent="0.3">
      <c r="A267" s="3"/>
      <c r="B267" s="10" t="s">
        <v>354</v>
      </c>
      <c r="C267" s="62"/>
      <c r="D267" s="62"/>
      <c r="E267" s="12">
        <v>0</v>
      </c>
      <c r="F267" s="12">
        <v>0</v>
      </c>
      <c r="G267" s="65"/>
      <c r="H267" s="65"/>
      <c r="I267" s="112"/>
      <c r="J267" s="65"/>
      <c r="K267" s="37"/>
      <c r="L267" s="37"/>
      <c r="M267" s="37"/>
      <c r="N267" s="37"/>
      <c r="O267" s="37"/>
      <c r="P267" s="37"/>
      <c r="Q267" s="37"/>
      <c r="R267" s="37"/>
      <c r="S267" s="37"/>
      <c r="T267" s="37"/>
      <c r="U267" s="3"/>
      <c r="W267" s="3"/>
      <c r="X267" s="3"/>
      <c r="Y267" s="3"/>
      <c r="Z267" s="3"/>
    </row>
    <row r="268" spans="1:26" ht="14.4" hidden="1" outlineLevel="1" x14ac:dyDescent="0.3">
      <c r="A268" s="3"/>
      <c r="B268" s="10" t="s">
        <v>355</v>
      </c>
      <c r="C268" s="62"/>
      <c r="D268" s="62"/>
      <c r="E268" s="12">
        <v>0</v>
      </c>
      <c r="F268" s="12">
        <v>0</v>
      </c>
      <c r="G268" s="65"/>
      <c r="H268" s="65"/>
      <c r="I268" s="112"/>
      <c r="J268" s="65"/>
      <c r="K268" s="37"/>
      <c r="L268" s="37"/>
      <c r="M268" s="37"/>
      <c r="N268" s="37"/>
      <c r="O268" s="37"/>
      <c r="P268" s="37"/>
      <c r="Q268" s="37"/>
      <c r="R268" s="37"/>
      <c r="S268" s="37"/>
      <c r="T268" s="37"/>
      <c r="U268" s="3"/>
      <c r="W268" s="3"/>
      <c r="X268" s="3"/>
      <c r="Y268" s="3"/>
      <c r="Z268" s="3"/>
    </row>
    <row r="269" spans="1:26" ht="14.4" hidden="1" outlineLevel="1" x14ac:dyDescent="0.3">
      <c r="A269" s="3"/>
      <c r="B269" s="10" t="s">
        <v>369</v>
      </c>
      <c r="C269" s="62"/>
      <c r="D269" s="62"/>
      <c r="E269" s="12">
        <v>0</v>
      </c>
      <c r="F269" s="12">
        <v>0</v>
      </c>
      <c r="G269" s="65"/>
      <c r="H269" s="65"/>
      <c r="I269" s="112"/>
      <c r="J269" s="65"/>
      <c r="K269" s="37"/>
      <c r="L269" s="37"/>
      <c r="M269" s="37"/>
      <c r="N269" s="37"/>
      <c r="O269" s="37"/>
      <c r="P269" s="37"/>
      <c r="Q269" s="37"/>
      <c r="R269" s="37"/>
      <c r="S269" s="37"/>
      <c r="T269" s="37"/>
      <c r="U269" s="3"/>
      <c r="W269" s="3"/>
      <c r="X269" s="3"/>
      <c r="Y269" s="3"/>
      <c r="Z269" s="3"/>
    </row>
    <row r="270" spans="1:26" ht="14.4" hidden="1" outlineLevel="1" x14ac:dyDescent="0.3">
      <c r="A270" s="3"/>
      <c r="B270" s="10" t="s">
        <v>327</v>
      </c>
      <c r="C270" s="62"/>
      <c r="D270" s="62"/>
      <c r="E270" s="12">
        <v>0</v>
      </c>
      <c r="F270" s="12">
        <v>0</v>
      </c>
      <c r="G270" s="65"/>
      <c r="H270" s="65"/>
      <c r="I270" s="112"/>
      <c r="J270" s="65"/>
      <c r="K270" s="37"/>
      <c r="L270" s="37"/>
      <c r="M270" s="37"/>
      <c r="N270" s="37"/>
      <c r="O270" s="37"/>
      <c r="P270" s="37"/>
      <c r="Q270" s="37"/>
      <c r="R270" s="37"/>
      <c r="S270" s="37"/>
      <c r="T270" s="37"/>
      <c r="U270" s="3"/>
      <c r="W270" s="3"/>
      <c r="X270" s="3"/>
      <c r="Y270" s="3"/>
      <c r="Z270" s="3"/>
    </row>
    <row r="271" spans="1:26" ht="14.4" hidden="1" outlineLevel="1" x14ac:dyDescent="0.3">
      <c r="A271" s="3"/>
      <c r="B271" s="10" t="s">
        <v>328</v>
      </c>
      <c r="C271" s="62"/>
      <c r="D271" s="62"/>
      <c r="E271" s="12">
        <v>0</v>
      </c>
      <c r="F271" s="12">
        <v>0</v>
      </c>
      <c r="G271" s="65"/>
      <c r="H271" s="65"/>
      <c r="I271" s="112"/>
      <c r="J271" s="65"/>
      <c r="K271" s="37"/>
      <c r="L271" s="37"/>
      <c r="M271" s="37"/>
      <c r="N271" s="37"/>
      <c r="O271" s="37"/>
      <c r="P271" s="37"/>
      <c r="Q271" s="37"/>
      <c r="R271" s="37"/>
      <c r="S271" s="37"/>
      <c r="T271" s="37"/>
      <c r="U271" s="3"/>
      <c r="W271" s="3"/>
      <c r="X271" s="3"/>
      <c r="Y271" s="3"/>
      <c r="Z271" s="3"/>
    </row>
    <row r="272" spans="1:26" ht="14.4" hidden="1" outlineLevel="1" x14ac:dyDescent="0.3">
      <c r="A272" s="3"/>
      <c r="B272" s="10" t="s">
        <v>370</v>
      </c>
      <c r="C272" s="62"/>
      <c r="D272" s="62"/>
      <c r="E272" s="12">
        <v>0</v>
      </c>
      <c r="F272" s="12">
        <v>0</v>
      </c>
      <c r="G272" s="65"/>
      <c r="H272" s="65"/>
      <c r="I272" s="112"/>
      <c r="J272" s="65"/>
      <c r="K272" s="37"/>
      <c r="L272" s="37"/>
      <c r="M272" s="37"/>
      <c r="N272" s="37"/>
      <c r="O272" s="37"/>
      <c r="P272" s="37"/>
      <c r="Q272" s="37"/>
      <c r="R272" s="37"/>
      <c r="S272" s="37"/>
      <c r="T272" s="37"/>
      <c r="U272" s="3"/>
      <c r="W272" s="3"/>
      <c r="X272" s="3"/>
      <c r="Y272" s="3"/>
      <c r="Z272" s="3"/>
    </row>
    <row r="273" spans="1:26" ht="14.4" hidden="1" outlineLevel="1" x14ac:dyDescent="0.3">
      <c r="A273" s="3"/>
      <c r="B273" s="10" t="s">
        <v>371</v>
      </c>
      <c r="C273" s="62"/>
      <c r="D273" s="62"/>
      <c r="E273" s="12">
        <v>0</v>
      </c>
      <c r="F273" s="12">
        <v>0</v>
      </c>
      <c r="G273" s="65"/>
      <c r="H273" s="65"/>
      <c r="I273" s="112"/>
      <c r="J273" s="65"/>
      <c r="K273" s="37"/>
      <c r="L273" s="37"/>
      <c r="M273" s="37"/>
      <c r="N273" s="37"/>
      <c r="O273" s="37"/>
      <c r="P273" s="37"/>
      <c r="Q273" s="37"/>
      <c r="R273" s="37"/>
      <c r="S273" s="37"/>
      <c r="T273" s="37"/>
      <c r="U273" s="3"/>
      <c r="W273" s="3"/>
      <c r="X273" s="3"/>
      <c r="Y273" s="3"/>
      <c r="Z273" s="3"/>
    </row>
    <row r="274" spans="1:26" ht="14.4" hidden="1" outlineLevel="1" x14ac:dyDescent="0.3">
      <c r="A274" s="3"/>
      <c r="B274" s="10" t="s">
        <v>372</v>
      </c>
      <c r="C274" s="62"/>
      <c r="D274" s="62"/>
      <c r="E274" s="12">
        <v>0</v>
      </c>
      <c r="F274" s="12">
        <v>0</v>
      </c>
      <c r="G274" s="65"/>
      <c r="H274" s="65"/>
      <c r="I274" s="89"/>
      <c r="J274" s="65"/>
      <c r="K274" s="37"/>
      <c r="L274" s="37"/>
      <c r="M274" s="37"/>
      <c r="N274" s="37"/>
      <c r="O274" s="37"/>
      <c r="P274" s="37"/>
      <c r="Q274" s="37"/>
      <c r="R274" s="37"/>
      <c r="S274" s="37"/>
      <c r="T274" s="37"/>
      <c r="U274" s="3"/>
      <c r="W274" s="3"/>
      <c r="X274" s="3"/>
      <c r="Y274" s="3"/>
      <c r="Z274" s="3"/>
    </row>
    <row r="275" spans="1:26" hidden="1" outlineLevel="1" x14ac:dyDescent="0.3">
      <c r="A275" s="3"/>
      <c r="B275" s="91" t="s">
        <v>1024</v>
      </c>
      <c r="C275" s="92"/>
      <c r="D275" s="92"/>
      <c r="E275" s="93">
        <f>SUM(E276:E284)</f>
        <v>0</v>
      </c>
      <c r="F275" s="93">
        <f>SUMIF(D276:D284,"OK",F276:F284)</f>
        <v>0</v>
      </c>
      <c r="G275" s="94"/>
      <c r="H275" s="94"/>
      <c r="I275" s="95"/>
      <c r="J275" s="94"/>
      <c r="K275" s="37"/>
      <c r="L275" s="37"/>
      <c r="M275" s="37"/>
      <c r="N275" s="37"/>
      <c r="O275" s="37"/>
      <c r="P275" s="37"/>
      <c r="Q275" s="37"/>
      <c r="R275" s="37"/>
      <c r="S275" s="37"/>
      <c r="T275" s="37"/>
      <c r="U275" s="3"/>
      <c r="W275" s="3"/>
      <c r="X275" s="3"/>
      <c r="Y275" s="3"/>
      <c r="Z275" s="3"/>
    </row>
    <row r="276" spans="1:26" ht="14.4" hidden="1" outlineLevel="1" x14ac:dyDescent="0.3">
      <c r="A276" s="3"/>
      <c r="B276" s="10" t="s">
        <v>1025</v>
      </c>
      <c r="C276" s="62"/>
      <c r="D276" s="62"/>
      <c r="E276" s="12">
        <v>0</v>
      </c>
      <c r="F276" s="12">
        <v>0</v>
      </c>
      <c r="G276" s="65"/>
      <c r="H276" s="65"/>
      <c r="I276" s="89"/>
      <c r="J276" s="65"/>
      <c r="K276" s="37"/>
      <c r="L276" s="37"/>
      <c r="M276" s="37"/>
      <c r="N276" s="37"/>
      <c r="O276" s="37"/>
      <c r="P276" s="37"/>
      <c r="Q276" s="37"/>
      <c r="R276" s="37"/>
      <c r="S276" s="37"/>
      <c r="T276" s="37"/>
      <c r="U276" s="3"/>
      <c r="W276" s="3"/>
      <c r="X276" s="3"/>
      <c r="Y276" s="3"/>
      <c r="Z276" s="3"/>
    </row>
    <row r="277" spans="1:26" ht="14.4" hidden="1" outlineLevel="1" x14ac:dyDescent="0.3">
      <c r="A277" s="3"/>
      <c r="B277" s="10" t="s">
        <v>354</v>
      </c>
      <c r="C277" s="62"/>
      <c r="D277" s="62"/>
      <c r="E277" s="12">
        <v>0</v>
      </c>
      <c r="F277" s="12">
        <v>0</v>
      </c>
      <c r="G277" s="65"/>
      <c r="H277" s="65"/>
      <c r="I277" s="89"/>
      <c r="J277" s="65"/>
      <c r="K277" s="37"/>
      <c r="L277" s="37"/>
      <c r="M277" s="37"/>
      <c r="N277" s="37"/>
      <c r="O277" s="37"/>
      <c r="P277" s="37"/>
      <c r="Q277" s="37"/>
      <c r="R277" s="37"/>
      <c r="S277" s="37"/>
      <c r="T277" s="37"/>
      <c r="U277" s="3"/>
      <c r="W277" s="3"/>
      <c r="X277" s="3"/>
      <c r="Y277" s="3"/>
      <c r="Z277" s="3"/>
    </row>
    <row r="278" spans="1:26" ht="14.4" hidden="1" outlineLevel="1" x14ac:dyDescent="0.3">
      <c r="A278" s="3"/>
      <c r="B278" s="10" t="s">
        <v>355</v>
      </c>
      <c r="C278" s="62"/>
      <c r="D278" s="62"/>
      <c r="E278" s="12">
        <v>0</v>
      </c>
      <c r="F278" s="12">
        <v>0</v>
      </c>
      <c r="G278" s="65"/>
      <c r="H278" s="65"/>
      <c r="I278" s="89"/>
      <c r="J278" s="65"/>
      <c r="K278" s="37"/>
      <c r="L278" s="37"/>
      <c r="M278" s="37"/>
      <c r="N278" s="37"/>
      <c r="O278" s="37"/>
      <c r="P278" s="37"/>
      <c r="Q278" s="37"/>
      <c r="R278" s="37"/>
      <c r="S278" s="37"/>
      <c r="T278" s="37"/>
      <c r="U278" s="3"/>
      <c r="W278" s="3"/>
      <c r="X278" s="3"/>
      <c r="Y278" s="3"/>
      <c r="Z278" s="3"/>
    </row>
    <row r="279" spans="1:26" ht="14.4" hidden="1" outlineLevel="1" x14ac:dyDescent="0.3">
      <c r="A279" s="3"/>
      <c r="B279" s="10" t="s">
        <v>369</v>
      </c>
      <c r="C279" s="62"/>
      <c r="D279" s="62"/>
      <c r="E279" s="12">
        <v>0</v>
      </c>
      <c r="F279" s="12">
        <v>0</v>
      </c>
      <c r="G279" s="65"/>
      <c r="H279" s="65"/>
      <c r="I279" s="89"/>
      <c r="J279" s="65"/>
      <c r="K279" s="37"/>
      <c r="L279" s="37"/>
      <c r="M279" s="37"/>
      <c r="N279" s="37"/>
      <c r="O279" s="37"/>
      <c r="P279" s="37"/>
      <c r="Q279" s="37"/>
      <c r="R279" s="37"/>
      <c r="S279" s="37"/>
      <c r="T279" s="37"/>
      <c r="U279" s="3"/>
      <c r="W279" s="3"/>
      <c r="X279" s="3"/>
      <c r="Y279" s="3"/>
      <c r="Z279" s="3"/>
    </row>
    <row r="280" spans="1:26" ht="14.4" hidden="1" outlineLevel="1" x14ac:dyDescent="0.3">
      <c r="A280" s="3"/>
      <c r="B280" s="10" t="s">
        <v>327</v>
      </c>
      <c r="C280" s="62"/>
      <c r="D280" s="62"/>
      <c r="E280" s="12">
        <v>0</v>
      </c>
      <c r="F280" s="12">
        <v>0</v>
      </c>
      <c r="G280" s="65"/>
      <c r="H280" s="65"/>
      <c r="I280" s="89"/>
      <c r="J280" s="65"/>
      <c r="K280" s="37"/>
      <c r="L280" s="37"/>
      <c r="M280" s="37"/>
      <c r="N280" s="37"/>
      <c r="O280" s="37"/>
      <c r="P280" s="37"/>
      <c r="Q280" s="37"/>
      <c r="R280" s="37"/>
      <c r="S280" s="37"/>
      <c r="T280" s="37"/>
      <c r="U280" s="3"/>
      <c r="W280" s="3"/>
      <c r="X280" s="3"/>
      <c r="Y280" s="3"/>
      <c r="Z280" s="3"/>
    </row>
    <row r="281" spans="1:26" ht="14.4" hidden="1" outlineLevel="1" x14ac:dyDescent="0.3">
      <c r="A281" s="3"/>
      <c r="B281" s="10" t="s">
        <v>328</v>
      </c>
      <c r="C281" s="62"/>
      <c r="D281" s="62"/>
      <c r="E281" s="12">
        <v>0</v>
      </c>
      <c r="F281" s="12">
        <v>0</v>
      </c>
      <c r="G281" s="65"/>
      <c r="H281" s="65"/>
      <c r="I281" s="89"/>
      <c r="J281" s="65"/>
      <c r="K281" s="37"/>
      <c r="L281" s="37"/>
      <c r="M281" s="37"/>
      <c r="N281" s="37"/>
      <c r="O281" s="37"/>
      <c r="P281" s="37"/>
      <c r="Q281" s="37"/>
      <c r="R281" s="37"/>
      <c r="S281" s="37"/>
      <c r="T281" s="37"/>
      <c r="U281" s="3"/>
      <c r="W281" s="3"/>
      <c r="X281" s="3"/>
      <c r="Y281" s="3"/>
      <c r="Z281" s="3"/>
    </row>
    <row r="282" spans="1:26" ht="14.4" hidden="1" outlineLevel="1" x14ac:dyDescent="0.3">
      <c r="A282" s="3"/>
      <c r="B282" s="10" t="s">
        <v>370</v>
      </c>
      <c r="C282" s="62"/>
      <c r="D282" s="62"/>
      <c r="E282" s="12">
        <v>0</v>
      </c>
      <c r="F282" s="12">
        <v>0</v>
      </c>
      <c r="G282" s="65"/>
      <c r="H282" s="65"/>
      <c r="I282" s="89"/>
      <c r="J282" s="65"/>
      <c r="K282" s="37"/>
      <c r="L282" s="37"/>
      <c r="M282" s="37"/>
      <c r="N282" s="37"/>
      <c r="O282" s="37"/>
      <c r="P282" s="37"/>
      <c r="Q282" s="37"/>
      <c r="R282" s="37"/>
      <c r="S282" s="37"/>
      <c r="T282" s="37"/>
      <c r="U282" s="3"/>
      <c r="W282" s="3"/>
      <c r="X282" s="3"/>
      <c r="Y282" s="3"/>
      <c r="Z282" s="3"/>
    </row>
    <row r="283" spans="1:26" ht="14.4" hidden="1" outlineLevel="1" x14ac:dyDescent="0.3">
      <c r="A283" s="3"/>
      <c r="B283" s="10" t="s">
        <v>371</v>
      </c>
      <c r="C283" s="62"/>
      <c r="D283" s="62"/>
      <c r="E283" s="12">
        <v>0</v>
      </c>
      <c r="F283" s="12">
        <v>0</v>
      </c>
      <c r="G283" s="65"/>
      <c r="H283" s="65"/>
      <c r="I283" s="89"/>
      <c r="J283" s="65"/>
      <c r="K283" s="37"/>
      <c r="L283" s="37"/>
      <c r="M283" s="37"/>
      <c r="N283" s="37"/>
      <c r="O283" s="37"/>
      <c r="P283" s="37"/>
      <c r="Q283" s="37"/>
      <c r="R283" s="37"/>
      <c r="S283" s="37"/>
      <c r="T283" s="37"/>
      <c r="U283" s="3"/>
      <c r="W283" s="3"/>
      <c r="X283" s="3"/>
      <c r="Y283" s="3"/>
      <c r="Z283" s="3"/>
    </row>
    <row r="284" spans="1:26" ht="14.4" hidden="1" outlineLevel="1" x14ac:dyDescent="0.3">
      <c r="A284" s="3"/>
      <c r="B284" s="10" t="s">
        <v>372</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idden="1" outlineLevel="1" x14ac:dyDescent="0.3">
      <c r="A285" s="3"/>
      <c r="B285" s="91" t="s">
        <v>64</v>
      </c>
      <c r="C285" s="92"/>
      <c r="D285" s="92"/>
      <c r="E285" s="93">
        <f>SUM(E286:E294)</f>
        <v>0</v>
      </c>
      <c r="F285" s="93">
        <f>SUMIF(D286:D294,"OK",F286:F294)</f>
        <v>0</v>
      </c>
      <c r="G285" s="94"/>
      <c r="H285" s="94"/>
      <c r="I285" s="95"/>
      <c r="J285" s="94"/>
      <c r="K285" s="37"/>
      <c r="L285" s="37"/>
      <c r="M285" s="37"/>
      <c r="N285" s="37"/>
      <c r="O285" s="37"/>
      <c r="P285" s="37"/>
      <c r="Q285" s="37"/>
      <c r="R285" s="37"/>
      <c r="S285" s="37"/>
      <c r="T285" s="37"/>
      <c r="U285" s="3"/>
      <c r="W285" s="3"/>
      <c r="X285" s="3"/>
      <c r="Y285" s="3"/>
      <c r="Z285" s="3"/>
    </row>
    <row r="286" spans="1:26" ht="14.4" hidden="1" outlineLevel="1" x14ac:dyDescent="0.3">
      <c r="A286" s="3"/>
      <c r="B286" s="10" t="s">
        <v>1149</v>
      </c>
      <c r="C286" s="62"/>
      <c r="D286" s="62"/>
      <c r="E286" s="12">
        <v>0</v>
      </c>
      <c r="F286" s="12">
        <v>0</v>
      </c>
      <c r="G286" s="65"/>
      <c r="H286" s="65"/>
      <c r="I286" s="112"/>
      <c r="J286" s="65"/>
      <c r="K286" s="37"/>
      <c r="L286" s="37"/>
      <c r="M286" s="37"/>
      <c r="N286" s="37"/>
      <c r="O286" s="37"/>
      <c r="P286" s="37"/>
      <c r="Q286" s="37"/>
      <c r="R286" s="37"/>
      <c r="S286" s="37"/>
      <c r="T286" s="37"/>
      <c r="U286" s="3"/>
      <c r="W286" s="3"/>
      <c r="X286" s="3"/>
      <c r="Y286" s="3"/>
      <c r="Z286" s="3"/>
    </row>
    <row r="287" spans="1:26" ht="14.4" hidden="1" outlineLevel="1" x14ac:dyDescent="0.3">
      <c r="A287" s="3"/>
      <c r="B287" s="10" t="s">
        <v>354</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4.4" hidden="1" outlineLevel="1" x14ac:dyDescent="0.3">
      <c r="A288" s="3"/>
      <c r="B288" s="10" t="s">
        <v>355</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4.4" hidden="1" outlineLevel="1" x14ac:dyDescent="0.3">
      <c r="A289" s="3"/>
      <c r="B289" s="10" t="s">
        <v>369</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t="14.4" hidden="1" outlineLevel="1" x14ac:dyDescent="0.3">
      <c r="A290" s="3"/>
      <c r="B290" s="10" t="s">
        <v>327</v>
      </c>
      <c r="C290" s="62"/>
      <c r="D290" s="62"/>
      <c r="E290" s="12">
        <v>0</v>
      </c>
      <c r="F290" s="12">
        <v>0</v>
      </c>
      <c r="G290" s="65"/>
      <c r="H290" s="65"/>
      <c r="I290" s="89"/>
      <c r="J290" s="65"/>
      <c r="K290" s="37"/>
      <c r="L290" s="37"/>
      <c r="M290" s="37"/>
      <c r="N290" s="37"/>
      <c r="O290" s="37"/>
      <c r="P290" s="37"/>
      <c r="Q290" s="37"/>
      <c r="R290" s="37"/>
      <c r="S290" s="37"/>
      <c r="T290" s="37"/>
      <c r="U290" s="3"/>
      <c r="W290" s="3"/>
      <c r="X290" s="3"/>
      <c r="Y290" s="3"/>
      <c r="Z290" s="3"/>
    </row>
    <row r="291" spans="1:26" ht="14.4" hidden="1" outlineLevel="1" x14ac:dyDescent="0.3">
      <c r="A291" s="3"/>
      <c r="B291" s="10" t="s">
        <v>328</v>
      </c>
      <c r="C291" s="62"/>
      <c r="D291" s="62"/>
      <c r="E291" s="12">
        <v>0</v>
      </c>
      <c r="F291" s="12">
        <v>0</v>
      </c>
      <c r="G291" s="65"/>
      <c r="H291" s="65"/>
      <c r="I291" s="89"/>
      <c r="J291" s="65"/>
      <c r="K291" s="37"/>
      <c r="L291" s="37"/>
      <c r="M291" s="37"/>
      <c r="N291" s="37"/>
      <c r="O291" s="37"/>
      <c r="P291" s="37"/>
      <c r="Q291" s="37"/>
      <c r="R291" s="37"/>
      <c r="S291" s="37"/>
      <c r="T291" s="37"/>
      <c r="U291" s="3"/>
      <c r="W291" s="3"/>
      <c r="X291" s="3"/>
      <c r="Y291" s="3"/>
      <c r="Z291" s="3"/>
    </row>
    <row r="292" spans="1:26" ht="14.4" hidden="1" outlineLevel="1" x14ac:dyDescent="0.3">
      <c r="A292" s="3"/>
      <c r="B292" s="10" t="s">
        <v>370</v>
      </c>
      <c r="C292" s="62"/>
      <c r="D292" s="62"/>
      <c r="E292" s="12">
        <v>0</v>
      </c>
      <c r="F292" s="12">
        <v>0</v>
      </c>
      <c r="G292" s="65"/>
      <c r="H292" s="65"/>
      <c r="I292" s="89"/>
      <c r="J292" s="65"/>
      <c r="K292" s="37"/>
      <c r="L292" s="37"/>
      <c r="M292" s="37"/>
      <c r="N292" s="37"/>
      <c r="O292" s="37"/>
      <c r="P292" s="37"/>
      <c r="Q292" s="37"/>
      <c r="R292" s="37"/>
      <c r="S292" s="37"/>
      <c r="T292" s="37"/>
      <c r="U292" s="3"/>
      <c r="W292" s="3"/>
      <c r="X292" s="3"/>
      <c r="Y292" s="3"/>
      <c r="Z292" s="3"/>
    </row>
    <row r="293" spans="1:26" ht="14.4" hidden="1" outlineLevel="1" x14ac:dyDescent="0.3">
      <c r="A293" s="3"/>
      <c r="B293" s="10" t="s">
        <v>371</v>
      </c>
      <c r="C293" s="62"/>
      <c r="D293" s="62"/>
      <c r="E293" s="12">
        <v>0</v>
      </c>
      <c r="F293" s="12">
        <v>0</v>
      </c>
      <c r="G293" s="65"/>
      <c r="H293" s="65"/>
      <c r="I293" s="89"/>
      <c r="J293" s="65"/>
      <c r="K293" s="37"/>
      <c r="L293" s="37"/>
      <c r="M293" s="37"/>
      <c r="N293" s="37"/>
      <c r="O293" s="37"/>
      <c r="P293" s="37"/>
      <c r="Q293" s="37"/>
      <c r="R293" s="37"/>
      <c r="S293" s="37"/>
      <c r="T293" s="37"/>
      <c r="U293" s="3"/>
      <c r="W293" s="3"/>
      <c r="X293" s="3"/>
      <c r="Y293" s="3"/>
      <c r="Z293" s="3"/>
    </row>
    <row r="294" spans="1:26" ht="14.4" hidden="1" outlineLevel="1" x14ac:dyDescent="0.3">
      <c r="A294" s="3"/>
      <c r="B294" s="10" t="s">
        <v>372</v>
      </c>
      <c r="C294" s="62"/>
      <c r="D294" s="62"/>
      <c r="E294" s="12">
        <v>0</v>
      </c>
      <c r="F294" s="12">
        <v>0</v>
      </c>
      <c r="G294" s="65"/>
      <c r="H294" s="65"/>
      <c r="I294" s="89"/>
      <c r="J294" s="65"/>
      <c r="K294" s="37"/>
      <c r="L294" s="37"/>
      <c r="M294" s="37"/>
      <c r="N294" s="37"/>
      <c r="O294" s="37"/>
      <c r="P294" s="37"/>
      <c r="Q294" s="37"/>
      <c r="R294" s="37"/>
      <c r="S294" s="37"/>
      <c r="T294" s="37"/>
      <c r="U294" s="3"/>
      <c r="W294" s="3"/>
      <c r="X294" s="3"/>
      <c r="Y294" s="3"/>
      <c r="Z294" s="3"/>
    </row>
    <row r="295" spans="1:26" hidden="1" outlineLevel="1" x14ac:dyDescent="0.3">
      <c r="A295" s="3"/>
      <c r="B295" s="91" t="s">
        <v>689</v>
      </c>
      <c r="C295" s="92"/>
      <c r="D295" s="92"/>
      <c r="E295" s="93">
        <f>SUM(E296:E304)</f>
        <v>0</v>
      </c>
      <c r="F295" s="93">
        <f>SUMIF(D296:D304,"OK",F296:F304)</f>
        <v>0</v>
      </c>
      <c r="G295" s="94"/>
      <c r="H295" s="94"/>
      <c r="I295" s="95"/>
      <c r="J295" s="94"/>
      <c r="K295" s="37"/>
      <c r="L295" s="37"/>
      <c r="M295" s="37"/>
      <c r="N295" s="37"/>
      <c r="O295" s="37"/>
      <c r="P295" s="37"/>
      <c r="Q295" s="37"/>
      <c r="R295" s="37"/>
      <c r="S295" s="37"/>
      <c r="T295" s="37"/>
      <c r="U295" s="3"/>
      <c r="W295" s="3"/>
      <c r="X295" s="3"/>
      <c r="Y295" s="3"/>
      <c r="Z295" s="3"/>
    </row>
    <row r="296" spans="1:26" ht="14.4" hidden="1" outlineLevel="1" x14ac:dyDescent="0.3">
      <c r="A296" s="3"/>
      <c r="B296" s="10" t="s">
        <v>1150</v>
      </c>
      <c r="C296" s="62"/>
      <c r="D296" s="62"/>
      <c r="E296" s="12">
        <v>0</v>
      </c>
      <c r="F296" s="12">
        <v>0</v>
      </c>
      <c r="G296" s="65"/>
      <c r="H296" s="65"/>
      <c r="I296" s="112"/>
      <c r="J296" s="65"/>
      <c r="K296" s="37"/>
      <c r="L296" s="37"/>
      <c r="M296" s="37"/>
      <c r="N296" s="37"/>
      <c r="O296" s="37"/>
      <c r="P296" s="37"/>
      <c r="Q296" s="37"/>
      <c r="R296" s="37"/>
      <c r="S296" s="37"/>
      <c r="T296" s="37"/>
      <c r="U296" s="3"/>
      <c r="W296" s="3"/>
      <c r="X296" s="3"/>
      <c r="Y296" s="3"/>
      <c r="Z296" s="3"/>
    </row>
    <row r="297" spans="1:26" ht="14.4" hidden="1" outlineLevel="1" x14ac:dyDescent="0.3">
      <c r="A297" s="3"/>
      <c r="B297" s="10" t="s">
        <v>1150</v>
      </c>
      <c r="C297" s="62"/>
      <c r="D297" s="62"/>
      <c r="E297" s="12">
        <v>0</v>
      </c>
      <c r="F297" s="12">
        <v>0</v>
      </c>
      <c r="G297" s="65"/>
      <c r="H297" s="65"/>
      <c r="I297" s="112"/>
      <c r="J297" s="65"/>
      <c r="K297" s="37"/>
      <c r="L297" s="37"/>
      <c r="M297" s="37"/>
      <c r="N297" s="37"/>
      <c r="O297" s="37"/>
      <c r="P297" s="37"/>
      <c r="Q297" s="37"/>
      <c r="R297" s="37"/>
      <c r="S297" s="37"/>
      <c r="T297" s="37"/>
      <c r="U297" s="3"/>
      <c r="W297" s="3"/>
      <c r="X297" s="3"/>
      <c r="Y297" s="3"/>
      <c r="Z297" s="3"/>
    </row>
    <row r="298" spans="1:26" ht="14.4" hidden="1" outlineLevel="1" x14ac:dyDescent="0.3">
      <c r="A298" s="3"/>
      <c r="B298" s="10" t="s">
        <v>355</v>
      </c>
      <c r="C298" s="62"/>
      <c r="D298" s="62"/>
      <c r="E298" s="12">
        <v>0</v>
      </c>
      <c r="F298" s="12">
        <v>0</v>
      </c>
      <c r="G298" s="65"/>
      <c r="H298" s="65"/>
      <c r="I298" s="89"/>
      <c r="J298" s="65"/>
      <c r="K298" s="37"/>
      <c r="L298" s="37"/>
      <c r="M298" s="37"/>
      <c r="N298" s="37"/>
      <c r="O298" s="37"/>
      <c r="P298" s="37"/>
      <c r="Q298" s="37"/>
      <c r="R298" s="37"/>
      <c r="S298" s="37"/>
      <c r="T298" s="37"/>
      <c r="U298" s="3"/>
      <c r="W298" s="3"/>
      <c r="X298" s="3"/>
      <c r="Y298" s="3"/>
      <c r="Z298" s="3"/>
    </row>
    <row r="299" spans="1:26" ht="14.4" hidden="1" outlineLevel="1" x14ac:dyDescent="0.3">
      <c r="A299" s="3"/>
      <c r="B299" s="10" t="s">
        <v>369</v>
      </c>
      <c r="C299" s="62"/>
      <c r="D299" s="62"/>
      <c r="E299" s="12">
        <v>0</v>
      </c>
      <c r="F299" s="12">
        <v>0</v>
      </c>
      <c r="G299" s="65"/>
      <c r="H299" s="65"/>
      <c r="I299" s="89"/>
      <c r="J299" s="65"/>
      <c r="K299" s="37"/>
      <c r="L299" s="37"/>
      <c r="M299" s="37"/>
      <c r="N299" s="37"/>
      <c r="O299" s="37"/>
      <c r="P299" s="37"/>
      <c r="Q299" s="37"/>
      <c r="R299" s="37"/>
      <c r="S299" s="37"/>
      <c r="T299" s="37"/>
      <c r="U299" s="3"/>
      <c r="W299" s="3"/>
      <c r="X299" s="3"/>
      <c r="Y299" s="3"/>
      <c r="Z299" s="3"/>
    </row>
    <row r="300" spans="1:26" ht="14.4" hidden="1" outlineLevel="1" x14ac:dyDescent="0.3">
      <c r="A300" s="3"/>
      <c r="B300" s="10" t="s">
        <v>327</v>
      </c>
      <c r="C300" s="62"/>
      <c r="D300" s="62"/>
      <c r="E300" s="12">
        <v>0</v>
      </c>
      <c r="F300" s="12">
        <v>0</v>
      </c>
      <c r="G300" s="65"/>
      <c r="H300" s="65"/>
      <c r="I300" s="89"/>
      <c r="J300" s="65"/>
      <c r="K300" s="37"/>
      <c r="L300" s="37"/>
      <c r="M300" s="37"/>
      <c r="N300" s="37"/>
      <c r="O300" s="37"/>
      <c r="P300" s="37"/>
      <c r="Q300" s="37"/>
      <c r="R300" s="37"/>
      <c r="S300" s="37"/>
      <c r="T300" s="37"/>
      <c r="U300" s="3"/>
      <c r="W300" s="3"/>
      <c r="X300" s="3"/>
      <c r="Y300" s="3"/>
      <c r="Z300" s="3"/>
    </row>
    <row r="301" spans="1:26" ht="14.4" hidden="1" outlineLevel="1" x14ac:dyDescent="0.3">
      <c r="A301" s="3"/>
      <c r="B301" s="10" t="s">
        <v>328</v>
      </c>
      <c r="C301" s="62"/>
      <c r="D301" s="62"/>
      <c r="E301" s="12">
        <v>0</v>
      </c>
      <c r="F301" s="12">
        <v>0</v>
      </c>
      <c r="G301" s="65"/>
      <c r="H301" s="65"/>
      <c r="I301" s="89"/>
      <c r="J301" s="65"/>
      <c r="K301" s="37"/>
      <c r="L301" s="37"/>
      <c r="M301" s="37"/>
      <c r="N301" s="37"/>
      <c r="O301" s="37"/>
      <c r="P301" s="37"/>
      <c r="Q301" s="37"/>
      <c r="R301" s="37"/>
      <c r="S301" s="37"/>
      <c r="T301" s="37"/>
      <c r="U301" s="3"/>
      <c r="W301" s="3"/>
      <c r="X301" s="3"/>
      <c r="Y301" s="3"/>
      <c r="Z301" s="3"/>
    </row>
    <row r="302" spans="1:26" ht="14.4" hidden="1" outlineLevel="1" x14ac:dyDescent="0.3">
      <c r="A302" s="3"/>
      <c r="B302" s="10" t="s">
        <v>370</v>
      </c>
      <c r="C302" s="62"/>
      <c r="D302" s="62"/>
      <c r="E302" s="12">
        <v>0</v>
      </c>
      <c r="F302" s="12">
        <v>0</v>
      </c>
      <c r="G302" s="65"/>
      <c r="H302" s="65"/>
      <c r="I302" s="89"/>
      <c r="J302" s="65"/>
      <c r="K302" s="37"/>
      <c r="L302" s="37"/>
      <c r="M302" s="37"/>
      <c r="N302" s="37"/>
      <c r="O302" s="37"/>
      <c r="P302" s="37"/>
      <c r="Q302" s="37"/>
      <c r="R302" s="37"/>
      <c r="S302" s="37"/>
      <c r="T302" s="37"/>
      <c r="U302" s="3"/>
      <c r="W302" s="3"/>
      <c r="X302" s="3"/>
      <c r="Y302" s="3"/>
      <c r="Z302" s="3"/>
    </row>
    <row r="303" spans="1:26" ht="14.4" hidden="1" outlineLevel="1" x14ac:dyDescent="0.3">
      <c r="A303" s="3"/>
      <c r="B303" s="10" t="s">
        <v>371</v>
      </c>
      <c r="C303" s="62"/>
      <c r="D303" s="62"/>
      <c r="E303" s="12">
        <v>0</v>
      </c>
      <c r="F303" s="12">
        <v>0</v>
      </c>
      <c r="G303" s="65"/>
      <c r="H303" s="65"/>
      <c r="I303" s="89"/>
      <c r="J303" s="65"/>
      <c r="K303" s="37"/>
      <c r="L303" s="37"/>
      <c r="M303" s="37"/>
      <c r="N303" s="37"/>
      <c r="O303" s="37"/>
      <c r="P303" s="37"/>
      <c r="Q303" s="37"/>
      <c r="R303" s="37"/>
      <c r="S303" s="37"/>
      <c r="T303" s="37"/>
      <c r="U303" s="3"/>
      <c r="W303" s="3"/>
      <c r="X303" s="3"/>
      <c r="Y303" s="3"/>
      <c r="Z303" s="3"/>
    </row>
    <row r="304" spans="1:26" ht="14.4" hidden="1" outlineLevel="1" x14ac:dyDescent="0.3">
      <c r="A304" s="3"/>
      <c r="B304" s="10" t="s">
        <v>372</v>
      </c>
      <c r="C304" s="62"/>
      <c r="D304" s="62"/>
      <c r="E304" s="12">
        <v>0</v>
      </c>
      <c r="F304" s="12">
        <v>0</v>
      </c>
      <c r="G304" s="65"/>
      <c r="H304" s="65"/>
      <c r="I304" s="89"/>
      <c r="J304" s="65"/>
      <c r="K304" s="37"/>
      <c r="L304" s="37"/>
      <c r="M304" s="37"/>
      <c r="N304" s="37"/>
      <c r="O304" s="37"/>
      <c r="P304" s="37"/>
      <c r="Q304" s="37"/>
      <c r="R304" s="37"/>
      <c r="S304" s="37"/>
      <c r="T304" s="37"/>
      <c r="U304" s="3"/>
      <c r="W304" s="3"/>
      <c r="X304" s="3"/>
      <c r="Y304" s="3"/>
      <c r="Z304" s="3"/>
    </row>
    <row r="305" spans="1:26" ht="20.399999999999999" collapsed="1" x14ac:dyDescent="0.3">
      <c r="A305" s="3"/>
      <c r="B305" s="84" t="s">
        <v>411</v>
      </c>
      <c r="C305" s="85" t="s">
        <v>43</v>
      </c>
      <c r="D305" s="85" t="s">
        <v>43</v>
      </c>
      <c r="E305" s="86">
        <f>SUM(E306:E320)</f>
        <v>0</v>
      </c>
      <c r="F305" s="86">
        <f>SUMIF(D306:D320,"OK",F306:F320)</f>
        <v>227.5</v>
      </c>
      <c r="G305" s="87"/>
      <c r="H305" s="87"/>
      <c r="I305" s="88"/>
      <c r="J305" s="87"/>
      <c r="K305" s="37"/>
      <c r="L305" s="37"/>
      <c r="M305" s="37"/>
      <c r="N305" s="37"/>
      <c r="O305" s="37"/>
      <c r="P305" s="37"/>
      <c r="Q305" s="37"/>
      <c r="R305" s="37"/>
      <c r="S305" s="37"/>
      <c r="T305" s="37"/>
      <c r="U305" s="3"/>
      <c r="W305" s="3"/>
      <c r="X305" s="3"/>
      <c r="Y305" s="3"/>
      <c r="Z305" s="3"/>
    </row>
    <row r="306" spans="1:26" ht="15.75" hidden="1" customHeight="1" outlineLevel="1" x14ac:dyDescent="0.3">
      <c r="A306" s="3"/>
      <c r="B306" s="10" t="s">
        <v>412</v>
      </c>
      <c r="C306" s="62"/>
      <c r="D306" s="62"/>
      <c r="E306" s="12">
        <v>0</v>
      </c>
      <c r="F306" s="12">
        <v>0</v>
      </c>
      <c r="G306" s="65"/>
      <c r="H306" s="65"/>
      <c r="I306" s="89"/>
      <c r="J306" s="65"/>
      <c r="K306" s="37"/>
      <c r="L306" s="37"/>
      <c r="M306" s="37"/>
      <c r="N306" s="37"/>
      <c r="O306" s="37"/>
      <c r="P306" s="37"/>
      <c r="Q306" s="37"/>
      <c r="R306" s="37"/>
      <c r="S306" s="37"/>
      <c r="T306" s="37"/>
      <c r="U306" s="3"/>
      <c r="W306" s="3"/>
      <c r="X306" s="3"/>
      <c r="Y306" s="3"/>
      <c r="Z306" s="3"/>
    </row>
    <row r="307" spans="1:26" ht="15.75" hidden="1" customHeight="1" outlineLevel="1" x14ac:dyDescent="0.3">
      <c r="A307" s="3"/>
      <c r="B307" s="10" t="s">
        <v>413</v>
      </c>
      <c r="C307" s="62"/>
      <c r="D307" s="62"/>
      <c r="E307" s="12">
        <v>0</v>
      </c>
      <c r="F307" s="12">
        <v>0</v>
      </c>
      <c r="G307" s="89"/>
      <c r="H307" s="65"/>
      <c r="I307" s="112"/>
      <c r="J307" s="65"/>
      <c r="K307" s="37"/>
      <c r="L307" s="37"/>
      <c r="M307" s="37"/>
      <c r="N307" s="37"/>
      <c r="O307" s="37"/>
      <c r="P307" s="37"/>
      <c r="Q307" s="37"/>
      <c r="R307" s="37"/>
      <c r="S307" s="37"/>
      <c r="T307" s="37"/>
      <c r="U307" s="3"/>
      <c r="W307" s="3"/>
      <c r="X307" s="3"/>
      <c r="Y307" s="3"/>
      <c r="Z307" s="3"/>
    </row>
    <row r="308" spans="1:26" ht="15.75" hidden="1" customHeight="1" outlineLevel="1" x14ac:dyDescent="0.3">
      <c r="A308" s="3"/>
      <c r="B308" s="10" t="s">
        <v>413</v>
      </c>
      <c r="C308" s="62"/>
      <c r="D308" s="62"/>
      <c r="E308" s="12">
        <v>0</v>
      </c>
      <c r="F308" s="12">
        <v>0</v>
      </c>
      <c r="G308" s="65"/>
      <c r="H308" s="65"/>
      <c r="I308" s="112"/>
      <c r="J308" s="65"/>
      <c r="K308" s="37"/>
      <c r="L308" s="37"/>
      <c r="M308" s="37"/>
      <c r="N308" s="37"/>
      <c r="O308" s="37"/>
      <c r="P308" s="37"/>
      <c r="Q308" s="37"/>
      <c r="R308" s="37"/>
      <c r="S308" s="37"/>
      <c r="T308" s="37"/>
      <c r="U308" s="3"/>
      <c r="W308" s="3"/>
      <c r="X308" s="3"/>
      <c r="Y308" s="3"/>
      <c r="Z308" s="3"/>
    </row>
    <row r="309" spans="1:26" ht="15.75" hidden="1" customHeight="1" outlineLevel="1" x14ac:dyDescent="0.3">
      <c r="A309" s="3"/>
      <c r="B309" s="10" t="s">
        <v>414</v>
      </c>
      <c r="C309" s="62"/>
      <c r="D309" s="62"/>
      <c r="E309" s="12">
        <v>0</v>
      </c>
      <c r="F309" s="12">
        <v>0</v>
      </c>
      <c r="G309" s="65"/>
      <c r="H309" s="65"/>
      <c r="I309" s="89"/>
      <c r="J309" s="65"/>
      <c r="K309" s="37"/>
      <c r="L309" s="37"/>
      <c r="M309" s="37"/>
      <c r="N309" s="37"/>
      <c r="O309" s="37"/>
      <c r="P309" s="37"/>
      <c r="Q309" s="37"/>
      <c r="R309" s="37"/>
      <c r="S309" s="37"/>
      <c r="T309" s="37"/>
      <c r="U309" s="3"/>
      <c r="W309" s="3"/>
      <c r="X309" s="3"/>
      <c r="Y309" s="3"/>
      <c r="Z309" s="3"/>
    </row>
    <row r="310" spans="1:26" ht="15.75" hidden="1" customHeight="1" outlineLevel="1" x14ac:dyDescent="0.3">
      <c r="A310" s="3"/>
      <c r="B310" s="10" t="s">
        <v>414</v>
      </c>
      <c r="C310" s="62"/>
      <c r="D310" s="62"/>
      <c r="E310" s="12">
        <v>0</v>
      </c>
      <c r="F310" s="12">
        <v>0</v>
      </c>
      <c r="G310" s="65"/>
      <c r="H310" s="65"/>
      <c r="I310" s="89"/>
      <c r="J310" s="65"/>
      <c r="K310" s="37"/>
      <c r="L310" s="37"/>
      <c r="M310" s="37"/>
      <c r="N310" s="37"/>
      <c r="O310" s="37"/>
      <c r="P310" s="37"/>
      <c r="Q310" s="37"/>
      <c r="R310" s="37"/>
      <c r="S310" s="37"/>
      <c r="T310" s="37"/>
      <c r="U310" s="3"/>
      <c r="W310" s="3"/>
      <c r="X310" s="3"/>
      <c r="Y310" s="3"/>
      <c r="Z310" s="3"/>
    </row>
    <row r="311" spans="1:26" ht="15.75" hidden="1" customHeight="1" outlineLevel="1" x14ac:dyDescent="0.3">
      <c r="A311" s="3"/>
      <c r="B311" s="10" t="s">
        <v>414</v>
      </c>
      <c r="C311" s="62"/>
      <c r="D311" s="62"/>
      <c r="E311" s="12">
        <v>0</v>
      </c>
      <c r="F311" s="12">
        <v>0</v>
      </c>
      <c r="G311" s="65"/>
      <c r="H311" s="65"/>
      <c r="I311" s="89"/>
      <c r="J311" s="65"/>
      <c r="K311" s="37"/>
      <c r="L311" s="37"/>
      <c r="M311" s="37"/>
      <c r="N311" s="37"/>
      <c r="O311" s="37"/>
      <c r="P311" s="37"/>
      <c r="Q311" s="37"/>
      <c r="R311" s="37"/>
      <c r="S311" s="37"/>
      <c r="T311" s="37"/>
      <c r="U311" s="3"/>
      <c r="W311" s="3"/>
      <c r="X311" s="3"/>
      <c r="Y311" s="3"/>
      <c r="Z311" s="3"/>
    </row>
    <row r="312" spans="1:26" ht="15.75" hidden="1" customHeight="1" outlineLevel="1" x14ac:dyDescent="0.3">
      <c r="A312" s="3"/>
      <c r="B312" s="10" t="s">
        <v>415</v>
      </c>
      <c r="C312" s="62">
        <v>25</v>
      </c>
      <c r="D312" s="62" t="s">
        <v>94</v>
      </c>
      <c r="E312" s="12">
        <v>0</v>
      </c>
      <c r="F312" s="12">
        <v>200</v>
      </c>
      <c r="G312" s="65"/>
      <c r="H312" s="65" t="s">
        <v>37</v>
      </c>
      <c r="I312" s="112" t="s">
        <v>1151</v>
      </c>
      <c r="J312" s="65"/>
      <c r="K312" s="37"/>
      <c r="L312" s="37"/>
      <c r="M312" s="37"/>
      <c r="N312" s="37"/>
      <c r="O312" s="37"/>
      <c r="P312" s="37"/>
      <c r="Q312" s="37"/>
      <c r="R312" s="37"/>
      <c r="S312" s="37"/>
      <c r="T312" s="37"/>
      <c r="U312" s="3"/>
      <c r="W312" s="3"/>
      <c r="X312" s="3"/>
      <c r="Y312" s="3"/>
      <c r="Z312" s="3"/>
    </row>
    <row r="313" spans="1:26" ht="15.75" hidden="1" customHeight="1" outlineLevel="1" x14ac:dyDescent="0.3">
      <c r="A313" s="3"/>
      <c r="B313" s="10" t="s">
        <v>415</v>
      </c>
      <c r="C313" s="62">
        <v>30</v>
      </c>
      <c r="D313" s="62" t="s">
        <v>94</v>
      </c>
      <c r="E313" s="12">
        <v>0</v>
      </c>
      <c r="F313" s="12">
        <v>27.5</v>
      </c>
      <c r="G313" s="65"/>
      <c r="H313" s="65" t="s">
        <v>37</v>
      </c>
      <c r="I313" s="112" t="s">
        <v>1152</v>
      </c>
      <c r="J313" s="65"/>
      <c r="K313" s="37"/>
      <c r="L313" s="37"/>
      <c r="M313" s="37"/>
      <c r="N313" s="37"/>
      <c r="O313" s="37"/>
      <c r="P313" s="37"/>
      <c r="Q313" s="37"/>
      <c r="R313" s="37"/>
      <c r="S313" s="37"/>
      <c r="T313" s="37"/>
      <c r="U313" s="3"/>
      <c r="W313" s="3"/>
      <c r="X313" s="3"/>
      <c r="Y313" s="3"/>
      <c r="Z313" s="3"/>
    </row>
    <row r="314" spans="1:26" ht="15.75" hidden="1" customHeight="1" outlineLevel="1" x14ac:dyDescent="0.3">
      <c r="A314" s="3"/>
      <c r="B314" s="10" t="s">
        <v>415</v>
      </c>
      <c r="C314" s="62"/>
      <c r="D314" s="62"/>
      <c r="E314" s="12">
        <v>0</v>
      </c>
      <c r="F314" s="12">
        <v>0</v>
      </c>
      <c r="G314" s="65"/>
      <c r="H314" s="65"/>
      <c r="I314" s="112"/>
      <c r="J314" s="65"/>
      <c r="K314" s="37"/>
      <c r="L314" s="37"/>
      <c r="M314" s="37"/>
      <c r="N314" s="37"/>
      <c r="O314" s="37"/>
      <c r="P314" s="37"/>
      <c r="Q314" s="37"/>
      <c r="R314" s="37"/>
      <c r="S314" s="37"/>
      <c r="T314" s="37"/>
      <c r="U314" s="3"/>
      <c r="W314" s="3"/>
      <c r="X314" s="3"/>
      <c r="Y314" s="3"/>
      <c r="Z314" s="3"/>
    </row>
    <row r="315" spans="1:26" ht="15.75" hidden="1" customHeight="1" outlineLevel="1" x14ac:dyDescent="0.3">
      <c r="A315" s="3"/>
      <c r="B315" s="10" t="s">
        <v>416</v>
      </c>
      <c r="C315" s="62"/>
      <c r="D315" s="62"/>
      <c r="E315" s="12">
        <v>0</v>
      </c>
      <c r="F315" s="12">
        <v>0</v>
      </c>
      <c r="G315" s="65"/>
      <c r="H315" s="65"/>
      <c r="I315" s="89"/>
      <c r="J315" s="65"/>
      <c r="K315" s="37"/>
      <c r="L315" s="37"/>
      <c r="M315" s="37"/>
      <c r="N315" s="37"/>
      <c r="O315" s="37"/>
      <c r="P315" s="37"/>
      <c r="Q315" s="37"/>
      <c r="R315" s="37"/>
      <c r="S315" s="37"/>
      <c r="T315" s="37"/>
      <c r="U315" s="3"/>
      <c r="W315" s="3"/>
      <c r="X315" s="3"/>
      <c r="Y315" s="3"/>
      <c r="Z315" s="3"/>
    </row>
    <row r="316" spans="1:26" ht="15.75" hidden="1" customHeight="1" outlineLevel="1" x14ac:dyDescent="0.3">
      <c r="A316" s="3"/>
      <c r="B316" s="10" t="s">
        <v>417</v>
      </c>
      <c r="C316" s="62"/>
      <c r="D316" s="62"/>
      <c r="E316" s="12">
        <v>0</v>
      </c>
      <c r="F316" s="12">
        <v>0</v>
      </c>
      <c r="G316" s="65"/>
      <c r="H316" s="65"/>
      <c r="I316" s="89"/>
      <c r="J316" s="65"/>
      <c r="K316" s="37"/>
      <c r="L316" s="37"/>
      <c r="M316" s="37"/>
      <c r="N316" s="37"/>
      <c r="O316" s="37"/>
      <c r="P316" s="37"/>
      <c r="Q316" s="37"/>
      <c r="R316" s="37"/>
      <c r="S316" s="37"/>
      <c r="T316" s="37"/>
      <c r="U316" s="3"/>
      <c r="W316" s="3"/>
      <c r="X316" s="3"/>
      <c r="Y316" s="3"/>
      <c r="Z316" s="3"/>
    </row>
    <row r="317" spans="1:26" ht="15.75" hidden="1" customHeight="1" outlineLevel="1" x14ac:dyDescent="0.3">
      <c r="A317" s="3"/>
      <c r="B317" s="10" t="s">
        <v>418</v>
      </c>
      <c r="C317" s="62"/>
      <c r="D317" s="62"/>
      <c r="E317" s="12">
        <v>0</v>
      </c>
      <c r="F317" s="12">
        <v>0</v>
      </c>
      <c r="G317" s="65"/>
      <c r="H317" s="65"/>
      <c r="I317" s="89"/>
      <c r="J317" s="65"/>
      <c r="K317" s="37"/>
      <c r="L317" s="37"/>
      <c r="M317" s="37"/>
      <c r="N317" s="37"/>
      <c r="O317" s="37"/>
      <c r="P317" s="37"/>
      <c r="Q317" s="37"/>
      <c r="R317" s="37"/>
      <c r="S317" s="37"/>
      <c r="T317" s="37"/>
      <c r="U317" s="3"/>
      <c r="W317" s="3"/>
      <c r="X317" s="3"/>
      <c r="Y317" s="3"/>
      <c r="Z317" s="3"/>
    </row>
    <row r="318" spans="1:26" ht="15.75" hidden="1" customHeight="1" outlineLevel="1" x14ac:dyDescent="0.3">
      <c r="A318" s="3"/>
      <c r="B318" s="10" t="s">
        <v>419</v>
      </c>
      <c r="C318" s="62"/>
      <c r="D318" s="62"/>
      <c r="E318" s="12">
        <v>0</v>
      </c>
      <c r="F318" s="12">
        <v>0</v>
      </c>
      <c r="G318" s="65"/>
      <c r="H318" s="65"/>
      <c r="I318" s="89"/>
      <c r="J318" s="65"/>
      <c r="K318" s="37"/>
      <c r="L318" s="37"/>
      <c r="M318" s="37"/>
      <c r="N318" s="37"/>
      <c r="O318" s="37"/>
      <c r="P318" s="37"/>
      <c r="Q318" s="37"/>
      <c r="R318" s="37"/>
      <c r="S318" s="37"/>
      <c r="T318" s="37"/>
      <c r="U318" s="3"/>
      <c r="W318" s="3"/>
      <c r="X318" s="3"/>
      <c r="Y318" s="3"/>
      <c r="Z318" s="3"/>
    </row>
    <row r="319" spans="1:26" ht="15.75" hidden="1" customHeight="1" outlineLevel="1" x14ac:dyDescent="0.3">
      <c r="A319" s="3"/>
      <c r="B319" s="10" t="s">
        <v>420</v>
      </c>
      <c r="C319" s="62"/>
      <c r="D319" s="62"/>
      <c r="E319" s="12">
        <v>0</v>
      </c>
      <c r="F319" s="12">
        <v>0</v>
      </c>
      <c r="G319" s="65"/>
      <c r="H319" s="65"/>
      <c r="I319" s="89"/>
      <c r="J319" s="65"/>
      <c r="K319" s="37"/>
      <c r="L319" s="37"/>
      <c r="M319" s="37"/>
      <c r="N319" s="37"/>
      <c r="O319" s="37"/>
      <c r="P319" s="37"/>
      <c r="Q319" s="37"/>
      <c r="R319" s="37"/>
      <c r="S319" s="37"/>
      <c r="T319" s="37"/>
      <c r="U319" s="3"/>
      <c r="W319" s="3"/>
      <c r="X319" s="3"/>
      <c r="Y319" s="3"/>
      <c r="Z319" s="3"/>
    </row>
    <row r="320" spans="1:26" ht="15.75" hidden="1" customHeight="1" outlineLevel="1" x14ac:dyDescent="0.3">
      <c r="A320" s="3"/>
      <c r="B320" s="10" t="s">
        <v>65</v>
      </c>
      <c r="C320" s="62"/>
      <c r="D320" s="62"/>
      <c r="E320" s="12">
        <v>0</v>
      </c>
      <c r="F320" s="12">
        <v>0</v>
      </c>
      <c r="G320" s="65"/>
      <c r="H320" s="65"/>
      <c r="I320" s="89"/>
      <c r="J320" s="65"/>
      <c r="K320" s="37"/>
      <c r="L320" s="37"/>
      <c r="M320" s="37"/>
      <c r="N320" s="37"/>
      <c r="O320" s="37"/>
      <c r="P320" s="37"/>
      <c r="Q320" s="37"/>
      <c r="R320" s="37"/>
      <c r="S320" s="37"/>
      <c r="T320" s="37"/>
      <c r="U320" s="3"/>
      <c r="W320" s="3"/>
      <c r="X320" s="3"/>
      <c r="Y320" s="3"/>
      <c r="Z320" s="3"/>
    </row>
    <row r="321" spans="1:21" ht="15.75" customHeight="1" collapsed="1" x14ac:dyDescent="0.3">
      <c r="A321" s="3"/>
      <c r="B321" s="3"/>
      <c r="C321" s="37"/>
      <c r="D321" s="37"/>
      <c r="E321" s="37"/>
      <c r="F321" s="37"/>
      <c r="G321" s="98"/>
      <c r="H321" s="98"/>
      <c r="I321" s="99"/>
      <c r="J321" s="98"/>
      <c r="K321" s="37"/>
      <c r="L321" s="37"/>
      <c r="M321" s="37"/>
      <c r="N321" s="37"/>
      <c r="O321" s="37"/>
      <c r="P321" s="37"/>
      <c r="Q321" s="37"/>
      <c r="R321" s="37"/>
      <c r="S321" s="37"/>
      <c r="T321" s="37"/>
      <c r="U321" s="3"/>
    </row>
    <row r="322" spans="1:21" ht="15.75" customHeight="1" x14ac:dyDescent="0.3">
      <c r="A322" s="3"/>
      <c r="B322" s="3"/>
      <c r="C322" s="37"/>
      <c r="D322" s="37"/>
      <c r="E322" s="37"/>
      <c r="F322" s="37"/>
      <c r="G322" s="98"/>
      <c r="H322" s="98"/>
      <c r="I322" s="99"/>
      <c r="J322" s="98"/>
      <c r="K322" s="37"/>
      <c r="L322" s="37"/>
      <c r="M322" s="37"/>
      <c r="N322" s="37"/>
      <c r="O322" s="37"/>
      <c r="P322" s="37"/>
      <c r="Q322" s="37"/>
      <c r="R322" s="37"/>
      <c r="S322" s="37"/>
      <c r="T322" s="37"/>
      <c r="U322" s="3"/>
    </row>
    <row r="323" spans="1:21" ht="15.75" customHeight="1" x14ac:dyDescent="0.3">
      <c r="A323" s="3"/>
      <c r="B323" s="3"/>
      <c r="C323" s="37"/>
      <c r="D323" s="37"/>
      <c r="E323" s="37"/>
      <c r="F323" s="37"/>
      <c r="G323" s="98"/>
      <c r="H323" s="98"/>
      <c r="I323" s="99"/>
      <c r="J323" s="98"/>
      <c r="K323" s="37"/>
      <c r="L323" s="37"/>
      <c r="M323" s="37"/>
      <c r="N323" s="37"/>
      <c r="O323" s="37"/>
      <c r="P323" s="37"/>
      <c r="Q323" s="37"/>
      <c r="R323" s="37"/>
      <c r="S323" s="37"/>
      <c r="T323" s="37"/>
      <c r="U323" s="3"/>
    </row>
    <row r="324" spans="1:21" ht="15.75" customHeight="1" x14ac:dyDescent="0.3">
      <c r="A324" s="3"/>
      <c r="B324" s="3"/>
      <c r="C324" s="37"/>
      <c r="D324" s="37"/>
      <c r="E324" s="37"/>
      <c r="F324" s="37"/>
      <c r="G324" s="98"/>
      <c r="H324" s="98"/>
      <c r="I324" s="99"/>
      <c r="J324" s="98"/>
      <c r="K324" s="37"/>
      <c r="L324" s="37"/>
      <c r="M324" s="37"/>
      <c r="N324" s="37"/>
      <c r="O324" s="37"/>
      <c r="P324" s="37"/>
      <c r="Q324" s="37"/>
      <c r="R324" s="37"/>
      <c r="S324" s="37"/>
      <c r="T324" s="37"/>
      <c r="U324" s="3"/>
    </row>
    <row r="325" spans="1:21" ht="15.75" customHeight="1" x14ac:dyDescent="0.3">
      <c r="A325" s="3"/>
      <c r="B325" s="3"/>
      <c r="C325" s="37"/>
      <c r="D325" s="37"/>
      <c r="E325" s="37"/>
      <c r="F325" s="37"/>
      <c r="G325" s="98"/>
      <c r="H325" s="98"/>
      <c r="I325" s="99"/>
      <c r="J325" s="98"/>
      <c r="K325" s="37"/>
      <c r="L325" s="37"/>
      <c r="M325" s="37"/>
      <c r="N325" s="37"/>
      <c r="O325" s="37"/>
      <c r="P325" s="37"/>
      <c r="Q325" s="37"/>
      <c r="R325" s="37"/>
      <c r="S325" s="37"/>
      <c r="T325" s="37"/>
      <c r="U325" s="3"/>
    </row>
    <row r="326" spans="1:21" ht="15.75" customHeight="1" x14ac:dyDescent="0.3">
      <c r="A326" s="3"/>
      <c r="B326" s="3"/>
      <c r="C326" s="37"/>
      <c r="D326" s="37"/>
      <c r="E326" s="37"/>
      <c r="F326" s="37"/>
      <c r="G326" s="98"/>
      <c r="H326" s="98"/>
      <c r="I326" s="99"/>
      <c r="J326" s="98"/>
      <c r="K326" s="37"/>
      <c r="L326" s="37"/>
      <c r="M326" s="37"/>
      <c r="N326" s="37"/>
      <c r="O326" s="37"/>
      <c r="P326" s="37"/>
      <c r="Q326" s="37"/>
      <c r="R326" s="37"/>
      <c r="S326" s="37"/>
      <c r="T326" s="37"/>
      <c r="U326" s="3"/>
    </row>
    <row r="327" spans="1:21" ht="15.75" customHeight="1" x14ac:dyDescent="0.3">
      <c r="A327" s="3"/>
      <c r="B327" s="3"/>
      <c r="C327" s="37"/>
      <c r="D327" s="37"/>
      <c r="E327" s="37"/>
      <c r="F327" s="37"/>
      <c r="G327" s="98"/>
      <c r="H327" s="98"/>
      <c r="I327" s="99"/>
      <c r="J327" s="98"/>
      <c r="K327" s="37"/>
      <c r="L327" s="37"/>
      <c r="M327" s="37"/>
      <c r="N327" s="37"/>
      <c r="O327" s="37"/>
      <c r="P327" s="37"/>
      <c r="Q327" s="37"/>
      <c r="R327" s="37"/>
      <c r="S327" s="37"/>
      <c r="T327" s="37"/>
      <c r="U327" s="3"/>
    </row>
    <row r="328" spans="1:21" ht="15.75" customHeight="1" x14ac:dyDescent="0.3">
      <c r="A328" s="3"/>
      <c r="B328" s="3"/>
      <c r="C328" s="37"/>
      <c r="D328" s="37"/>
      <c r="E328" s="37"/>
      <c r="F328" s="37"/>
      <c r="G328" s="98"/>
      <c r="H328" s="98"/>
      <c r="I328" s="99"/>
      <c r="J328" s="98"/>
      <c r="K328" s="37"/>
      <c r="L328" s="37"/>
      <c r="M328" s="37"/>
      <c r="N328" s="37"/>
      <c r="O328" s="37"/>
      <c r="P328" s="37"/>
      <c r="Q328" s="37"/>
      <c r="R328" s="37"/>
      <c r="S328" s="37"/>
      <c r="T328" s="37"/>
      <c r="U328" s="3"/>
    </row>
    <row r="329" spans="1:21" ht="15.75" customHeight="1" x14ac:dyDescent="0.3">
      <c r="A329" s="3"/>
      <c r="B329" s="3"/>
      <c r="C329" s="37"/>
      <c r="D329" s="37"/>
      <c r="E329" s="37"/>
      <c r="F329" s="37"/>
      <c r="G329" s="98"/>
      <c r="H329" s="98"/>
      <c r="I329" s="99"/>
      <c r="J329" s="98"/>
      <c r="K329" s="37"/>
      <c r="L329" s="37"/>
      <c r="M329" s="37"/>
      <c r="N329" s="37"/>
      <c r="O329" s="37"/>
      <c r="P329" s="37"/>
      <c r="Q329" s="37"/>
      <c r="R329" s="37"/>
      <c r="S329" s="37"/>
      <c r="T329" s="37"/>
      <c r="U329" s="3"/>
    </row>
    <row r="330" spans="1:21" ht="15.75" customHeight="1" x14ac:dyDescent="0.3">
      <c r="A330" s="3"/>
      <c r="B330" s="3"/>
      <c r="C330" s="37"/>
      <c r="D330" s="37"/>
      <c r="E330" s="37"/>
      <c r="F330" s="37"/>
      <c r="G330" s="98"/>
      <c r="H330" s="98"/>
      <c r="I330" s="99"/>
      <c r="J330" s="98"/>
      <c r="K330" s="37"/>
      <c r="L330" s="37"/>
      <c r="M330" s="37"/>
      <c r="N330" s="37"/>
      <c r="O330" s="37"/>
      <c r="P330" s="37"/>
      <c r="Q330" s="37"/>
      <c r="R330" s="37"/>
      <c r="S330" s="37"/>
      <c r="T330" s="37"/>
      <c r="U330" s="3"/>
    </row>
    <row r="331" spans="1:21" ht="15.75" customHeight="1" x14ac:dyDescent="0.3">
      <c r="A331" s="3"/>
      <c r="B331" s="3"/>
      <c r="C331" s="37"/>
      <c r="D331" s="37"/>
      <c r="E331" s="37"/>
      <c r="F331" s="37"/>
      <c r="G331" s="98"/>
      <c r="H331" s="98"/>
      <c r="I331" s="99"/>
      <c r="J331" s="98"/>
      <c r="K331" s="37"/>
      <c r="L331" s="37"/>
      <c r="M331" s="37"/>
      <c r="N331" s="37"/>
      <c r="O331" s="37"/>
      <c r="P331" s="37"/>
      <c r="Q331" s="37"/>
      <c r="R331" s="37"/>
      <c r="S331" s="37"/>
      <c r="T331" s="37"/>
      <c r="U331" s="3"/>
    </row>
    <row r="332" spans="1:21" ht="15.75" customHeight="1" x14ac:dyDescent="0.3">
      <c r="A332" s="3"/>
      <c r="B332" s="3"/>
      <c r="C332" s="37"/>
      <c r="D332" s="37"/>
      <c r="E332" s="37"/>
      <c r="F332" s="37"/>
      <c r="G332" s="98"/>
      <c r="H332" s="98"/>
      <c r="I332" s="99"/>
      <c r="J332" s="98"/>
      <c r="K332" s="37"/>
      <c r="L332" s="37"/>
      <c r="M332" s="37"/>
      <c r="N332" s="37"/>
      <c r="O332" s="37"/>
      <c r="P332" s="37"/>
      <c r="Q332" s="37"/>
      <c r="R332" s="37"/>
      <c r="S332" s="37"/>
      <c r="T332" s="37"/>
      <c r="U332" s="3"/>
    </row>
    <row r="333" spans="1:21" ht="15.75" customHeight="1" x14ac:dyDescent="0.3">
      <c r="A333" s="3"/>
      <c r="B333" s="3"/>
      <c r="C333" s="37"/>
      <c r="D333" s="37"/>
      <c r="E333" s="37"/>
      <c r="F333" s="37"/>
      <c r="G333" s="98"/>
      <c r="H333" s="98"/>
      <c r="I333" s="99"/>
      <c r="J333" s="98"/>
      <c r="K333" s="37"/>
      <c r="L333" s="37"/>
      <c r="M333" s="37"/>
      <c r="N333" s="37"/>
      <c r="O333" s="37"/>
      <c r="P333" s="37"/>
      <c r="Q333" s="37"/>
      <c r="R333" s="37"/>
      <c r="S333" s="37"/>
      <c r="T333" s="37"/>
      <c r="U333" s="3"/>
    </row>
    <row r="334" spans="1:21" ht="15.75" customHeight="1" x14ac:dyDescent="0.3">
      <c r="A334" s="3"/>
      <c r="B334" s="3"/>
      <c r="C334" s="37"/>
      <c r="D334" s="37"/>
      <c r="E334" s="37"/>
      <c r="F334" s="37"/>
      <c r="G334" s="98"/>
      <c r="H334" s="98"/>
      <c r="I334" s="99"/>
      <c r="J334" s="98"/>
      <c r="K334" s="37"/>
      <c r="L334" s="37"/>
      <c r="M334" s="37"/>
      <c r="N334" s="37"/>
      <c r="O334" s="37"/>
      <c r="P334" s="37"/>
      <c r="Q334" s="37"/>
      <c r="R334" s="37"/>
      <c r="S334" s="37"/>
      <c r="T334" s="37"/>
      <c r="U334" s="3"/>
    </row>
    <row r="335" spans="1:21" ht="15.75" customHeight="1" x14ac:dyDescent="0.3">
      <c r="A335" s="3"/>
      <c r="B335" s="3"/>
      <c r="C335" s="37"/>
      <c r="D335" s="37"/>
      <c r="E335" s="37"/>
      <c r="F335" s="37"/>
      <c r="G335" s="98"/>
      <c r="H335" s="98"/>
      <c r="I335" s="99"/>
      <c r="J335" s="98"/>
      <c r="K335" s="37"/>
      <c r="L335" s="37"/>
      <c r="M335" s="37"/>
      <c r="N335" s="37"/>
      <c r="O335" s="37"/>
      <c r="P335" s="37"/>
      <c r="Q335" s="37"/>
      <c r="R335" s="37"/>
      <c r="S335" s="37"/>
      <c r="T335" s="37"/>
      <c r="U335" s="3"/>
    </row>
    <row r="336" spans="1:21" ht="15.75" customHeight="1" x14ac:dyDescent="0.3">
      <c r="A336" s="3"/>
      <c r="B336" s="3"/>
      <c r="C336" s="37"/>
      <c r="D336" s="37"/>
      <c r="E336" s="37"/>
      <c r="F336" s="37"/>
      <c r="G336" s="98"/>
      <c r="H336" s="98"/>
      <c r="I336" s="99"/>
      <c r="J336" s="98"/>
      <c r="K336" s="37"/>
      <c r="L336" s="37"/>
      <c r="M336" s="37"/>
      <c r="N336" s="37"/>
      <c r="O336" s="37"/>
      <c r="P336" s="37"/>
      <c r="Q336" s="37"/>
      <c r="R336" s="37"/>
      <c r="S336" s="37"/>
      <c r="T336" s="37"/>
      <c r="U336" s="3"/>
    </row>
    <row r="337" spans="1:21" ht="15.75" customHeight="1" x14ac:dyDescent="0.3">
      <c r="A337" s="3"/>
      <c r="B337" s="3"/>
      <c r="C337" s="37"/>
      <c r="D337" s="37"/>
      <c r="E337" s="37"/>
      <c r="F337" s="37"/>
      <c r="G337" s="98"/>
      <c r="H337" s="98"/>
      <c r="I337" s="99"/>
      <c r="J337" s="98"/>
      <c r="K337" s="37"/>
      <c r="L337" s="37"/>
      <c r="M337" s="37"/>
      <c r="N337" s="37"/>
      <c r="O337" s="37"/>
      <c r="P337" s="37"/>
      <c r="Q337" s="37"/>
      <c r="R337" s="37"/>
      <c r="S337" s="37"/>
      <c r="T337" s="37"/>
      <c r="U337" s="3"/>
    </row>
    <row r="338" spans="1:21" ht="15.75" customHeight="1" x14ac:dyDescent="0.3">
      <c r="A338" s="3"/>
      <c r="B338" s="3"/>
      <c r="C338" s="37"/>
      <c r="D338" s="37"/>
      <c r="E338" s="37"/>
      <c r="F338" s="37"/>
      <c r="G338" s="98"/>
      <c r="H338" s="98"/>
      <c r="I338" s="99"/>
      <c r="J338" s="98"/>
      <c r="K338" s="37"/>
      <c r="L338" s="37"/>
      <c r="M338" s="37"/>
      <c r="N338" s="37"/>
      <c r="O338" s="37"/>
      <c r="P338" s="37"/>
      <c r="Q338" s="37"/>
      <c r="R338" s="37"/>
      <c r="S338" s="37"/>
      <c r="T338" s="37"/>
      <c r="U338" s="3"/>
    </row>
    <row r="339" spans="1:21" ht="15.75" customHeight="1" x14ac:dyDescent="0.3">
      <c r="A339" s="3"/>
      <c r="B339" s="3"/>
      <c r="C339" s="37"/>
      <c r="D339" s="37"/>
      <c r="E339" s="37"/>
      <c r="F339" s="37"/>
      <c r="G339" s="98"/>
      <c r="H339" s="98"/>
      <c r="I339" s="99"/>
      <c r="J339" s="98"/>
      <c r="K339" s="37"/>
      <c r="L339" s="37"/>
      <c r="M339" s="37"/>
      <c r="N339" s="37"/>
      <c r="O339" s="37"/>
      <c r="P339" s="37"/>
      <c r="Q339" s="37"/>
      <c r="R339" s="37"/>
      <c r="S339" s="37"/>
      <c r="T339" s="37"/>
      <c r="U339" s="3"/>
    </row>
    <row r="340" spans="1:21" ht="15.75" customHeight="1" x14ac:dyDescent="0.3">
      <c r="A340" s="3"/>
      <c r="B340" s="3"/>
      <c r="C340" s="37"/>
      <c r="D340" s="37"/>
      <c r="E340" s="37"/>
      <c r="F340" s="37"/>
      <c r="G340" s="98"/>
      <c r="H340" s="98"/>
      <c r="I340" s="99"/>
      <c r="J340" s="98"/>
      <c r="K340" s="37"/>
      <c r="L340" s="37"/>
      <c r="M340" s="37"/>
      <c r="N340" s="37"/>
      <c r="O340" s="37"/>
      <c r="P340" s="37"/>
      <c r="Q340" s="37"/>
      <c r="R340" s="37"/>
      <c r="S340" s="37"/>
      <c r="T340" s="37"/>
      <c r="U340" s="3"/>
    </row>
    <row r="341" spans="1:21" ht="15.75" customHeight="1" x14ac:dyDescent="0.3">
      <c r="A341" s="3"/>
      <c r="B341" s="3"/>
      <c r="C341" s="37"/>
      <c r="D341" s="37"/>
      <c r="E341" s="37"/>
      <c r="F341" s="37"/>
      <c r="G341" s="98"/>
      <c r="H341" s="98"/>
      <c r="I341" s="99"/>
      <c r="J341" s="98"/>
      <c r="K341" s="37"/>
      <c r="L341" s="37"/>
      <c r="M341" s="37"/>
      <c r="N341" s="37"/>
      <c r="O341" s="37"/>
      <c r="P341" s="37"/>
      <c r="Q341" s="37"/>
      <c r="R341" s="37"/>
      <c r="S341" s="37"/>
      <c r="T341" s="37"/>
      <c r="U341" s="3"/>
    </row>
    <row r="342" spans="1:21" ht="15.75" customHeight="1" x14ac:dyDescent="0.3">
      <c r="A342" s="3"/>
      <c r="B342" s="3"/>
      <c r="C342" s="37"/>
      <c r="D342" s="37"/>
      <c r="E342" s="37"/>
      <c r="F342" s="37"/>
      <c r="G342" s="98"/>
      <c r="H342" s="98"/>
      <c r="I342" s="99"/>
      <c r="J342" s="98"/>
      <c r="K342" s="37"/>
      <c r="L342" s="37"/>
      <c r="M342" s="37"/>
      <c r="N342" s="37"/>
      <c r="O342" s="37"/>
      <c r="P342" s="37"/>
      <c r="Q342" s="37"/>
      <c r="R342" s="37"/>
      <c r="S342" s="37"/>
      <c r="T342" s="37"/>
      <c r="U342" s="3"/>
    </row>
    <row r="343" spans="1:21" ht="15.75" customHeight="1" x14ac:dyDescent="0.3">
      <c r="A343" s="3"/>
      <c r="B343" s="3"/>
      <c r="C343" s="37"/>
      <c r="D343" s="37"/>
      <c r="E343" s="37"/>
      <c r="F343" s="37"/>
      <c r="G343" s="98"/>
      <c r="H343" s="98"/>
      <c r="I343" s="99"/>
      <c r="J343" s="98"/>
      <c r="K343" s="37"/>
      <c r="L343" s="37"/>
      <c r="M343" s="37"/>
      <c r="N343" s="37"/>
      <c r="O343" s="37"/>
      <c r="P343" s="37"/>
      <c r="Q343" s="37"/>
      <c r="R343" s="37"/>
      <c r="S343" s="37"/>
      <c r="T343" s="37"/>
      <c r="U343" s="3"/>
    </row>
    <row r="344" spans="1:21" ht="15.75" customHeight="1" x14ac:dyDescent="0.3">
      <c r="A344" s="3"/>
      <c r="B344" s="3"/>
      <c r="C344" s="37"/>
      <c r="D344" s="37"/>
      <c r="E344" s="37"/>
      <c r="F344" s="37"/>
      <c r="G344" s="98"/>
      <c r="H344" s="98"/>
      <c r="I344" s="99"/>
      <c r="J344" s="98"/>
      <c r="K344" s="37"/>
      <c r="L344" s="37"/>
      <c r="M344" s="37"/>
      <c r="N344" s="37"/>
      <c r="O344" s="37"/>
      <c r="P344" s="37"/>
      <c r="Q344" s="37"/>
      <c r="R344" s="37"/>
      <c r="S344" s="37"/>
      <c r="T344" s="37"/>
      <c r="U344" s="3"/>
    </row>
    <row r="345" spans="1:21" ht="15.75" customHeight="1" x14ac:dyDescent="0.3">
      <c r="A345" s="3"/>
      <c r="B345" s="3"/>
      <c r="C345" s="37"/>
      <c r="D345" s="37"/>
      <c r="E345" s="37"/>
      <c r="F345" s="37"/>
      <c r="G345" s="98"/>
      <c r="H345" s="98"/>
      <c r="I345" s="99"/>
      <c r="J345" s="98"/>
      <c r="K345" s="37"/>
      <c r="L345" s="37"/>
      <c r="M345" s="37"/>
      <c r="N345" s="37"/>
      <c r="O345" s="37"/>
      <c r="P345" s="37"/>
      <c r="Q345" s="37"/>
      <c r="R345" s="37"/>
      <c r="S345" s="37"/>
      <c r="T345" s="37"/>
      <c r="U345" s="3"/>
    </row>
    <row r="346" spans="1:21" ht="15.75" customHeight="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1" ht="15.7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1" ht="15.7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1" ht="15.7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1" ht="15.7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1" ht="15.7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1" ht="15.7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5.7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5.7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5.7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5.7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5.7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5.7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5.7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5.7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5.7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5.7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5.7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5.7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5.7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5.7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5.7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5.7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5.7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5.7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5.7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5.7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5.7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5.7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5.7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5.7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5.7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5.7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5.7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5.7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5.7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5.7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5.7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5.7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5.7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5.7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5.7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5.7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5.7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5.7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5.7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5.7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5.7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5.7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5.7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5.7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5.7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5.7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5.7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5.7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5.7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5.7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5.7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5.7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5.7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5.7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5.7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5.7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5.7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5.7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5.7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5.7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5.7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5.7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5.7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5.7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5.7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5.7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5.7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5.7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5.7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5.7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5.7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5.7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5.7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5.7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5.7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5.7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5.7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5.7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5.7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5.7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5.7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5.7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5.7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5.7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5.7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5.7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5.7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5.7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5.7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5.7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5.7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5.7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5.7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5.7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5.7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5.7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5.7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5.7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5.7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5.7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5.7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5.7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5.7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5.7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5.7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5.7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5.7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5.7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5.7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5.7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5.7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5.7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5.7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5.7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5.7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5.7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5.7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5.7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5.7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5.7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5.7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5.7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5.7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5.7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5.7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5.7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5.7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5.7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5.7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5.7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5.7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5.7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5.7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5.7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5.7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5.7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5.7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5.7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5.7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5.7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5.7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5.7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5.7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5.7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5.7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5.7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5.7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5.7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5.7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5.7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5.7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5.7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5.7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5.7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5.7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5.7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5.7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5.7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5.7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5.7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5.7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5.7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5.7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5.7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5.7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5.7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5.7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5.7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5.75" customHeight="1" x14ac:dyDescent="0.3"/>
    <row r="522" spans="1:21" ht="15.75" customHeight="1" x14ac:dyDescent="0.3"/>
    <row r="523" spans="1:21" ht="15.75" customHeight="1" x14ac:dyDescent="0.3"/>
    <row r="524" spans="1:21" ht="15.75" customHeight="1" x14ac:dyDescent="0.3"/>
    <row r="525" spans="1:21" ht="15.75" customHeight="1" x14ac:dyDescent="0.3"/>
    <row r="526" spans="1:21" ht="15.75" customHeight="1" x14ac:dyDescent="0.3"/>
    <row r="527" spans="1:21" ht="15.75" customHeight="1" x14ac:dyDescent="0.3"/>
    <row r="528" spans="1:21"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autoFilter ref="C5:F320" xr:uid="{00000000-0009-0000-0000-00000E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3 D135:D143 D146:D150 D152:D156 D158:D162 D164:D168 D170:D174 D176:D253 D256:D264 D266:D274 D276:D284 D286:D294 D296:D304 D306:D320" xr:uid="{00000000-0002-0000-0E00-000001000000}">
      <formula1>"OK,Parcial,Pendente"</formula1>
    </dataValidation>
  </dataValidations>
  <hyperlinks>
    <hyperlink ref="I7" r:id="rId1" xr:uid="{00000000-0004-0000-0E00-000000000000}"/>
    <hyperlink ref="I10" r:id="rId2" xr:uid="{00000000-0004-0000-0E00-000001000000}"/>
    <hyperlink ref="I11" r:id="rId3" xr:uid="{00000000-0004-0000-0E00-000002000000}"/>
    <hyperlink ref="I12" r:id="rId4" xr:uid="{00000000-0004-0000-0E00-000003000000}"/>
    <hyperlink ref="I15" r:id="rId5" xr:uid="{00000000-0004-0000-0E00-000004000000}"/>
    <hyperlink ref="I17" r:id="rId6" xr:uid="{00000000-0004-0000-0E00-000005000000}"/>
    <hyperlink ref="I22" r:id="rId7" xr:uid="{00000000-0004-0000-0E00-000006000000}"/>
    <hyperlink ref="I29" r:id="rId8" xr:uid="{00000000-0004-0000-0E00-000007000000}"/>
    <hyperlink ref="I30" r:id="rId9" xr:uid="{00000000-0004-0000-0E00-000008000000}"/>
    <hyperlink ref="I32" r:id="rId10" xr:uid="{00000000-0004-0000-0E00-000009000000}"/>
    <hyperlink ref="I33" r:id="rId11" xr:uid="{00000000-0004-0000-0E00-00000A000000}"/>
    <hyperlink ref="I35" r:id="rId12" xr:uid="{00000000-0004-0000-0E00-00000B000000}"/>
    <hyperlink ref="I39" r:id="rId13" xr:uid="{00000000-0004-0000-0E00-00000C000000}"/>
    <hyperlink ref="I40" r:id="rId14" xr:uid="{00000000-0004-0000-0E00-00000D000000}"/>
    <hyperlink ref="I42" r:id="rId15" xr:uid="{00000000-0004-0000-0E00-00000E000000}"/>
    <hyperlink ref="I43" r:id="rId16" xr:uid="{00000000-0004-0000-0E00-00000F000000}"/>
    <hyperlink ref="I44" r:id="rId17" xr:uid="{00000000-0004-0000-0E00-000010000000}"/>
    <hyperlink ref="I45" r:id="rId18" xr:uid="{00000000-0004-0000-0E00-000011000000}"/>
    <hyperlink ref="I46" r:id="rId19" xr:uid="{00000000-0004-0000-0E00-000012000000}"/>
    <hyperlink ref="I47" r:id="rId20" xr:uid="{00000000-0004-0000-0E00-000013000000}"/>
    <hyperlink ref="I48" r:id="rId21" xr:uid="{00000000-0004-0000-0E00-000014000000}"/>
    <hyperlink ref="I49" r:id="rId22" xr:uid="{00000000-0004-0000-0E00-000015000000}"/>
    <hyperlink ref="I64" r:id="rId23" xr:uid="{00000000-0004-0000-0E00-000016000000}"/>
    <hyperlink ref="I65" r:id="rId24" xr:uid="{00000000-0004-0000-0E00-000017000000}"/>
    <hyperlink ref="I69" r:id="rId25" xr:uid="{00000000-0004-0000-0E00-000018000000}"/>
    <hyperlink ref="I77" r:id="rId26" xr:uid="{00000000-0004-0000-0E00-000019000000}"/>
    <hyperlink ref="I79" r:id="rId27" xr:uid="{00000000-0004-0000-0E00-00001A000000}"/>
    <hyperlink ref="I80" r:id="rId28" xr:uid="{00000000-0004-0000-0E00-00001B000000}"/>
    <hyperlink ref="I83" r:id="rId29" xr:uid="{00000000-0004-0000-0E00-00001C000000}"/>
    <hyperlink ref="I84" r:id="rId30" xr:uid="{00000000-0004-0000-0E00-00001D000000}"/>
    <hyperlink ref="I119" r:id="rId31" xr:uid="{00000000-0004-0000-0E00-00001E000000}"/>
    <hyperlink ref="I120" r:id="rId32" xr:uid="{00000000-0004-0000-0E00-00001F000000}"/>
    <hyperlink ref="I121" r:id="rId33" xr:uid="{00000000-0004-0000-0E00-000020000000}"/>
    <hyperlink ref="I127" r:id="rId34" xr:uid="{00000000-0004-0000-0E00-000021000000}"/>
    <hyperlink ref="I128" r:id="rId35" xr:uid="{00000000-0004-0000-0E00-000022000000}"/>
    <hyperlink ref="I129" r:id="rId36" xr:uid="{00000000-0004-0000-0E00-000023000000}"/>
    <hyperlink ref="I130" r:id="rId37" xr:uid="{00000000-0004-0000-0E00-000024000000}"/>
    <hyperlink ref="I135" r:id="rId38" xr:uid="{00000000-0004-0000-0E00-000025000000}"/>
    <hyperlink ref="I146" r:id="rId39" xr:uid="{00000000-0004-0000-0E00-000026000000}"/>
    <hyperlink ref="I147" r:id="rId40" xr:uid="{00000000-0004-0000-0E00-000027000000}"/>
    <hyperlink ref="I148" r:id="rId41" xr:uid="{00000000-0004-0000-0E00-000028000000}"/>
    <hyperlink ref="I149" r:id="rId42" xr:uid="{00000000-0004-0000-0E00-000029000000}"/>
    <hyperlink ref="I150" r:id="rId43" xr:uid="{00000000-0004-0000-0E00-00002A000000}"/>
    <hyperlink ref="I176" r:id="rId44" xr:uid="{00000000-0004-0000-0E00-00002B000000}"/>
    <hyperlink ref="I177" r:id="rId45" xr:uid="{00000000-0004-0000-0E00-00002C000000}"/>
    <hyperlink ref="I178" r:id="rId46" xr:uid="{00000000-0004-0000-0E00-00002D000000}"/>
    <hyperlink ref="I179" r:id="rId47" xr:uid="{00000000-0004-0000-0E00-00002E000000}"/>
    <hyperlink ref="I180" r:id="rId48" xr:uid="{00000000-0004-0000-0E00-00002F000000}"/>
    <hyperlink ref="I181" r:id="rId49" xr:uid="{00000000-0004-0000-0E00-000030000000}"/>
    <hyperlink ref="I182" r:id="rId50" xr:uid="{00000000-0004-0000-0E00-000031000000}"/>
    <hyperlink ref="I185" r:id="rId51" xr:uid="{00000000-0004-0000-0E00-000032000000}"/>
    <hyperlink ref="I186" r:id="rId52" xr:uid="{00000000-0004-0000-0E00-000033000000}"/>
    <hyperlink ref="I187" r:id="rId53" xr:uid="{00000000-0004-0000-0E00-000034000000}"/>
    <hyperlink ref="I194" r:id="rId54" xr:uid="{00000000-0004-0000-0E00-000035000000}"/>
    <hyperlink ref="I205" r:id="rId55" xr:uid="{00000000-0004-0000-0E00-000036000000}"/>
    <hyperlink ref="I235" r:id="rId56" xr:uid="{00000000-0004-0000-0E00-000037000000}"/>
    <hyperlink ref="I236" r:id="rId57" xr:uid="{00000000-0004-0000-0E00-000038000000}"/>
    <hyperlink ref="I312" r:id="rId58" xr:uid="{00000000-0004-0000-0E00-000039000000}"/>
    <hyperlink ref="I313" r:id="rId59" xr:uid="{00000000-0004-0000-0E00-00003A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E00-000000000000}">
          <x14:formula1>
            <xm:f>Caixa!$B$5:$B$8</xm:f>
          </x14:formula1>
          <xm:sqref>H7:H15 H17:H33 H35:H37 H39:H62 H64:H84 H87:H101 H103:H106 H108:H110 H113:H117 H119:H133 H135:H143 H146:H150 H152:H156 H158:H162 H164:H168 H170:H174 H176:H203 H205:H213 H215:H223 H225:H233 H235:H243 H245:H253 H256:H264 H266:H274 H276:H284 H286:H294 H296:H304 H306:H320</xm:sqref>
        </x14:dataValidation>
        <x14:dataValidation type="list" allowBlank="1" showErrorMessage="1" xr:uid="{00000000-0002-0000-0E00-000002000000}">
          <x14:formula1>
            <xm:f>'Plano de contas DG'!$C$43:$C$145</xm:f>
          </x14:formula1>
          <xm:sqref>J236</xm:sqref>
        </x14:dataValidation>
        <x14:dataValidation type="list" allowBlank="1" showErrorMessage="1" xr:uid="{00000000-0002-0000-0E00-000003000000}">
          <x14:formula1>
            <xm:f>'Plano de contas DG'!$C$5:$C$145</xm:f>
          </x14:formula1>
          <xm:sqref>J6:J235 J237:J320</xm:sqref>
        </x14:dataValidation>
        <x14:dataValidation type="list" allowBlank="1" showErrorMessage="1" xr:uid="{00000000-0002-0000-0E00-000004000000}">
          <x14:formula1>
            <xm:f>Caixa!$B$5:$B$7</xm:f>
          </x14:formula1>
          <xm:sqref>H16 H34 H85:H86 H102 H107 H111:H112 H118 H204 H214 H224 H234 H244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Z998"/>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SUM(E6,E124,E149,E179,E183)</f>
        <v>16935.62</v>
      </c>
      <c r="F4" s="26">
        <f t="shared" si="0"/>
        <v>22836.629999999997</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SUM(E7:E123)</f>
        <v>16935.62</v>
      </c>
      <c r="F6" s="57">
        <f>SUMIF(D7:D123,"OK",F7:F123)+SUMIF(D7:D123,"Parcial",F7:F123)</f>
        <v>15807.579999999998</v>
      </c>
      <c r="G6" s="118" t="s">
        <v>43</v>
      </c>
      <c r="H6" s="59"/>
      <c r="I6" s="59"/>
      <c r="J6" s="60">
        <f>(COUNTIF(D7:D123,"Pendente")+COUNTIF(D7:D123,"Parcial"))/COUNTA(B7:B123)</f>
        <v>0.20202020202020202</v>
      </c>
      <c r="K6" s="60">
        <f>IFERROR(-(X6/E6),"Pendente info")</f>
        <v>0.16675681197381614</v>
      </c>
      <c r="L6" s="100">
        <f>SUM(L7:L102)/COUNTA(B7:B102)</f>
        <v>0.1875</v>
      </c>
      <c r="M6" s="57">
        <f t="shared" ref="M6:U6" si="1">SUMIF($D$7:$D$123,"OK",M7:M123)+SUMIF($D$7:$D$123,"Parcial",M7:M123)</f>
        <v>9409.3800000000028</v>
      </c>
      <c r="N6" s="57">
        <f t="shared" si="1"/>
        <v>1916.4599999999989</v>
      </c>
      <c r="O6" s="57">
        <f t="shared" si="1"/>
        <v>936</v>
      </c>
      <c r="P6" s="57">
        <f t="shared" si="1"/>
        <v>178.73999999999995</v>
      </c>
      <c r="Q6" s="57">
        <f t="shared" si="1"/>
        <v>150</v>
      </c>
      <c r="R6" s="57">
        <f t="shared" si="1"/>
        <v>175</v>
      </c>
      <c r="S6" s="57">
        <f t="shared" si="1"/>
        <v>227</v>
      </c>
      <c r="T6" s="57">
        <f t="shared" si="1"/>
        <v>520</v>
      </c>
      <c r="U6" s="57">
        <f t="shared" si="1"/>
        <v>2295</v>
      </c>
      <c r="V6" s="56" t="s">
        <v>43</v>
      </c>
      <c r="W6" s="44" t="str">
        <f t="shared" ref="W6:W123" si="2">IF(F6=SUM(M6:U6),"OK","Diferente")</f>
        <v>OK</v>
      </c>
      <c r="X6" s="47">
        <f>SUM(X7:X123)</f>
        <v>-2824.13</v>
      </c>
      <c r="Y6" s="18">
        <f>SUM(M6:U6)-F6</f>
        <v>0</v>
      </c>
      <c r="Z6" s="3"/>
    </row>
    <row r="7" spans="1:26" ht="14.4" hidden="1" outlineLevel="1" x14ac:dyDescent="0.3">
      <c r="A7" s="3"/>
      <c r="B7" s="61" t="s">
        <v>422</v>
      </c>
      <c r="C7" s="62"/>
      <c r="D7" s="62" t="s">
        <v>94</v>
      </c>
      <c r="E7" s="12"/>
      <c r="F7" s="101"/>
      <c r="G7" s="250"/>
      <c r="H7" s="103"/>
      <c r="I7" s="63"/>
      <c r="J7" s="64"/>
      <c r="K7" s="62"/>
      <c r="L7" s="62" t="str">
        <f t="shared" ref="L7:L123" si="3">IF(C7&gt;=13,1,"")</f>
        <v/>
      </c>
      <c r="M7" s="12"/>
      <c r="N7" s="12"/>
      <c r="O7" s="12"/>
      <c r="P7" s="12"/>
      <c r="Q7" s="12"/>
      <c r="R7" s="12"/>
      <c r="S7" s="12"/>
      <c r="T7" s="12"/>
      <c r="U7" s="12"/>
      <c r="V7" s="65" t="s">
        <v>1153</v>
      </c>
      <c r="W7" s="44" t="str">
        <f t="shared" si="2"/>
        <v>OK</v>
      </c>
      <c r="X7" s="47" t="str">
        <f t="shared" ref="X7:X123" si="4">IF(W7="Diferente",F7-SUM(M7:U7),"")</f>
        <v/>
      </c>
      <c r="Y7" s="3"/>
      <c r="Z7" s="127"/>
    </row>
    <row r="8" spans="1:26" ht="14.4" hidden="1" outlineLevel="1" x14ac:dyDescent="0.3">
      <c r="A8" s="3"/>
      <c r="B8" s="61" t="s">
        <v>424</v>
      </c>
      <c r="C8" s="62"/>
      <c r="D8" s="62" t="s">
        <v>94</v>
      </c>
      <c r="E8" s="12"/>
      <c r="F8" s="101"/>
      <c r="G8" s="251"/>
      <c r="H8" s="103"/>
      <c r="I8" s="63"/>
      <c r="J8" s="64"/>
      <c r="K8" s="62"/>
      <c r="L8" s="62" t="str">
        <f t="shared" si="3"/>
        <v/>
      </c>
      <c r="M8" s="12"/>
      <c r="N8" s="12"/>
      <c r="O8" s="12"/>
      <c r="P8" s="12"/>
      <c r="Q8" s="12"/>
      <c r="R8" s="12"/>
      <c r="S8" s="12"/>
      <c r="T8" s="12"/>
      <c r="U8" s="12"/>
      <c r="V8" s="65" t="s">
        <v>1154</v>
      </c>
      <c r="W8" s="44" t="str">
        <f t="shared" si="2"/>
        <v>OK</v>
      </c>
      <c r="X8" s="47" t="str">
        <f t="shared" si="4"/>
        <v/>
      </c>
      <c r="Y8" s="3"/>
      <c r="Z8" s="127"/>
    </row>
    <row r="9" spans="1:26" ht="14.4" hidden="1" outlineLevel="1" x14ac:dyDescent="0.3">
      <c r="A9" s="3"/>
      <c r="B9" s="61" t="s">
        <v>425</v>
      </c>
      <c r="C9" s="62"/>
      <c r="D9" s="62" t="s">
        <v>94</v>
      </c>
      <c r="E9" s="12"/>
      <c r="F9" s="101"/>
      <c r="G9" s="251"/>
      <c r="H9" s="103"/>
      <c r="I9" s="63"/>
      <c r="J9" s="64"/>
      <c r="K9" s="62"/>
      <c r="L9" s="62" t="str">
        <f t="shared" si="3"/>
        <v/>
      </c>
      <c r="M9" s="12"/>
      <c r="N9" s="12"/>
      <c r="O9" s="12"/>
      <c r="P9" s="12"/>
      <c r="Q9" s="12"/>
      <c r="R9" s="12"/>
      <c r="S9" s="12"/>
      <c r="T9" s="12"/>
      <c r="U9" s="12"/>
      <c r="V9" s="65" t="s">
        <v>1154</v>
      </c>
      <c r="W9" s="44" t="str">
        <f t="shared" si="2"/>
        <v>OK</v>
      </c>
      <c r="X9" s="47" t="str">
        <f t="shared" si="4"/>
        <v/>
      </c>
      <c r="Y9" s="3"/>
      <c r="Z9" s="127"/>
    </row>
    <row r="10" spans="1:26" ht="14.4" hidden="1" outlineLevel="1" x14ac:dyDescent="0.3">
      <c r="A10" s="3"/>
      <c r="B10" s="61" t="s">
        <v>426</v>
      </c>
      <c r="C10" s="62"/>
      <c r="D10" s="62" t="s">
        <v>94</v>
      </c>
      <c r="E10" s="12"/>
      <c r="F10" s="101"/>
      <c r="G10" s="252"/>
      <c r="H10" s="103"/>
      <c r="I10" s="63"/>
      <c r="J10" s="64"/>
      <c r="K10" s="62"/>
      <c r="L10" s="62" t="str">
        <f t="shared" si="3"/>
        <v/>
      </c>
      <c r="M10" s="12"/>
      <c r="N10" s="12"/>
      <c r="O10" s="12"/>
      <c r="P10" s="12"/>
      <c r="Q10" s="12"/>
      <c r="R10" s="12"/>
      <c r="S10" s="12"/>
      <c r="T10" s="12"/>
      <c r="U10" s="12"/>
      <c r="V10" s="65" t="s">
        <v>1154</v>
      </c>
      <c r="W10" s="44" t="str">
        <f t="shared" si="2"/>
        <v>OK</v>
      </c>
      <c r="X10" s="47" t="str">
        <f t="shared" si="4"/>
        <v/>
      </c>
      <c r="Y10" s="3"/>
      <c r="Z10" s="127"/>
    </row>
    <row r="11" spans="1:26" ht="14.4" hidden="1" outlineLevel="1" x14ac:dyDescent="0.3">
      <c r="A11" s="3"/>
      <c r="B11" s="10" t="s">
        <v>427</v>
      </c>
      <c r="C11" s="62">
        <v>6</v>
      </c>
      <c r="D11" s="62" t="s">
        <v>94</v>
      </c>
      <c r="E11" s="12">
        <f t="shared" ref="E11:E40" si="5">SUM(M11:U11)</f>
        <v>205.43</v>
      </c>
      <c r="F11" s="101">
        <f t="shared" ref="F11:F12" si="6">E11</f>
        <v>205.43</v>
      </c>
      <c r="G11" s="250"/>
      <c r="H11" s="103" t="s">
        <v>37</v>
      </c>
      <c r="I11" s="63"/>
      <c r="J11" s="64"/>
      <c r="K11" s="62"/>
      <c r="L11" s="62" t="str">
        <f t="shared" si="3"/>
        <v/>
      </c>
      <c r="M11" s="12">
        <v>130</v>
      </c>
      <c r="N11" s="12">
        <v>24.57</v>
      </c>
      <c r="O11" s="12">
        <v>12</v>
      </c>
      <c r="P11" s="12">
        <v>3.86</v>
      </c>
      <c r="Q11" s="12">
        <v>5</v>
      </c>
      <c r="R11" s="12"/>
      <c r="S11" s="12"/>
      <c r="T11" s="12"/>
      <c r="U11" s="12">
        <v>30</v>
      </c>
      <c r="V11" s="65" t="s">
        <v>1154</v>
      </c>
      <c r="W11" s="44" t="str">
        <f t="shared" si="2"/>
        <v>OK</v>
      </c>
      <c r="X11" s="47" t="str">
        <f t="shared" si="4"/>
        <v/>
      </c>
      <c r="Y11" s="3"/>
      <c r="Z11" s="127"/>
    </row>
    <row r="12" spans="1:26" ht="14.4" hidden="1" outlineLevel="1" x14ac:dyDescent="0.3">
      <c r="A12" s="3"/>
      <c r="B12" s="10" t="s">
        <v>428</v>
      </c>
      <c r="C12" s="62">
        <v>6</v>
      </c>
      <c r="D12" s="62" t="s">
        <v>94</v>
      </c>
      <c r="E12" s="12">
        <f t="shared" si="5"/>
        <v>198.57</v>
      </c>
      <c r="F12" s="101">
        <f t="shared" si="6"/>
        <v>198.57</v>
      </c>
      <c r="G12" s="252"/>
      <c r="H12" s="103" t="s">
        <v>37</v>
      </c>
      <c r="I12" s="63"/>
      <c r="J12" s="64"/>
      <c r="K12" s="62"/>
      <c r="L12" s="62" t="str">
        <f t="shared" si="3"/>
        <v/>
      </c>
      <c r="M12" s="12">
        <v>130</v>
      </c>
      <c r="N12" s="12">
        <v>24.57</v>
      </c>
      <c r="O12" s="12">
        <v>12</v>
      </c>
      <c r="P12" s="12">
        <v>2</v>
      </c>
      <c r="Q12" s="12"/>
      <c r="R12" s="12"/>
      <c r="S12" s="12"/>
      <c r="T12" s="12"/>
      <c r="U12" s="12">
        <v>30</v>
      </c>
      <c r="V12" s="65" t="s">
        <v>1154</v>
      </c>
      <c r="W12" s="44" t="str">
        <f t="shared" si="2"/>
        <v>OK</v>
      </c>
      <c r="X12" s="47" t="str">
        <f t="shared" si="4"/>
        <v/>
      </c>
      <c r="Y12" s="3"/>
      <c r="Z12" s="127"/>
    </row>
    <row r="13" spans="1:26" ht="14.4" hidden="1" outlineLevel="1" x14ac:dyDescent="0.3">
      <c r="A13" s="3"/>
      <c r="B13" s="61" t="s">
        <v>429</v>
      </c>
      <c r="C13" s="62"/>
      <c r="D13" s="62" t="s">
        <v>104</v>
      </c>
      <c r="E13" s="12">
        <f t="shared" si="5"/>
        <v>328.49</v>
      </c>
      <c r="F13" s="101"/>
      <c r="G13" s="253"/>
      <c r="H13" s="103"/>
      <c r="I13" s="63"/>
      <c r="J13" s="64"/>
      <c r="K13" s="62"/>
      <c r="L13" s="62" t="str">
        <f t="shared" si="3"/>
        <v/>
      </c>
      <c r="M13" s="12">
        <v>130.47999999999999</v>
      </c>
      <c r="N13" s="12">
        <v>24.57</v>
      </c>
      <c r="O13" s="12">
        <v>12</v>
      </c>
      <c r="P13" s="12">
        <v>1.44</v>
      </c>
      <c r="Q13" s="12">
        <v>10</v>
      </c>
      <c r="R13" s="12">
        <v>20</v>
      </c>
      <c r="S13" s="12">
        <v>50</v>
      </c>
      <c r="T13" s="12">
        <v>50</v>
      </c>
      <c r="U13" s="12">
        <v>30</v>
      </c>
      <c r="V13" s="65" t="s">
        <v>1154</v>
      </c>
      <c r="W13" s="44" t="str">
        <f t="shared" si="2"/>
        <v>Diferente</v>
      </c>
      <c r="X13" s="47">
        <f t="shared" si="4"/>
        <v>-328.49</v>
      </c>
      <c r="Y13" s="3"/>
      <c r="Z13" s="127"/>
    </row>
    <row r="14" spans="1:26" ht="14.4" hidden="1" outlineLevel="1" x14ac:dyDescent="0.3">
      <c r="A14" s="3"/>
      <c r="B14" s="61" t="s">
        <v>431</v>
      </c>
      <c r="C14" s="62"/>
      <c r="D14" s="62" t="s">
        <v>104</v>
      </c>
      <c r="E14" s="12">
        <f t="shared" si="5"/>
        <v>221.29</v>
      </c>
      <c r="F14" s="101"/>
      <c r="G14" s="252"/>
      <c r="H14" s="103"/>
      <c r="I14" s="63"/>
      <c r="J14" s="64"/>
      <c r="K14" s="62"/>
      <c r="L14" s="62" t="str">
        <f t="shared" si="3"/>
        <v/>
      </c>
      <c r="M14" s="12">
        <v>98.28</v>
      </c>
      <c r="N14" s="12">
        <v>24.57</v>
      </c>
      <c r="O14" s="12">
        <v>12</v>
      </c>
      <c r="P14" s="12">
        <v>1.44</v>
      </c>
      <c r="Q14" s="12">
        <v>5</v>
      </c>
      <c r="R14" s="12"/>
      <c r="S14" s="12"/>
      <c r="T14" s="12">
        <v>50</v>
      </c>
      <c r="U14" s="12">
        <v>30</v>
      </c>
      <c r="V14" s="65" t="s">
        <v>1154</v>
      </c>
      <c r="W14" s="44" t="str">
        <f t="shared" si="2"/>
        <v>Diferente</v>
      </c>
      <c r="X14" s="47">
        <f t="shared" si="4"/>
        <v>-221.29</v>
      </c>
      <c r="Y14" s="3"/>
      <c r="Z14" s="127"/>
    </row>
    <row r="15" spans="1:26" ht="14.4" hidden="1" outlineLevel="1" x14ac:dyDescent="0.3">
      <c r="A15" s="3"/>
      <c r="B15" s="10" t="s">
        <v>432</v>
      </c>
      <c r="C15" s="62">
        <v>14</v>
      </c>
      <c r="D15" s="62" t="s">
        <v>94</v>
      </c>
      <c r="E15" s="12">
        <f t="shared" si="5"/>
        <v>155</v>
      </c>
      <c r="F15" s="101">
        <f t="shared" ref="F15:F20" si="7">E15</f>
        <v>155</v>
      </c>
      <c r="G15" s="253"/>
      <c r="H15" s="103" t="s">
        <v>37</v>
      </c>
      <c r="I15" s="63"/>
      <c r="J15" s="64"/>
      <c r="K15" s="62"/>
      <c r="L15" s="62">
        <f t="shared" si="3"/>
        <v>1</v>
      </c>
      <c r="M15" s="12">
        <v>61.99</v>
      </c>
      <c r="N15" s="12">
        <v>24.57</v>
      </c>
      <c r="O15" s="12">
        <v>12</v>
      </c>
      <c r="P15" s="12">
        <v>1.44</v>
      </c>
      <c r="Q15" s="12">
        <v>0</v>
      </c>
      <c r="R15" s="12">
        <v>0</v>
      </c>
      <c r="S15" s="12">
        <v>0</v>
      </c>
      <c r="T15" s="12"/>
      <c r="U15" s="12">
        <v>55</v>
      </c>
      <c r="V15" s="65" t="s">
        <v>1153</v>
      </c>
      <c r="W15" s="44" t="str">
        <f t="shared" si="2"/>
        <v>OK</v>
      </c>
      <c r="X15" s="47" t="str">
        <f t="shared" si="4"/>
        <v/>
      </c>
      <c r="Y15" s="3"/>
      <c r="Z15" s="127"/>
    </row>
    <row r="16" spans="1:26" ht="14.4" hidden="1" outlineLevel="1" x14ac:dyDescent="0.3">
      <c r="A16" s="3"/>
      <c r="B16" s="10" t="s">
        <v>433</v>
      </c>
      <c r="C16" s="62">
        <v>14</v>
      </c>
      <c r="D16" s="62" t="s">
        <v>94</v>
      </c>
      <c r="E16" s="12">
        <f t="shared" si="5"/>
        <v>130</v>
      </c>
      <c r="F16" s="101">
        <f t="shared" si="7"/>
        <v>130</v>
      </c>
      <c r="G16" s="252"/>
      <c r="H16" s="103" t="s">
        <v>37</v>
      </c>
      <c r="I16" s="63"/>
      <c r="J16" s="64"/>
      <c r="K16" s="62"/>
      <c r="L16" s="62">
        <f t="shared" si="3"/>
        <v>1</v>
      </c>
      <c r="M16" s="12">
        <v>61.99</v>
      </c>
      <c r="N16" s="12">
        <v>24.57</v>
      </c>
      <c r="O16" s="12">
        <v>12</v>
      </c>
      <c r="P16" s="12">
        <v>1.44</v>
      </c>
      <c r="Q16" s="12">
        <v>0</v>
      </c>
      <c r="R16" s="12">
        <v>0</v>
      </c>
      <c r="S16" s="12"/>
      <c r="T16" s="12"/>
      <c r="U16" s="12">
        <v>30</v>
      </c>
      <c r="V16" s="65" t="s">
        <v>1154</v>
      </c>
      <c r="W16" s="44" t="str">
        <f t="shared" si="2"/>
        <v>OK</v>
      </c>
      <c r="X16" s="47" t="str">
        <f t="shared" si="4"/>
        <v/>
      </c>
      <c r="Y16" s="3"/>
      <c r="Z16" s="127"/>
    </row>
    <row r="17" spans="1:26" ht="14.4" hidden="1" outlineLevel="1" x14ac:dyDescent="0.3">
      <c r="A17" s="3"/>
      <c r="B17" s="61" t="s">
        <v>434</v>
      </c>
      <c r="C17" s="62">
        <v>2</v>
      </c>
      <c r="D17" s="62" t="s">
        <v>94</v>
      </c>
      <c r="E17" s="12">
        <f t="shared" si="5"/>
        <v>289.19</v>
      </c>
      <c r="F17" s="101">
        <f t="shared" si="7"/>
        <v>289.19</v>
      </c>
      <c r="G17" s="250"/>
      <c r="H17" s="103" t="s">
        <v>37</v>
      </c>
      <c r="I17" s="63"/>
      <c r="J17" s="64"/>
      <c r="K17" s="62"/>
      <c r="L17" s="62" t="str">
        <f t="shared" si="3"/>
        <v/>
      </c>
      <c r="M17" s="12">
        <v>191.18</v>
      </c>
      <c r="N17" s="12">
        <v>24.57</v>
      </c>
      <c r="O17" s="12">
        <v>12</v>
      </c>
      <c r="P17" s="12">
        <v>1.44</v>
      </c>
      <c r="Q17" s="12">
        <v>5</v>
      </c>
      <c r="R17" s="12"/>
      <c r="S17" s="12"/>
      <c r="T17" s="12"/>
      <c r="U17" s="12">
        <v>55</v>
      </c>
      <c r="V17" s="65" t="s">
        <v>1153</v>
      </c>
      <c r="W17" s="44" t="str">
        <f t="shared" si="2"/>
        <v>OK</v>
      </c>
      <c r="X17" s="47" t="str">
        <f t="shared" si="4"/>
        <v/>
      </c>
      <c r="Y17" s="3"/>
      <c r="Z17" s="127"/>
    </row>
    <row r="18" spans="1:26" ht="14.4" hidden="1" outlineLevel="1" x14ac:dyDescent="0.3">
      <c r="A18" s="3"/>
      <c r="B18" s="61" t="s">
        <v>435</v>
      </c>
      <c r="C18" s="62">
        <v>2</v>
      </c>
      <c r="D18" s="62" t="s">
        <v>94</v>
      </c>
      <c r="E18" s="12">
        <f t="shared" si="5"/>
        <v>203.98999999999998</v>
      </c>
      <c r="F18" s="101">
        <f t="shared" si="7"/>
        <v>203.98999999999998</v>
      </c>
      <c r="G18" s="252"/>
      <c r="H18" s="103" t="s">
        <v>37</v>
      </c>
      <c r="I18" s="63"/>
      <c r="J18" s="64"/>
      <c r="K18" s="62"/>
      <c r="L18" s="62" t="str">
        <f t="shared" si="3"/>
        <v/>
      </c>
      <c r="M18" s="12">
        <v>135.97999999999999</v>
      </c>
      <c r="N18" s="12">
        <v>24.57</v>
      </c>
      <c r="O18" s="12">
        <v>12</v>
      </c>
      <c r="P18" s="12">
        <v>1.44</v>
      </c>
      <c r="Q18" s="12"/>
      <c r="R18" s="12"/>
      <c r="S18" s="12"/>
      <c r="T18" s="12"/>
      <c r="U18" s="12">
        <v>30</v>
      </c>
      <c r="V18" s="65" t="s">
        <v>1154</v>
      </c>
      <c r="W18" s="44" t="str">
        <f t="shared" si="2"/>
        <v>OK</v>
      </c>
      <c r="X18" s="47" t="str">
        <f t="shared" si="4"/>
        <v/>
      </c>
      <c r="Y18" s="3"/>
      <c r="Z18" s="127"/>
    </row>
    <row r="19" spans="1:26" ht="14.4" hidden="1" outlineLevel="1" x14ac:dyDescent="0.3">
      <c r="A19" s="3"/>
      <c r="B19" s="10" t="s">
        <v>436</v>
      </c>
      <c r="C19" s="62">
        <v>2</v>
      </c>
      <c r="D19" s="62" t="s">
        <v>94</v>
      </c>
      <c r="E19" s="12">
        <f t="shared" si="5"/>
        <v>471.28999999999996</v>
      </c>
      <c r="F19" s="101">
        <f t="shared" si="7"/>
        <v>471.28999999999996</v>
      </c>
      <c r="G19" s="250"/>
      <c r="H19" s="103" t="s">
        <v>37</v>
      </c>
      <c r="I19" s="63"/>
      <c r="J19" s="64"/>
      <c r="K19" s="62"/>
      <c r="L19" s="62" t="str">
        <f t="shared" si="3"/>
        <v/>
      </c>
      <c r="M19" s="12">
        <v>328.28</v>
      </c>
      <c r="N19" s="12">
        <v>24.57</v>
      </c>
      <c r="O19" s="12">
        <v>12</v>
      </c>
      <c r="P19" s="12">
        <v>11.44</v>
      </c>
      <c r="Q19" s="12">
        <v>5</v>
      </c>
      <c r="R19" s="12">
        <v>10</v>
      </c>
      <c r="S19" s="12"/>
      <c r="T19" s="12">
        <v>50</v>
      </c>
      <c r="U19" s="12">
        <v>30</v>
      </c>
      <c r="V19" s="65" t="s">
        <v>1154</v>
      </c>
      <c r="W19" s="44" t="str">
        <f t="shared" si="2"/>
        <v>OK</v>
      </c>
      <c r="X19" s="47" t="str">
        <f t="shared" si="4"/>
        <v/>
      </c>
      <c r="Y19" s="3"/>
      <c r="Z19" s="127"/>
    </row>
    <row r="20" spans="1:26" ht="14.4" hidden="1" outlineLevel="1" x14ac:dyDescent="0.3">
      <c r="A20" s="3"/>
      <c r="B20" s="10" t="s">
        <v>437</v>
      </c>
      <c r="C20" s="62">
        <v>2</v>
      </c>
      <c r="D20" s="62" t="s">
        <v>94</v>
      </c>
      <c r="E20" s="12">
        <f t="shared" si="5"/>
        <v>461.28999999999996</v>
      </c>
      <c r="F20" s="101">
        <f t="shared" si="7"/>
        <v>461.28999999999996</v>
      </c>
      <c r="G20" s="252"/>
      <c r="H20" s="103" t="s">
        <v>37</v>
      </c>
      <c r="I20" s="63"/>
      <c r="J20" s="64"/>
      <c r="K20" s="62"/>
      <c r="L20" s="62" t="str">
        <f t="shared" si="3"/>
        <v/>
      </c>
      <c r="M20" s="12">
        <v>328.28</v>
      </c>
      <c r="N20" s="12">
        <v>24.57</v>
      </c>
      <c r="O20" s="12">
        <v>12</v>
      </c>
      <c r="P20" s="12">
        <v>1.44</v>
      </c>
      <c r="Q20" s="12">
        <v>5</v>
      </c>
      <c r="R20" s="12">
        <v>10</v>
      </c>
      <c r="S20" s="12"/>
      <c r="T20" s="12">
        <v>50</v>
      </c>
      <c r="U20" s="12">
        <v>30</v>
      </c>
      <c r="V20" s="65" t="s">
        <v>1154</v>
      </c>
      <c r="W20" s="44" t="str">
        <f t="shared" si="2"/>
        <v>OK</v>
      </c>
      <c r="X20" s="47" t="str">
        <f t="shared" si="4"/>
        <v/>
      </c>
      <c r="Y20" s="3"/>
      <c r="Z20" s="127"/>
    </row>
    <row r="21" spans="1:26" ht="15.75" hidden="1" customHeight="1" outlineLevel="1" x14ac:dyDescent="0.3">
      <c r="A21" s="3"/>
      <c r="B21" s="61" t="s">
        <v>438</v>
      </c>
      <c r="C21" s="62"/>
      <c r="D21" s="62" t="s">
        <v>104</v>
      </c>
      <c r="E21" s="12">
        <f t="shared" si="5"/>
        <v>228.99</v>
      </c>
      <c r="F21" s="101"/>
      <c r="G21" s="253"/>
      <c r="H21" s="103"/>
      <c r="I21" s="63"/>
      <c r="J21" s="64"/>
      <c r="K21" s="62"/>
      <c r="L21" s="62" t="str">
        <f t="shared" si="3"/>
        <v/>
      </c>
      <c r="M21" s="12">
        <v>120.98</v>
      </c>
      <c r="N21" s="12">
        <v>24.57</v>
      </c>
      <c r="O21" s="12">
        <v>12</v>
      </c>
      <c r="P21" s="12">
        <v>1.44</v>
      </c>
      <c r="Q21" s="12">
        <v>5</v>
      </c>
      <c r="R21" s="12">
        <v>5</v>
      </c>
      <c r="S21" s="12"/>
      <c r="T21" s="12">
        <v>30</v>
      </c>
      <c r="U21" s="12">
        <v>30</v>
      </c>
      <c r="V21" s="65" t="s">
        <v>1154</v>
      </c>
      <c r="W21" s="44" t="str">
        <f t="shared" si="2"/>
        <v>Diferente</v>
      </c>
      <c r="X21" s="47">
        <f t="shared" si="4"/>
        <v>-228.99</v>
      </c>
      <c r="Y21" s="3"/>
      <c r="Z21" s="127"/>
    </row>
    <row r="22" spans="1:26" ht="15.75" hidden="1" customHeight="1" outlineLevel="1" x14ac:dyDescent="0.3">
      <c r="A22" s="3"/>
      <c r="B22" s="61" t="s">
        <v>439</v>
      </c>
      <c r="C22" s="62"/>
      <c r="D22" s="62" t="s">
        <v>104</v>
      </c>
      <c r="E22" s="12">
        <f t="shared" si="5"/>
        <v>205.59</v>
      </c>
      <c r="F22" s="101"/>
      <c r="G22" s="252"/>
      <c r="H22" s="103"/>
      <c r="I22" s="63"/>
      <c r="J22" s="64"/>
      <c r="K22" s="62"/>
      <c r="L22" s="62" t="str">
        <f t="shared" si="3"/>
        <v/>
      </c>
      <c r="M22" s="12">
        <v>102.58</v>
      </c>
      <c r="N22" s="12">
        <v>24.57</v>
      </c>
      <c r="O22" s="12">
        <v>12</v>
      </c>
      <c r="P22" s="12">
        <v>1.44</v>
      </c>
      <c r="Q22" s="12">
        <v>5</v>
      </c>
      <c r="R22" s="12"/>
      <c r="S22" s="12"/>
      <c r="T22" s="12">
        <v>30</v>
      </c>
      <c r="U22" s="12">
        <v>30</v>
      </c>
      <c r="V22" s="65" t="s">
        <v>1154</v>
      </c>
      <c r="W22" s="44" t="str">
        <f t="shared" si="2"/>
        <v>Diferente</v>
      </c>
      <c r="X22" s="47">
        <f t="shared" si="4"/>
        <v>-205.59</v>
      </c>
      <c r="Y22" s="3"/>
      <c r="Z22" s="127"/>
    </row>
    <row r="23" spans="1:26" ht="15.75" hidden="1" customHeight="1" outlineLevel="1" x14ac:dyDescent="0.3">
      <c r="A23" s="3"/>
      <c r="B23" s="61" t="s">
        <v>442</v>
      </c>
      <c r="C23" s="62"/>
      <c r="D23" s="62" t="s">
        <v>104</v>
      </c>
      <c r="E23" s="12">
        <f t="shared" si="5"/>
        <v>215</v>
      </c>
      <c r="F23" s="101"/>
      <c r="G23" s="119"/>
      <c r="H23" s="103"/>
      <c r="I23" s="63"/>
      <c r="J23" s="64"/>
      <c r="K23" s="12"/>
      <c r="L23" s="62" t="str">
        <f t="shared" si="3"/>
        <v/>
      </c>
      <c r="M23" s="12">
        <v>131.99</v>
      </c>
      <c r="N23" s="12">
        <v>24.57</v>
      </c>
      <c r="O23" s="12">
        <v>12</v>
      </c>
      <c r="P23" s="12">
        <v>6.44</v>
      </c>
      <c r="Q23" s="12"/>
      <c r="R23" s="12">
        <v>10</v>
      </c>
      <c r="S23" s="12"/>
      <c r="T23" s="12"/>
      <c r="U23" s="12">
        <v>30</v>
      </c>
      <c r="V23" s="65" t="s">
        <v>1154</v>
      </c>
      <c r="W23" s="44" t="str">
        <f t="shared" si="2"/>
        <v>Diferente</v>
      </c>
      <c r="X23" s="47">
        <f t="shared" si="4"/>
        <v>-215</v>
      </c>
      <c r="Y23" s="3"/>
      <c r="Z23" s="127"/>
    </row>
    <row r="24" spans="1:26" ht="15.75" hidden="1" customHeight="1" outlineLevel="1" x14ac:dyDescent="0.3">
      <c r="A24" s="3"/>
      <c r="B24" s="10" t="s">
        <v>443</v>
      </c>
      <c r="C24" s="62">
        <v>10</v>
      </c>
      <c r="D24" s="62" t="s">
        <v>94</v>
      </c>
      <c r="E24" s="12">
        <f t="shared" si="5"/>
        <v>50</v>
      </c>
      <c r="F24" s="101">
        <f t="shared" ref="F24:F28" si="8">E24</f>
        <v>50</v>
      </c>
      <c r="G24" s="119"/>
      <c r="H24" s="103" t="s">
        <v>37</v>
      </c>
      <c r="I24" s="63"/>
      <c r="J24" s="64"/>
      <c r="K24" s="12"/>
      <c r="L24" s="62" t="str">
        <f t="shared" si="3"/>
        <v/>
      </c>
      <c r="M24" s="12">
        <v>11.43</v>
      </c>
      <c r="N24" s="12">
        <v>24.57</v>
      </c>
      <c r="O24" s="12">
        <v>12</v>
      </c>
      <c r="P24" s="12">
        <v>2</v>
      </c>
      <c r="Q24" s="12"/>
      <c r="R24" s="12"/>
      <c r="S24" s="12"/>
      <c r="T24" s="12"/>
      <c r="U24" s="12"/>
      <c r="V24" s="65"/>
      <c r="W24" s="44" t="str">
        <f t="shared" si="2"/>
        <v>OK</v>
      </c>
      <c r="X24" s="47" t="str">
        <f t="shared" si="4"/>
        <v/>
      </c>
      <c r="Y24" s="3"/>
      <c r="Z24" s="127"/>
    </row>
    <row r="25" spans="1:26" ht="15.75" hidden="1" customHeight="1" outlineLevel="1" x14ac:dyDescent="0.3">
      <c r="A25" s="3"/>
      <c r="B25" s="61" t="s">
        <v>444</v>
      </c>
      <c r="C25" s="62">
        <v>5</v>
      </c>
      <c r="D25" s="62" t="s">
        <v>94</v>
      </c>
      <c r="E25" s="12">
        <f t="shared" si="5"/>
        <v>260</v>
      </c>
      <c r="F25" s="101">
        <f t="shared" si="8"/>
        <v>260</v>
      </c>
      <c r="G25" s="253"/>
      <c r="H25" s="103" t="s">
        <v>37</v>
      </c>
      <c r="I25" s="63"/>
      <c r="J25" s="64"/>
      <c r="K25" s="12"/>
      <c r="L25" s="62" t="str">
        <f t="shared" si="3"/>
        <v/>
      </c>
      <c r="M25" s="12">
        <v>131.99</v>
      </c>
      <c r="N25" s="12">
        <v>24.57</v>
      </c>
      <c r="O25" s="12">
        <v>12</v>
      </c>
      <c r="P25" s="12">
        <v>11.44</v>
      </c>
      <c r="Q25" s="12">
        <v>5</v>
      </c>
      <c r="R25" s="12">
        <v>5</v>
      </c>
      <c r="S25" s="12">
        <v>10</v>
      </c>
      <c r="T25" s="12">
        <v>30</v>
      </c>
      <c r="U25" s="12">
        <v>30</v>
      </c>
      <c r="V25" s="65" t="s">
        <v>1154</v>
      </c>
      <c r="W25" s="44" t="str">
        <f t="shared" si="2"/>
        <v>OK</v>
      </c>
      <c r="X25" s="47" t="str">
        <f t="shared" si="4"/>
        <v/>
      </c>
      <c r="Y25" s="3"/>
      <c r="Z25" s="127"/>
    </row>
    <row r="26" spans="1:26" ht="15.75" hidden="1" customHeight="1" outlineLevel="1" x14ac:dyDescent="0.3">
      <c r="A26" s="3"/>
      <c r="B26" s="61" t="s">
        <v>446</v>
      </c>
      <c r="C26" s="62">
        <v>5</v>
      </c>
      <c r="D26" s="62" t="s">
        <v>94</v>
      </c>
      <c r="E26" s="12">
        <f t="shared" si="5"/>
        <v>250</v>
      </c>
      <c r="F26" s="101">
        <f t="shared" si="8"/>
        <v>250</v>
      </c>
      <c r="G26" s="252"/>
      <c r="H26" s="103" t="s">
        <v>37</v>
      </c>
      <c r="I26" s="63"/>
      <c r="J26" s="64"/>
      <c r="K26" s="12"/>
      <c r="L26" s="62" t="str">
        <f t="shared" si="3"/>
        <v/>
      </c>
      <c r="M26" s="12">
        <v>131.99</v>
      </c>
      <c r="N26" s="12">
        <v>24.57</v>
      </c>
      <c r="O26" s="12">
        <v>12</v>
      </c>
      <c r="P26" s="12">
        <v>1.44</v>
      </c>
      <c r="Q26" s="12">
        <v>5</v>
      </c>
      <c r="R26" s="12">
        <v>5</v>
      </c>
      <c r="S26" s="12">
        <v>10</v>
      </c>
      <c r="T26" s="12">
        <v>30</v>
      </c>
      <c r="U26" s="12">
        <v>30</v>
      </c>
      <c r="V26" s="65" t="s">
        <v>1154</v>
      </c>
      <c r="W26" s="44" t="str">
        <f t="shared" si="2"/>
        <v>OK</v>
      </c>
      <c r="X26" s="47" t="str">
        <f t="shared" si="4"/>
        <v/>
      </c>
      <c r="Y26" s="3"/>
      <c r="Z26" s="127"/>
    </row>
    <row r="27" spans="1:26" ht="15.75" hidden="1" customHeight="1" outlineLevel="1" x14ac:dyDescent="0.3">
      <c r="A27" s="3"/>
      <c r="B27" s="10" t="s">
        <v>447</v>
      </c>
      <c r="C27" s="62">
        <v>13</v>
      </c>
      <c r="D27" s="62" t="s">
        <v>94</v>
      </c>
      <c r="E27" s="12">
        <f t="shared" si="5"/>
        <v>239.69</v>
      </c>
      <c r="F27" s="101">
        <f t="shared" si="8"/>
        <v>239.69</v>
      </c>
      <c r="G27" s="253"/>
      <c r="H27" s="103" t="s">
        <v>37</v>
      </c>
      <c r="I27" s="63"/>
      <c r="J27" s="64"/>
      <c r="K27" s="12"/>
      <c r="L27" s="62">
        <f t="shared" si="3"/>
        <v>1</v>
      </c>
      <c r="M27" s="12">
        <v>116.68</v>
      </c>
      <c r="N27" s="12">
        <v>24.57</v>
      </c>
      <c r="O27" s="12">
        <v>12</v>
      </c>
      <c r="P27" s="12">
        <v>1.44</v>
      </c>
      <c r="Q27" s="12">
        <v>5</v>
      </c>
      <c r="R27" s="12">
        <v>10</v>
      </c>
      <c r="S27" s="12">
        <v>10</v>
      </c>
      <c r="T27" s="12">
        <v>30</v>
      </c>
      <c r="U27" s="12">
        <v>30</v>
      </c>
      <c r="V27" s="65" t="s">
        <v>1154</v>
      </c>
      <c r="W27" s="44" t="str">
        <f t="shared" si="2"/>
        <v>OK</v>
      </c>
      <c r="X27" s="47" t="str">
        <f t="shared" si="4"/>
        <v/>
      </c>
      <c r="Y27" s="3"/>
      <c r="Z27" s="127"/>
    </row>
    <row r="28" spans="1:26" ht="15.75" hidden="1" customHeight="1" outlineLevel="1" x14ac:dyDescent="0.3">
      <c r="A28" s="3"/>
      <c r="B28" s="10" t="s">
        <v>448</v>
      </c>
      <c r="C28" s="62">
        <v>13</v>
      </c>
      <c r="D28" s="62" t="s">
        <v>94</v>
      </c>
      <c r="E28" s="12">
        <f t="shared" si="5"/>
        <v>188.69</v>
      </c>
      <c r="F28" s="101">
        <f t="shared" si="8"/>
        <v>188.69</v>
      </c>
      <c r="G28" s="252"/>
      <c r="H28" s="103" t="s">
        <v>37</v>
      </c>
      <c r="I28" s="63"/>
      <c r="J28" s="64"/>
      <c r="K28" s="12"/>
      <c r="L28" s="62">
        <f t="shared" si="3"/>
        <v>1</v>
      </c>
      <c r="M28" s="12">
        <v>70.680000000000007</v>
      </c>
      <c r="N28" s="12">
        <v>24.57</v>
      </c>
      <c r="O28" s="12">
        <v>12</v>
      </c>
      <c r="P28" s="12">
        <v>1.44</v>
      </c>
      <c r="Q28" s="12"/>
      <c r="R28" s="12">
        <v>10</v>
      </c>
      <c r="S28" s="12">
        <v>10</v>
      </c>
      <c r="T28" s="12">
        <v>30</v>
      </c>
      <c r="U28" s="12">
        <v>30</v>
      </c>
      <c r="V28" s="65" t="s">
        <v>1154</v>
      </c>
      <c r="W28" s="44" t="str">
        <f t="shared" si="2"/>
        <v>OK</v>
      </c>
      <c r="X28" s="47" t="str">
        <f t="shared" si="4"/>
        <v/>
      </c>
      <c r="Y28" s="3"/>
      <c r="Z28" s="127"/>
    </row>
    <row r="29" spans="1:26" ht="15.75" hidden="1" customHeight="1" outlineLevel="1" x14ac:dyDescent="0.3">
      <c r="A29" s="3"/>
      <c r="B29" s="61" t="s">
        <v>449</v>
      </c>
      <c r="C29" s="62"/>
      <c r="D29" s="62" t="s">
        <v>104</v>
      </c>
      <c r="E29" s="12">
        <f t="shared" si="5"/>
        <v>197.44</v>
      </c>
      <c r="F29" s="101"/>
      <c r="G29" s="253"/>
      <c r="H29" s="103"/>
      <c r="I29" s="63"/>
      <c r="J29" s="64"/>
      <c r="K29" s="12"/>
      <c r="L29" s="62" t="str">
        <f t="shared" si="3"/>
        <v/>
      </c>
      <c r="M29" s="12">
        <v>104.43</v>
      </c>
      <c r="N29" s="12">
        <v>24.57</v>
      </c>
      <c r="O29" s="12">
        <v>12</v>
      </c>
      <c r="P29" s="12">
        <v>1.44</v>
      </c>
      <c r="Q29" s="12">
        <v>5</v>
      </c>
      <c r="R29" s="12"/>
      <c r="S29" s="12">
        <v>10</v>
      </c>
      <c r="T29" s="12">
        <v>10</v>
      </c>
      <c r="U29" s="12">
        <v>30</v>
      </c>
      <c r="V29" s="65" t="s">
        <v>1154</v>
      </c>
      <c r="W29" s="44" t="str">
        <f t="shared" si="2"/>
        <v>Diferente</v>
      </c>
      <c r="X29" s="47">
        <f t="shared" si="4"/>
        <v>-197.44</v>
      </c>
      <c r="Y29" s="3"/>
      <c r="Z29" s="127"/>
    </row>
    <row r="30" spans="1:26" ht="15.75" hidden="1" customHeight="1" outlineLevel="1" x14ac:dyDescent="0.3">
      <c r="A30" s="3"/>
      <c r="B30" s="61" t="s">
        <v>450</v>
      </c>
      <c r="C30" s="62"/>
      <c r="D30" s="62" t="s">
        <v>104</v>
      </c>
      <c r="E30" s="12">
        <f t="shared" si="5"/>
        <v>197.44</v>
      </c>
      <c r="F30" s="101"/>
      <c r="G30" s="252"/>
      <c r="H30" s="103"/>
      <c r="I30" s="63"/>
      <c r="J30" s="64"/>
      <c r="K30" s="12"/>
      <c r="L30" s="62" t="str">
        <f t="shared" si="3"/>
        <v/>
      </c>
      <c r="M30" s="12">
        <v>104.43</v>
      </c>
      <c r="N30" s="12">
        <v>24.57</v>
      </c>
      <c r="O30" s="12">
        <v>12</v>
      </c>
      <c r="P30" s="12">
        <v>1.44</v>
      </c>
      <c r="Q30" s="12">
        <v>5</v>
      </c>
      <c r="R30" s="12"/>
      <c r="S30" s="12">
        <v>10</v>
      </c>
      <c r="T30" s="12">
        <v>10</v>
      </c>
      <c r="U30" s="12">
        <v>30</v>
      </c>
      <c r="V30" s="65" t="s">
        <v>1154</v>
      </c>
      <c r="W30" s="44" t="str">
        <f t="shared" si="2"/>
        <v>Diferente</v>
      </c>
      <c r="X30" s="47">
        <f t="shared" si="4"/>
        <v>-197.44</v>
      </c>
      <c r="Y30" s="3"/>
      <c r="Z30" s="127"/>
    </row>
    <row r="31" spans="1:26" ht="15.75" hidden="1" customHeight="1" outlineLevel="1" x14ac:dyDescent="0.3">
      <c r="A31" s="3"/>
      <c r="B31" s="10" t="s">
        <v>451</v>
      </c>
      <c r="C31" s="62">
        <v>13</v>
      </c>
      <c r="D31" s="62" t="s">
        <v>94</v>
      </c>
      <c r="E31" s="12">
        <f t="shared" si="5"/>
        <v>229.01</v>
      </c>
      <c r="F31" s="101">
        <f t="shared" ref="F31:F32" si="9">E31</f>
        <v>229.01</v>
      </c>
      <c r="G31" s="253"/>
      <c r="H31" s="103" t="s">
        <v>37</v>
      </c>
      <c r="I31" s="63"/>
      <c r="J31" s="64"/>
      <c r="K31" s="12"/>
      <c r="L31" s="62">
        <f t="shared" si="3"/>
        <v>1</v>
      </c>
      <c r="M31" s="12">
        <v>156</v>
      </c>
      <c r="N31" s="12">
        <v>24.57</v>
      </c>
      <c r="O31" s="12">
        <v>12</v>
      </c>
      <c r="P31" s="12">
        <v>1.44</v>
      </c>
      <c r="Q31" s="12">
        <v>5</v>
      </c>
      <c r="R31" s="12"/>
      <c r="S31" s="12"/>
      <c r="T31" s="12"/>
      <c r="U31" s="12">
        <v>30</v>
      </c>
      <c r="V31" s="65" t="s">
        <v>1154</v>
      </c>
      <c r="W31" s="44" t="str">
        <f t="shared" si="2"/>
        <v>OK</v>
      </c>
      <c r="X31" s="47" t="str">
        <f t="shared" si="4"/>
        <v/>
      </c>
      <c r="Y31" s="3"/>
      <c r="Z31" s="127"/>
    </row>
    <row r="32" spans="1:26" ht="15.75" hidden="1" customHeight="1" outlineLevel="1" x14ac:dyDescent="0.3">
      <c r="A32" s="3"/>
      <c r="B32" s="10" t="s">
        <v>452</v>
      </c>
      <c r="C32" s="62">
        <v>13</v>
      </c>
      <c r="D32" s="62" t="s">
        <v>94</v>
      </c>
      <c r="E32" s="12">
        <f t="shared" si="5"/>
        <v>249.01</v>
      </c>
      <c r="F32" s="101">
        <f t="shared" si="9"/>
        <v>249.01</v>
      </c>
      <c r="G32" s="252"/>
      <c r="H32" s="103" t="s">
        <v>37</v>
      </c>
      <c r="I32" s="63"/>
      <c r="J32" s="64"/>
      <c r="K32" s="12"/>
      <c r="L32" s="62">
        <f t="shared" si="3"/>
        <v>1</v>
      </c>
      <c r="M32" s="12">
        <v>156</v>
      </c>
      <c r="N32" s="12">
        <v>24.57</v>
      </c>
      <c r="O32" s="12">
        <v>12</v>
      </c>
      <c r="P32" s="12">
        <v>11.44</v>
      </c>
      <c r="Q32" s="12">
        <v>5</v>
      </c>
      <c r="R32" s="12">
        <v>10</v>
      </c>
      <c r="S32" s="12"/>
      <c r="T32" s="12"/>
      <c r="U32" s="12">
        <v>30</v>
      </c>
      <c r="V32" s="65" t="s">
        <v>1154</v>
      </c>
      <c r="W32" s="44" t="str">
        <f t="shared" si="2"/>
        <v>OK</v>
      </c>
      <c r="X32" s="47" t="str">
        <f t="shared" si="4"/>
        <v/>
      </c>
      <c r="Y32" s="3"/>
      <c r="Z32" s="127"/>
    </row>
    <row r="33" spans="1:26" ht="15.75" hidden="1" customHeight="1" outlineLevel="1" x14ac:dyDescent="0.3">
      <c r="A33" s="3"/>
      <c r="B33" s="61" t="s">
        <v>453</v>
      </c>
      <c r="C33" s="62"/>
      <c r="D33" s="62" t="s">
        <v>104</v>
      </c>
      <c r="E33" s="12">
        <f t="shared" si="5"/>
        <v>513.4</v>
      </c>
      <c r="F33" s="101"/>
      <c r="G33" s="120"/>
      <c r="H33" s="103"/>
      <c r="I33" s="63"/>
      <c r="J33" s="64"/>
      <c r="K33" s="12"/>
      <c r="L33" s="62" t="str">
        <f t="shared" si="3"/>
        <v/>
      </c>
      <c r="M33" s="12">
        <v>48.43</v>
      </c>
      <c r="N33" s="12">
        <v>24.57</v>
      </c>
      <c r="O33" s="12">
        <v>12</v>
      </c>
      <c r="P33" s="12">
        <v>2</v>
      </c>
      <c r="Q33" s="12">
        <v>0</v>
      </c>
      <c r="R33" s="12">
        <v>0</v>
      </c>
      <c r="S33" s="12"/>
      <c r="T33" s="12"/>
      <c r="U33" s="12">
        <v>426.4</v>
      </c>
      <c r="V33" s="65" t="s">
        <v>1155</v>
      </c>
      <c r="W33" s="44" t="str">
        <f t="shared" si="2"/>
        <v>Diferente</v>
      </c>
      <c r="X33" s="47">
        <f t="shared" si="4"/>
        <v>-513.4</v>
      </c>
      <c r="Y33" s="3"/>
      <c r="Z33" s="127"/>
    </row>
    <row r="34" spans="1:26" ht="15.75" hidden="1" customHeight="1" outlineLevel="1" x14ac:dyDescent="0.3">
      <c r="A34" s="3"/>
      <c r="B34" s="10" t="s">
        <v>454</v>
      </c>
      <c r="C34" s="62">
        <v>2</v>
      </c>
      <c r="D34" s="62" t="s">
        <v>94</v>
      </c>
      <c r="E34" s="12">
        <f t="shared" si="5"/>
        <v>258.76</v>
      </c>
      <c r="F34" s="101">
        <f t="shared" ref="F34:F36" si="10">E34</f>
        <v>258.76</v>
      </c>
      <c r="G34" s="119"/>
      <c r="H34" s="103" t="s">
        <v>37</v>
      </c>
      <c r="I34" s="63"/>
      <c r="J34" s="64"/>
      <c r="K34" s="12"/>
      <c r="L34" s="62" t="str">
        <f t="shared" si="3"/>
        <v/>
      </c>
      <c r="M34" s="12">
        <v>132.19</v>
      </c>
      <c r="N34" s="12">
        <v>24.57</v>
      </c>
      <c r="O34" s="12">
        <v>12</v>
      </c>
      <c r="P34" s="12">
        <v>5</v>
      </c>
      <c r="Q34" s="12">
        <v>5</v>
      </c>
      <c r="R34" s="12">
        <v>10</v>
      </c>
      <c r="S34" s="12">
        <v>10</v>
      </c>
      <c r="T34" s="12">
        <v>30</v>
      </c>
      <c r="U34" s="12">
        <v>30</v>
      </c>
      <c r="V34" s="65" t="s">
        <v>1154</v>
      </c>
      <c r="W34" s="44" t="str">
        <f t="shared" si="2"/>
        <v>OK</v>
      </c>
      <c r="X34" s="47" t="str">
        <f t="shared" si="4"/>
        <v/>
      </c>
      <c r="Y34" s="3"/>
      <c r="Z34" s="127"/>
    </row>
    <row r="35" spans="1:26" ht="15.75" hidden="1" customHeight="1" outlineLevel="1" x14ac:dyDescent="0.3">
      <c r="A35" s="3"/>
      <c r="B35" s="61" t="s">
        <v>455</v>
      </c>
      <c r="C35" s="62">
        <v>2</v>
      </c>
      <c r="D35" s="62" t="s">
        <v>94</v>
      </c>
      <c r="E35" s="12">
        <f t="shared" si="5"/>
        <v>142.81</v>
      </c>
      <c r="F35" s="101">
        <f t="shared" si="10"/>
        <v>142.81</v>
      </c>
      <c r="G35" s="253"/>
      <c r="H35" s="103" t="s">
        <v>37</v>
      </c>
      <c r="I35" s="63"/>
      <c r="J35" s="64"/>
      <c r="K35" s="12"/>
      <c r="L35" s="62" t="str">
        <f t="shared" si="3"/>
        <v/>
      </c>
      <c r="M35" s="12">
        <v>74.739999999999995</v>
      </c>
      <c r="N35" s="12">
        <v>24.57</v>
      </c>
      <c r="O35" s="12">
        <v>12</v>
      </c>
      <c r="P35" s="12">
        <v>1.5</v>
      </c>
      <c r="Q35" s="12"/>
      <c r="R35" s="12"/>
      <c r="S35" s="12"/>
      <c r="T35" s="12"/>
      <c r="U35" s="12">
        <v>30</v>
      </c>
      <c r="V35" s="65" t="s">
        <v>1154</v>
      </c>
      <c r="W35" s="44" t="str">
        <f t="shared" si="2"/>
        <v>OK</v>
      </c>
      <c r="X35" s="47" t="str">
        <f t="shared" si="4"/>
        <v/>
      </c>
      <c r="Y35" s="3"/>
      <c r="Z35" s="127"/>
    </row>
    <row r="36" spans="1:26" ht="15.75" hidden="1" customHeight="1" outlineLevel="1" x14ac:dyDescent="0.3">
      <c r="A36" s="3"/>
      <c r="B36" s="61" t="s">
        <v>456</v>
      </c>
      <c r="C36" s="62">
        <v>2</v>
      </c>
      <c r="D36" s="62" t="s">
        <v>94</v>
      </c>
      <c r="E36" s="12">
        <f t="shared" si="5"/>
        <v>142.81</v>
      </c>
      <c r="F36" s="101">
        <f t="shared" si="10"/>
        <v>142.81</v>
      </c>
      <c r="G36" s="252"/>
      <c r="H36" s="103" t="s">
        <v>37</v>
      </c>
      <c r="I36" s="63"/>
      <c r="J36" s="64"/>
      <c r="K36" s="12"/>
      <c r="L36" s="62" t="str">
        <f t="shared" si="3"/>
        <v/>
      </c>
      <c r="M36" s="12">
        <v>74.739999999999995</v>
      </c>
      <c r="N36" s="12">
        <v>24.57</v>
      </c>
      <c r="O36" s="12">
        <v>12</v>
      </c>
      <c r="P36" s="12">
        <v>1.5</v>
      </c>
      <c r="Q36" s="12"/>
      <c r="R36" s="12"/>
      <c r="S36" s="12"/>
      <c r="T36" s="12"/>
      <c r="U36" s="12">
        <v>30</v>
      </c>
      <c r="V36" s="65" t="s">
        <v>1154</v>
      </c>
      <c r="W36" s="44" t="str">
        <f t="shared" si="2"/>
        <v>OK</v>
      </c>
      <c r="X36" s="47" t="str">
        <f t="shared" si="4"/>
        <v/>
      </c>
      <c r="Y36" s="3"/>
      <c r="Z36" s="127"/>
    </row>
    <row r="37" spans="1:26" ht="15.75" hidden="1" customHeight="1" outlineLevel="1" x14ac:dyDescent="0.3">
      <c r="A37" s="3"/>
      <c r="B37" s="10" t="s">
        <v>457</v>
      </c>
      <c r="C37" s="62">
        <v>9</v>
      </c>
      <c r="D37" s="62" t="s">
        <v>94</v>
      </c>
      <c r="E37" s="12">
        <f t="shared" si="5"/>
        <v>201.44</v>
      </c>
      <c r="F37" s="101">
        <f t="shared" ref="F37:F41" si="11">SUM(M37:U37)</f>
        <v>201.44</v>
      </c>
      <c r="G37" s="250"/>
      <c r="H37" s="103" t="s">
        <v>37</v>
      </c>
      <c r="I37" s="63"/>
      <c r="J37" s="64"/>
      <c r="K37" s="12"/>
      <c r="L37" s="62" t="str">
        <f t="shared" si="3"/>
        <v/>
      </c>
      <c r="M37" s="12">
        <v>103.43</v>
      </c>
      <c r="N37" s="12">
        <v>24.57</v>
      </c>
      <c r="O37" s="12">
        <v>12</v>
      </c>
      <c r="P37" s="12">
        <v>1.44</v>
      </c>
      <c r="Q37" s="12"/>
      <c r="R37" s="12">
        <v>5</v>
      </c>
      <c r="S37" s="12"/>
      <c r="T37" s="12"/>
      <c r="U37" s="12">
        <v>55</v>
      </c>
      <c r="V37" s="65" t="s">
        <v>1153</v>
      </c>
      <c r="W37" s="44" t="str">
        <f t="shared" si="2"/>
        <v>OK</v>
      </c>
      <c r="X37" s="47" t="str">
        <f t="shared" si="4"/>
        <v/>
      </c>
      <c r="Y37" s="3"/>
      <c r="Z37" s="127"/>
    </row>
    <row r="38" spans="1:26" ht="15.75" hidden="1" customHeight="1" outlineLevel="1" x14ac:dyDescent="0.3">
      <c r="A38" s="3"/>
      <c r="B38" s="10" t="s">
        <v>458</v>
      </c>
      <c r="C38" s="62">
        <v>9</v>
      </c>
      <c r="D38" s="62" t="s">
        <v>94</v>
      </c>
      <c r="E38" s="12">
        <f t="shared" si="5"/>
        <v>181.44</v>
      </c>
      <c r="F38" s="101">
        <f t="shared" si="11"/>
        <v>181.44</v>
      </c>
      <c r="G38" s="251"/>
      <c r="H38" s="103" t="s">
        <v>37</v>
      </c>
      <c r="I38" s="63"/>
      <c r="J38" s="64"/>
      <c r="K38" s="12"/>
      <c r="L38" s="62" t="str">
        <f t="shared" si="3"/>
        <v/>
      </c>
      <c r="M38" s="12">
        <v>103.43</v>
      </c>
      <c r="N38" s="12">
        <v>24.57</v>
      </c>
      <c r="O38" s="12">
        <v>12</v>
      </c>
      <c r="P38" s="12">
        <v>1.44</v>
      </c>
      <c r="Q38" s="12">
        <v>5</v>
      </c>
      <c r="R38" s="12">
        <v>5</v>
      </c>
      <c r="S38" s="12"/>
      <c r="T38" s="12"/>
      <c r="U38" s="12">
        <v>30</v>
      </c>
      <c r="V38" s="65" t="s">
        <v>1154</v>
      </c>
      <c r="W38" s="44" t="str">
        <f t="shared" si="2"/>
        <v>OK</v>
      </c>
      <c r="X38" s="47" t="str">
        <f t="shared" si="4"/>
        <v/>
      </c>
      <c r="Y38" s="3"/>
      <c r="Z38" s="127"/>
    </row>
    <row r="39" spans="1:26" ht="15.75" hidden="1" customHeight="1" outlineLevel="1" x14ac:dyDescent="0.3">
      <c r="A39" s="3"/>
      <c r="B39" s="10" t="s">
        <v>459</v>
      </c>
      <c r="C39" s="62">
        <v>9</v>
      </c>
      <c r="D39" s="62" t="s">
        <v>94</v>
      </c>
      <c r="E39" s="12">
        <f t="shared" si="5"/>
        <v>181.44</v>
      </c>
      <c r="F39" s="101">
        <f t="shared" si="11"/>
        <v>181.44</v>
      </c>
      <c r="G39" s="251"/>
      <c r="H39" s="103" t="s">
        <v>37</v>
      </c>
      <c r="I39" s="63"/>
      <c r="J39" s="64"/>
      <c r="K39" s="12"/>
      <c r="L39" s="62" t="str">
        <f t="shared" si="3"/>
        <v/>
      </c>
      <c r="M39" s="12">
        <v>103.43</v>
      </c>
      <c r="N39" s="12">
        <v>24.57</v>
      </c>
      <c r="O39" s="12">
        <v>12</v>
      </c>
      <c r="P39" s="12">
        <v>1.44</v>
      </c>
      <c r="Q39" s="12">
        <v>5</v>
      </c>
      <c r="R39" s="12">
        <v>5</v>
      </c>
      <c r="S39" s="12"/>
      <c r="T39" s="12"/>
      <c r="U39" s="12">
        <v>30</v>
      </c>
      <c r="V39" s="65" t="s">
        <v>1154</v>
      </c>
      <c r="W39" s="44" t="str">
        <f t="shared" si="2"/>
        <v>OK</v>
      </c>
      <c r="X39" s="47" t="str">
        <f t="shared" si="4"/>
        <v/>
      </c>
      <c r="Y39" s="3"/>
      <c r="Z39" s="127"/>
    </row>
    <row r="40" spans="1:26" ht="15.75" hidden="1" customHeight="1" outlineLevel="1" x14ac:dyDescent="0.3">
      <c r="A40" s="3"/>
      <c r="B40" s="10" t="s">
        <v>460</v>
      </c>
      <c r="C40" s="62">
        <v>9</v>
      </c>
      <c r="D40" s="62" t="s">
        <v>94</v>
      </c>
      <c r="E40" s="12">
        <f t="shared" si="5"/>
        <v>99.59</v>
      </c>
      <c r="F40" s="101">
        <f t="shared" si="11"/>
        <v>99.59</v>
      </c>
      <c r="G40" s="252"/>
      <c r="H40" s="103" t="s">
        <v>37</v>
      </c>
      <c r="I40" s="63"/>
      <c r="J40" s="64"/>
      <c r="K40" s="12"/>
      <c r="L40" s="62" t="str">
        <f t="shared" si="3"/>
        <v/>
      </c>
      <c r="M40" s="12">
        <v>31.58</v>
      </c>
      <c r="N40" s="12">
        <v>24.57</v>
      </c>
      <c r="O40" s="12">
        <v>12</v>
      </c>
      <c r="P40" s="12">
        <v>1.44</v>
      </c>
      <c r="Q40" s="12"/>
      <c r="R40" s="12"/>
      <c r="S40" s="12"/>
      <c r="T40" s="12"/>
      <c r="U40" s="12">
        <v>30</v>
      </c>
      <c r="V40" s="65" t="s">
        <v>1154</v>
      </c>
      <c r="W40" s="44" t="str">
        <f t="shared" si="2"/>
        <v>OK</v>
      </c>
      <c r="X40" s="47" t="str">
        <f t="shared" si="4"/>
        <v/>
      </c>
      <c r="Y40" s="3"/>
      <c r="Z40" s="127"/>
    </row>
    <row r="41" spans="1:26" ht="15.75" hidden="1" customHeight="1" outlineLevel="1" x14ac:dyDescent="0.3">
      <c r="A41" s="3"/>
      <c r="B41" s="61" t="s">
        <v>461</v>
      </c>
      <c r="C41" s="62">
        <v>8</v>
      </c>
      <c r="D41" s="62" t="s">
        <v>94</v>
      </c>
      <c r="E41" s="12">
        <v>230</v>
      </c>
      <c r="F41" s="101">
        <f t="shared" si="11"/>
        <v>941.00000000000011</v>
      </c>
      <c r="G41" s="129"/>
      <c r="H41" s="103" t="s">
        <v>37</v>
      </c>
      <c r="I41" s="63"/>
      <c r="J41" s="64"/>
      <c r="K41" s="12"/>
      <c r="L41" s="62" t="str">
        <f t="shared" si="3"/>
        <v/>
      </c>
      <c r="M41" s="12">
        <f>151.99+711</f>
        <v>862.99</v>
      </c>
      <c r="N41" s="12">
        <v>24.57</v>
      </c>
      <c r="O41" s="12">
        <v>12</v>
      </c>
      <c r="P41" s="12">
        <v>1.44</v>
      </c>
      <c r="Q41" s="12"/>
      <c r="R41" s="12">
        <v>5</v>
      </c>
      <c r="S41" s="12">
        <v>5</v>
      </c>
      <c r="T41" s="12"/>
      <c r="U41" s="12">
        <v>30</v>
      </c>
      <c r="V41" s="65" t="s">
        <v>1154</v>
      </c>
      <c r="W41" s="44" t="str">
        <f t="shared" si="2"/>
        <v>OK</v>
      </c>
      <c r="X41" s="47" t="str">
        <f t="shared" si="4"/>
        <v/>
      </c>
      <c r="Y41" s="3"/>
      <c r="Z41" s="127"/>
    </row>
    <row r="42" spans="1:26" ht="15.75" hidden="1" customHeight="1" outlineLevel="1" x14ac:dyDescent="0.3">
      <c r="A42" s="3"/>
      <c r="B42" s="10" t="s">
        <v>462</v>
      </c>
      <c r="C42" s="62">
        <v>16</v>
      </c>
      <c r="D42" s="62" t="s">
        <v>94</v>
      </c>
      <c r="E42" s="12">
        <f t="shared" ref="E42:E54" si="12">SUM(M42:U42)</f>
        <v>328.89</v>
      </c>
      <c r="F42" s="101">
        <f t="shared" ref="F42:F54" si="13">E42</f>
        <v>328.89</v>
      </c>
      <c r="G42" s="250"/>
      <c r="H42" s="103" t="s">
        <v>37</v>
      </c>
      <c r="I42" s="63"/>
      <c r="J42" s="64"/>
      <c r="K42" s="12"/>
      <c r="L42" s="62">
        <f t="shared" si="3"/>
        <v>1</v>
      </c>
      <c r="M42" s="12">
        <v>125.88</v>
      </c>
      <c r="N42" s="12">
        <v>24.57</v>
      </c>
      <c r="O42" s="12">
        <v>12</v>
      </c>
      <c r="P42" s="12">
        <v>1.44</v>
      </c>
      <c r="Q42" s="12">
        <v>5</v>
      </c>
      <c r="R42" s="12">
        <v>10</v>
      </c>
      <c r="S42" s="12">
        <v>20</v>
      </c>
      <c r="T42" s="12">
        <v>100</v>
      </c>
      <c r="U42" s="12">
        <v>30</v>
      </c>
      <c r="V42" s="65" t="s">
        <v>1154</v>
      </c>
      <c r="W42" s="44" t="str">
        <f t="shared" si="2"/>
        <v>OK</v>
      </c>
      <c r="X42" s="47" t="str">
        <f t="shared" si="4"/>
        <v/>
      </c>
      <c r="Y42" s="3"/>
      <c r="Z42" s="127"/>
    </row>
    <row r="43" spans="1:26" ht="15.75" hidden="1" customHeight="1" outlineLevel="1" x14ac:dyDescent="0.3">
      <c r="A43" s="3"/>
      <c r="B43" s="10" t="s">
        <v>463</v>
      </c>
      <c r="C43" s="62">
        <v>16</v>
      </c>
      <c r="D43" s="62" t="s">
        <v>94</v>
      </c>
      <c r="E43" s="12">
        <f t="shared" si="12"/>
        <v>192.44</v>
      </c>
      <c r="F43" s="101">
        <f t="shared" si="13"/>
        <v>192.44</v>
      </c>
      <c r="G43" s="252"/>
      <c r="H43" s="103" t="s">
        <v>37</v>
      </c>
      <c r="I43" s="63"/>
      <c r="J43" s="64"/>
      <c r="K43" s="12"/>
      <c r="L43" s="62">
        <f t="shared" si="3"/>
        <v>1</v>
      </c>
      <c r="M43" s="12">
        <v>99.43</v>
      </c>
      <c r="N43" s="12">
        <v>24.57</v>
      </c>
      <c r="O43" s="12">
        <v>12</v>
      </c>
      <c r="P43" s="12">
        <v>1.44</v>
      </c>
      <c r="Q43" s="12">
        <v>5</v>
      </c>
      <c r="R43" s="12"/>
      <c r="S43" s="12">
        <v>20</v>
      </c>
      <c r="T43" s="12"/>
      <c r="U43" s="12">
        <v>30</v>
      </c>
      <c r="V43" s="65" t="s">
        <v>1154</v>
      </c>
      <c r="W43" s="44" t="str">
        <f t="shared" si="2"/>
        <v>OK</v>
      </c>
      <c r="X43" s="47" t="str">
        <f t="shared" si="4"/>
        <v/>
      </c>
      <c r="Y43" s="3"/>
      <c r="Z43" s="127"/>
    </row>
    <row r="44" spans="1:26" ht="15.75" hidden="1" customHeight="1" outlineLevel="1" x14ac:dyDescent="0.3">
      <c r="A44" s="3"/>
      <c r="B44" s="61" t="s">
        <v>464</v>
      </c>
      <c r="C44" s="62">
        <v>2</v>
      </c>
      <c r="D44" s="62" t="s">
        <v>94</v>
      </c>
      <c r="E44" s="12">
        <f t="shared" si="12"/>
        <v>182</v>
      </c>
      <c r="F44" s="101">
        <f t="shared" si="13"/>
        <v>182</v>
      </c>
      <c r="G44" s="232"/>
      <c r="H44" s="63" t="s">
        <v>37</v>
      </c>
      <c r="I44" s="63"/>
      <c r="J44" s="64"/>
      <c r="K44" s="12"/>
      <c r="L44" s="62" t="str">
        <f t="shared" si="3"/>
        <v/>
      </c>
      <c r="M44" s="12">
        <v>93.43</v>
      </c>
      <c r="N44" s="12">
        <v>24.57</v>
      </c>
      <c r="O44" s="12">
        <v>12</v>
      </c>
      <c r="P44" s="12">
        <v>2</v>
      </c>
      <c r="Q44" s="12">
        <v>5</v>
      </c>
      <c r="R44" s="12">
        <v>5</v>
      </c>
      <c r="S44" s="12">
        <v>10</v>
      </c>
      <c r="T44" s="12"/>
      <c r="U44" s="12">
        <v>30</v>
      </c>
      <c r="V44" s="65" t="s">
        <v>1154</v>
      </c>
      <c r="W44" s="44" t="str">
        <f t="shared" si="2"/>
        <v>OK</v>
      </c>
      <c r="X44" s="47" t="str">
        <f t="shared" si="4"/>
        <v/>
      </c>
      <c r="Y44" s="3"/>
      <c r="Z44" s="127"/>
    </row>
    <row r="45" spans="1:26" ht="15.75" hidden="1" customHeight="1" outlineLevel="1" x14ac:dyDescent="0.3">
      <c r="A45" s="3"/>
      <c r="B45" s="61" t="s">
        <v>465</v>
      </c>
      <c r="C45" s="62">
        <v>2</v>
      </c>
      <c r="D45" s="62" t="s">
        <v>94</v>
      </c>
      <c r="E45" s="12">
        <f t="shared" si="12"/>
        <v>117</v>
      </c>
      <c r="F45" s="101">
        <f t="shared" si="13"/>
        <v>117</v>
      </c>
      <c r="G45" s="234"/>
      <c r="H45" s="63" t="s">
        <v>37</v>
      </c>
      <c r="I45" s="63"/>
      <c r="J45" s="64"/>
      <c r="K45" s="12"/>
      <c r="L45" s="62" t="str">
        <f t="shared" si="3"/>
        <v/>
      </c>
      <c r="M45" s="12">
        <v>43.93</v>
      </c>
      <c r="N45" s="12">
        <v>24.57</v>
      </c>
      <c r="O45" s="12">
        <v>12</v>
      </c>
      <c r="P45" s="12">
        <v>1.5</v>
      </c>
      <c r="Q45" s="12"/>
      <c r="R45" s="12"/>
      <c r="S45" s="12">
        <v>5</v>
      </c>
      <c r="T45" s="12"/>
      <c r="U45" s="12">
        <v>30</v>
      </c>
      <c r="V45" s="65" t="s">
        <v>1154</v>
      </c>
      <c r="W45" s="44" t="str">
        <f t="shared" si="2"/>
        <v>OK</v>
      </c>
      <c r="X45" s="47" t="str">
        <f t="shared" si="4"/>
        <v/>
      </c>
      <c r="Y45" s="3"/>
      <c r="Z45" s="127"/>
    </row>
    <row r="46" spans="1:26" ht="31.5" hidden="1" customHeight="1" outlineLevel="1" x14ac:dyDescent="0.3">
      <c r="A46" s="3"/>
      <c r="B46" s="10" t="s">
        <v>466</v>
      </c>
      <c r="C46" s="62">
        <v>3</v>
      </c>
      <c r="D46" s="62" t="s">
        <v>94</v>
      </c>
      <c r="E46" s="12">
        <f t="shared" si="12"/>
        <v>211.99</v>
      </c>
      <c r="F46" s="101">
        <f t="shared" si="13"/>
        <v>211.99</v>
      </c>
      <c r="G46" s="253"/>
      <c r="H46" s="63" t="s">
        <v>37</v>
      </c>
      <c r="I46" s="63"/>
      <c r="J46" s="64"/>
      <c r="K46" s="12"/>
      <c r="L46" s="62" t="str">
        <f t="shared" si="3"/>
        <v/>
      </c>
      <c r="M46" s="12">
        <v>118.98</v>
      </c>
      <c r="N46" s="12">
        <v>24.57</v>
      </c>
      <c r="O46" s="12">
        <v>12</v>
      </c>
      <c r="P46" s="12">
        <v>11.44</v>
      </c>
      <c r="Q46" s="12">
        <v>5</v>
      </c>
      <c r="R46" s="12">
        <v>10</v>
      </c>
      <c r="S46" s="12"/>
      <c r="T46" s="12"/>
      <c r="U46" s="12">
        <v>30</v>
      </c>
      <c r="V46" s="65" t="s">
        <v>1154</v>
      </c>
      <c r="W46" s="44" t="str">
        <f t="shared" si="2"/>
        <v>OK</v>
      </c>
      <c r="X46" s="47" t="str">
        <f t="shared" si="4"/>
        <v/>
      </c>
      <c r="Y46" s="3"/>
      <c r="Z46" s="127"/>
    </row>
    <row r="47" spans="1:26" ht="31.5" hidden="1" customHeight="1" outlineLevel="1" x14ac:dyDescent="0.3">
      <c r="A47" s="3"/>
      <c r="B47" s="10" t="s">
        <v>467</v>
      </c>
      <c r="C47" s="62">
        <v>3</v>
      </c>
      <c r="D47" s="62" t="s">
        <v>94</v>
      </c>
      <c r="E47" s="12">
        <f t="shared" si="12"/>
        <v>123.74</v>
      </c>
      <c r="F47" s="101">
        <f t="shared" si="13"/>
        <v>123.74</v>
      </c>
      <c r="G47" s="252"/>
      <c r="H47" s="63" t="s">
        <v>37</v>
      </c>
      <c r="I47" s="63"/>
      <c r="J47" s="64"/>
      <c r="K47" s="12"/>
      <c r="L47" s="62" t="str">
        <f t="shared" si="3"/>
        <v/>
      </c>
      <c r="M47" s="12">
        <v>55.73</v>
      </c>
      <c r="N47" s="12">
        <v>24.57</v>
      </c>
      <c r="O47" s="12">
        <v>12</v>
      </c>
      <c r="P47" s="12">
        <v>1.44</v>
      </c>
      <c r="Q47" s="12"/>
      <c r="R47" s="12"/>
      <c r="S47" s="12"/>
      <c r="T47" s="12"/>
      <c r="U47" s="12">
        <v>30</v>
      </c>
      <c r="V47" s="65" t="s">
        <v>1154</v>
      </c>
      <c r="W47" s="44" t="str">
        <f t="shared" si="2"/>
        <v>OK</v>
      </c>
      <c r="X47" s="47" t="str">
        <f t="shared" si="4"/>
        <v/>
      </c>
      <c r="Y47" s="3"/>
      <c r="Z47" s="127"/>
    </row>
    <row r="48" spans="1:26" ht="15.75" hidden="1" customHeight="1" outlineLevel="1" x14ac:dyDescent="0.3">
      <c r="A48" s="3"/>
      <c r="B48" s="61" t="s">
        <v>468</v>
      </c>
      <c r="C48" s="62">
        <v>2</v>
      </c>
      <c r="D48" s="62" t="s">
        <v>94</v>
      </c>
      <c r="E48" s="12">
        <f t="shared" si="12"/>
        <v>124.75999999999999</v>
      </c>
      <c r="F48" s="101">
        <f t="shared" si="13"/>
        <v>124.75999999999999</v>
      </c>
      <c r="G48" s="232"/>
      <c r="H48" s="63" t="s">
        <v>37</v>
      </c>
      <c r="I48" s="63"/>
      <c r="J48" s="64"/>
      <c r="K48" s="12"/>
      <c r="L48" s="62" t="str">
        <f t="shared" si="3"/>
        <v/>
      </c>
      <c r="M48" s="12">
        <v>58.19</v>
      </c>
      <c r="N48" s="12">
        <v>24.57</v>
      </c>
      <c r="O48" s="12">
        <v>12</v>
      </c>
      <c r="P48" s="12" t="s">
        <v>43</v>
      </c>
      <c r="Q48" s="12" t="s">
        <v>43</v>
      </c>
      <c r="R48" s="12" t="s">
        <v>43</v>
      </c>
      <c r="S48" s="12" t="s">
        <v>43</v>
      </c>
      <c r="T48" s="12"/>
      <c r="U48" s="12">
        <v>30</v>
      </c>
      <c r="V48" s="65" t="s">
        <v>1154</v>
      </c>
      <c r="W48" s="44" t="str">
        <f t="shared" si="2"/>
        <v>OK</v>
      </c>
      <c r="X48" s="47" t="str">
        <f t="shared" si="4"/>
        <v/>
      </c>
      <c r="Y48" s="3"/>
      <c r="Z48" s="127"/>
    </row>
    <row r="49" spans="1:26" ht="15.75" hidden="1" customHeight="1" outlineLevel="1" x14ac:dyDescent="0.3">
      <c r="A49" s="3"/>
      <c r="B49" s="61" t="s">
        <v>469</v>
      </c>
      <c r="C49" s="62">
        <v>2</v>
      </c>
      <c r="D49" s="62" t="s">
        <v>94</v>
      </c>
      <c r="E49" s="12">
        <f t="shared" si="12"/>
        <v>100.45</v>
      </c>
      <c r="F49" s="101">
        <f t="shared" si="13"/>
        <v>100.45</v>
      </c>
      <c r="G49" s="234"/>
      <c r="H49" s="63" t="s">
        <v>37</v>
      </c>
      <c r="I49" s="63"/>
      <c r="J49" s="64"/>
      <c r="K49" s="12"/>
      <c r="L49" s="62" t="str">
        <f t="shared" si="3"/>
        <v/>
      </c>
      <c r="M49" s="12">
        <v>33.880000000000003</v>
      </c>
      <c r="N49" s="12">
        <v>24.57</v>
      </c>
      <c r="O49" s="12">
        <v>12</v>
      </c>
      <c r="P49" s="12" t="s">
        <v>43</v>
      </c>
      <c r="Q49" s="12"/>
      <c r="R49" s="12" t="s">
        <v>43</v>
      </c>
      <c r="S49" s="12"/>
      <c r="T49" s="12"/>
      <c r="U49" s="12">
        <v>30</v>
      </c>
      <c r="V49" s="65" t="s">
        <v>1154</v>
      </c>
      <c r="W49" s="44" t="str">
        <f t="shared" si="2"/>
        <v>OK</v>
      </c>
      <c r="X49" s="47" t="str">
        <f t="shared" si="4"/>
        <v/>
      </c>
      <c r="Y49" s="3"/>
      <c r="Z49" s="127"/>
    </row>
    <row r="50" spans="1:26" ht="15.75" hidden="1" customHeight="1" outlineLevel="1" x14ac:dyDescent="0.3">
      <c r="A50" s="3"/>
      <c r="B50" s="10" t="s">
        <v>470</v>
      </c>
      <c r="C50" s="62">
        <v>15</v>
      </c>
      <c r="D50" s="62" t="s">
        <v>94</v>
      </c>
      <c r="E50" s="12">
        <f t="shared" si="12"/>
        <v>171.69</v>
      </c>
      <c r="F50" s="101">
        <f t="shared" si="13"/>
        <v>171.69</v>
      </c>
      <c r="G50" s="253"/>
      <c r="H50" s="63" t="s">
        <v>37</v>
      </c>
      <c r="I50" s="63"/>
      <c r="J50" s="64"/>
      <c r="K50" s="12"/>
      <c r="L50" s="62">
        <f t="shared" si="3"/>
        <v>1</v>
      </c>
      <c r="M50" s="12">
        <v>93.62</v>
      </c>
      <c r="N50" s="12">
        <v>24.57</v>
      </c>
      <c r="O50" s="12">
        <v>12</v>
      </c>
      <c r="P50" s="12">
        <v>1.5</v>
      </c>
      <c r="Q50" s="12"/>
      <c r="R50" s="12"/>
      <c r="S50" s="12">
        <v>10</v>
      </c>
      <c r="T50" s="12"/>
      <c r="U50" s="12">
        <v>30</v>
      </c>
      <c r="V50" s="89" t="s">
        <v>1154</v>
      </c>
      <c r="W50" s="44" t="str">
        <f t="shared" si="2"/>
        <v>OK</v>
      </c>
      <c r="X50" s="47" t="str">
        <f t="shared" si="4"/>
        <v/>
      </c>
      <c r="Y50" s="3"/>
      <c r="Z50" s="127"/>
    </row>
    <row r="51" spans="1:26" ht="15.75" hidden="1" customHeight="1" outlineLevel="1" x14ac:dyDescent="0.3">
      <c r="A51" s="3"/>
      <c r="B51" s="10" t="s">
        <v>472</v>
      </c>
      <c r="C51" s="62">
        <v>15</v>
      </c>
      <c r="D51" s="62" t="s">
        <v>94</v>
      </c>
      <c r="E51" s="12">
        <f t="shared" si="12"/>
        <v>161.69</v>
      </c>
      <c r="F51" s="101">
        <f t="shared" si="13"/>
        <v>161.69</v>
      </c>
      <c r="G51" s="252"/>
      <c r="H51" s="63" t="s">
        <v>37</v>
      </c>
      <c r="I51" s="63"/>
      <c r="J51" s="64"/>
      <c r="K51" s="12"/>
      <c r="L51" s="62">
        <f t="shared" si="3"/>
        <v>1</v>
      </c>
      <c r="M51" s="12">
        <v>93.62</v>
      </c>
      <c r="N51" s="12">
        <v>24.57</v>
      </c>
      <c r="O51" s="12">
        <v>12</v>
      </c>
      <c r="P51" s="12">
        <v>1.5</v>
      </c>
      <c r="Q51" s="12"/>
      <c r="R51" s="12"/>
      <c r="S51" s="12"/>
      <c r="T51" s="12"/>
      <c r="U51" s="12">
        <v>30</v>
      </c>
      <c r="V51" s="65" t="s">
        <v>1154</v>
      </c>
      <c r="W51" s="44" t="str">
        <f t="shared" si="2"/>
        <v>OK</v>
      </c>
      <c r="X51" s="47" t="str">
        <f t="shared" si="4"/>
        <v/>
      </c>
      <c r="Y51" s="3"/>
      <c r="Z51" s="127"/>
    </row>
    <row r="52" spans="1:26" ht="15.75" hidden="1" customHeight="1" outlineLevel="1" x14ac:dyDescent="0.3">
      <c r="A52" s="3"/>
      <c r="B52" s="61" t="s">
        <v>473</v>
      </c>
      <c r="C52" s="62">
        <v>3</v>
      </c>
      <c r="D52" s="62" t="s">
        <v>94</v>
      </c>
      <c r="E52" s="12">
        <f t="shared" si="12"/>
        <v>212.44</v>
      </c>
      <c r="F52" s="101">
        <f t="shared" si="13"/>
        <v>212.44</v>
      </c>
      <c r="G52" s="67"/>
      <c r="H52" s="63" t="s">
        <v>37</v>
      </c>
      <c r="I52" s="63"/>
      <c r="J52" s="64"/>
      <c r="K52" s="12"/>
      <c r="L52" s="62" t="str">
        <f t="shared" si="3"/>
        <v/>
      </c>
      <c r="M52" s="12">
        <v>139.43</v>
      </c>
      <c r="N52" s="12">
        <v>24.57</v>
      </c>
      <c r="O52" s="12">
        <v>12</v>
      </c>
      <c r="P52" s="12">
        <v>1.44</v>
      </c>
      <c r="Q52" s="12">
        <v>5</v>
      </c>
      <c r="R52" s="12"/>
      <c r="S52" s="12"/>
      <c r="T52" s="12"/>
      <c r="U52" s="12">
        <v>30</v>
      </c>
      <c r="V52" s="65" t="s">
        <v>1154</v>
      </c>
      <c r="W52" s="44" t="str">
        <f t="shared" si="2"/>
        <v>OK</v>
      </c>
      <c r="X52" s="47" t="str">
        <f t="shared" si="4"/>
        <v/>
      </c>
      <c r="Y52" s="3"/>
      <c r="Z52" s="127"/>
    </row>
    <row r="53" spans="1:26" ht="15.75" hidden="1" customHeight="1" outlineLevel="1" x14ac:dyDescent="0.3">
      <c r="A53" s="3"/>
      <c r="B53" s="10" t="s">
        <v>474</v>
      </c>
      <c r="C53" s="62">
        <v>13</v>
      </c>
      <c r="D53" s="62" t="s">
        <v>94</v>
      </c>
      <c r="E53" s="12">
        <f t="shared" si="12"/>
        <v>276.28999999999996</v>
      </c>
      <c r="F53" s="101">
        <f t="shared" si="13"/>
        <v>276.28999999999996</v>
      </c>
      <c r="G53" s="232"/>
      <c r="H53" s="63" t="s">
        <v>37</v>
      </c>
      <c r="I53" s="63"/>
      <c r="J53" s="64"/>
      <c r="K53" s="12"/>
      <c r="L53" s="62">
        <f t="shared" si="3"/>
        <v>1</v>
      </c>
      <c r="M53" s="12">
        <v>98.28</v>
      </c>
      <c r="N53" s="12">
        <v>24.57</v>
      </c>
      <c r="O53" s="12">
        <v>12</v>
      </c>
      <c r="P53" s="12">
        <v>1.44</v>
      </c>
      <c r="Q53" s="12"/>
      <c r="R53" s="12">
        <v>10</v>
      </c>
      <c r="S53" s="12"/>
      <c r="T53" s="12">
        <v>100</v>
      </c>
      <c r="U53" s="12">
        <v>30</v>
      </c>
      <c r="V53" s="65" t="s">
        <v>1154</v>
      </c>
      <c r="W53" s="44" t="str">
        <f t="shared" si="2"/>
        <v>OK</v>
      </c>
      <c r="X53" s="47" t="str">
        <f t="shared" si="4"/>
        <v/>
      </c>
      <c r="Y53" s="3"/>
      <c r="Z53" s="127"/>
    </row>
    <row r="54" spans="1:26" ht="15.75" hidden="1" customHeight="1" outlineLevel="1" x14ac:dyDescent="0.3">
      <c r="A54" s="3"/>
      <c r="B54" s="10" t="s">
        <v>476</v>
      </c>
      <c r="C54" s="62">
        <v>13</v>
      </c>
      <c r="D54" s="62" t="s">
        <v>94</v>
      </c>
      <c r="E54" s="12">
        <f t="shared" si="12"/>
        <v>176.29</v>
      </c>
      <c r="F54" s="101">
        <f t="shared" si="13"/>
        <v>176.29</v>
      </c>
      <c r="G54" s="234"/>
      <c r="H54" s="63" t="s">
        <v>37</v>
      </c>
      <c r="I54" s="63"/>
      <c r="J54" s="64"/>
      <c r="K54" s="12"/>
      <c r="L54" s="62">
        <f t="shared" si="3"/>
        <v>1</v>
      </c>
      <c r="M54" s="12">
        <v>98.28</v>
      </c>
      <c r="N54" s="12">
        <v>24.57</v>
      </c>
      <c r="O54" s="12">
        <v>12</v>
      </c>
      <c r="P54" s="12">
        <v>1.44</v>
      </c>
      <c r="Q54" s="12"/>
      <c r="R54" s="12">
        <v>10</v>
      </c>
      <c r="S54" s="12"/>
      <c r="T54" s="12"/>
      <c r="U54" s="12">
        <v>30</v>
      </c>
      <c r="V54" s="65" t="s">
        <v>1154</v>
      </c>
      <c r="W54" s="44" t="str">
        <f t="shared" si="2"/>
        <v>OK</v>
      </c>
      <c r="X54" s="47" t="str">
        <f t="shared" si="4"/>
        <v/>
      </c>
      <c r="Y54" s="3"/>
      <c r="Z54" s="127"/>
    </row>
    <row r="55" spans="1:26" ht="15.75" hidden="1" customHeight="1" outlineLevel="1" x14ac:dyDescent="0.3">
      <c r="A55" s="3"/>
      <c r="B55" s="61" t="s">
        <v>477</v>
      </c>
      <c r="C55" s="62">
        <v>12</v>
      </c>
      <c r="D55" s="62" t="s">
        <v>129</v>
      </c>
      <c r="E55" s="12">
        <v>87</v>
      </c>
      <c r="F55" s="101">
        <f>SUM(M55:U55)</f>
        <v>100</v>
      </c>
      <c r="G55" s="70"/>
      <c r="H55" s="63" t="s">
        <v>37</v>
      </c>
      <c r="I55" s="63"/>
      <c r="J55" s="64"/>
      <c r="K55" s="12"/>
      <c r="L55" s="62" t="str">
        <f t="shared" si="3"/>
        <v/>
      </c>
      <c r="M55" s="12">
        <f>13.93+13</f>
        <v>26.93</v>
      </c>
      <c r="N55" s="12">
        <v>24.57</v>
      </c>
      <c r="O55" s="12">
        <v>12</v>
      </c>
      <c r="P55" s="12">
        <v>1.5</v>
      </c>
      <c r="Q55" s="12">
        <v>5</v>
      </c>
      <c r="R55" s="12"/>
      <c r="S55" s="12"/>
      <c r="T55" s="12"/>
      <c r="U55" s="12">
        <v>30</v>
      </c>
      <c r="V55" s="65" t="s">
        <v>1154</v>
      </c>
      <c r="W55" s="44" t="str">
        <f t="shared" si="2"/>
        <v>OK</v>
      </c>
      <c r="X55" s="47" t="str">
        <f t="shared" si="4"/>
        <v/>
      </c>
      <c r="Y55" s="3"/>
      <c r="Z55" s="127"/>
    </row>
    <row r="56" spans="1:26" ht="15.75" hidden="1" customHeight="1" outlineLevel="1" x14ac:dyDescent="0.3">
      <c r="A56" s="3"/>
      <c r="B56" s="10" t="s">
        <v>478</v>
      </c>
      <c r="C56" s="62">
        <v>6</v>
      </c>
      <c r="D56" s="62" t="s">
        <v>94</v>
      </c>
      <c r="E56" s="12">
        <f t="shared" ref="E56:E58" si="14">SUM(M56:U56)</f>
        <v>170.5</v>
      </c>
      <c r="F56" s="101">
        <f t="shared" ref="F56:F58" si="15">E56</f>
        <v>170.5</v>
      </c>
      <c r="G56" s="232"/>
      <c r="H56" s="63" t="s">
        <v>37</v>
      </c>
      <c r="I56" s="63"/>
      <c r="J56" s="64"/>
      <c r="K56" s="12"/>
      <c r="L56" s="62" t="str">
        <f t="shared" si="3"/>
        <v/>
      </c>
      <c r="M56" s="12">
        <v>93.43</v>
      </c>
      <c r="N56" s="12">
        <v>24.57</v>
      </c>
      <c r="O56" s="12">
        <v>12</v>
      </c>
      <c r="P56" s="12">
        <v>1.5</v>
      </c>
      <c r="Q56" s="12"/>
      <c r="R56" s="12">
        <v>0</v>
      </c>
      <c r="S56" s="12">
        <v>4</v>
      </c>
      <c r="T56" s="12">
        <v>5</v>
      </c>
      <c r="U56" s="12">
        <v>30</v>
      </c>
      <c r="V56" s="65" t="s">
        <v>1154</v>
      </c>
      <c r="W56" s="44" t="str">
        <f t="shared" si="2"/>
        <v>OK</v>
      </c>
      <c r="X56" s="47" t="str">
        <f t="shared" si="4"/>
        <v/>
      </c>
      <c r="Y56" s="3"/>
      <c r="Z56" s="127"/>
    </row>
    <row r="57" spans="1:26" ht="15.75" hidden="1" customHeight="1" outlineLevel="1" x14ac:dyDescent="0.3">
      <c r="A57" s="3"/>
      <c r="B57" s="10" t="s">
        <v>479</v>
      </c>
      <c r="C57" s="62">
        <v>6</v>
      </c>
      <c r="D57" s="62" t="s">
        <v>94</v>
      </c>
      <c r="E57" s="12">
        <f t="shared" si="14"/>
        <v>169.5</v>
      </c>
      <c r="F57" s="101">
        <f t="shared" si="15"/>
        <v>169.5</v>
      </c>
      <c r="G57" s="234"/>
      <c r="H57" s="63" t="s">
        <v>37</v>
      </c>
      <c r="I57" s="63"/>
      <c r="J57" s="64"/>
      <c r="K57" s="12"/>
      <c r="L57" s="62" t="str">
        <f t="shared" si="3"/>
        <v/>
      </c>
      <c r="M57" s="12">
        <v>93.43</v>
      </c>
      <c r="N57" s="12">
        <v>24.57</v>
      </c>
      <c r="O57" s="12">
        <v>12</v>
      </c>
      <c r="P57" s="12">
        <v>1.5</v>
      </c>
      <c r="Q57" s="12"/>
      <c r="R57" s="12">
        <v>0</v>
      </c>
      <c r="S57" s="12">
        <v>3</v>
      </c>
      <c r="T57" s="12">
        <v>5</v>
      </c>
      <c r="U57" s="12">
        <v>30</v>
      </c>
      <c r="V57" s="65" t="s">
        <v>1154</v>
      </c>
      <c r="W57" s="44" t="str">
        <f t="shared" si="2"/>
        <v>OK</v>
      </c>
      <c r="X57" s="47" t="str">
        <f t="shared" si="4"/>
        <v/>
      </c>
      <c r="Y57" s="3"/>
      <c r="Z57" s="127"/>
    </row>
    <row r="58" spans="1:26" ht="15.75" hidden="1" customHeight="1" outlineLevel="1" x14ac:dyDescent="0.3">
      <c r="A58" s="3"/>
      <c r="B58" s="61" t="s">
        <v>480</v>
      </c>
      <c r="C58" s="62">
        <v>3</v>
      </c>
      <c r="D58" s="62" t="s">
        <v>94</v>
      </c>
      <c r="E58" s="12">
        <f t="shared" si="14"/>
        <v>100</v>
      </c>
      <c r="F58" s="101">
        <f t="shared" si="15"/>
        <v>100</v>
      </c>
      <c r="G58" s="67"/>
      <c r="H58" s="63" t="s">
        <v>37</v>
      </c>
      <c r="I58" s="63"/>
      <c r="J58" s="64"/>
      <c r="K58" s="12"/>
      <c r="L58" s="62" t="str">
        <f t="shared" si="3"/>
        <v/>
      </c>
      <c r="M58" s="12">
        <v>61.93</v>
      </c>
      <c r="N58" s="12">
        <v>24.57</v>
      </c>
      <c r="O58" s="12">
        <v>12</v>
      </c>
      <c r="P58" s="12">
        <v>1.5</v>
      </c>
      <c r="Q58" s="12"/>
      <c r="R58" s="12"/>
      <c r="S58" s="12"/>
      <c r="T58" s="12"/>
      <c r="U58" s="12"/>
      <c r="V58" s="65"/>
      <c r="W58" s="44" t="str">
        <f t="shared" si="2"/>
        <v>OK</v>
      </c>
      <c r="X58" s="47" t="str">
        <f t="shared" si="4"/>
        <v/>
      </c>
      <c r="Y58" s="3"/>
      <c r="Z58" s="127"/>
    </row>
    <row r="59" spans="1:26" ht="15.75" hidden="1" customHeight="1" outlineLevel="1" x14ac:dyDescent="0.3">
      <c r="A59" s="3"/>
      <c r="B59" s="10" t="s">
        <v>481</v>
      </c>
      <c r="C59" s="62">
        <v>28</v>
      </c>
      <c r="D59" s="62" t="s">
        <v>94</v>
      </c>
      <c r="E59" s="12">
        <v>92.37</v>
      </c>
      <c r="F59" s="101">
        <f>SUM(M59:U59)</f>
        <v>344.18</v>
      </c>
      <c r="G59" s="67"/>
      <c r="H59" s="63" t="s">
        <v>38</v>
      </c>
      <c r="I59" s="63"/>
      <c r="J59" s="64"/>
      <c r="K59" s="12"/>
      <c r="L59" s="62">
        <f t="shared" si="3"/>
        <v>1</v>
      </c>
      <c r="M59" s="12">
        <f>344.18-SUM(N59:U59)</f>
        <v>271.17</v>
      </c>
      <c r="N59" s="12">
        <v>24.57</v>
      </c>
      <c r="O59" s="12">
        <v>12</v>
      </c>
      <c r="P59" s="12">
        <v>1.44</v>
      </c>
      <c r="Q59" s="12">
        <v>5</v>
      </c>
      <c r="R59" s="12"/>
      <c r="S59" s="12"/>
      <c r="T59" s="12"/>
      <c r="U59" s="12">
        <v>30</v>
      </c>
      <c r="V59" s="65" t="s">
        <v>1154</v>
      </c>
      <c r="W59" s="44" t="str">
        <f t="shared" si="2"/>
        <v>OK</v>
      </c>
      <c r="X59" s="47" t="str">
        <f t="shared" si="4"/>
        <v/>
      </c>
      <c r="Y59" s="3"/>
      <c r="Z59" s="127"/>
    </row>
    <row r="60" spans="1:26" ht="15.75" hidden="1" customHeight="1" outlineLevel="1" x14ac:dyDescent="0.3">
      <c r="A60" s="3"/>
      <c r="B60" s="61" t="s">
        <v>482</v>
      </c>
      <c r="C60" s="62"/>
      <c r="D60" s="62" t="s">
        <v>104</v>
      </c>
      <c r="E60" s="12">
        <f t="shared" ref="E60:E62" si="16">SUM(M60:U60)</f>
        <v>102.75</v>
      </c>
      <c r="F60" s="101"/>
      <c r="G60" s="232"/>
      <c r="H60" s="63"/>
      <c r="I60" s="63"/>
      <c r="J60" s="64"/>
      <c r="K60" s="12"/>
      <c r="L60" s="62" t="str">
        <f t="shared" si="3"/>
        <v/>
      </c>
      <c r="M60" s="12">
        <v>29.74</v>
      </c>
      <c r="N60" s="12">
        <v>24.57</v>
      </c>
      <c r="O60" s="12">
        <v>12</v>
      </c>
      <c r="P60" s="12">
        <v>1.44</v>
      </c>
      <c r="Q60" s="12">
        <v>5</v>
      </c>
      <c r="R60" s="12"/>
      <c r="S60" s="12"/>
      <c r="T60" s="12"/>
      <c r="U60" s="12">
        <v>30</v>
      </c>
      <c r="V60" s="65" t="s">
        <v>1154</v>
      </c>
      <c r="W60" s="44" t="str">
        <f t="shared" si="2"/>
        <v>Diferente</v>
      </c>
      <c r="X60" s="47">
        <f t="shared" si="4"/>
        <v>-102.75</v>
      </c>
      <c r="Y60" s="3"/>
      <c r="Z60" s="127"/>
    </row>
    <row r="61" spans="1:26" ht="15.75" hidden="1" customHeight="1" outlineLevel="1" x14ac:dyDescent="0.3">
      <c r="A61" s="3"/>
      <c r="B61" s="61" t="s">
        <v>483</v>
      </c>
      <c r="C61" s="62"/>
      <c r="D61" s="62" t="s">
        <v>104</v>
      </c>
      <c r="E61" s="12">
        <f t="shared" si="16"/>
        <v>103</v>
      </c>
      <c r="F61" s="101"/>
      <c r="G61" s="234"/>
      <c r="H61" s="63"/>
      <c r="I61" s="63"/>
      <c r="J61" s="64"/>
      <c r="K61" s="12"/>
      <c r="L61" s="62" t="str">
        <f t="shared" si="3"/>
        <v/>
      </c>
      <c r="M61" s="12">
        <v>29.93</v>
      </c>
      <c r="N61" s="12">
        <v>24.57</v>
      </c>
      <c r="O61" s="12">
        <v>12</v>
      </c>
      <c r="P61" s="12">
        <v>1.5</v>
      </c>
      <c r="Q61" s="12">
        <v>5</v>
      </c>
      <c r="R61" s="12"/>
      <c r="S61" s="12"/>
      <c r="T61" s="12"/>
      <c r="U61" s="12">
        <v>30</v>
      </c>
      <c r="V61" s="65" t="s">
        <v>1154</v>
      </c>
      <c r="W61" s="44" t="str">
        <f t="shared" si="2"/>
        <v>Diferente</v>
      </c>
      <c r="X61" s="47">
        <f t="shared" si="4"/>
        <v>-103</v>
      </c>
      <c r="Y61" s="3"/>
      <c r="Z61" s="127"/>
    </row>
    <row r="62" spans="1:26" ht="15.75" hidden="1" customHeight="1" outlineLevel="1" x14ac:dyDescent="0.3">
      <c r="A62" s="3"/>
      <c r="B62" s="10" t="s">
        <v>484</v>
      </c>
      <c r="C62" s="62"/>
      <c r="D62" s="62" t="s">
        <v>104</v>
      </c>
      <c r="E62" s="12">
        <f t="shared" si="16"/>
        <v>130</v>
      </c>
      <c r="F62" s="101"/>
      <c r="G62" s="67"/>
      <c r="H62" s="63"/>
      <c r="I62" s="63"/>
      <c r="J62" s="64"/>
      <c r="K62" s="12"/>
      <c r="L62" s="62" t="str">
        <f t="shared" si="3"/>
        <v/>
      </c>
      <c r="M62" s="12">
        <v>61.99</v>
      </c>
      <c r="N62" s="12">
        <v>24.57</v>
      </c>
      <c r="O62" s="12">
        <v>12</v>
      </c>
      <c r="P62" s="12">
        <v>1.44</v>
      </c>
      <c r="Q62" s="12"/>
      <c r="R62" s="12"/>
      <c r="S62" s="12"/>
      <c r="T62" s="12"/>
      <c r="U62" s="12">
        <v>30</v>
      </c>
      <c r="V62" s="65" t="s">
        <v>1154</v>
      </c>
      <c r="W62" s="44" t="str">
        <f t="shared" si="2"/>
        <v>Diferente</v>
      </c>
      <c r="X62" s="47">
        <f t="shared" si="4"/>
        <v>-130</v>
      </c>
      <c r="Y62" s="3"/>
      <c r="Z62" s="127"/>
    </row>
    <row r="63" spans="1:26" ht="15.75" hidden="1" customHeight="1" outlineLevel="1" x14ac:dyDescent="0.3">
      <c r="A63" s="3"/>
      <c r="B63" s="61" t="s">
        <v>488</v>
      </c>
      <c r="C63" s="62">
        <v>8</v>
      </c>
      <c r="D63" s="62" t="s">
        <v>94</v>
      </c>
      <c r="E63" s="12">
        <v>168.07</v>
      </c>
      <c r="F63" s="101">
        <f>SUM(M63:U63)</f>
        <v>870.35</v>
      </c>
      <c r="G63" s="69"/>
      <c r="H63" s="63" t="s">
        <v>37</v>
      </c>
      <c r="I63" s="63"/>
      <c r="J63" s="64"/>
      <c r="K63" s="12"/>
      <c r="L63" s="62" t="str">
        <f t="shared" si="3"/>
        <v/>
      </c>
      <c r="M63" s="12">
        <f>100+702.28</f>
        <v>802.28</v>
      </c>
      <c r="N63" s="12">
        <v>24.57</v>
      </c>
      <c r="O63" s="12">
        <v>12</v>
      </c>
      <c r="P63" s="12">
        <v>1.5</v>
      </c>
      <c r="Q63" s="12"/>
      <c r="R63" s="12"/>
      <c r="S63" s="12"/>
      <c r="T63" s="12"/>
      <c r="U63" s="12">
        <v>30</v>
      </c>
      <c r="V63" s="65" t="s">
        <v>1154</v>
      </c>
      <c r="W63" s="44" t="str">
        <f t="shared" si="2"/>
        <v>OK</v>
      </c>
      <c r="X63" s="47" t="str">
        <f t="shared" si="4"/>
        <v/>
      </c>
      <c r="Y63" s="3"/>
      <c r="Z63" s="127"/>
    </row>
    <row r="64" spans="1:26" ht="15.75" hidden="1" customHeight="1" outlineLevel="1" x14ac:dyDescent="0.3">
      <c r="A64" s="3"/>
      <c r="B64" s="10" t="s">
        <v>489</v>
      </c>
      <c r="C64" s="62"/>
      <c r="D64" s="62" t="s">
        <v>94</v>
      </c>
      <c r="E64" s="12">
        <f t="shared" ref="E64:E80" si="17">SUM(M64:U64)</f>
        <v>248.82</v>
      </c>
      <c r="F64" s="101">
        <f t="shared" ref="F64:F68" si="18">E64</f>
        <v>248.82</v>
      </c>
      <c r="G64" s="70"/>
      <c r="H64" s="63" t="s">
        <v>37</v>
      </c>
      <c r="I64" s="63"/>
      <c r="J64" s="64"/>
      <c r="K64" s="12"/>
      <c r="L64" s="62" t="str">
        <f t="shared" si="3"/>
        <v/>
      </c>
      <c r="M64" s="12">
        <v>122.25</v>
      </c>
      <c r="N64" s="12">
        <v>24.57</v>
      </c>
      <c r="O64" s="12">
        <v>12</v>
      </c>
      <c r="P64" s="12">
        <v>10</v>
      </c>
      <c r="Q64" s="12">
        <v>5</v>
      </c>
      <c r="R64" s="12">
        <v>5</v>
      </c>
      <c r="S64" s="12">
        <v>15</v>
      </c>
      <c r="T64" s="12">
        <v>25</v>
      </c>
      <c r="U64" s="12">
        <v>30</v>
      </c>
      <c r="V64" s="65" t="s">
        <v>1154</v>
      </c>
      <c r="W64" s="44" t="str">
        <f t="shared" si="2"/>
        <v>OK</v>
      </c>
      <c r="X64" s="47" t="str">
        <f t="shared" si="4"/>
        <v/>
      </c>
      <c r="Y64" s="3"/>
      <c r="Z64" s="127"/>
    </row>
    <row r="65" spans="1:26" ht="15.75" hidden="1" customHeight="1" outlineLevel="1" x14ac:dyDescent="0.3">
      <c r="A65" s="3"/>
      <c r="B65" s="10" t="s">
        <v>490</v>
      </c>
      <c r="C65" s="62">
        <v>2</v>
      </c>
      <c r="D65" s="62" t="s">
        <v>94</v>
      </c>
      <c r="E65" s="12">
        <f t="shared" si="17"/>
        <v>248.82</v>
      </c>
      <c r="F65" s="101">
        <f t="shared" si="18"/>
        <v>248.82</v>
      </c>
      <c r="G65" s="69"/>
      <c r="H65" s="63" t="s">
        <v>37</v>
      </c>
      <c r="I65" s="63"/>
      <c r="J65" s="64"/>
      <c r="K65" s="12"/>
      <c r="L65" s="62" t="str">
        <f t="shared" si="3"/>
        <v/>
      </c>
      <c r="M65" s="12">
        <v>122.25</v>
      </c>
      <c r="N65" s="12">
        <v>24.57</v>
      </c>
      <c r="O65" s="12">
        <v>12</v>
      </c>
      <c r="P65" s="12">
        <v>10</v>
      </c>
      <c r="Q65" s="12">
        <v>5</v>
      </c>
      <c r="R65" s="12">
        <v>5</v>
      </c>
      <c r="S65" s="12">
        <v>15</v>
      </c>
      <c r="T65" s="12">
        <v>25</v>
      </c>
      <c r="U65" s="12">
        <v>30</v>
      </c>
      <c r="V65" s="65" t="s">
        <v>1154</v>
      </c>
      <c r="W65" s="44" t="str">
        <f t="shared" si="2"/>
        <v>OK</v>
      </c>
      <c r="X65" s="47" t="str">
        <f t="shared" si="4"/>
        <v/>
      </c>
      <c r="Y65" s="3"/>
      <c r="Z65" s="127"/>
    </row>
    <row r="66" spans="1:26" ht="15.75" hidden="1" customHeight="1" outlineLevel="1" x14ac:dyDescent="0.3">
      <c r="A66" s="3"/>
      <c r="B66" s="61" t="s">
        <v>491</v>
      </c>
      <c r="C66" s="62">
        <v>2</v>
      </c>
      <c r="D66" s="62" t="s">
        <v>94</v>
      </c>
      <c r="E66" s="12">
        <f t="shared" si="17"/>
        <v>211.44</v>
      </c>
      <c r="F66" s="101">
        <f t="shared" si="18"/>
        <v>211.44</v>
      </c>
      <c r="G66" s="232"/>
      <c r="H66" s="63" t="s">
        <v>37</v>
      </c>
      <c r="I66" s="63"/>
      <c r="J66" s="64"/>
      <c r="K66" s="12"/>
      <c r="L66" s="62" t="str">
        <f t="shared" si="3"/>
        <v/>
      </c>
      <c r="M66" s="12">
        <v>113.43</v>
      </c>
      <c r="N66" s="12">
        <v>24.57</v>
      </c>
      <c r="O66" s="12">
        <v>12</v>
      </c>
      <c r="P66" s="12">
        <v>1.44</v>
      </c>
      <c r="Q66" s="12">
        <v>5</v>
      </c>
      <c r="R66" s="12">
        <v>20</v>
      </c>
      <c r="S66" s="12">
        <v>5</v>
      </c>
      <c r="T66" s="12"/>
      <c r="U66" s="12">
        <v>30</v>
      </c>
      <c r="V66" s="65" t="s">
        <v>1154</v>
      </c>
      <c r="W66" s="44" t="str">
        <f t="shared" si="2"/>
        <v>OK</v>
      </c>
      <c r="X66" s="47" t="str">
        <f t="shared" si="4"/>
        <v/>
      </c>
      <c r="Y66" s="3"/>
      <c r="Z66" s="127"/>
    </row>
    <row r="67" spans="1:26" ht="15.75" hidden="1" customHeight="1" outlineLevel="1" x14ac:dyDescent="0.3">
      <c r="A67" s="3"/>
      <c r="B67" s="10" t="s">
        <v>492</v>
      </c>
      <c r="C67" s="62">
        <v>9</v>
      </c>
      <c r="D67" s="62" t="s">
        <v>94</v>
      </c>
      <c r="E67" s="12">
        <f t="shared" si="17"/>
        <v>95.67</v>
      </c>
      <c r="F67" s="101">
        <f t="shared" si="18"/>
        <v>95.67</v>
      </c>
      <c r="G67" s="234"/>
      <c r="H67" s="63" t="s">
        <v>37</v>
      </c>
      <c r="I67" s="63"/>
      <c r="J67" s="64"/>
      <c r="K67" s="12"/>
      <c r="L67" s="62" t="str">
        <f t="shared" si="3"/>
        <v/>
      </c>
      <c r="M67" s="12">
        <v>27.66</v>
      </c>
      <c r="N67" s="12">
        <v>24.57</v>
      </c>
      <c r="O67" s="12">
        <v>12</v>
      </c>
      <c r="P67" s="12">
        <v>1.44</v>
      </c>
      <c r="Q67" s="12"/>
      <c r="R67" s="12"/>
      <c r="S67" s="12"/>
      <c r="T67" s="12"/>
      <c r="U67" s="12">
        <v>30</v>
      </c>
      <c r="V67" s="65" t="s">
        <v>1154</v>
      </c>
      <c r="W67" s="44" t="str">
        <f t="shared" si="2"/>
        <v>OK</v>
      </c>
      <c r="X67" s="47" t="str">
        <f t="shared" si="4"/>
        <v/>
      </c>
      <c r="Y67" s="3"/>
      <c r="Z67" s="127"/>
    </row>
    <row r="68" spans="1:26" ht="15.75" hidden="1" customHeight="1" outlineLevel="1" x14ac:dyDescent="0.3">
      <c r="A68" s="3"/>
      <c r="B68" s="61" t="s">
        <v>493</v>
      </c>
      <c r="C68" s="62">
        <v>9</v>
      </c>
      <c r="D68" s="62" t="s">
        <v>94</v>
      </c>
      <c r="E68" s="12">
        <f t="shared" si="17"/>
        <v>150</v>
      </c>
      <c r="F68" s="101">
        <f t="shared" si="18"/>
        <v>150</v>
      </c>
      <c r="G68" s="67"/>
      <c r="H68" s="63" t="s">
        <v>37</v>
      </c>
      <c r="I68" s="63"/>
      <c r="J68" s="64"/>
      <c r="K68" s="12"/>
      <c r="L68" s="62" t="str">
        <f t="shared" si="3"/>
        <v/>
      </c>
      <c r="M68" s="12">
        <v>81.93</v>
      </c>
      <c r="N68" s="12">
        <v>24.57</v>
      </c>
      <c r="O68" s="12">
        <v>12</v>
      </c>
      <c r="P68" s="12">
        <v>1.5</v>
      </c>
      <c r="Q68" s="12"/>
      <c r="R68" s="12"/>
      <c r="S68" s="12"/>
      <c r="T68" s="12"/>
      <c r="U68" s="12">
        <v>30</v>
      </c>
      <c r="V68" s="65" t="s">
        <v>1154</v>
      </c>
      <c r="W68" s="44" t="str">
        <f t="shared" si="2"/>
        <v>OK</v>
      </c>
      <c r="X68" s="47" t="str">
        <f t="shared" si="4"/>
        <v/>
      </c>
      <c r="Y68" s="3"/>
      <c r="Z68" s="127"/>
    </row>
    <row r="69" spans="1:26" ht="15.75" hidden="1" customHeight="1" outlineLevel="1" x14ac:dyDescent="0.3">
      <c r="A69" s="3"/>
      <c r="B69" s="10" t="s">
        <v>494</v>
      </c>
      <c r="C69" s="62"/>
      <c r="D69" s="62" t="s">
        <v>104</v>
      </c>
      <c r="E69" s="12">
        <f t="shared" si="17"/>
        <v>82</v>
      </c>
      <c r="F69" s="101"/>
      <c r="G69" s="67"/>
      <c r="H69" s="63"/>
      <c r="I69" s="63"/>
      <c r="J69" s="64"/>
      <c r="K69" s="12"/>
      <c r="L69" s="62" t="str">
        <f t="shared" si="3"/>
        <v/>
      </c>
      <c r="M69" s="12">
        <v>13.93</v>
      </c>
      <c r="N69" s="12">
        <v>24.57</v>
      </c>
      <c r="O69" s="12">
        <v>12</v>
      </c>
      <c r="P69" s="12">
        <v>1.5</v>
      </c>
      <c r="Q69" s="12"/>
      <c r="R69" s="12"/>
      <c r="S69" s="12"/>
      <c r="T69" s="12"/>
      <c r="U69" s="12">
        <v>30</v>
      </c>
      <c r="V69" s="65" t="s">
        <v>1154</v>
      </c>
      <c r="W69" s="44" t="str">
        <f t="shared" si="2"/>
        <v>Diferente</v>
      </c>
      <c r="X69" s="47">
        <f t="shared" si="4"/>
        <v>-82</v>
      </c>
      <c r="Y69" s="3"/>
      <c r="Z69" s="127"/>
    </row>
    <row r="70" spans="1:26" ht="15.75" hidden="1" customHeight="1" outlineLevel="1" x14ac:dyDescent="0.3">
      <c r="A70" s="3"/>
      <c r="B70" s="10" t="s">
        <v>495</v>
      </c>
      <c r="C70" s="62"/>
      <c r="D70" s="62" t="s">
        <v>104</v>
      </c>
      <c r="E70" s="12">
        <f t="shared" si="17"/>
        <v>82</v>
      </c>
      <c r="F70" s="101"/>
      <c r="G70" s="67"/>
      <c r="H70" s="63"/>
      <c r="I70" s="63"/>
      <c r="J70" s="64"/>
      <c r="K70" s="12"/>
      <c r="L70" s="62" t="str">
        <f t="shared" si="3"/>
        <v/>
      </c>
      <c r="M70" s="12">
        <v>13.93</v>
      </c>
      <c r="N70" s="12">
        <v>24.57</v>
      </c>
      <c r="O70" s="12">
        <v>12</v>
      </c>
      <c r="P70" s="12">
        <v>1.5</v>
      </c>
      <c r="Q70" s="12"/>
      <c r="R70" s="12"/>
      <c r="S70" s="12"/>
      <c r="T70" s="12"/>
      <c r="U70" s="12">
        <v>30</v>
      </c>
      <c r="V70" s="65" t="s">
        <v>1154</v>
      </c>
      <c r="W70" s="44" t="str">
        <f t="shared" si="2"/>
        <v>Diferente</v>
      </c>
      <c r="X70" s="47">
        <f t="shared" si="4"/>
        <v>-82</v>
      </c>
      <c r="Y70" s="3"/>
      <c r="Z70" s="127"/>
    </row>
    <row r="71" spans="1:26" ht="15.75" hidden="1" customHeight="1" outlineLevel="1" x14ac:dyDescent="0.3">
      <c r="A71" s="3"/>
      <c r="B71" s="61" t="s">
        <v>496</v>
      </c>
      <c r="C71" s="62">
        <v>10</v>
      </c>
      <c r="D71" s="62" t="s">
        <v>94</v>
      </c>
      <c r="E71" s="12">
        <f t="shared" si="17"/>
        <v>130</v>
      </c>
      <c r="F71" s="101">
        <f t="shared" ref="F71:F73" si="19">E71</f>
        <v>130</v>
      </c>
      <c r="G71" s="232"/>
      <c r="H71" s="63" t="s">
        <v>37</v>
      </c>
      <c r="I71" s="63"/>
      <c r="J71" s="64"/>
      <c r="K71" s="12"/>
      <c r="L71" s="62" t="str">
        <f t="shared" si="3"/>
        <v/>
      </c>
      <c r="M71" s="12">
        <v>56.93</v>
      </c>
      <c r="N71" s="12">
        <v>24.57</v>
      </c>
      <c r="O71" s="12">
        <v>12</v>
      </c>
      <c r="P71" s="12">
        <v>1.5</v>
      </c>
      <c r="Q71" s="12">
        <v>5</v>
      </c>
      <c r="R71" s="12"/>
      <c r="S71" s="12"/>
      <c r="T71" s="12"/>
      <c r="U71" s="12">
        <v>30</v>
      </c>
      <c r="V71" s="65" t="s">
        <v>1154</v>
      </c>
      <c r="W71" s="44" t="str">
        <f t="shared" si="2"/>
        <v>OK</v>
      </c>
      <c r="X71" s="47" t="str">
        <f t="shared" si="4"/>
        <v/>
      </c>
      <c r="Y71" s="3"/>
      <c r="Z71" s="127"/>
    </row>
    <row r="72" spans="1:26" ht="15.75" hidden="1" customHeight="1" outlineLevel="1" x14ac:dyDescent="0.3">
      <c r="A72" s="3"/>
      <c r="B72" s="10" t="s">
        <v>497</v>
      </c>
      <c r="C72" s="62">
        <v>7</v>
      </c>
      <c r="D72" s="62" t="s">
        <v>94</v>
      </c>
      <c r="E72" s="12">
        <f t="shared" si="17"/>
        <v>230</v>
      </c>
      <c r="F72" s="101">
        <f t="shared" si="19"/>
        <v>230</v>
      </c>
      <c r="G72" s="234"/>
      <c r="H72" s="63" t="s">
        <v>37</v>
      </c>
      <c r="I72" s="63"/>
      <c r="J72" s="64"/>
      <c r="K72" s="12"/>
      <c r="L72" s="62" t="str">
        <f t="shared" si="3"/>
        <v/>
      </c>
      <c r="M72" s="12">
        <v>148.43</v>
      </c>
      <c r="N72" s="12">
        <v>24.57</v>
      </c>
      <c r="O72" s="12">
        <v>12</v>
      </c>
      <c r="P72" s="12">
        <v>5</v>
      </c>
      <c r="Q72" s="12">
        <v>10</v>
      </c>
      <c r="R72" s="12"/>
      <c r="S72" s="12"/>
      <c r="T72" s="12"/>
      <c r="U72" s="12">
        <v>30</v>
      </c>
      <c r="V72" s="65" t="s">
        <v>1154</v>
      </c>
      <c r="W72" s="44" t="str">
        <f t="shared" si="2"/>
        <v>OK</v>
      </c>
      <c r="X72" s="47" t="str">
        <f t="shared" si="4"/>
        <v/>
      </c>
      <c r="Y72" s="3"/>
      <c r="Z72" s="127"/>
    </row>
    <row r="73" spans="1:26" ht="15.75" hidden="1" customHeight="1" outlineLevel="1" x14ac:dyDescent="0.3">
      <c r="A73" s="3"/>
      <c r="B73" s="61" t="s">
        <v>498</v>
      </c>
      <c r="C73" s="62">
        <v>8</v>
      </c>
      <c r="D73" s="62" t="s">
        <v>94</v>
      </c>
      <c r="E73" s="12">
        <f t="shared" si="17"/>
        <v>87.39</v>
      </c>
      <c r="F73" s="101">
        <f t="shared" si="19"/>
        <v>87.39</v>
      </c>
      <c r="G73" s="67"/>
      <c r="H73" s="63" t="s">
        <v>37</v>
      </c>
      <c r="I73" s="63"/>
      <c r="J73" s="64"/>
      <c r="K73" s="12"/>
      <c r="L73" s="62" t="str">
        <f t="shared" si="3"/>
        <v/>
      </c>
      <c r="M73" s="12">
        <v>19.32</v>
      </c>
      <c r="N73" s="12">
        <v>24.57</v>
      </c>
      <c r="O73" s="12">
        <v>12</v>
      </c>
      <c r="P73" s="12">
        <v>1.5</v>
      </c>
      <c r="Q73" s="12"/>
      <c r="R73" s="12"/>
      <c r="S73" s="12"/>
      <c r="T73" s="12"/>
      <c r="U73" s="12">
        <v>30</v>
      </c>
      <c r="V73" s="65" t="s">
        <v>1154</v>
      </c>
      <c r="W73" s="44" t="str">
        <f t="shared" si="2"/>
        <v>OK</v>
      </c>
      <c r="X73" s="47" t="str">
        <f t="shared" si="4"/>
        <v/>
      </c>
      <c r="Y73" s="3"/>
      <c r="Z73" s="127"/>
    </row>
    <row r="74" spans="1:26" ht="15.75" hidden="1" customHeight="1" outlineLevel="1" x14ac:dyDescent="0.3">
      <c r="A74" s="3"/>
      <c r="B74" s="10" t="s">
        <v>499</v>
      </c>
      <c r="C74" s="62"/>
      <c r="D74" s="62" t="s">
        <v>104</v>
      </c>
      <c r="E74" s="12">
        <f t="shared" si="17"/>
        <v>97.740000000000009</v>
      </c>
      <c r="F74" s="101"/>
      <c r="G74" s="67"/>
      <c r="H74" s="63"/>
      <c r="I74" s="63"/>
      <c r="J74" s="64"/>
      <c r="K74" s="12"/>
      <c r="L74" s="62" t="str">
        <f t="shared" si="3"/>
        <v/>
      </c>
      <c r="M74" s="12">
        <v>29.67</v>
      </c>
      <c r="N74" s="12">
        <v>24.57</v>
      </c>
      <c r="O74" s="12">
        <v>12</v>
      </c>
      <c r="P74" s="12">
        <v>1.5</v>
      </c>
      <c r="Q74" s="12"/>
      <c r="R74" s="12"/>
      <c r="S74" s="12"/>
      <c r="T74" s="12"/>
      <c r="U74" s="12">
        <v>30</v>
      </c>
      <c r="V74" s="65" t="s">
        <v>1154</v>
      </c>
      <c r="W74" s="44" t="str">
        <f t="shared" si="2"/>
        <v>Diferente</v>
      </c>
      <c r="X74" s="47">
        <f t="shared" si="4"/>
        <v>-97.740000000000009</v>
      </c>
      <c r="Y74" s="3"/>
      <c r="Z74" s="127"/>
    </row>
    <row r="75" spans="1:26" ht="15.75" hidden="1" customHeight="1" outlineLevel="1" x14ac:dyDescent="0.3">
      <c r="A75" s="3"/>
      <c r="B75" s="61" t="s">
        <v>500</v>
      </c>
      <c r="C75" s="62">
        <v>25</v>
      </c>
      <c r="D75" s="62" t="s">
        <v>94</v>
      </c>
      <c r="E75" s="12">
        <f t="shared" si="17"/>
        <v>124.43</v>
      </c>
      <c r="F75" s="101">
        <f t="shared" ref="F75:F80" si="20">E75</f>
        <v>124.43</v>
      </c>
      <c r="G75" s="67"/>
      <c r="H75" s="63" t="s">
        <v>37</v>
      </c>
      <c r="I75" s="63"/>
      <c r="J75" s="64"/>
      <c r="K75" s="12"/>
      <c r="L75" s="62">
        <f t="shared" si="3"/>
        <v>1</v>
      </c>
      <c r="M75" s="12">
        <v>50.86</v>
      </c>
      <c r="N75" s="12">
        <v>24.57</v>
      </c>
      <c r="O75" s="12">
        <v>12</v>
      </c>
      <c r="P75" s="12">
        <v>2</v>
      </c>
      <c r="Q75" s="12">
        <v>5</v>
      </c>
      <c r="R75" s="12"/>
      <c r="S75" s="12"/>
      <c r="T75" s="12"/>
      <c r="U75" s="12">
        <v>30</v>
      </c>
      <c r="V75" s="65" t="s">
        <v>1154</v>
      </c>
      <c r="W75" s="44" t="str">
        <f t="shared" si="2"/>
        <v>OK</v>
      </c>
      <c r="X75" s="47" t="str">
        <f t="shared" si="4"/>
        <v/>
      </c>
      <c r="Y75" s="3"/>
      <c r="Z75" s="127"/>
    </row>
    <row r="76" spans="1:26" ht="15.75" hidden="1" customHeight="1" outlineLevel="1" x14ac:dyDescent="0.3">
      <c r="A76" s="3"/>
      <c r="B76" s="61" t="s">
        <v>501</v>
      </c>
      <c r="C76" s="62">
        <v>25</v>
      </c>
      <c r="D76" s="62" t="s">
        <v>94</v>
      </c>
      <c r="E76" s="12">
        <f t="shared" si="17"/>
        <v>123.57</v>
      </c>
      <c r="F76" s="101">
        <f t="shared" si="20"/>
        <v>123.57</v>
      </c>
      <c r="G76" s="67"/>
      <c r="H76" s="63" t="s">
        <v>37</v>
      </c>
      <c r="I76" s="63"/>
      <c r="J76" s="64"/>
      <c r="K76" s="12"/>
      <c r="L76" s="62">
        <f t="shared" si="3"/>
        <v>1</v>
      </c>
      <c r="M76" s="12">
        <v>50</v>
      </c>
      <c r="N76" s="12">
        <v>24.57</v>
      </c>
      <c r="O76" s="12">
        <v>12</v>
      </c>
      <c r="P76" s="12">
        <v>2</v>
      </c>
      <c r="Q76" s="12">
        <v>5</v>
      </c>
      <c r="R76" s="12"/>
      <c r="S76" s="12"/>
      <c r="T76" s="12"/>
      <c r="U76" s="12">
        <v>30</v>
      </c>
      <c r="V76" s="65" t="s">
        <v>1154</v>
      </c>
      <c r="W76" s="44" t="str">
        <f t="shared" si="2"/>
        <v>OK</v>
      </c>
      <c r="X76" s="47" t="str">
        <f t="shared" si="4"/>
        <v/>
      </c>
      <c r="Y76" s="3"/>
      <c r="Z76" s="127"/>
    </row>
    <row r="77" spans="1:26" ht="15.75" hidden="1" customHeight="1" outlineLevel="1" x14ac:dyDescent="0.3">
      <c r="A77" s="3"/>
      <c r="B77" s="10" t="s">
        <v>502</v>
      </c>
      <c r="C77" s="62">
        <v>8</v>
      </c>
      <c r="D77" s="62" t="s">
        <v>94</v>
      </c>
      <c r="E77" s="12">
        <f t="shared" si="17"/>
        <v>161.69</v>
      </c>
      <c r="F77" s="101">
        <f t="shared" si="20"/>
        <v>161.69</v>
      </c>
      <c r="G77" s="67"/>
      <c r="H77" s="63" t="s">
        <v>37</v>
      </c>
      <c r="I77" s="63"/>
      <c r="J77" s="64"/>
      <c r="K77" s="12"/>
      <c r="L77" s="62" t="str">
        <f t="shared" si="3"/>
        <v/>
      </c>
      <c r="M77" s="12">
        <v>93.62</v>
      </c>
      <c r="N77" s="12">
        <v>24.57</v>
      </c>
      <c r="O77" s="12">
        <v>12</v>
      </c>
      <c r="P77" s="12">
        <v>1.5</v>
      </c>
      <c r="Q77" s="12"/>
      <c r="R77" s="12"/>
      <c r="S77" s="12"/>
      <c r="T77" s="12"/>
      <c r="U77" s="12">
        <v>30</v>
      </c>
      <c r="V77" s="65" t="s">
        <v>1154</v>
      </c>
      <c r="W77" s="44" t="str">
        <f t="shared" si="2"/>
        <v>OK</v>
      </c>
      <c r="X77" s="47" t="str">
        <f t="shared" si="4"/>
        <v/>
      </c>
      <c r="Y77" s="3"/>
      <c r="Z77" s="127"/>
    </row>
    <row r="78" spans="1:26" ht="15.75" hidden="1" customHeight="1" outlineLevel="1" x14ac:dyDescent="0.3">
      <c r="A78" s="3"/>
      <c r="B78" s="10" t="s">
        <v>503</v>
      </c>
      <c r="C78" s="62">
        <v>8</v>
      </c>
      <c r="D78" s="62" t="s">
        <v>94</v>
      </c>
      <c r="E78" s="12">
        <f t="shared" si="17"/>
        <v>161.69</v>
      </c>
      <c r="F78" s="101">
        <f t="shared" si="20"/>
        <v>161.69</v>
      </c>
      <c r="G78" s="67"/>
      <c r="H78" s="63" t="s">
        <v>37</v>
      </c>
      <c r="I78" s="63"/>
      <c r="J78" s="64"/>
      <c r="K78" s="12"/>
      <c r="L78" s="62" t="str">
        <f t="shared" si="3"/>
        <v/>
      </c>
      <c r="M78" s="12">
        <v>93.62</v>
      </c>
      <c r="N78" s="12">
        <v>24.57</v>
      </c>
      <c r="O78" s="12">
        <v>12</v>
      </c>
      <c r="P78" s="12">
        <v>1.5</v>
      </c>
      <c r="Q78" s="12"/>
      <c r="R78" s="12"/>
      <c r="S78" s="12"/>
      <c r="T78" s="12"/>
      <c r="U78" s="12">
        <v>30</v>
      </c>
      <c r="V78" s="65" t="s">
        <v>1154</v>
      </c>
      <c r="W78" s="44" t="str">
        <f t="shared" si="2"/>
        <v>OK</v>
      </c>
      <c r="X78" s="47" t="str">
        <f t="shared" si="4"/>
        <v/>
      </c>
      <c r="Y78" s="3"/>
      <c r="Z78" s="127"/>
    </row>
    <row r="79" spans="1:26" ht="15.75" hidden="1" customHeight="1" outlineLevel="1" x14ac:dyDescent="0.3">
      <c r="A79" s="3"/>
      <c r="B79" s="61" t="s">
        <v>504</v>
      </c>
      <c r="C79" s="62">
        <v>9</v>
      </c>
      <c r="D79" s="62" t="s">
        <v>94</v>
      </c>
      <c r="E79" s="12">
        <f t="shared" si="17"/>
        <v>173.57</v>
      </c>
      <c r="F79" s="101">
        <f t="shared" si="20"/>
        <v>173.57</v>
      </c>
      <c r="G79" s="67"/>
      <c r="H79" s="63" t="s">
        <v>37</v>
      </c>
      <c r="I79" s="63"/>
      <c r="J79" s="64"/>
      <c r="K79" s="12"/>
      <c r="L79" s="62" t="str">
        <f t="shared" si="3"/>
        <v/>
      </c>
      <c r="M79" s="12">
        <v>100</v>
      </c>
      <c r="N79" s="12">
        <v>24.57</v>
      </c>
      <c r="O79" s="12">
        <v>12</v>
      </c>
      <c r="P79" s="12">
        <v>2</v>
      </c>
      <c r="Q79" s="12"/>
      <c r="R79" s="12"/>
      <c r="S79" s="12">
        <v>5</v>
      </c>
      <c r="T79" s="12"/>
      <c r="U79" s="12">
        <v>30</v>
      </c>
      <c r="V79" s="65" t="s">
        <v>1154</v>
      </c>
      <c r="W79" s="44" t="str">
        <f t="shared" si="2"/>
        <v>OK</v>
      </c>
      <c r="X79" s="47" t="str">
        <f t="shared" si="4"/>
        <v/>
      </c>
      <c r="Y79" s="3"/>
      <c r="Z79" s="127"/>
    </row>
    <row r="80" spans="1:26" ht="15.75" hidden="1" customHeight="1" outlineLevel="1" x14ac:dyDescent="0.3">
      <c r="A80" s="3"/>
      <c r="B80" s="61" t="s">
        <v>506</v>
      </c>
      <c r="C80" s="62">
        <v>9</v>
      </c>
      <c r="D80" s="62" t="s">
        <v>94</v>
      </c>
      <c r="E80" s="12">
        <f t="shared" si="17"/>
        <v>173.57</v>
      </c>
      <c r="F80" s="101">
        <f t="shared" si="20"/>
        <v>173.57</v>
      </c>
      <c r="G80" s="67"/>
      <c r="H80" s="63" t="s">
        <v>37</v>
      </c>
      <c r="I80" s="63"/>
      <c r="J80" s="64"/>
      <c r="K80" s="12"/>
      <c r="L80" s="62" t="str">
        <f t="shared" si="3"/>
        <v/>
      </c>
      <c r="M80" s="12">
        <v>100</v>
      </c>
      <c r="N80" s="12">
        <v>24.57</v>
      </c>
      <c r="O80" s="12">
        <v>12</v>
      </c>
      <c r="P80" s="12">
        <v>2</v>
      </c>
      <c r="Q80" s="12"/>
      <c r="R80" s="12"/>
      <c r="S80" s="12">
        <v>5</v>
      </c>
      <c r="T80" s="12"/>
      <c r="U80" s="12">
        <v>30</v>
      </c>
      <c r="V80" s="65" t="s">
        <v>1154</v>
      </c>
      <c r="W80" s="44" t="str">
        <f t="shared" si="2"/>
        <v>OK</v>
      </c>
      <c r="X80" s="47" t="str">
        <f t="shared" si="4"/>
        <v/>
      </c>
      <c r="Y80" s="3"/>
      <c r="Z80" s="127"/>
    </row>
    <row r="81" spans="1:26" ht="15.75" hidden="1" customHeight="1" outlineLevel="1" x14ac:dyDescent="0.3">
      <c r="A81" s="3"/>
      <c r="B81" s="10" t="s">
        <v>507</v>
      </c>
      <c r="C81" s="62" t="s">
        <v>1156</v>
      </c>
      <c r="D81" s="62" t="s">
        <v>94</v>
      </c>
      <c r="E81" s="12">
        <v>280</v>
      </c>
      <c r="F81" s="101">
        <f t="shared" ref="F81:F82" si="21">SUM(M81:U81)</f>
        <v>280</v>
      </c>
      <c r="G81" s="70"/>
      <c r="H81" s="63" t="s">
        <v>37</v>
      </c>
      <c r="I81" s="63"/>
      <c r="J81" s="64"/>
      <c r="K81" s="12"/>
      <c r="L81" s="62">
        <f t="shared" si="3"/>
        <v>1</v>
      </c>
      <c r="M81" s="12">
        <v>196.43</v>
      </c>
      <c r="N81" s="12">
        <v>24.57</v>
      </c>
      <c r="O81" s="12">
        <v>12</v>
      </c>
      <c r="P81" s="12">
        <v>2</v>
      </c>
      <c r="Q81" s="12"/>
      <c r="R81" s="12"/>
      <c r="S81" s="12">
        <v>5</v>
      </c>
      <c r="T81" s="12">
        <v>10</v>
      </c>
      <c r="U81" s="12">
        <v>30</v>
      </c>
      <c r="V81" s="65" t="s">
        <v>1154</v>
      </c>
      <c r="W81" s="44" t="str">
        <f t="shared" si="2"/>
        <v>OK</v>
      </c>
      <c r="X81" s="47" t="str">
        <f t="shared" si="4"/>
        <v/>
      </c>
      <c r="Y81" s="3"/>
      <c r="Z81" s="127"/>
    </row>
    <row r="82" spans="1:26" ht="15.75" hidden="1" customHeight="1" outlineLevel="1" x14ac:dyDescent="0.3">
      <c r="A82" s="3"/>
      <c r="B82" s="10" t="s">
        <v>1157</v>
      </c>
      <c r="C82" s="62">
        <v>26</v>
      </c>
      <c r="D82" s="62" t="s">
        <v>94</v>
      </c>
      <c r="E82" s="12">
        <f t="shared" ref="E82:E90" si="22">SUM(M82:U82)</f>
        <v>162.19</v>
      </c>
      <c r="F82" s="101">
        <f t="shared" si="21"/>
        <v>162.19</v>
      </c>
      <c r="G82" s="67"/>
      <c r="H82" s="63" t="s">
        <v>37</v>
      </c>
      <c r="I82" s="63"/>
      <c r="J82" s="64"/>
      <c r="K82" s="12"/>
      <c r="L82" s="62">
        <f t="shared" si="3"/>
        <v>1</v>
      </c>
      <c r="M82" s="12">
        <v>93.62</v>
      </c>
      <c r="N82" s="12">
        <v>24.57</v>
      </c>
      <c r="O82" s="12">
        <v>12</v>
      </c>
      <c r="P82" s="12">
        <v>2</v>
      </c>
      <c r="Q82" s="12"/>
      <c r="R82" s="12"/>
      <c r="S82" s="12">
        <v>0</v>
      </c>
      <c r="T82" s="12">
        <v>0</v>
      </c>
      <c r="U82" s="12">
        <v>30</v>
      </c>
      <c r="V82" s="65" t="s">
        <v>1154</v>
      </c>
      <c r="W82" s="44" t="str">
        <f t="shared" si="2"/>
        <v>OK</v>
      </c>
      <c r="X82" s="47" t="str">
        <f t="shared" si="4"/>
        <v/>
      </c>
      <c r="Y82" s="3"/>
      <c r="Z82" s="127"/>
    </row>
    <row r="83" spans="1:26" ht="15.75" hidden="1" customHeight="1" outlineLevel="1" x14ac:dyDescent="0.3">
      <c r="A83" s="3"/>
      <c r="B83" s="61" t="s">
        <v>508</v>
      </c>
      <c r="C83" s="62">
        <v>9</v>
      </c>
      <c r="D83" s="62" t="s">
        <v>94</v>
      </c>
      <c r="E83" s="12">
        <f t="shared" si="22"/>
        <v>227</v>
      </c>
      <c r="F83" s="101">
        <f t="shared" ref="F83:F90" si="23">E83</f>
        <v>227</v>
      </c>
      <c r="G83" s="67"/>
      <c r="H83" s="63" t="s">
        <v>37</v>
      </c>
      <c r="I83" s="63"/>
      <c r="J83" s="64"/>
      <c r="K83" s="12"/>
      <c r="L83" s="62" t="str">
        <f t="shared" si="3"/>
        <v/>
      </c>
      <c r="M83" s="12">
        <v>138.43</v>
      </c>
      <c r="N83" s="12">
        <v>24.57</v>
      </c>
      <c r="O83" s="12">
        <v>12</v>
      </c>
      <c r="P83" s="12">
        <v>2</v>
      </c>
      <c r="Q83" s="12">
        <v>5</v>
      </c>
      <c r="R83" s="12">
        <v>5</v>
      </c>
      <c r="S83" s="12">
        <v>10</v>
      </c>
      <c r="T83" s="12"/>
      <c r="U83" s="12">
        <v>30</v>
      </c>
      <c r="V83" s="65" t="s">
        <v>1154</v>
      </c>
      <c r="W83" s="44" t="str">
        <f t="shared" si="2"/>
        <v>OK</v>
      </c>
      <c r="X83" s="47" t="str">
        <f t="shared" si="4"/>
        <v/>
      </c>
      <c r="Y83" s="3"/>
      <c r="Z83" s="127"/>
    </row>
    <row r="84" spans="1:26" ht="15.75" hidden="1" customHeight="1" outlineLevel="1" x14ac:dyDescent="0.3">
      <c r="A84" s="3"/>
      <c r="B84" s="61" t="s">
        <v>509</v>
      </c>
      <c r="C84" s="62">
        <v>9</v>
      </c>
      <c r="D84" s="62" t="s">
        <v>94</v>
      </c>
      <c r="E84" s="12">
        <f t="shared" si="22"/>
        <v>227</v>
      </c>
      <c r="F84" s="101">
        <f t="shared" si="23"/>
        <v>227</v>
      </c>
      <c r="G84" s="67"/>
      <c r="H84" s="63" t="s">
        <v>37</v>
      </c>
      <c r="I84" s="63"/>
      <c r="J84" s="64"/>
      <c r="K84" s="12"/>
      <c r="L84" s="62" t="str">
        <f t="shared" si="3"/>
        <v/>
      </c>
      <c r="M84" s="12">
        <v>138.43</v>
      </c>
      <c r="N84" s="12">
        <v>24.57</v>
      </c>
      <c r="O84" s="12">
        <v>12</v>
      </c>
      <c r="P84" s="12">
        <v>2</v>
      </c>
      <c r="Q84" s="12">
        <v>5</v>
      </c>
      <c r="R84" s="12">
        <v>5</v>
      </c>
      <c r="S84" s="12">
        <v>10</v>
      </c>
      <c r="T84" s="12"/>
      <c r="U84" s="12">
        <v>30</v>
      </c>
      <c r="V84" s="65" t="s">
        <v>1154</v>
      </c>
      <c r="W84" s="44" t="str">
        <f t="shared" si="2"/>
        <v>OK</v>
      </c>
      <c r="X84" s="47" t="str">
        <f t="shared" si="4"/>
        <v/>
      </c>
      <c r="Y84" s="3"/>
      <c r="Z84" s="127"/>
    </row>
    <row r="85" spans="1:26" ht="15.75" hidden="1" customHeight="1" outlineLevel="1" x14ac:dyDescent="0.3">
      <c r="A85" s="3"/>
      <c r="B85" s="10" t="s">
        <v>512</v>
      </c>
      <c r="C85" s="62">
        <v>5</v>
      </c>
      <c r="D85" s="62" t="s">
        <v>94</v>
      </c>
      <c r="E85" s="12">
        <f t="shared" si="22"/>
        <v>193.57</v>
      </c>
      <c r="F85" s="101">
        <f t="shared" si="23"/>
        <v>193.57</v>
      </c>
      <c r="G85" s="235"/>
      <c r="H85" s="63" t="s">
        <v>37</v>
      </c>
      <c r="I85" s="63"/>
      <c r="J85" s="64"/>
      <c r="K85" s="12"/>
      <c r="L85" s="62" t="str">
        <f t="shared" si="3"/>
        <v/>
      </c>
      <c r="M85" s="12">
        <v>120</v>
      </c>
      <c r="N85" s="12">
        <v>24.57</v>
      </c>
      <c r="O85" s="12">
        <v>12</v>
      </c>
      <c r="P85" s="12">
        <v>2</v>
      </c>
      <c r="Q85" s="12"/>
      <c r="R85" s="12"/>
      <c r="S85" s="12">
        <v>5</v>
      </c>
      <c r="T85" s="12"/>
      <c r="U85" s="12">
        <v>30</v>
      </c>
      <c r="V85" s="65" t="s">
        <v>1154</v>
      </c>
      <c r="W85" s="44" t="str">
        <f t="shared" si="2"/>
        <v>OK</v>
      </c>
      <c r="X85" s="47" t="str">
        <f t="shared" si="4"/>
        <v/>
      </c>
      <c r="Y85" s="3"/>
      <c r="Z85" s="127"/>
    </row>
    <row r="86" spans="1:26" ht="15.75" hidden="1" customHeight="1" outlineLevel="1" x14ac:dyDescent="0.3">
      <c r="A86" s="3"/>
      <c r="B86" s="10" t="s">
        <v>513</v>
      </c>
      <c r="C86" s="62">
        <v>5</v>
      </c>
      <c r="D86" s="62" t="s">
        <v>94</v>
      </c>
      <c r="E86" s="12">
        <f t="shared" si="22"/>
        <v>193.57</v>
      </c>
      <c r="F86" s="101">
        <f t="shared" si="23"/>
        <v>193.57</v>
      </c>
      <c r="G86" s="234"/>
      <c r="H86" s="63" t="s">
        <v>37</v>
      </c>
      <c r="I86" s="63"/>
      <c r="J86" s="64"/>
      <c r="K86" s="12"/>
      <c r="L86" s="62" t="str">
        <f t="shared" si="3"/>
        <v/>
      </c>
      <c r="M86" s="12">
        <v>120</v>
      </c>
      <c r="N86" s="12">
        <v>24.57</v>
      </c>
      <c r="O86" s="12">
        <v>12</v>
      </c>
      <c r="P86" s="12">
        <v>2</v>
      </c>
      <c r="Q86" s="12"/>
      <c r="R86" s="12"/>
      <c r="S86" s="12">
        <v>5</v>
      </c>
      <c r="T86" s="12"/>
      <c r="U86" s="12">
        <v>30</v>
      </c>
      <c r="V86" s="65" t="s">
        <v>1154</v>
      </c>
      <c r="W86" s="44" t="str">
        <f t="shared" si="2"/>
        <v>OK</v>
      </c>
      <c r="X86" s="47" t="str">
        <f t="shared" si="4"/>
        <v/>
      </c>
      <c r="Y86" s="3"/>
      <c r="Z86" s="127"/>
    </row>
    <row r="87" spans="1:26" ht="15.75" hidden="1" customHeight="1" outlineLevel="1" x14ac:dyDescent="0.3">
      <c r="A87" s="3"/>
      <c r="B87" s="61" t="s">
        <v>514</v>
      </c>
      <c r="C87" s="62">
        <v>5</v>
      </c>
      <c r="D87" s="62" t="s">
        <v>94</v>
      </c>
      <c r="E87" s="12">
        <f t="shared" si="22"/>
        <v>182</v>
      </c>
      <c r="F87" s="101">
        <f t="shared" si="23"/>
        <v>182</v>
      </c>
      <c r="G87" s="69"/>
      <c r="H87" s="63" t="s">
        <v>37</v>
      </c>
      <c r="I87" s="63"/>
      <c r="J87" s="64"/>
      <c r="K87" s="12"/>
      <c r="L87" s="62" t="str">
        <f t="shared" si="3"/>
        <v/>
      </c>
      <c r="M87" s="12">
        <v>108.43</v>
      </c>
      <c r="N87" s="12">
        <v>24.57</v>
      </c>
      <c r="O87" s="12">
        <v>12</v>
      </c>
      <c r="P87" s="12">
        <v>2</v>
      </c>
      <c r="Q87" s="12"/>
      <c r="R87" s="12"/>
      <c r="S87" s="12">
        <v>5</v>
      </c>
      <c r="T87" s="12"/>
      <c r="U87" s="12">
        <v>30</v>
      </c>
      <c r="V87" s="65" t="s">
        <v>1154</v>
      </c>
      <c r="W87" s="44" t="str">
        <f t="shared" si="2"/>
        <v>OK</v>
      </c>
      <c r="X87" s="47" t="str">
        <f t="shared" si="4"/>
        <v/>
      </c>
      <c r="Y87" s="3"/>
      <c r="Z87" s="127"/>
    </row>
    <row r="88" spans="1:26" ht="15.75" hidden="1" customHeight="1" outlineLevel="1" x14ac:dyDescent="0.3">
      <c r="A88" s="3"/>
      <c r="B88" s="10" t="s">
        <v>515</v>
      </c>
      <c r="C88" s="62">
        <v>3</v>
      </c>
      <c r="D88" s="62" t="s">
        <v>94</v>
      </c>
      <c r="E88" s="12">
        <f t="shared" si="22"/>
        <v>131.5</v>
      </c>
      <c r="F88" s="101">
        <f t="shared" si="23"/>
        <v>131.5</v>
      </c>
      <c r="G88" s="67"/>
      <c r="H88" s="63" t="s">
        <v>37</v>
      </c>
      <c r="I88" s="63"/>
      <c r="J88" s="64"/>
      <c r="K88" s="12"/>
      <c r="L88" s="62" t="str">
        <f t="shared" si="3"/>
        <v/>
      </c>
      <c r="M88" s="12">
        <v>63.43</v>
      </c>
      <c r="N88" s="12">
        <v>24.57</v>
      </c>
      <c r="O88" s="12">
        <v>12</v>
      </c>
      <c r="P88" s="12">
        <v>1.5</v>
      </c>
      <c r="Q88" s="12"/>
      <c r="R88" s="12"/>
      <c r="S88" s="12"/>
      <c r="T88" s="12"/>
      <c r="U88" s="12">
        <v>30</v>
      </c>
      <c r="V88" s="65" t="s">
        <v>1154</v>
      </c>
      <c r="W88" s="44" t="str">
        <f t="shared" si="2"/>
        <v>OK</v>
      </c>
      <c r="X88" s="47" t="str">
        <f t="shared" si="4"/>
        <v/>
      </c>
      <c r="Y88" s="3"/>
      <c r="Z88" s="127"/>
    </row>
    <row r="89" spans="1:26" ht="15.75" hidden="1" customHeight="1" outlineLevel="1" x14ac:dyDescent="0.3">
      <c r="A89" s="3"/>
      <c r="B89" s="10" t="s">
        <v>516</v>
      </c>
      <c r="C89" s="62">
        <v>3</v>
      </c>
      <c r="D89" s="62" t="s">
        <v>94</v>
      </c>
      <c r="E89" s="12">
        <f t="shared" si="22"/>
        <v>131.5</v>
      </c>
      <c r="F89" s="101">
        <f t="shared" si="23"/>
        <v>131.5</v>
      </c>
      <c r="G89" s="232"/>
      <c r="H89" s="63" t="s">
        <v>37</v>
      </c>
      <c r="I89" s="63"/>
      <c r="J89" s="64"/>
      <c r="K89" s="12"/>
      <c r="L89" s="62" t="str">
        <f t="shared" si="3"/>
        <v/>
      </c>
      <c r="M89" s="12">
        <v>63.43</v>
      </c>
      <c r="N89" s="12">
        <v>24.57</v>
      </c>
      <c r="O89" s="12">
        <v>12</v>
      </c>
      <c r="P89" s="12">
        <v>1.5</v>
      </c>
      <c r="Q89" s="12"/>
      <c r="R89" s="12"/>
      <c r="S89" s="12"/>
      <c r="T89" s="12"/>
      <c r="U89" s="12">
        <v>30</v>
      </c>
      <c r="V89" s="65" t="s">
        <v>1154</v>
      </c>
      <c r="W89" s="44" t="str">
        <f t="shared" si="2"/>
        <v>OK</v>
      </c>
      <c r="X89" s="47" t="str">
        <f t="shared" si="4"/>
        <v/>
      </c>
      <c r="Y89" s="3"/>
      <c r="Z89" s="127"/>
    </row>
    <row r="90" spans="1:26" ht="15.75" hidden="1" customHeight="1" outlineLevel="1" x14ac:dyDescent="0.3">
      <c r="A90" s="3"/>
      <c r="B90" s="61" t="s">
        <v>517</v>
      </c>
      <c r="C90" s="62">
        <v>9</v>
      </c>
      <c r="D90" s="62" t="s">
        <v>94</v>
      </c>
      <c r="E90" s="12">
        <f t="shared" si="22"/>
        <v>177</v>
      </c>
      <c r="F90" s="101">
        <f t="shared" si="23"/>
        <v>177</v>
      </c>
      <c r="G90" s="234"/>
      <c r="H90" s="63" t="s">
        <v>37</v>
      </c>
      <c r="I90" s="63"/>
      <c r="J90" s="64"/>
      <c r="K90" s="12"/>
      <c r="L90" s="62" t="str">
        <f t="shared" si="3"/>
        <v/>
      </c>
      <c r="M90" s="12">
        <v>93.93</v>
      </c>
      <c r="N90" s="12">
        <v>24.57</v>
      </c>
      <c r="O90" s="12">
        <v>12</v>
      </c>
      <c r="P90" s="12">
        <v>1.5</v>
      </c>
      <c r="Q90" s="12">
        <v>5</v>
      </c>
      <c r="R90" s="12"/>
      <c r="S90" s="12">
        <v>10</v>
      </c>
      <c r="T90" s="12"/>
      <c r="U90" s="12">
        <v>30</v>
      </c>
      <c r="V90" s="65" t="s">
        <v>1154</v>
      </c>
      <c r="W90" s="44" t="str">
        <f t="shared" si="2"/>
        <v>OK</v>
      </c>
      <c r="X90" s="47" t="str">
        <f t="shared" si="4"/>
        <v/>
      </c>
      <c r="Y90" s="3"/>
      <c r="Z90" s="127"/>
    </row>
    <row r="91" spans="1:26" ht="15.75" hidden="1" customHeight="1" outlineLevel="1" x14ac:dyDescent="0.3">
      <c r="A91" s="3"/>
      <c r="B91" s="10" t="s">
        <v>518</v>
      </c>
      <c r="C91" s="62">
        <v>21</v>
      </c>
      <c r="D91" s="62" t="s">
        <v>94</v>
      </c>
      <c r="E91" s="12">
        <v>182</v>
      </c>
      <c r="F91" s="101">
        <f>SUM(M91:U91)</f>
        <v>190</v>
      </c>
      <c r="G91" s="67"/>
      <c r="H91" s="63" t="s">
        <v>37</v>
      </c>
      <c r="I91" s="63"/>
      <c r="J91" s="64"/>
      <c r="K91" s="12"/>
      <c r="L91" s="62">
        <f t="shared" si="3"/>
        <v>1</v>
      </c>
      <c r="M91" s="12">
        <v>116.43</v>
      </c>
      <c r="N91" s="12">
        <v>24.57</v>
      </c>
      <c r="O91" s="12">
        <v>12</v>
      </c>
      <c r="P91" s="12">
        <v>2</v>
      </c>
      <c r="Q91" s="12"/>
      <c r="R91" s="12"/>
      <c r="S91" s="12">
        <v>5</v>
      </c>
      <c r="T91" s="12"/>
      <c r="U91" s="12">
        <v>30</v>
      </c>
      <c r="V91" s="65" t="s">
        <v>1154</v>
      </c>
      <c r="W91" s="44" t="str">
        <f t="shared" si="2"/>
        <v>OK</v>
      </c>
      <c r="X91" s="47" t="str">
        <f t="shared" si="4"/>
        <v/>
      </c>
      <c r="Y91" s="3"/>
      <c r="Z91" s="127"/>
    </row>
    <row r="92" spans="1:26" ht="15.75" hidden="1" customHeight="1" outlineLevel="1" x14ac:dyDescent="0.3">
      <c r="A92" s="3"/>
      <c r="B92" s="61" t="s">
        <v>519</v>
      </c>
      <c r="C92" s="62">
        <v>11</v>
      </c>
      <c r="D92" s="62" t="s">
        <v>94</v>
      </c>
      <c r="E92" s="12">
        <f t="shared" ref="E92:E95" si="24">SUM(M92:U92)</f>
        <v>180</v>
      </c>
      <c r="F92" s="101">
        <f>E92</f>
        <v>180</v>
      </c>
      <c r="G92" s="232"/>
      <c r="H92" s="63" t="s">
        <v>37</v>
      </c>
      <c r="I92" s="63"/>
      <c r="J92" s="64"/>
      <c r="K92" s="12"/>
      <c r="L92" s="62" t="str">
        <f t="shared" si="3"/>
        <v/>
      </c>
      <c r="M92" s="12">
        <v>113.43</v>
      </c>
      <c r="N92" s="12">
        <v>24.57</v>
      </c>
      <c r="O92" s="12">
        <v>12</v>
      </c>
      <c r="P92" s="12"/>
      <c r="Q92" s="12"/>
      <c r="R92" s="12"/>
      <c r="S92" s="12"/>
      <c r="T92" s="12"/>
      <c r="U92" s="12">
        <v>30</v>
      </c>
      <c r="V92" s="65" t="s">
        <v>1154</v>
      </c>
      <c r="W92" s="44" t="str">
        <f t="shared" si="2"/>
        <v>OK</v>
      </c>
      <c r="X92" s="47" t="str">
        <f t="shared" si="4"/>
        <v/>
      </c>
      <c r="Y92" s="3"/>
      <c r="Z92" s="127"/>
    </row>
    <row r="93" spans="1:26" ht="15.75" hidden="1" customHeight="1" outlineLevel="1" x14ac:dyDescent="0.3">
      <c r="A93" s="3"/>
      <c r="B93" s="10" t="s">
        <v>520</v>
      </c>
      <c r="C93" s="62"/>
      <c r="D93" s="62" t="s">
        <v>104</v>
      </c>
      <c r="E93" s="12">
        <f t="shared" si="24"/>
        <v>24</v>
      </c>
      <c r="F93" s="101"/>
      <c r="G93" s="234"/>
      <c r="H93" s="63"/>
      <c r="I93" s="63"/>
      <c r="J93" s="64"/>
      <c r="K93" s="12"/>
      <c r="L93" s="62" t="str">
        <f t="shared" si="3"/>
        <v/>
      </c>
      <c r="M93" s="12">
        <v>-12.57</v>
      </c>
      <c r="N93" s="12">
        <v>24.57</v>
      </c>
      <c r="O93" s="12">
        <v>12</v>
      </c>
      <c r="P93" s="12"/>
      <c r="Q93" s="12"/>
      <c r="R93" s="12"/>
      <c r="S93" s="12"/>
      <c r="T93" s="12"/>
      <c r="U93" s="12"/>
      <c r="V93" s="65"/>
      <c r="W93" s="44" t="str">
        <f t="shared" si="2"/>
        <v>Diferente</v>
      </c>
      <c r="X93" s="47">
        <f t="shared" si="4"/>
        <v>-24</v>
      </c>
      <c r="Y93" s="3"/>
      <c r="Z93" s="127"/>
    </row>
    <row r="94" spans="1:26" ht="15.75" hidden="1" customHeight="1" outlineLevel="1" x14ac:dyDescent="0.3">
      <c r="A94" s="3"/>
      <c r="B94" s="61" t="s">
        <v>522</v>
      </c>
      <c r="C94" s="80">
        <v>2</v>
      </c>
      <c r="D94" s="62" t="s">
        <v>94</v>
      </c>
      <c r="E94" s="12">
        <f t="shared" si="24"/>
        <v>155</v>
      </c>
      <c r="F94" s="101">
        <f t="shared" ref="F94:F95" si="25">E94</f>
        <v>155</v>
      </c>
      <c r="G94" s="67"/>
      <c r="H94" s="63" t="s">
        <v>37</v>
      </c>
      <c r="I94" s="63"/>
      <c r="J94" s="64"/>
      <c r="K94" s="12"/>
      <c r="L94" s="62" t="str">
        <f t="shared" si="3"/>
        <v/>
      </c>
      <c r="M94" s="12">
        <v>88.43</v>
      </c>
      <c r="N94" s="12">
        <v>24.57</v>
      </c>
      <c r="O94" s="12">
        <v>12</v>
      </c>
      <c r="P94" s="12"/>
      <c r="Q94" s="12"/>
      <c r="R94" s="12"/>
      <c r="S94" s="12"/>
      <c r="T94" s="12"/>
      <c r="U94" s="12">
        <v>30</v>
      </c>
      <c r="V94" s="65" t="s">
        <v>1154</v>
      </c>
      <c r="W94" s="44" t="str">
        <f t="shared" si="2"/>
        <v>OK</v>
      </c>
      <c r="X94" s="47" t="str">
        <f t="shared" si="4"/>
        <v/>
      </c>
      <c r="Y94" s="3"/>
      <c r="Z94" s="127"/>
    </row>
    <row r="95" spans="1:26" ht="15.75" hidden="1" customHeight="1" outlineLevel="1" x14ac:dyDescent="0.3">
      <c r="A95" s="3"/>
      <c r="B95" s="10" t="s">
        <v>523</v>
      </c>
      <c r="C95" s="62">
        <v>5</v>
      </c>
      <c r="D95" s="62" t="s">
        <v>94</v>
      </c>
      <c r="E95" s="12">
        <f t="shared" si="24"/>
        <v>80</v>
      </c>
      <c r="F95" s="101">
        <f t="shared" si="25"/>
        <v>80</v>
      </c>
      <c r="G95" s="67"/>
      <c r="H95" s="63" t="s">
        <v>37</v>
      </c>
      <c r="I95" s="63"/>
      <c r="J95" s="64"/>
      <c r="K95" s="12"/>
      <c r="L95" s="62" t="str">
        <f t="shared" si="3"/>
        <v/>
      </c>
      <c r="M95" s="12">
        <v>13.43</v>
      </c>
      <c r="N95" s="12">
        <v>24.57</v>
      </c>
      <c r="O95" s="12">
        <v>12</v>
      </c>
      <c r="P95" s="12"/>
      <c r="Q95" s="12"/>
      <c r="R95" s="12"/>
      <c r="S95" s="12"/>
      <c r="T95" s="12"/>
      <c r="U95" s="12">
        <v>30</v>
      </c>
      <c r="V95" s="65" t="s">
        <v>1154</v>
      </c>
      <c r="W95" s="44" t="str">
        <f t="shared" si="2"/>
        <v>OK</v>
      </c>
      <c r="X95" s="47" t="str">
        <f t="shared" si="4"/>
        <v/>
      </c>
      <c r="Y95" s="3"/>
      <c r="Z95" s="127"/>
    </row>
    <row r="96" spans="1:26" ht="15.75" hidden="1" customHeight="1" outlineLevel="1" x14ac:dyDescent="0.3">
      <c r="A96" s="3"/>
      <c r="B96" s="61" t="s">
        <v>524</v>
      </c>
      <c r="C96" s="62">
        <v>7</v>
      </c>
      <c r="D96" s="62" t="s">
        <v>129</v>
      </c>
      <c r="E96" s="12">
        <v>160</v>
      </c>
      <c r="F96" s="101">
        <f>SUM(M96:U96)</f>
        <v>170</v>
      </c>
      <c r="G96" s="70" t="s">
        <v>1158</v>
      </c>
      <c r="H96" s="63" t="s">
        <v>37</v>
      </c>
      <c r="I96" s="63"/>
      <c r="J96" s="64"/>
      <c r="K96" s="12"/>
      <c r="L96" s="62" t="str">
        <f t="shared" si="3"/>
        <v/>
      </c>
      <c r="M96" s="12">
        <v>101.93</v>
      </c>
      <c r="N96" s="12">
        <v>24.57</v>
      </c>
      <c r="O96" s="12">
        <v>12</v>
      </c>
      <c r="P96" s="12">
        <v>1.5</v>
      </c>
      <c r="Q96" s="12"/>
      <c r="R96" s="12"/>
      <c r="S96" s="12"/>
      <c r="T96" s="12"/>
      <c r="U96" s="12">
        <v>30</v>
      </c>
      <c r="V96" s="65" t="s">
        <v>1154</v>
      </c>
      <c r="W96" s="44" t="str">
        <f t="shared" si="2"/>
        <v>OK</v>
      </c>
      <c r="X96" s="47" t="str">
        <f t="shared" si="4"/>
        <v/>
      </c>
      <c r="Y96" s="3"/>
      <c r="Z96" s="127"/>
    </row>
    <row r="97" spans="1:26" ht="15.75" hidden="1" customHeight="1" outlineLevel="1" x14ac:dyDescent="0.3">
      <c r="A97" s="3"/>
      <c r="B97" s="61" t="s">
        <v>525</v>
      </c>
      <c r="C97" s="62">
        <v>7</v>
      </c>
      <c r="D97" s="62" t="s">
        <v>129</v>
      </c>
      <c r="E97" s="12">
        <f t="shared" ref="E97:E105" si="26">SUM(M97:U97)</f>
        <v>160</v>
      </c>
      <c r="F97" s="101">
        <f>E97</f>
        <v>160</v>
      </c>
      <c r="G97" s="70" t="s">
        <v>1158</v>
      </c>
      <c r="H97" s="63" t="s">
        <v>37</v>
      </c>
      <c r="I97" s="63"/>
      <c r="J97" s="64"/>
      <c r="K97" s="12"/>
      <c r="L97" s="62" t="str">
        <f t="shared" si="3"/>
        <v/>
      </c>
      <c r="M97" s="12">
        <v>91.93</v>
      </c>
      <c r="N97" s="12">
        <v>24.57</v>
      </c>
      <c r="O97" s="12">
        <v>12</v>
      </c>
      <c r="P97" s="12">
        <v>1.5</v>
      </c>
      <c r="Q97" s="12"/>
      <c r="R97" s="12"/>
      <c r="S97" s="12"/>
      <c r="T97" s="12"/>
      <c r="U97" s="12">
        <v>30</v>
      </c>
      <c r="V97" s="65" t="s">
        <v>1154</v>
      </c>
      <c r="W97" s="44" t="str">
        <f t="shared" si="2"/>
        <v>OK</v>
      </c>
      <c r="X97" s="47" t="str">
        <f t="shared" si="4"/>
        <v/>
      </c>
      <c r="Y97" s="3"/>
      <c r="Z97" s="3"/>
    </row>
    <row r="98" spans="1:26" ht="15.75" hidden="1" customHeight="1" outlineLevel="1" x14ac:dyDescent="0.3">
      <c r="A98" s="3"/>
      <c r="B98" s="10" t="s">
        <v>526</v>
      </c>
      <c r="C98" s="62"/>
      <c r="D98" s="62" t="s">
        <v>104</v>
      </c>
      <c r="E98" s="12">
        <f t="shared" si="26"/>
        <v>95</v>
      </c>
      <c r="F98" s="101"/>
      <c r="G98" s="130"/>
      <c r="H98" s="63"/>
      <c r="I98" s="63"/>
      <c r="J98" s="64"/>
      <c r="K98" s="62"/>
      <c r="L98" s="62" t="str">
        <f t="shared" si="3"/>
        <v/>
      </c>
      <c r="M98" s="12">
        <v>26.43</v>
      </c>
      <c r="N98" s="12">
        <v>24.57</v>
      </c>
      <c r="O98" s="12">
        <v>12</v>
      </c>
      <c r="P98" s="12">
        <v>2</v>
      </c>
      <c r="Q98" s="12"/>
      <c r="R98" s="12"/>
      <c r="S98" s="12"/>
      <c r="T98" s="12"/>
      <c r="U98" s="12">
        <v>30</v>
      </c>
      <c r="V98" s="65" t="s">
        <v>1154</v>
      </c>
      <c r="W98" s="44" t="str">
        <f t="shared" si="2"/>
        <v>Diferente</v>
      </c>
      <c r="X98" s="47">
        <f t="shared" si="4"/>
        <v>-95</v>
      </c>
      <c r="Y98" s="3"/>
      <c r="Z98" s="3"/>
    </row>
    <row r="99" spans="1:26" ht="15.75" hidden="1" customHeight="1" outlineLevel="1" x14ac:dyDescent="0.3">
      <c r="A99" s="3"/>
      <c r="B99" s="61" t="s">
        <v>527</v>
      </c>
      <c r="C99" s="62">
        <v>5</v>
      </c>
      <c r="D99" s="62" t="s">
        <v>94</v>
      </c>
      <c r="E99" s="12">
        <f t="shared" si="26"/>
        <v>169</v>
      </c>
      <c r="F99" s="101">
        <f t="shared" ref="F99:F103" si="27">E99</f>
        <v>169</v>
      </c>
      <c r="G99" s="67"/>
      <c r="H99" s="63" t="s">
        <v>37</v>
      </c>
      <c r="I99" s="63"/>
      <c r="J99" s="64"/>
      <c r="K99" s="62"/>
      <c r="L99" s="62" t="str">
        <f t="shared" si="3"/>
        <v/>
      </c>
      <c r="M99" s="12">
        <v>100.43</v>
      </c>
      <c r="N99" s="12">
        <v>24.57</v>
      </c>
      <c r="O99" s="12">
        <v>12</v>
      </c>
      <c r="P99" s="12">
        <v>2</v>
      </c>
      <c r="Q99" s="12"/>
      <c r="R99" s="12"/>
      <c r="S99" s="12"/>
      <c r="T99" s="12"/>
      <c r="U99" s="12">
        <v>30</v>
      </c>
      <c r="V99" s="65" t="s">
        <v>1154</v>
      </c>
      <c r="W99" s="44" t="str">
        <f t="shared" si="2"/>
        <v>OK</v>
      </c>
      <c r="X99" s="47" t="str">
        <f t="shared" si="4"/>
        <v/>
      </c>
      <c r="Y99" s="3"/>
      <c r="Z99" s="3"/>
    </row>
    <row r="100" spans="1:26" ht="15.75" hidden="1" customHeight="1" outlineLevel="1" x14ac:dyDescent="0.3">
      <c r="A100" s="3"/>
      <c r="B100" s="10" t="s">
        <v>712</v>
      </c>
      <c r="C100" s="62">
        <v>9</v>
      </c>
      <c r="D100" s="62" t="s">
        <v>94</v>
      </c>
      <c r="E100" s="12">
        <f t="shared" si="26"/>
        <v>100</v>
      </c>
      <c r="F100" s="12">
        <f t="shared" si="27"/>
        <v>100</v>
      </c>
      <c r="G100" s="67"/>
      <c r="H100" s="63" t="s">
        <v>37</v>
      </c>
      <c r="I100" s="63"/>
      <c r="J100" s="64"/>
      <c r="K100" s="62"/>
      <c r="L100" s="62" t="str">
        <f t="shared" si="3"/>
        <v/>
      </c>
      <c r="M100" s="12">
        <v>31.43</v>
      </c>
      <c r="N100" s="12">
        <v>24.57</v>
      </c>
      <c r="O100" s="12">
        <v>12</v>
      </c>
      <c r="P100" s="12">
        <v>2</v>
      </c>
      <c r="Q100" s="12"/>
      <c r="R100" s="12"/>
      <c r="S100" s="12"/>
      <c r="T100" s="12"/>
      <c r="U100" s="12">
        <v>30</v>
      </c>
      <c r="V100" s="65" t="s">
        <v>1154</v>
      </c>
      <c r="W100" s="44" t="str">
        <f t="shared" si="2"/>
        <v>OK</v>
      </c>
      <c r="X100" s="47" t="str">
        <f t="shared" si="4"/>
        <v/>
      </c>
      <c r="Y100" s="3"/>
      <c r="Z100" s="3"/>
    </row>
    <row r="101" spans="1:26" ht="15.75" hidden="1" customHeight="1" outlineLevel="1" x14ac:dyDescent="0.3">
      <c r="A101" s="3"/>
      <c r="B101" s="61" t="s">
        <v>895</v>
      </c>
      <c r="C101" s="62">
        <v>10</v>
      </c>
      <c r="D101" s="62" t="s">
        <v>94</v>
      </c>
      <c r="E101" s="12">
        <f t="shared" si="26"/>
        <v>160.57</v>
      </c>
      <c r="F101" s="12">
        <f t="shared" si="27"/>
        <v>160.57</v>
      </c>
      <c r="G101" s="67"/>
      <c r="H101" s="63" t="s">
        <v>37</v>
      </c>
      <c r="I101" s="63"/>
      <c r="J101" s="64"/>
      <c r="K101" s="62"/>
      <c r="L101" s="62" t="str">
        <f t="shared" si="3"/>
        <v/>
      </c>
      <c r="M101" s="12">
        <v>94</v>
      </c>
      <c r="N101" s="12">
        <v>24.57</v>
      </c>
      <c r="O101" s="12">
        <v>12</v>
      </c>
      <c r="P101" s="12">
        <v>0</v>
      </c>
      <c r="Q101" s="12"/>
      <c r="R101" s="12"/>
      <c r="S101" s="12"/>
      <c r="T101" s="12"/>
      <c r="U101" s="12">
        <v>30</v>
      </c>
      <c r="V101" s="65" t="s">
        <v>1154</v>
      </c>
      <c r="W101" s="44" t="str">
        <f t="shared" si="2"/>
        <v>OK</v>
      </c>
      <c r="X101" s="47" t="str">
        <f t="shared" si="4"/>
        <v/>
      </c>
      <c r="Y101" s="3"/>
      <c r="Z101" s="3"/>
    </row>
    <row r="102" spans="1:26" ht="15.75" hidden="1" customHeight="1" outlineLevel="1" x14ac:dyDescent="0.3">
      <c r="A102" s="3"/>
      <c r="B102" s="61" t="s">
        <v>896</v>
      </c>
      <c r="C102" s="62">
        <v>10</v>
      </c>
      <c r="D102" s="62" t="s">
        <v>94</v>
      </c>
      <c r="E102" s="12">
        <f t="shared" si="26"/>
        <v>160.57</v>
      </c>
      <c r="F102" s="12">
        <f t="shared" si="27"/>
        <v>160.57</v>
      </c>
      <c r="G102" s="67"/>
      <c r="H102" s="63" t="s">
        <v>37</v>
      </c>
      <c r="I102" s="63"/>
      <c r="J102" s="64"/>
      <c r="K102" s="62"/>
      <c r="L102" s="62" t="str">
        <f t="shared" si="3"/>
        <v/>
      </c>
      <c r="M102" s="12">
        <v>94</v>
      </c>
      <c r="N102" s="12">
        <v>24.57</v>
      </c>
      <c r="O102" s="12">
        <v>12</v>
      </c>
      <c r="P102" s="12">
        <v>0</v>
      </c>
      <c r="Q102" s="12"/>
      <c r="R102" s="12"/>
      <c r="S102" s="12"/>
      <c r="T102" s="12"/>
      <c r="U102" s="12">
        <v>30</v>
      </c>
      <c r="V102" s="62" t="s">
        <v>1154</v>
      </c>
      <c r="W102" s="44" t="str">
        <f t="shared" si="2"/>
        <v>OK</v>
      </c>
      <c r="X102" s="47" t="str">
        <f t="shared" si="4"/>
        <v/>
      </c>
      <c r="Y102" s="3"/>
      <c r="Z102" s="3"/>
    </row>
    <row r="103" spans="1:26" ht="15.75" hidden="1" customHeight="1" outlineLevel="1" x14ac:dyDescent="0.3">
      <c r="A103" s="3"/>
      <c r="B103" s="10" t="s">
        <v>1034</v>
      </c>
      <c r="C103" s="62">
        <v>4</v>
      </c>
      <c r="D103" s="62" t="s">
        <v>94</v>
      </c>
      <c r="E103" s="12">
        <f t="shared" si="26"/>
        <v>151.80000000000001</v>
      </c>
      <c r="F103" s="12">
        <f t="shared" si="27"/>
        <v>151.80000000000001</v>
      </c>
      <c r="G103" s="67"/>
      <c r="H103" s="63" t="s">
        <v>37</v>
      </c>
      <c r="I103" s="63"/>
      <c r="J103" s="64"/>
      <c r="K103" s="62"/>
      <c r="L103" s="62" t="str">
        <f t="shared" si="3"/>
        <v/>
      </c>
      <c r="M103" s="12">
        <v>113.23000000000002</v>
      </c>
      <c r="N103" s="12">
        <v>24.57</v>
      </c>
      <c r="O103" s="12">
        <v>12</v>
      </c>
      <c r="P103" s="12">
        <v>2</v>
      </c>
      <c r="Q103" s="12"/>
      <c r="R103" s="12"/>
      <c r="S103" s="12"/>
      <c r="T103" s="12"/>
      <c r="U103" s="12"/>
      <c r="V103" s="62"/>
      <c r="W103" s="44" t="str">
        <f t="shared" si="2"/>
        <v>OK</v>
      </c>
      <c r="X103" s="47" t="str">
        <f t="shared" si="4"/>
        <v/>
      </c>
      <c r="Y103" s="3"/>
      <c r="Z103" s="3"/>
    </row>
    <row r="104" spans="1:26" ht="15.75" hidden="1" customHeight="1" outlineLevel="1" x14ac:dyDescent="0.3">
      <c r="A104" s="3"/>
      <c r="B104" s="10" t="s">
        <v>1159</v>
      </c>
      <c r="C104" s="62"/>
      <c r="D104" s="62" t="s">
        <v>104</v>
      </c>
      <c r="E104" s="12">
        <f t="shared" si="26"/>
        <v>0</v>
      </c>
      <c r="F104" s="12"/>
      <c r="G104" s="67"/>
      <c r="H104" s="63"/>
      <c r="I104" s="63"/>
      <c r="J104" s="64"/>
      <c r="K104" s="62"/>
      <c r="L104" s="62" t="str">
        <f t="shared" si="3"/>
        <v/>
      </c>
      <c r="M104" s="12"/>
      <c r="N104" s="12"/>
      <c r="O104" s="12"/>
      <c r="P104" s="12"/>
      <c r="Q104" s="12"/>
      <c r="R104" s="12"/>
      <c r="S104" s="12"/>
      <c r="T104" s="12"/>
      <c r="U104" s="12"/>
      <c r="V104" s="62"/>
      <c r="W104" s="44" t="str">
        <f t="shared" si="2"/>
        <v>OK</v>
      </c>
      <c r="X104" s="47" t="str">
        <f t="shared" si="4"/>
        <v/>
      </c>
      <c r="Y104" s="3"/>
      <c r="Z104" s="3"/>
    </row>
    <row r="105" spans="1:26" ht="15.75" hidden="1" customHeight="1" outlineLevel="1" x14ac:dyDescent="0.3">
      <c r="A105" s="3"/>
      <c r="B105" s="10" t="s">
        <v>1160</v>
      </c>
      <c r="C105" s="62">
        <v>20</v>
      </c>
      <c r="D105" s="62" t="s">
        <v>94</v>
      </c>
      <c r="E105" s="12">
        <f t="shared" si="26"/>
        <v>40</v>
      </c>
      <c r="F105" s="12">
        <f>E105</f>
        <v>40</v>
      </c>
      <c r="G105" s="67"/>
      <c r="H105" s="63" t="s">
        <v>37</v>
      </c>
      <c r="I105" s="63"/>
      <c r="J105" s="64" t="s">
        <v>96</v>
      </c>
      <c r="K105" s="62"/>
      <c r="L105" s="62">
        <f t="shared" si="3"/>
        <v>1</v>
      </c>
      <c r="M105" s="12">
        <f>40-N105-O105</f>
        <v>3.4299999999999997</v>
      </c>
      <c r="N105" s="12">
        <v>24.57</v>
      </c>
      <c r="O105" s="12">
        <v>12</v>
      </c>
      <c r="P105" s="12"/>
      <c r="Q105" s="12"/>
      <c r="R105" s="12"/>
      <c r="S105" s="12"/>
      <c r="T105" s="12"/>
      <c r="U105" s="12"/>
      <c r="V105" s="62"/>
      <c r="W105" s="44" t="str">
        <f t="shared" si="2"/>
        <v>OK</v>
      </c>
      <c r="X105" s="47" t="str">
        <f t="shared" si="4"/>
        <v/>
      </c>
      <c r="Y105" s="3"/>
      <c r="Z105" s="3"/>
    </row>
    <row r="106" spans="1:26" ht="15.75" hidden="1" customHeight="1" outlineLevel="1" x14ac:dyDescent="0.3">
      <c r="A106" s="3"/>
      <c r="B106" s="10"/>
      <c r="C106" s="62"/>
      <c r="D106" s="62"/>
      <c r="E106" s="12"/>
      <c r="F106" s="12"/>
      <c r="G106" s="67"/>
      <c r="H106" s="63"/>
      <c r="I106" s="63"/>
      <c r="J106" s="64" t="s">
        <v>96</v>
      </c>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5.75" hidden="1" customHeight="1" outlineLevel="1" x14ac:dyDescent="0.3">
      <c r="A107" s="3"/>
      <c r="B107" s="10"/>
      <c r="C107" s="62"/>
      <c r="D107" s="62"/>
      <c r="E107" s="12"/>
      <c r="F107" s="12"/>
      <c r="G107" s="67"/>
      <c r="H107" s="63"/>
      <c r="I107" s="63"/>
      <c r="J107" s="64" t="s">
        <v>96</v>
      </c>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5.75" hidden="1" customHeight="1" outlineLevel="1" x14ac:dyDescent="0.3">
      <c r="A108" s="3"/>
      <c r="B108" s="10"/>
      <c r="C108" s="62"/>
      <c r="D108" s="62"/>
      <c r="E108" s="12"/>
      <c r="F108" s="12"/>
      <c r="G108" s="67"/>
      <c r="H108" s="63"/>
      <c r="I108" s="63"/>
      <c r="J108" s="64" t="s">
        <v>96</v>
      </c>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5.75" hidden="1" customHeight="1" outlineLevel="1" x14ac:dyDescent="0.3">
      <c r="A109" s="3"/>
      <c r="B109" s="10"/>
      <c r="C109" s="62"/>
      <c r="D109" s="62"/>
      <c r="E109" s="12"/>
      <c r="F109" s="12"/>
      <c r="G109" s="67"/>
      <c r="H109" s="63"/>
      <c r="I109" s="63"/>
      <c r="J109" s="64" t="s">
        <v>96</v>
      </c>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5.75" hidden="1" customHeight="1" outlineLevel="1" x14ac:dyDescent="0.3">
      <c r="A110" s="3"/>
      <c r="B110" s="10"/>
      <c r="C110" s="62"/>
      <c r="D110" s="62"/>
      <c r="E110" s="12"/>
      <c r="F110" s="12"/>
      <c r="G110" s="67"/>
      <c r="H110" s="63"/>
      <c r="I110" s="63"/>
      <c r="J110" s="64" t="s">
        <v>96</v>
      </c>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5.75" hidden="1" customHeight="1" outlineLevel="1" x14ac:dyDescent="0.3">
      <c r="A111" s="3"/>
      <c r="B111" s="10"/>
      <c r="C111" s="62"/>
      <c r="D111" s="62"/>
      <c r="E111" s="12"/>
      <c r="F111" s="12"/>
      <c r="G111" s="67"/>
      <c r="H111" s="63"/>
      <c r="I111" s="63"/>
      <c r="J111" s="64" t="s">
        <v>96</v>
      </c>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5.75" hidden="1" customHeight="1" outlineLevel="1" x14ac:dyDescent="0.3">
      <c r="A112" s="3"/>
      <c r="B112" s="10"/>
      <c r="C112" s="62"/>
      <c r="D112" s="62"/>
      <c r="E112" s="12"/>
      <c r="F112" s="12"/>
      <c r="G112" s="67"/>
      <c r="H112" s="63"/>
      <c r="I112" s="63"/>
      <c r="J112" s="64" t="s">
        <v>96</v>
      </c>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5.75" hidden="1" customHeight="1" outlineLevel="1" x14ac:dyDescent="0.3">
      <c r="A113" s="3"/>
      <c r="B113" s="10"/>
      <c r="C113" s="62"/>
      <c r="D113" s="62"/>
      <c r="E113" s="12"/>
      <c r="F113" s="12"/>
      <c r="G113" s="67"/>
      <c r="H113" s="63"/>
      <c r="I113" s="63"/>
      <c r="J113" s="64" t="s">
        <v>96</v>
      </c>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5.75" hidden="1" customHeight="1" outlineLevel="1" x14ac:dyDescent="0.3">
      <c r="A114" s="3"/>
      <c r="B114" s="10"/>
      <c r="C114" s="62"/>
      <c r="D114" s="62"/>
      <c r="E114" s="12"/>
      <c r="F114" s="12"/>
      <c r="G114" s="67"/>
      <c r="H114" s="63"/>
      <c r="I114" s="63"/>
      <c r="J114" s="64" t="s">
        <v>96</v>
      </c>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5.75" hidden="1" customHeight="1" outlineLevel="1" x14ac:dyDescent="0.3">
      <c r="A115" s="3"/>
      <c r="B115" s="10"/>
      <c r="C115" s="62"/>
      <c r="D115" s="62"/>
      <c r="E115" s="12"/>
      <c r="F115" s="12"/>
      <c r="G115" s="67"/>
      <c r="H115" s="63"/>
      <c r="I115" s="63"/>
      <c r="J115" s="64" t="s">
        <v>96</v>
      </c>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5.75" hidden="1" customHeight="1" outlineLevel="1" x14ac:dyDescent="0.3">
      <c r="A116" s="3"/>
      <c r="B116" s="10"/>
      <c r="C116" s="62"/>
      <c r="D116" s="62"/>
      <c r="E116" s="12"/>
      <c r="F116" s="12"/>
      <c r="G116" s="67"/>
      <c r="H116" s="63"/>
      <c r="I116" s="63"/>
      <c r="J116" s="64" t="s">
        <v>96</v>
      </c>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5.75" hidden="1" customHeight="1" outlineLevel="1" x14ac:dyDescent="0.3">
      <c r="A117" s="3"/>
      <c r="B117" s="10"/>
      <c r="C117" s="62"/>
      <c r="D117" s="62"/>
      <c r="E117" s="12"/>
      <c r="F117" s="12"/>
      <c r="G117" s="67"/>
      <c r="H117" s="63"/>
      <c r="I117" s="63"/>
      <c r="J117" s="64"/>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5.75" hidden="1" customHeight="1" outlineLevel="1" x14ac:dyDescent="0.3">
      <c r="A118" s="3"/>
      <c r="B118" s="10"/>
      <c r="C118" s="62"/>
      <c r="D118" s="62"/>
      <c r="E118" s="12"/>
      <c r="F118" s="12"/>
      <c r="G118" s="67"/>
      <c r="H118" s="63"/>
      <c r="I118" s="63"/>
      <c r="J118" s="64"/>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5.75" hidden="1" customHeight="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5.75" hidden="1" customHeight="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5.75" hidden="1" customHeight="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5.75" hidden="1" customHeight="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5.75" hidden="1" customHeight="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9.5" customHeight="1" collapsed="1" x14ac:dyDescent="0.3">
      <c r="A124" s="3"/>
      <c r="B124" s="73" t="s">
        <v>62</v>
      </c>
      <c r="C124" s="56" t="s">
        <v>43</v>
      </c>
      <c r="D124" s="56" t="s">
        <v>43</v>
      </c>
      <c r="E124" s="57">
        <f t="shared" ref="E124:F124" si="28">SUM(E125,E128,,E132,E137,E144)</f>
        <v>0</v>
      </c>
      <c r="F124" s="57">
        <f t="shared" si="28"/>
        <v>3418.04</v>
      </c>
      <c r="G124" s="58" t="s">
        <v>43</v>
      </c>
      <c r="H124" s="74"/>
      <c r="I124" s="74"/>
      <c r="J124" s="3"/>
      <c r="K124" s="3"/>
      <c r="L124" s="3"/>
      <c r="M124" s="3"/>
      <c r="N124" s="3"/>
      <c r="O124" s="3"/>
      <c r="P124" s="3"/>
      <c r="Q124" s="3"/>
      <c r="R124" s="3"/>
      <c r="S124" s="3"/>
      <c r="T124" s="3"/>
      <c r="U124" s="3"/>
      <c r="V124" s="3"/>
      <c r="W124" s="44"/>
      <c r="X124" s="41"/>
      <c r="Y124" s="3"/>
      <c r="Z124" s="3"/>
    </row>
    <row r="125" spans="1:26" ht="15.75" hidden="1" customHeight="1" outlineLevel="1" x14ac:dyDescent="0.3">
      <c r="A125" s="3"/>
      <c r="B125" s="75" t="s">
        <v>230</v>
      </c>
      <c r="C125" s="76" t="s">
        <v>43</v>
      </c>
      <c r="D125" s="76" t="s">
        <v>43</v>
      </c>
      <c r="E125" s="77">
        <f>SUM(E126:E127)</f>
        <v>0</v>
      </c>
      <c r="F125" s="77">
        <f>SUMIF(D126:D127,"OK",F126:F127)</f>
        <v>359.58</v>
      </c>
      <c r="G125" s="78" t="s">
        <v>43</v>
      </c>
      <c r="H125" s="79"/>
      <c r="I125" s="79"/>
      <c r="J125" s="3"/>
      <c r="K125" s="3"/>
      <c r="L125" s="3"/>
      <c r="M125" s="3"/>
      <c r="N125" s="3"/>
      <c r="O125" s="3"/>
      <c r="P125" s="3"/>
      <c r="Q125" s="3"/>
      <c r="R125" s="3"/>
      <c r="S125" s="3"/>
      <c r="T125" s="3"/>
      <c r="U125" s="3"/>
      <c r="V125" s="3"/>
      <c r="W125" s="44"/>
      <c r="X125" s="41"/>
      <c r="Y125" s="3"/>
      <c r="Z125" s="3"/>
    </row>
    <row r="126" spans="1:26" ht="15.75" hidden="1" customHeight="1" outlineLevel="1" x14ac:dyDescent="0.3">
      <c r="A126" s="3"/>
      <c r="B126" s="10" t="s">
        <v>231</v>
      </c>
      <c r="C126" s="62">
        <v>16</v>
      </c>
      <c r="D126" s="62" t="s">
        <v>94</v>
      </c>
      <c r="E126" s="12">
        <v>0</v>
      </c>
      <c r="F126" s="12">
        <v>359.58</v>
      </c>
      <c r="G126" s="67"/>
      <c r="H126" s="63" t="s">
        <v>37</v>
      </c>
      <c r="I126" s="63"/>
      <c r="J126" s="3"/>
      <c r="K126" s="3"/>
      <c r="L126" s="3"/>
      <c r="M126" s="3"/>
      <c r="N126" s="3"/>
      <c r="O126" s="3"/>
      <c r="P126" s="3"/>
      <c r="Q126" s="3"/>
      <c r="R126" s="3"/>
      <c r="S126" s="3"/>
      <c r="T126" s="3"/>
      <c r="U126" s="3"/>
      <c r="V126" s="3"/>
      <c r="W126" s="44"/>
      <c r="X126" s="41"/>
      <c r="Y126" s="3"/>
      <c r="Z126" s="3"/>
    </row>
    <row r="127" spans="1:26" ht="15.75" hidden="1" customHeight="1" outlineLevel="1" x14ac:dyDescent="0.3">
      <c r="A127" s="3"/>
      <c r="B127" s="10" t="s">
        <v>61</v>
      </c>
      <c r="C127" s="62"/>
      <c r="D127" s="62"/>
      <c r="E127" s="12">
        <v>0</v>
      </c>
      <c r="F127" s="12">
        <v>0</v>
      </c>
      <c r="G127" s="67"/>
      <c r="H127" s="63"/>
      <c r="I127" s="63"/>
      <c r="J127" s="3"/>
      <c r="K127" s="3"/>
      <c r="L127" s="3"/>
      <c r="M127" s="3"/>
      <c r="N127" s="3"/>
      <c r="O127" s="3"/>
      <c r="P127" s="3"/>
      <c r="Q127" s="3"/>
      <c r="R127" s="3"/>
      <c r="S127" s="3"/>
      <c r="T127" s="3"/>
      <c r="U127" s="3"/>
      <c r="V127" s="3"/>
      <c r="W127" s="44"/>
      <c r="X127" s="41"/>
      <c r="Y127" s="3"/>
      <c r="Z127" s="3"/>
    </row>
    <row r="128" spans="1:26" ht="15.75" hidden="1" customHeight="1" outlineLevel="1" x14ac:dyDescent="0.3">
      <c r="A128" s="3"/>
      <c r="B128" s="75" t="s">
        <v>232</v>
      </c>
      <c r="C128" s="76" t="s">
        <v>43</v>
      </c>
      <c r="D128" s="76" t="s">
        <v>43</v>
      </c>
      <c r="E128" s="77">
        <f>SUM(E129:E131)</f>
        <v>0</v>
      </c>
      <c r="F128" s="77">
        <f>SUMIF(D129:D131,"OK",F129:F131)</f>
        <v>2079</v>
      </c>
      <c r="G128" s="78" t="s">
        <v>43</v>
      </c>
      <c r="H128" s="79"/>
      <c r="I128" s="79"/>
      <c r="J128" s="3"/>
      <c r="K128" s="3"/>
      <c r="L128" s="3"/>
      <c r="M128" s="3"/>
      <c r="N128" s="3"/>
      <c r="O128" s="3"/>
      <c r="P128" s="3"/>
      <c r="Q128" s="3"/>
      <c r="R128" s="3"/>
      <c r="S128" s="3"/>
      <c r="T128" s="3"/>
      <c r="U128" s="3"/>
      <c r="V128" s="3"/>
      <c r="W128" s="44"/>
      <c r="X128" s="41"/>
      <c r="Y128" s="3"/>
      <c r="Z128" s="3"/>
    </row>
    <row r="129" spans="1:26" ht="15.75" hidden="1" customHeight="1" outlineLevel="1" x14ac:dyDescent="0.3">
      <c r="A129" s="3"/>
      <c r="B129" s="10" t="s">
        <v>1161</v>
      </c>
      <c r="C129" s="62">
        <v>4</v>
      </c>
      <c r="D129" s="62" t="s">
        <v>94</v>
      </c>
      <c r="E129" s="12">
        <v>0</v>
      </c>
      <c r="F129" s="12">
        <f>10+20+32</f>
        <v>62</v>
      </c>
      <c r="G129" s="69"/>
      <c r="H129" s="63" t="s">
        <v>37</v>
      </c>
      <c r="I129" s="63"/>
      <c r="J129" s="3"/>
      <c r="K129" s="3"/>
      <c r="L129" s="3"/>
      <c r="M129" s="3"/>
      <c r="N129" s="3"/>
      <c r="O129" s="3"/>
      <c r="P129" s="3"/>
      <c r="Q129" s="3"/>
      <c r="R129" s="3"/>
      <c r="S129" s="3"/>
      <c r="T129" s="3"/>
      <c r="U129" s="3"/>
      <c r="V129" s="3"/>
      <c r="W129" s="44"/>
      <c r="X129" s="41"/>
      <c r="Y129" s="3"/>
      <c r="Z129" s="3"/>
    </row>
    <row r="130" spans="1:26" ht="15.75" hidden="1" customHeight="1" outlineLevel="1" x14ac:dyDescent="0.3">
      <c r="A130" s="3"/>
      <c r="B130" s="10" t="s">
        <v>529</v>
      </c>
      <c r="C130" s="62" t="s">
        <v>641</v>
      </c>
      <c r="D130" s="62" t="s">
        <v>94</v>
      </c>
      <c r="E130" s="12">
        <v>0</v>
      </c>
      <c r="F130" s="12">
        <f>2017</f>
        <v>2017</v>
      </c>
      <c r="G130" s="70"/>
      <c r="H130" s="63" t="s">
        <v>39</v>
      </c>
      <c r="I130" s="63"/>
      <c r="J130" s="3"/>
      <c r="K130" s="3"/>
      <c r="L130" s="3"/>
      <c r="M130" s="3"/>
      <c r="N130" s="3"/>
      <c r="O130" s="3"/>
      <c r="P130" s="3"/>
      <c r="Q130" s="3"/>
      <c r="R130" s="3"/>
      <c r="S130" s="3"/>
      <c r="T130" s="3"/>
      <c r="U130" s="3"/>
      <c r="V130" s="3"/>
      <c r="W130" s="44"/>
      <c r="X130" s="41"/>
      <c r="Y130" s="3"/>
      <c r="Z130" s="3"/>
    </row>
    <row r="131" spans="1:26" ht="15.75" hidden="1" customHeight="1" outlineLevel="1" x14ac:dyDescent="0.3">
      <c r="A131" s="3"/>
      <c r="B131" s="10" t="s">
        <v>532</v>
      </c>
      <c r="C131" s="62"/>
      <c r="D131" s="62"/>
      <c r="E131" s="12">
        <v>0</v>
      </c>
      <c r="F131" s="12">
        <v>0</v>
      </c>
      <c r="G131" s="69"/>
      <c r="H131" s="63" t="s">
        <v>38</v>
      </c>
      <c r="I131" s="63"/>
      <c r="J131" s="3"/>
      <c r="K131" s="3"/>
      <c r="L131" s="3"/>
      <c r="M131" s="3"/>
      <c r="N131" s="3"/>
      <c r="O131" s="3"/>
      <c r="P131" s="3"/>
      <c r="Q131" s="3"/>
      <c r="R131" s="3"/>
      <c r="S131" s="3"/>
      <c r="T131" s="3"/>
      <c r="U131" s="3"/>
      <c r="V131" s="3"/>
      <c r="W131" s="44"/>
      <c r="X131" s="41"/>
      <c r="Y131" s="3"/>
      <c r="Z131" s="3"/>
    </row>
    <row r="132" spans="1:26" ht="15.75" hidden="1" customHeight="1" outlineLevel="1" x14ac:dyDescent="0.3">
      <c r="A132" s="3"/>
      <c r="B132" s="75" t="s">
        <v>651</v>
      </c>
      <c r="C132" s="76" t="s">
        <v>43</v>
      </c>
      <c r="D132" s="76" t="s">
        <v>43</v>
      </c>
      <c r="E132" s="77">
        <f>SUM(E133:E135)</f>
        <v>0</v>
      </c>
      <c r="F132" s="77">
        <f>SUMIF(D133:D136,"OK",F133:F136)</f>
        <v>0</v>
      </c>
      <c r="G132" s="78" t="s">
        <v>43</v>
      </c>
      <c r="H132" s="79"/>
      <c r="I132" s="79"/>
      <c r="J132" s="3"/>
      <c r="K132" s="3"/>
      <c r="L132" s="3"/>
      <c r="M132" s="3"/>
      <c r="N132" s="3"/>
      <c r="O132" s="3"/>
      <c r="P132" s="3"/>
      <c r="Q132" s="3"/>
      <c r="R132" s="3"/>
      <c r="S132" s="3"/>
      <c r="T132" s="3"/>
      <c r="U132" s="3"/>
      <c r="V132" s="3"/>
      <c r="W132" s="44"/>
      <c r="X132" s="41"/>
      <c r="Y132" s="3"/>
      <c r="Z132" s="3"/>
    </row>
    <row r="133" spans="1:26" ht="15.75" hidden="1" customHeight="1" outlineLevel="1" x14ac:dyDescent="0.3">
      <c r="A133" s="3"/>
      <c r="B133" s="10" t="s">
        <v>715</v>
      </c>
      <c r="C133" s="62"/>
      <c r="D133" s="62"/>
      <c r="E133" s="12">
        <v>0</v>
      </c>
      <c r="F133" s="12">
        <v>0</v>
      </c>
      <c r="G133" s="69"/>
      <c r="H133" s="63"/>
      <c r="I133" s="63"/>
      <c r="J133" s="3"/>
      <c r="K133" s="3"/>
      <c r="L133" s="3"/>
      <c r="M133" s="3"/>
      <c r="N133" s="3"/>
      <c r="O133" s="3"/>
      <c r="P133" s="3"/>
      <c r="Q133" s="3"/>
      <c r="R133" s="3"/>
      <c r="S133" s="3"/>
      <c r="T133" s="3"/>
      <c r="U133" s="3"/>
      <c r="V133" s="3"/>
      <c r="W133" s="44"/>
      <c r="X133" s="41"/>
      <c r="Y133" s="3"/>
      <c r="Z133" s="3"/>
    </row>
    <row r="134" spans="1:26" ht="15.75" hidden="1" customHeight="1" outlineLevel="1" x14ac:dyDescent="0.3">
      <c r="A134" s="3"/>
      <c r="B134" s="10" t="s">
        <v>531</v>
      </c>
      <c r="C134" s="62"/>
      <c r="D134" s="62"/>
      <c r="E134" s="12">
        <v>0</v>
      </c>
      <c r="F134" s="12">
        <v>0</v>
      </c>
      <c r="G134" s="70"/>
      <c r="H134" s="63"/>
      <c r="I134" s="63"/>
      <c r="J134" s="3"/>
      <c r="K134" s="3"/>
      <c r="L134" s="3"/>
      <c r="M134" s="3"/>
      <c r="N134" s="3"/>
      <c r="O134" s="3"/>
      <c r="P134" s="3"/>
      <c r="Q134" s="3"/>
      <c r="R134" s="3"/>
      <c r="S134" s="3"/>
      <c r="T134" s="3"/>
      <c r="U134" s="3"/>
      <c r="V134" s="3"/>
      <c r="W134" s="44"/>
      <c r="X134" s="41"/>
      <c r="Y134" s="3"/>
      <c r="Z134" s="3"/>
    </row>
    <row r="135" spans="1:26" ht="15.75" hidden="1" customHeight="1" outlineLevel="1" x14ac:dyDescent="0.3">
      <c r="A135" s="3"/>
      <c r="B135" s="10" t="s">
        <v>532</v>
      </c>
      <c r="C135" s="62"/>
      <c r="D135" s="62"/>
      <c r="E135" s="12">
        <v>0</v>
      </c>
      <c r="F135" s="12">
        <v>0</v>
      </c>
      <c r="G135" s="69"/>
      <c r="H135" s="63"/>
      <c r="I135" s="63"/>
      <c r="J135" s="3"/>
      <c r="K135" s="3"/>
      <c r="L135" s="3"/>
      <c r="M135" s="3"/>
      <c r="N135" s="3"/>
      <c r="O135" s="3"/>
      <c r="P135" s="3"/>
      <c r="Q135" s="3"/>
      <c r="R135" s="3"/>
      <c r="S135" s="3"/>
      <c r="T135" s="3"/>
      <c r="U135" s="3"/>
      <c r="V135" s="3"/>
      <c r="W135" s="44"/>
      <c r="X135" s="41"/>
      <c r="Y135" s="3"/>
      <c r="Z135" s="3"/>
    </row>
    <row r="136" spans="1:26" ht="15.75" hidden="1" customHeight="1" outlineLevel="1" x14ac:dyDescent="0.3">
      <c r="A136" s="3"/>
      <c r="B136" s="10" t="s">
        <v>529</v>
      </c>
      <c r="C136" s="62"/>
      <c r="D136" s="62"/>
      <c r="E136" s="12">
        <v>0</v>
      </c>
      <c r="F136" s="12">
        <v>0</v>
      </c>
      <c r="G136" s="69"/>
      <c r="H136" s="63"/>
      <c r="I136" s="63"/>
      <c r="J136" s="3"/>
      <c r="K136" s="3"/>
      <c r="L136" s="3"/>
      <c r="M136" s="3"/>
      <c r="N136" s="3"/>
      <c r="O136" s="3"/>
      <c r="P136" s="3"/>
      <c r="Q136" s="3"/>
      <c r="R136" s="3"/>
      <c r="S136" s="3"/>
      <c r="T136" s="3"/>
      <c r="U136" s="3"/>
      <c r="V136" s="3"/>
      <c r="W136" s="44"/>
      <c r="X136" s="41"/>
      <c r="Y136" s="3"/>
      <c r="Z136" s="3"/>
    </row>
    <row r="137" spans="1:26" ht="15.75" hidden="1" customHeight="1" outlineLevel="1" x14ac:dyDescent="0.3">
      <c r="A137" s="3"/>
      <c r="B137" s="75" t="s">
        <v>901</v>
      </c>
      <c r="C137" s="76" t="s">
        <v>43</v>
      </c>
      <c r="D137" s="76" t="s">
        <v>43</v>
      </c>
      <c r="E137" s="77">
        <f>SUM(E138:E143)</f>
        <v>0</v>
      </c>
      <c r="F137" s="77">
        <f>SUMIF(D138:D143,"OK",F138:F143)</f>
        <v>0</v>
      </c>
      <c r="G137" s="78" t="s">
        <v>43</v>
      </c>
      <c r="H137" s="79"/>
      <c r="I137" s="79"/>
      <c r="J137" s="3"/>
      <c r="K137" s="3"/>
      <c r="L137" s="3"/>
      <c r="M137" s="3"/>
      <c r="N137" s="3"/>
      <c r="O137" s="3"/>
      <c r="P137" s="3"/>
      <c r="Q137" s="3"/>
      <c r="R137" s="3"/>
      <c r="S137" s="3"/>
      <c r="T137" s="3"/>
      <c r="U137" s="3"/>
      <c r="V137" s="3"/>
      <c r="W137" s="44"/>
      <c r="X137" s="41"/>
      <c r="Y137" s="3"/>
      <c r="Z137" s="3"/>
    </row>
    <row r="138" spans="1:26" ht="15.75" hidden="1" customHeight="1" outlineLevel="1" x14ac:dyDescent="0.3">
      <c r="A138" s="3"/>
      <c r="B138" s="10" t="s">
        <v>1036</v>
      </c>
      <c r="C138" s="62"/>
      <c r="D138" s="62"/>
      <c r="E138" s="12">
        <v>0</v>
      </c>
      <c r="F138" s="12">
        <v>0</v>
      </c>
      <c r="G138" s="67"/>
      <c r="H138" s="63"/>
      <c r="I138" s="63"/>
      <c r="J138" s="3"/>
      <c r="K138" s="3"/>
      <c r="L138" s="3"/>
      <c r="M138" s="3"/>
      <c r="N138" s="3"/>
      <c r="O138" s="3"/>
      <c r="P138" s="3"/>
      <c r="Q138" s="3"/>
      <c r="R138" s="3"/>
      <c r="S138" s="3"/>
      <c r="T138" s="3"/>
      <c r="U138" s="3"/>
      <c r="V138" s="3"/>
      <c r="W138" s="44"/>
      <c r="X138" s="41"/>
      <c r="Y138" s="3"/>
      <c r="Z138" s="3"/>
    </row>
    <row r="139" spans="1:26" ht="15.75" hidden="1" customHeight="1" outlineLevel="1" x14ac:dyDescent="0.3">
      <c r="A139" s="3"/>
      <c r="B139" s="10" t="s">
        <v>904</v>
      </c>
      <c r="C139" s="62"/>
      <c r="D139" s="62"/>
      <c r="E139" s="12">
        <v>0</v>
      </c>
      <c r="F139" s="12">
        <v>0</v>
      </c>
      <c r="G139" s="67"/>
      <c r="H139" s="63"/>
      <c r="I139" s="63"/>
      <c r="J139" s="3"/>
      <c r="K139" s="3"/>
      <c r="L139" s="3"/>
      <c r="M139" s="3"/>
      <c r="N139" s="3"/>
      <c r="O139" s="3"/>
      <c r="P139" s="3"/>
      <c r="Q139" s="3"/>
      <c r="R139" s="3"/>
      <c r="S139" s="3"/>
      <c r="T139" s="3"/>
      <c r="U139" s="3"/>
      <c r="V139" s="3"/>
      <c r="W139" s="44"/>
      <c r="X139" s="41"/>
      <c r="Y139" s="3"/>
      <c r="Z139" s="3"/>
    </row>
    <row r="140" spans="1:26" ht="15.75" hidden="1" customHeight="1" outlineLevel="1" x14ac:dyDescent="0.3">
      <c r="A140" s="3"/>
      <c r="B140" s="10" t="s">
        <v>905</v>
      </c>
      <c r="C140" s="62"/>
      <c r="D140" s="62"/>
      <c r="E140" s="12">
        <v>0</v>
      </c>
      <c r="F140" s="12">
        <v>0</v>
      </c>
      <c r="G140" s="67"/>
      <c r="H140" s="63"/>
      <c r="I140" s="63"/>
      <c r="J140" s="3"/>
      <c r="K140" s="3"/>
      <c r="L140" s="3"/>
      <c r="M140" s="3"/>
      <c r="N140" s="3"/>
      <c r="O140" s="3"/>
      <c r="P140" s="3"/>
      <c r="Q140" s="3"/>
      <c r="R140" s="3"/>
      <c r="S140" s="3"/>
      <c r="T140" s="3"/>
      <c r="U140" s="3"/>
      <c r="V140" s="3"/>
      <c r="W140" s="44"/>
      <c r="X140" s="41"/>
      <c r="Y140" s="3"/>
      <c r="Z140" s="3"/>
    </row>
    <row r="141" spans="1:26" ht="15.75" hidden="1" customHeight="1" outlineLevel="1" x14ac:dyDescent="0.3">
      <c r="A141" s="3"/>
      <c r="B141" s="10" t="s">
        <v>1040</v>
      </c>
      <c r="C141" s="62"/>
      <c r="D141" s="62"/>
      <c r="E141" s="12">
        <v>0</v>
      </c>
      <c r="F141" s="12">
        <v>0</v>
      </c>
      <c r="G141" s="67"/>
      <c r="H141" s="63"/>
      <c r="I141" s="63"/>
      <c r="J141" s="3"/>
      <c r="K141" s="3"/>
      <c r="L141" s="3"/>
      <c r="M141" s="3"/>
      <c r="N141" s="3"/>
      <c r="O141" s="3"/>
      <c r="P141" s="3"/>
      <c r="Q141" s="3"/>
      <c r="R141" s="3"/>
      <c r="S141" s="3"/>
      <c r="T141" s="3"/>
      <c r="U141" s="3"/>
      <c r="V141" s="3"/>
      <c r="W141" s="44"/>
      <c r="X141" s="41"/>
      <c r="Y141" s="3"/>
      <c r="Z141" s="3"/>
    </row>
    <row r="142" spans="1:26" ht="15.75" hidden="1" customHeight="1" outlineLevel="1" x14ac:dyDescent="0.3">
      <c r="A142" s="3"/>
      <c r="B142" s="10" t="s">
        <v>907</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row>
    <row r="143" spans="1:26" ht="15.75" hidden="1" customHeight="1" outlineLevel="1" x14ac:dyDescent="0.3">
      <c r="A143" s="3"/>
      <c r="B143" s="10" t="s">
        <v>908</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5.75" hidden="1" customHeight="1" outlineLevel="1" x14ac:dyDescent="0.3">
      <c r="A144" s="3"/>
      <c r="B144" s="75" t="s">
        <v>689</v>
      </c>
      <c r="C144" s="76" t="s">
        <v>43</v>
      </c>
      <c r="D144" s="76" t="s">
        <v>43</v>
      </c>
      <c r="E144" s="77">
        <f>SUM(E145:E148)</f>
        <v>0</v>
      </c>
      <c r="F144" s="77">
        <f>SUMIF(D145:D148,"OK",F145:F148)</f>
        <v>979.46000000000015</v>
      </c>
      <c r="G144" s="78" t="s">
        <v>43</v>
      </c>
      <c r="H144" s="79"/>
      <c r="I144" s="79"/>
      <c r="J144" s="3"/>
      <c r="K144" s="3"/>
      <c r="L144" s="3"/>
      <c r="M144" s="3"/>
      <c r="N144" s="3"/>
      <c r="O144" s="3"/>
      <c r="P144" s="3"/>
      <c r="Q144" s="3"/>
      <c r="R144" s="3"/>
      <c r="S144" s="3"/>
      <c r="T144" s="3"/>
      <c r="U144" s="3"/>
      <c r="V144" s="3"/>
      <c r="W144" s="44"/>
      <c r="X144" s="41"/>
      <c r="Y144" s="3"/>
      <c r="Z144" s="3"/>
    </row>
    <row r="145" spans="1:26" ht="15.75" hidden="1" customHeight="1" outlineLevel="1" x14ac:dyDescent="0.3">
      <c r="A145" s="3"/>
      <c r="B145" s="10" t="s">
        <v>1162</v>
      </c>
      <c r="C145" s="62">
        <v>1</v>
      </c>
      <c r="D145" s="62" t="s">
        <v>94</v>
      </c>
      <c r="E145" s="12">
        <v>0</v>
      </c>
      <c r="F145" s="12">
        <f>10+25+75+30+150+20+130+65+10+19+15+60+15+13.5+4+12+5.5+15+7.5+5.87+5.87+10+10+15+6.71+13.71+3.83+13.26+13.71</f>
        <v>779.46000000000015</v>
      </c>
      <c r="G145" s="69"/>
      <c r="H145" s="63" t="s">
        <v>38</v>
      </c>
      <c r="I145" s="63"/>
      <c r="J145" s="3"/>
      <c r="K145" s="3"/>
      <c r="L145" s="3"/>
      <c r="M145" s="3"/>
      <c r="N145" s="3"/>
      <c r="O145" s="3"/>
      <c r="P145" s="3"/>
      <c r="Q145" s="3"/>
      <c r="R145" s="3"/>
      <c r="S145" s="3"/>
      <c r="T145" s="3"/>
      <c r="U145" s="3"/>
      <c r="V145" s="3"/>
      <c r="W145" s="44"/>
      <c r="X145" s="41"/>
      <c r="Y145" s="3"/>
      <c r="Z145" s="3"/>
    </row>
    <row r="146" spans="1:26" ht="15.75" hidden="1" customHeight="1" outlineLevel="1" x14ac:dyDescent="0.3">
      <c r="A146" s="3"/>
      <c r="B146" s="10" t="s">
        <v>1163</v>
      </c>
      <c r="C146" s="62">
        <v>10</v>
      </c>
      <c r="D146" s="62" t="s">
        <v>94</v>
      </c>
      <c r="E146" s="12">
        <v>0</v>
      </c>
      <c r="F146" s="12">
        <v>200</v>
      </c>
      <c r="G146" s="69" t="s">
        <v>1164</v>
      </c>
      <c r="H146" s="63" t="s">
        <v>38</v>
      </c>
      <c r="I146" s="63"/>
      <c r="J146" s="3"/>
      <c r="K146" s="3"/>
      <c r="L146" s="3"/>
      <c r="M146" s="3"/>
      <c r="N146" s="3"/>
      <c r="O146" s="3"/>
      <c r="P146" s="3"/>
      <c r="Q146" s="3"/>
      <c r="R146" s="3"/>
      <c r="S146" s="3"/>
      <c r="T146" s="3"/>
      <c r="U146" s="3"/>
      <c r="V146" s="3"/>
      <c r="W146" s="44"/>
      <c r="X146" s="41"/>
      <c r="Y146" s="3"/>
      <c r="Z146" s="3"/>
    </row>
    <row r="147" spans="1:26" ht="15.75" hidden="1" customHeight="1" outlineLevel="1" x14ac:dyDescent="0.3">
      <c r="A147" s="3"/>
      <c r="B147" s="10" t="s">
        <v>62</v>
      </c>
      <c r="C147" s="62"/>
      <c r="D147" s="62"/>
      <c r="E147" s="12">
        <v>0</v>
      </c>
      <c r="F147" s="12">
        <v>0</v>
      </c>
      <c r="G147" s="69"/>
      <c r="H147" s="63"/>
      <c r="I147" s="63"/>
      <c r="J147" s="3"/>
      <c r="K147" s="3"/>
      <c r="L147" s="3"/>
      <c r="M147" s="3"/>
      <c r="N147" s="3"/>
      <c r="O147" s="3"/>
      <c r="P147" s="3"/>
      <c r="Q147" s="3"/>
      <c r="R147" s="3"/>
      <c r="S147" s="3"/>
      <c r="T147" s="3"/>
      <c r="U147" s="3"/>
      <c r="V147" s="3"/>
      <c r="W147" s="44"/>
      <c r="X147" s="41"/>
      <c r="Y147" s="3"/>
      <c r="Z147" s="3"/>
    </row>
    <row r="148" spans="1:26" ht="15.75" hidden="1" customHeight="1" outlineLevel="1" x14ac:dyDescent="0.3">
      <c r="A148" s="3"/>
      <c r="B148" s="10" t="s">
        <v>62</v>
      </c>
      <c r="C148" s="62"/>
      <c r="D148" s="62"/>
      <c r="E148" s="12">
        <v>0</v>
      </c>
      <c r="F148" s="12">
        <v>0</v>
      </c>
      <c r="G148" s="67"/>
      <c r="H148" s="63"/>
      <c r="I148" s="63"/>
      <c r="J148" s="3"/>
      <c r="K148" s="3"/>
      <c r="L148" s="3"/>
      <c r="M148" s="3"/>
      <c r="N148" s="3"/>
      <c r="O148" s="3"/>
      <c r="P148" s="3"/>
      <c r="Q148" s="3"/>
      <c r="R148" s="3"/>
      <c r="S148" s="3"/>
      <c r="T148" s="3"/>
      <c r="U148" s="3"/>
      <c r="V148" s="3"/>
      <c r="W148" s="44"/>
      <c r="X148" s="41"/>
      <c r="Y148" s="3"/>
      <c r="Z148" s="3"/>
    </row>
    <row r="149" spans="1:26" ht="19.5" customHeight="1" collapsed="1" x14ac:dyDescent="0.3">
      <c r="A149" s="3"/>
      <c r="B149" s="73" t="s">
        <v>239</v>
      </c>
      <c r="C149" s="56" t="s">
        <v>43</v>
      </c>
      <c r="D149" s="56" t="s">
        <v>43</v>
      </c>
      <c r="E149" s="57">
        <f t="shared" ref="E149:F149" si="29">SUM(E150,E155,E160,E164)</f>
        <v>0</v>
      </c>
      <c r="F149" s="57">
        <f t="shared" si="29"/>
        <v>3206.6</v>
      </c>
      <c r="G149" s="58" t="s">
        <v>43</v>
      </c>
      <c r="H149" s="74"/>
      <c r="I149" s="74"/>
      <c r="J149" s="3"/>
      <c r="K149" s="3"/>
      <c r="L149" s="3"/>
      <c r="M149" s="3"/>
      <c r="N149" s="3"/>
      <c r="O149" s="3"/>
      <c r="P149" s="3"/>
      <c r="Q149" s="3"/>
      <c r="R149" s="3"/>
      <c r="S149" s="3"/>
      <c r="T149" s="3"/>
      <c r="U149" s="3"/>
      <c r="V149" s="3"/>
      <c r="W149" s="44"/>
      <c r="X149" s="41"/>
      <c r="Y149" s="3"/>
      <c r="Z149" s="3"/>
    </row>
    <row r="150" spans="1:26" ht="15.75" hidden="1" customHeight="1" outlineLevel="1" x14ac:dyDescent="0.3">
      <c r="A150" s="3"/>
      <c r="B150" s="75" t="s">
        <v>240</v>
      </c>
      <c r="C150" s="76" t="s">
        <v>43</v>
      </c>
      <c r="D150" s="76" t="s">
        <v>43</v>
      </c>
      <c r="E150" s="77">
        <f>SUM(E151:E154)</f>
        <v>0</v>
      </c>
      <c r="F150" s="77">
        <f>SUMIF(D151:D154,"OK",F151:F154)</f>
        <v>637</v>
      </c>
      <c r="G150" s="78" t="s">
        <v>43</v>
      </c>
      <c r="H150" s="79"/>
      <c r="I150" s="79"/>
      <c r="J150" s="3"/>
      <c r="K150" s="3"/>
      <c r="L150" s="3"/>
      <c r="M150" s="3"/>
      <c r="N150" s="3"/>
      <c r="O150" s="3"/>
      <c r="P150" s="3"/>
      <c r="Q150" s="3"/>
      <c r="R150" s="3"/>
      <c r="S150" s="3"/>
      <c r="T150" s="3"/>
      <c r="U150" s="3"/>
      <c r="V150" s="3"/>
      <c r="W150" s="44"/>
      <c r="X150" s="41"/>
      <c r="Y150" s="3"/>
      <c r="Z150" s="3"/>
    </row>
    <row r="151" spans="1:26" ht="15.75" hidden="1" customHeight="1" outlineLevel="1" x14ac:dyDescent="0.3">
      <c r="A151" s="3"/>
      <c r="B151" s="10" t="s">
        <v>241</v>
      </c>
      <c r="C151" s="62">
        <v>3</v>
      </c>
      <c r="D151" s="62" t="s">
        <v>94</v>
      </c>
      <c r="E151" s="12">
        <v>0</v>
      </c>
      <c r="F151" s="12">
        <f>10+5+10+10+10+10+10+10+50+20+10+30+10+20+30</f>
        <v>245</v>
      </c>
      <c r="G151" s="67"/>
      <c r="H151" s="63" t="s">
        <v>37</v>
      </c>
      <c r="I151" s="63"/>
      <c r="J151" s="3"/>
      <c r="K151" s="3"/>
      <c r="L151" s="3"/>
      <c r="M151" s="3"/>
      <c r="N151" s="3"/>
      <c r="O151" s="3"/>
      <c r="P151" s="3"/>
      <c r="Q151" s="3"/>
      <c r="R151" s="3"/>
      <c r="S151" s="3"/>
      <c r="T151" s="3"/>
      <c r="U151" s="3"/>
      <c r="V151" s="3"/>
      <c r="W151" s="44"/>
      <c r="X151" s="41"/>
      <c r="Y151" s="3"/>
      <c r="Z151" s="3"/>
    </row>
    <row r="152" spans="1:26" ht="15.75" hidden="1" customHeight="1" outlineLevel="1" x14ac:dyDescent="0.3">
      <c r="A152" s="3"/>
      <c r="B152" s="10" t="s">
        <v>242</v>
      </c>
      <c r="C152" s="62"/>
      <c r="D152" s="62"/>
      <c r="E152" s="12">
        <v>0</v>
      </c>
      <c r="F152" s="12">
        <v>0</v>
      </c>
      <c r="G152" s="67"/>
      <c r="H152" s="63" t="s">
        <v>36</v>
      </c>
      <c r="I152" s="63"/>
      <c r="J152" s="3"/>
      <c r="K152" s="3"/>
      <c r="L152" s="3"/>
      <c r="M152" s="3"/>
      <c r="N152" s="3"/>
      <c r="O152" s="3"/>
      <c r="P152" s="3"/>
      <c r="Q152" s="3"/>
      <c r="R152" s="3"/>
      <c r="S152" s="3"/>
      <c r="T152" s="3"/>
      <c r="U152" s="3"/>
      <c r="V152" s="3"/>
      <c r="W152" s="44"/>
      <c r="X152" s="41"/>
      <c r="Y152" s="3"/>
      <c r="Z152" s="3"/>
    </row>
    <row r="153" spans="1:26" ht="15.75" hidden="1" customHeight="1" outlineLevel="1" x14ac:dyDescent="0.3">
      <c r="A153" s="3"/>
      <c r="B153" s="10" t="s">
        <v>243</v>
      </c>
      <c r="C153" s="62">
        <v>17</v>
      </c>
      <c r="D153" s="62" t="s">
        <v>94</v>
      </c>
      <c r="E153" s="12">
        <v>0</v>
      </c>
      <c r="F153" s="12">
        <f>50+20+50+10+50+20+10+5+10+10+5+20+10+20</f>
        <v>290</v>
      </c>
      <c r="G153" s="67"/>
      <c r="H153" s="63" t="s">
        <v>37</v>
      </c>
      <c r="I153" s="63"/>
      <c r="J153" s="3"/>
      <c r="K153" s="3"/>
      <c r="L153" s="3"/>
      <c r="M153" s="3"/>
      <c r="N153" s="3"/>
      <c r="O153" s="3"/>
      <c r="P153" s="3"/>
      <c r="Q153" s="3"/>
      <c r="R153" s="3"/>
      <c r="S153" s="3"/>
      <c r="T153" s="3"/>
      <c r="U153" s="3"/>
      <c r="V153" s="3"/>
      <c r="W153" s="44"/>
      <c r="X153" s="41"/>
      <c r="Y153" s="3"/>
      <c r="Z153" s="3"/>
    </row>
    <row r="154" spans="1:26" ht="15.75" hidden="1" customHeight="1" outlineLevel="1" x14ac:dyDescent="0.3">
      <c r="A154" s="3"/>
      <c r="B154" s="10" t="s">
        <v>244</v>
      </c>
      <c r="C154" s="62">
        <v>17</v>
      </c>
      <c r="D154" s="62" t="s">
        <v>94</v>
      </c>
      <c r="E154" s="12">
        <v>0</v>
      </c>
      <c r="F154" s="12">
        <v>102</v>
      </c>
      <c r="G154" s="131"/>
      <c r="H154" s="63" t="s">
        <v>36</v>
      </c>
      <c r="I154" s="63"/>
      <c r="J154" s="3"/>
      <c r="K154" s="3"/>
      <c r="L154" s="3"/>
      <c r="M154" s="3"/>
      <c r="N154" s="3"/>
      <c r="O154" s="3"/>
      <c r="P154" s="3"/>
      <c r="Q154" s="3"/>
      <c r="R154" s="3"/>
      <c r="S154" s="3"/>
      <c r="T154" s="3"/>
      <c r="U154" s="3"/>
      <c r="V154" s="3"/>
      <c r="W154" s="44"/>
      <c r="X154" s="41"/>
      <c r="Y154" s="3"/>
      <c r="Z154" s="3"/>
    </row>
    <row r="155" spans="1:26" ht="15.75" hidden="1" customHeight="1" outlineLevel="1" x14ac:dyDescent="0.3">
      <c r="A155" s="3"/>
      <c r="B155" s="75" t="s">
        <v>245</v>
      </c>
      <c r="C155" s="76" t="s">
        <v>43</v>
      </c>
      <c r="D155" s="76" t="s">
        <v>43</v>
      </c>
      <c r="E155" s="77">
        <f>SUM(E156:E159)</f>
        <v>0</v>
      </c>
      <c r="F155" s="77">
        <f>SUMIF(D156:D159,"OK",F156:F159)</f>
        <v>489</v>
      </c>
      <c r="G155" s="78" t="s">
        <v>43</v>
      </c>
      <c r="H155" s="79"/>
      <c r="I155" s="79"/>
      <c r="J155" s="3"/>
      <c r="K155" s="3"/>
      <c r="L155" s="3"/>
      <c r="M155" s="3"/>
      <c r="N155" s="3"/>
      <c r="O155" s="3"/>
      <c r="P155" s="3"/>
      <c r="Q155" s="3"/>
      <c r="R155" s="3"/>
      <c r="S155" s="3"/>
      <c r="T155" s="3"/>
      <c r="U155" s="3"/>
      <c r="V155" s="3"/>
      <c r="W155" s="44"/>
      <c r="X155" s="41"/>
      <c r="Y155" s="3"/>
      <c r="Z155" s="3"/>
    </row>
    <row r="156" spans="1:26" ht="15.75" hidden="1" customHeight="1" outlineLevel="1" x14ac:dyDescent="0.3">
      <c r="A156" s="3"/>
      <c r="B156" s="10" t="s">
        <v>241</v>
      </c>
      <c r="C156" s="62"/>
      <c r="D156" s="62"/>
      <c r="E156" s="12">
        <v>0</v>
      </c>
      <c r="F156" s="12">
        <v>0</v>
      </c>
      <c r="G156" s="69"/>
      <c r="H156" s="63" t="s">
        <v>37</v>
      </c>
      <c r="I156" s="63"/>
      <c r="J156" s="3"/>
      <c r="K156" s="3"/>
      <c r="L156" s="3"/>
      <c r="M156" s="3"/>
      <c r="N156" s="3"/>
      <c r="O156" s="3"/>
      <c r="P156" s="3"/>
      <c r="Q156" s="3"/>
      <c r="R156" s="3"/>
      <c r="S156" s="3"/>
      <c r="T156" s="3"/>
      <c r="U156" s="3"/>
      <c r="V156" s="3"/>
      <c r="W156" s="44"/>
      <c r="X156" s="41"/>
      <c r="Y156" s="3"/>
      <c r="Z156" s="3"/>
    </row>
    <row r="157" spans="1:26" ht="15.75" hidden="1" customHeight="1" outlineLevel="1" x14ac:dyDescent="0.3">
      <c r="A157" s="3"/>
      <c r="B157" s="10" t="s">
        <v>242</v>
      </c>
      <c r="C157" s="62"/>
      <c r="D157" s="62"/>
      <c r="E157" s="12">
        <v>0</v>
      </c>
      <c r="F157" s="12">
        <v>0</v>
      </c>
      <c r="G157" s="67"/>
      <c r="H157" s="63" t="s">
        <v>36</v>
      </c>
      <c r="I157" s="63"/>
      <c r="J157" s="3"/>
      <c r="K157" s="3"/>
      <c r="L157" s="3"/>
      <c r="M157" s="3"/>
      <c r="N157" s="3"/>
      <c r="O157" s="3"/>
      <c r="P157" s="3"/>
      <c r="Q157" s="3"/>
      <c r="R157" s="3"/>
      <c r="S157" s="3"/>
      <c r="T157" s="3"/>
      <c r="U157" s="3"/>
      <c r="V157" s="3"/>
      <c r="W157" s="44"/>
      <c r="X157" s="41"/>
      <c r="Y157" s="3"/>
      <c r="Z157" s="3"/>
    </row>
    <row r="158" spans="1:26" ht="15.75" hidden="1" customHeight="1" outlineLevel="1" x14ac:dyDescent="0.3">
      <c r="A158" s="3"/>
      <c r="B158" s="10" t="s">
        <v>243</v>
      </c>
      <c r="C158" s="62" t="s">
        <v>1165</v>
      </c>
      <c r="D158" s="62" t="s">
        <v>94</v>
      </c>
      <c r="E158" s="12">
        <v>0</v>
      </c>
      <c r="F158" s="12">
        <f>9+20+10+10+10+10+10+40+30+10+40+20+30+20+20+10+30+20+10+20+10+10+20+10+20+30</f>
        <v>479</v>
      </c>
      <c r="G158" s="67"/>
      <c r="H158" s="63" t="s">
        <v>37</v>
      </c>
      <c r="I158" s="63"/>
      <c r="J158" s="3"/>
      <c r="K158" s="3"/>
      <c r="L158" s="3"/>
      <c r="M158" s="3"/>
      <c r="N158" s="3"/>
      <c r="O158" s="3"/>
      <c r="P158" s="3"/>
      <c r="Q158" s="3"/>
      <c r="R158" s="3"/>
      <c r="S158" s="3"/>
      <c r="T158" s="3"/>
      <c r="U158" s="3"/>
      <c r="V158" s="3"/>
      <c r="W158" s="44"/>
      <c r="X158" s="41"/>
      <c r="Y158" s="3"/>
      <c r="Z158" s="3"/>
    </row>
    <row r="159" spans="1:26" ht="15.75" hidden="1" customHeight="1" outlineLevel="1" x14ac:dyDescent="0.3">
      <c r="A159" s="3"/>
      <c r="B159" s="10" t="s">
        <v>244</v>
      </c>
      <c r="C159" s="62">
        <v>17</v>
      </c>
      <c r="D159" s="62" t="s">
        <v>94</v>
      </c>
      <c r="E159" s="12">
        <v>0</v>
      </c>
      <c r="F159" s="12">
        <v>10</v>
      </c>
      <c r="G159" s="67"/>
      <c r="H159" s="63" t="s">
        <v>36</v>
      </c>
      <c r="I159" s="63"/>
      <c r="J159" s="3"/>
      <c r="K159" s="3"/>
      <c r="L159" s="3"/>
      <c r="M159" s="3"/>
      <c r="N159" s="3"/>
      <c r="O159" s="3"/>
      <c r="P159" s="3"/>
      <c r="Q159" s="3"/>
      <c r="R159" s="3"/>
      <c r="S159" s="3"/>
      <c r="T159" s="3"/>
      <c r="U159" s="3"/>
      <c r="V159" s="3"/>
      <c r="W159" s="44"/>
      <c r="X159" s="41"/>
      <c r="Y159" s="3"/>
      <c r="Z159" s="3"/>
    </row>
    <row r="160" spans="1:26" ht="15.75" hidden="1" customHeight="1" outlineLevel="1" x14ac:dyDescent="0.3">
      <c r="A160" s="3"/>
      <c r="B160" s="75" t="s">
        <v>246</v>
      </c>
      <c r="C160" s="76" t="s">
        <v>43</v>
      </c>
      <c r="D160" s="76" t="s">
        <v>43</v>
      </c>
      <c r="E160" s="77">
        <f>SUM(E161:E163)</f>
        <v>0</v>
      </c>
      <c r="F160" s="77">
        <f>SUMIF(D161:D163,"OK",F161:F163)</f>
        <v>0</v>
      </c>
      <c r="G160" s="78" t="s">
        <v>43</v>
      </c>
      <c r="H160" s="79"/>
      <c r="I160" s="79"/>
      <c r="J160" s="3"/>
      <c r="K160" s="3"/>
      <c r="L160" s="3"/>
      <c r="M160" s="3"/>
      <c r="N160" s="3"/>
      <c r="O160" s="3"/>
      <c r="P160" s="3"/>
      <c r="Q160" s="3"/>
      <c r="R160" s="3"/>
      <c r="S160" s="3"/>
      <c r="T160" s="3"/>
      <c r="U160" s="3"/>
      <c r="V160" s="3"/>
      <c r="W160" s="44"/>
      <c r="X160" s="41"/>
      <c r="Y160" s="3"/>
      <c r="Z160" s="3"/>
    </row>
    <row r="161" spans="1:26" ht="15.75" hidden="1" customHeight="1" outlineLevel="1" x14ac:dyDescent="0.3">
      <c r="A161" s="3"/>
      <c r="B161" s="10" t="s">
        <v>42</v>
      </c>
      <c r="C161" s="80"/>
      <c r="D161" s="62"/>
      <c r="E161" s="12">
        <v>0</v>
      </c>
      <c r="F161" s="12">
        <v>0</v>
      </c>
      <c r="G161" s="69"/>
      <c r="H161" s="63"/>
      <c r="I161" s="63"/>
      <c r="J161" s="3"/>
      <c r="K161" s="3"/>
      <c r="L161" s="3"/>
      <c r="M161" s="3"/>
      <c r="N161" s="3"/>
      <c r="O161" s="3"/>
      <c r="P161" s="3"/>
      <c r="Q161" s="3"/>
      <c r="R161" s="3"/>
      <c r="S161" s="3"/>
      <c r="T161" s="3"/>
      <c r="U161" s="3"/>
      <c r="V161" s="3"/>
      <c r="W161" s="44"/>
      <c r="X161" s="41"/>
      <c r="Y161" s="3"/>
      <c r="Z161" s="3"/>
    </row>
    <row r="162" spans="1:26" ht="15.75" hidden="1" customHeight="1" outlineLevel="1" x14ac:dyDescent="0.3">
      <c r="A162" s="3"/>
      <c r="B162" s="10" t="s">
        <v>42</v>
      </c>
      <c r="C162" s="80"/>
      <c r="D162" s="62"/>
      <c r="E162" s="12">
        <v>0</v>
      </c>
      <c r="F162" s="12">
        <v>0</v>
      </c>
      <c r="G162" s="69"/>
      <c r="H162" s="63"/>
      <c r="I162" s="63"/>
      <c r="J162" s="3"/>
      <c r="K162" s="3"/>
      <c r="L162" s="3"/>
      <c r="M162" s="3"/>
      <c r="N162" s="3"/>
      <c r="O162" s="3"/>
      <c r="P162" s="3"/>
      <c r="Q162" s="3"/>
      <c r="R162" s="3"/>
      <c r="S162" s="3"/>
      <c r="T162" s="3"/>
      <c r="U162" s="3"/>
      <c r="V162" s="3"/>
      <c r="W162" s="44"/>
      <c r="X162" s="41"/>
      <c r="Y162" s="3"/>
      <c r="Z162" s="3"/>
    </row>
    <row r="163" spans="1:26" ht="15.75" hidden="1" customHeight="1" outlineLevel="1" x14ac:dyDescent="0.3">
      <c r="A163" s="3"/>
      <c r="B163" s="10" t="s">
        <v>42</v>
      </c>
      <c r="C163" s="62"/>
      <c r="D163" s="62"/>
      <c r="E163" s="12">
        <v>0</v>
      </c>
      <c r="F163" s="12">
        <v>0</v>
      </c>
      <c r="G163" s="69"/>
      <c r="H163" s="63"/>
      <c r="I163" s="63"/>
      <c r="J163" s="3"/>
      <c r="K163" s="3"/>
      <c r="L163" s="3"/>
      <c r="M163" s="3"/>
      <c r="N163" s="3"/>
      <c r="O163" s="3"/>
      <c r="P163" s="3"/>
      <c r="Q163" s="3"/>
      <c r="R163" s="3"/>
      <c r="S163" s="3"/>
      <c r="T163" s="3"/>
      <c r="U163" s="3"/>
      <c r="V163" s="3"/>
      <c r="W163" s="44"/>
      <c r="X163" s="41"/>
      <c r="Y163" s="3"/>
      <c r="Z163" s="3"/>
    </row>
    <row r="164" spans="1:26" ht="15.75" hidden="1" customHeight="1" outlineLevel="1" x14ac:dyDescent="0.3">
      <c r="A164" s="3"/>
      <c r="B164" s="75" t="s">
        <v>61</v>
      </c>
      <c r="C164" s="76" t="s">
        <v>43</v>
      </c>
      <c r="D164" s="76" t="s">
        <v>43</v>
      </c>
      <c r="E164" s="77">
        <f>SUM(E165:E172)</f>
        <v>0</v>
      </c>
      <c r="F164" s="77">
        <f>SUMIF(D165:D178,"OK",F165:F178)</f>
        <v>2080.6</v>
      </c>
      <c r="G164" s="78" t="s">
        <v>43</v>
      </c>
      <c r="H164" s="79"/>
      <c r="I164" s="79"/>
      <c r="J164" s="3"/>
      <c r="K164" s="3"/>
      <c r="L164" s="3"/>
      <c r="M164" s="3"/>
      <c r="N164" s="3"/>
      <c r="O164" s="3"/>
      <c r="P164" s="3"/>
      <c r="Q164" s="3"/>
      <c r="R164" s="3"/>
      <c r="S164" s="3"/>
      <c r="T164" s="3"/>
      <c r="U164" s="3"/>
      <c r="V164" s="3"/>
      <c r="W164" s="44"/>
      <c r="X164" s="41"/>
      <c r="Y164" s="3"/>
      <c r="Z164" s="3"/>
    </row>
    <row r="165" spans="1:26" ht="15.75" hidden="1" customHeight="1" outlineLevel="1" x14ac:dyDescent="0.3">
      <c r="A165" s="3"/>
      <c r="B165" s="10" t="s">
        <v>1166</v>
      </c>
      <c r="C165" s="80">
        <v>8</v>
      </c>
      <c r="D165" s="62" t="s">
        <v>94</v>
      </c>
      <c r="E165" s="12">
        <v>0</v>
      </c>
      <c r="F165" s="12">
        <v>2020.6</v>
      </c>
      <c r="G165" s="70"/>
      <c r="H165" s="63" t="s">
        <v>37</v>
      </c>
      <c r="I165" s="63"/>
      <c r="J165" s="3"/>
      <c r="K165" s="3"/>
      <c r="L165" s="3"/>
      <c r="M165" s="3"/>
      <c r="N165" s="3"/>
      <c r="O165" s="3"/>
      <c r="P165" s="3"/>
      <c r="Q165" s="3"/>
      <c r="R165" s="3"/>
      <c r="S165" s="3"/>
      <c r="T165" s="3"/>
      <c r="U165" s="3"/>
      <c r="V165" s="3"/>
      <c r="W165" s="44"/>
      <c r="X165" s="41"/>
      <c r="Y165" s="3"/>
      <c r="Z165" s="3"/>
    </row>
    <row r="166" spans="1:26" ht="15.75" hidden="1" customHeight="1" outlineLevel="1" x14ac:dyDescent="0.3">
      <c r="A166" s="3"/>
      <c r="B166" s="10" t="s">
        <v>1167</v>
      </c>
      <c r="C166" s="80">
        <v>19</v>
      </c>
      <c r="D166" s="62" t="s">
        <v>94</v>
      </c>
      <c r="E166" s="12">
        <v>0</v>
      </c>
      <c r="F166" s="12">
        <v>60</v>
      </c>
      <c r="G166" s="70" t="s">
        <v>1168</v>
      </c>
      <c r="H166" s="63" t="s">
        <v>37</v>
      </c>
      <c r="I166" s="63"/>
      <c r="J166" s="3"/>
      <c r="K166" s="3"/>
      <c r="L166" s="3"/>
      <c r="M166" s="3"/>
      <c r="N166" s="3"/>
      <c r="O166" s="3"/>
      <c r="P166" s="3"/>
      <c r="Q166" s="3"/>
      <c r="R166" s="3"/>
      <c r="S166" s="3"/>
      <c r="T166" s="3"/>
      <c r="U166" s="3"/>
      <c r="V166" s="3"/>
      <c r="W166" s="44"/>
      <c r="X166" s="41"/>
      <c r="Y166" s="3"/>
      <c r="Z166" s="3"/>
    </row>
    <row r="167" spans="1:26" ht="15.75" hidden="1" customHeight="1" outlineLevel="1" x14ac:dyDescent="0.3">
      <c r="A167" s="3"/>
      <c r="B167" s="10" t="s">
        <v>61</v>
      </c>
      <c r="C167" s="62"/>
      <c r="D167" s="62"/>
      <c r="E167" s="12">
        <v>0</v>
      </c>
      <c r="F167" s="12">
        <v>0</v>
      </c>
      <c r="G167" s="69"/>
      <c r="H167" s="63"/>
      <c r="I167" s="63"/>
      <c r="J167" s="3"/>
      <c r="K167" s="3"/>
      <c r="L167" s="3"/>
      <c r="M167" s="3"/>
      <c r="N167" s="3"/>
      <c r="O167" s="3"/>
      <c r="P167" s="3"/>
      <c r="Q167" s="3"/>
      <c r="R167" s="3"/>
      <c r="S167" s="3"/>
      <c r="T167" s="3"/>
      <c r="U167" s="3"/>
      <c r="V167" s="3"/>
      <c r="W167" s="44"/>
      <c r="X167" s="41"/>
      <c r="Y167" s="3"/>
      <c r="Z167" s="3"/>
    </row>
    <row r="168" spans="1:26" ht="15.75" hidden="1" customHeight="1" outlineLevel="1" x14ac:dyDescent="0.3">
      <c r="A168" s="3"/>
      <c r="B168" s="10" t="s">
        <v>61</v>
      </c>
      <c r="C168" s="62"/>
      <c r="D168" s="62"/>
      <c r="E168" s="12">
        <v>0</v>
      </c>
      <c r="F168" s="12">
        <v>0</v>
      </c>
      <c r="G168" s="70"/>
      <c r="H168" s="63"/>
      <c r="I168" s="63"/>
      <c r="J168" s="3"/>
      <c r="K168" s="3"/>
      <c r="L168" s="3"/>
      <c r="M168" s="3"/>
      <c r="N168" s="3"/>
      <c r="O168" s="3"/>
      <c r="P168" s="3"/>
      <c r="Q168" s="3"/>
      <c r="R168" s="3"/>
      <c r="S168" s="3"/>
      <c r="T168" s="3"/>
      <c r="U168" s="3"/>
      <c r="V168" s="3"/>
      <c r="W168" s="44"/>
      <c r="X168" s="41"/>
      <c r="Y168" s="3"/>
      <c r="Z168" s="3"/>
    </row>
    <row r="169" spans="1:26" ht="15.75" hidden="1" customHeight="1" outlineLevel="1" x14ac:dyDescent="0.3">
      <c r="A169" s="3"/>
      <c r="B169" s="10" t="s">
        <v>61</v>
      </c>
      <c r="C169" s="62"/>
      <c r="D169" s="62"/>
      <c r="E169" s="12">
        <v>0</v>
      </c>
      <c r="F169" s="12">
        <v>0</v>
      </c>
      <c r="G169" s="69"/>
      <c r="H169" s="63"/>
      <c r="I169" s="63"/>
      <c r="J169" s="3"/>
      <c r="K169" s="3"/>
      <c r="L169" s="3"/>
      <c r="M169" s="3"/>
      <c r="N169" s="3"/>
      <c r="O169" s="3"/>
      <c r="P169" s="3"/>
      <c r="Q169" s="3"/>
      <c r="R169" s="3"/>
      <c r="S169" s="3"/>
      <c r="T169" s="3"/>
      <c r="U169" s="3"/>
      <c r="V169" s="3"/>
      <c r="W169" s="44"/>
      <c r="X169" s="41"/>
      <c r="Y169" s="3"/>
      <c r="Z169" s="3"/>
    </row>
    <row r="170" spans="1:26" ht="15.75" hidden="1" customHeight="1" outlineLevel="1" x14ac:dyDescent="0.3">
      <c r="A170" s="3"/>
      <c r="B170" s="10" t="s">
        <v>61</v>
      </c>
      <c r="C170" s="62"/>
      <c r="D170" s="62"/>
      <c r="E170" s="12">
        <v>0</v>
      </c>
      <c r="F170" s="12">
        <v>0</v>
      </c>
      <c r="G170" s="69"/>
      <c r="H170" s="63"/>
      <c r="I170" s="63"/>
      <c r="J170" s="3"/>
      <c r="K170" s="3"/>
      <c r="L170" s="3"/>
      <c r="M170" s="3"/>
      <c r="N170" s="3"/>
      <c r="O170" s="3"/>
      <c r="P170" s="3"/>
      <c r="Q170" s="3"/>
      <c r="R170" s="3"/>
      <c r="S170" s="3"/>
      <c r="T170" s="3"/>
      <c r="U170" s="3"/>
      <c r="V170" s="3"/>
      <c r="W170" s="44"/>
      <c r="X170" s="41"/>
      <c r="Y170" s="3"/>
      <c r="Z170" s="3"/>
    </row>
    <row r="171" spans="1:26" ht="15.75" hidden="1" customHeight="1" outlineLevel="1" x14ac:dyDescent="0.3">
      <c r="A171" s="3"/>
      <c r="B171" s="10" t="s">
        <v>61</v>
      </c>
      <c r="C171" s="62"/>
      <c r="D171" s="62"/>
      <c r="E171" s="12">
        <v>0</v>
      </c>
      <c r="F171" s="12">
        <v>0</v>
      </c>
      <c r="G171" s="69"/>
      <c r="H171" s="63"/>
      <c r="I171" s="63"/>
      <c r="J171" s="3"/>
      <c r="K171" s="3"/>
      <c r="L171" s="3"/>
      <c r="M171" s="3"/>
      <c r="N171" s="3"/>
      <c r="O171" s="3"/>
      <c r="P171" s="3"/>
      <c r="Q171" s="3"/>
      <c r="R171" s="3"/>
      <c r="S171" s="3"/>
      <c r="T171" s="3"/>
      <c r="U171" s="3"/>
      <c r="V171" s="3"/>
      <c r="W171" s="44"/>
      <c r="X171" s="41"/>
      <c r="Y171" s="3"/>
      <c r="Z171" s="3"/>
    </row>
    <row r="172" spans="1:26" ht="15.75" hidden="1" customHeight="1" outlineLevel="1" x14ac:dyDescent="0.3">
      <c r="A172" s="3"/>
      <c r="B172" s="10" t="s">
        <v>61</v>
      </c>
      <c r="C172" s="62"/>
      <c r="D172" s="62"/>
      <c r="E172" s="12">
        <v>0</v>
      </c>
      <c r="F172" s="12">
        <v>0</v>
      </c>
      <c r="G172" s="69"/>
      <c r="H172" s="63"/>
      <c r="I172" s="63"/>
      <c r="J172" s="3"/>
      <c r="K172" s="3"/>
      <c r="L172" s="3"/>
      <c r="M172" s="3"/>
      <c r="N172" s="3"/>
      <c r="O172" s="3"/>
      <c r="P172" s="3"/>
      <c r="Q172" s="3"/>
      <c r="R172" s="3"/>
      <c r="S172" s="3"/>
      <c r="T172" s="3"/>
      <c r="U172" s="3"/>
      <c r="V172" s="3"/>
      <c r="W172" s="44"/>
      <c r="X172" s="41"/>
      <c r="Y172" s="3"/>
      <c r="Z172" s="3"/>
    </row>
    <row r="173" spans="1:26" ht="15.75" hidden="1" customHeight="1" outlineLevel="1" x14ac:dyDescent="0.3">
      <c r="A173" s="3"/>
      <c r="B173" s="10" t="s">
        <v>61</v>
      </c>
      <c r="C173" s="62"/>
      <c r="D173" s="62"/>
      <c r="E173" s="12">
        <v>0</v>
      </c>
      <c r="F173" s="12">
        <v>0</v>
      </c>
      <c r="G173" s="69"/>
      <c r="H173" s="63"/>
      <c r="I173" s="63"/>
      <c r="J173" s="3"/>
      <c r="K173" s="3"/>
      <c r="L173" s="3"/>
      <c r="M173" s="3"/>
      <c r="N173" s="3"/>
      <c r="O173" s="3"/>
      <c r="P173" s="3"/>
      <c r="Q173" s="3"/>
      <c r="R173" s="3"/>
      <c r="S173" s="3"/>
      <c r="T173" s="3"/>
      <c r="U173" s="3"/>
      <c r="V173" s="3"/>
      <c r="W173" s="44"/>
      <c r="X173" s="41"/>
      <c r="Y173" s="3"/>
      <c r="Z173" s="3"/>
    </row>
    <row r="174" spans="1:26" ht="15.75" hidden="1" customHeight="1" outlineLevel="1" x14ac:dyDescent="0.3">
      <c r="A174" s="3"/>
      <c r="B174" s="10" t="s">
        <v>61</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row>
    <row r="175" spans="1:26" ht="15.75" hidden="1" customHeight="1" outlineLevel="1" x14ac:dyDescent="0.3">
      <c r="A175" s="3"/>
      <c r="B175" s="10" t="s">
        <v>61</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row>
    <row r="176" spans="1:26" ht="15.75" hidden="1" customHeight="1" outlineLevel="1" x14ac:dyDescent="0.3">
      <c r="A176" s="3"/>
      <c r="B176" s="10" t="s">
        <v>61</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5.75" hidden="1" customHeight="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5.75" hidden="1" customHeight="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row>
    <row r="179" spans="1:26" ht="19.5" customHeight="1" collapsed="1" x14ac:dyDescent="0.3">
      <c r="A179" s="3"/>
      <c r="B179" s="73" t="s">
        <v>63</v>
      </c>
      <c r="C179" s="56" t="s">
        <v>43</v>
      </c>
      <c r="D179" s="56" t="s">
        <v>43</v>
      </c>
      <c r="E179" s="57">
        <f>SUM(E180:E182)</f>
        <v>0</v>
      </c>
      <c r="F179" s="57">
        <f>SUMIF(D180:D182,"OK",F180:F182)</f>
        <v>400</v>
      </c>
      <c r="G179" s="58" t="s">
        <v>43</v>
      </c>
      <c r="H179" s="74"/>
      <c r="I179" s="74"/>
      <c r="J179" s="3"/>
      <c r="K179" s="3"/>
      <c r="L179" s="3"/>
      <c r="M179" s="3"/>
      <c r="N179" s="3"/>
      <c r="O179" s="3"/>
      <c r="P179" s="3"/>
      <c r="Q179" s="3"/>
      <c r="R179" s="3"/>
      <c r="S179" s="3"/>
      <c r="T179" s="3"/>
      <c r="U179" s="3"/>
      <c r="V179" s="3"/>
      <c r="W179" s="44"/>
      <c r="X179" s="41"/>
      <c r="Y179" s="3"/>
      <c r="Z179" s="3"/>
    </row>
    <row r="180" spans="1:26" ht="15.75" hidden="1" customHeight="1" outlineLevel="1" x14ac:dyDescent="0.3">
      <c r="A180" s="3"/>
      <c r="B180" s="10" t="s">
        <v>1169</v>
      </c>
      <c r="C180" s="62">
        <v>13</v>
      </c>
      <c r="D180" s="62" t="s">
        <v>94</v>
      </c>
      <c r="E180" s="12">
        <v>0</v>
      </c>
      <c r="F180" s="12">
        <v>400</v>
      </c>
      <c r="G180" s="69" t="s">
        <v>1170</v>
      </c>
      <c r="H180" s="63" t="s">
        <v>37</v>
      </c>
      <c r="I180" s="63"/>
      <c r="J180" s="3"/>
      <c r="K180" s="3"/>
      <c r="L180" s="3"/>
      <c r="M180" s="3"/>
      <c r="N180" s="3"/>
      <c r="O180" s="3"/>
      <c r="P180" s="3"/>
      <c r="Q180" s="3"/>
      <c r="R180" s="3"/>
      <c r="S180" s="3"/>
      <c r="T180" s="3"/>
      <c r="U180" s="3"/>
      <c r="V180" s="3"/>
      <c r="W180" s="44"/>
      <c r="X180" s="41"/>
      <c r="Y180" s="3"/>
      <c r="Z180" s="3"/>
    </row>
    <row r="181" spans="1:26" ht="15.75" hidden="1" customHeight="1" outlineLevel="1" x14ac:dyDescent="0.3">
      <c r="A181" s="3"/>
      <c r="B181" s="10" t="s">
        <v>63</v>
      </c>
      <c r="C181" s="62"/>
      <c r="D181" s="62"/>
      <c r="E181" s="12">
        <v>0</v>
      </c>
      <c r="F181" s="12">
        <v>0</v>
      </c>
      <c r="G181" s="69"/>
      <c r="H181" s="63"/>
      <c r="I181" s="63"/>
      <c r="J181" s="3"/>
      <c r="K181" s="3"/>
      <c r="L181" s="3"/>
      <c r="M181" s="3"/>
      <c r="N181" s="3"/>
      <c r="O181" s="3"/>
      <c r="P181" s="3"/>
      <c r="Q181" s="3"/>
      <c r="R181" s="3"/>
      <c r="S181" s="3"/>
      <c r="T181" s="3"/>
      <c r="U181" s="3"/>
      <c r="V181" s="3"/>
      <c r="W181" s="44"/>
      <c r="X181" s="41"/>
      <c r="Y181" s="3"/>
      <c r="Z181" s="3"/>
    </row>
    <row r="182" spans="1:26" ht="15.75" hidden="1" customHeight="1" outlineLevel="1" x14ac:dyDescent="0.3">
      <c r="A182" s="3"/>
      <c r="B182" s="10" t="s">
        <v>63</v>
      </c>
      <c r="C182" s="62"/>
      <c r="D182" s="62"/>
      <c r="E182" s="12">
        <v>0</v>
      </c>
      <c r="F182" s="12">
        <v>0</v>
      </c>
      <c r="G182" s="67"/>
      <c r="H182" s="63"/>
      <c r="I182" s="63"/>
      <c r="J182" s="3"/>
      <c r="K182" s="3"/>
      <c r="L182" s="3"/>
      <c r="M182" s="3"/>
      <c r="N182" s="3"/>
      <c r="O182" s="3"/>
      <c r="P182" s="3"/>
      <c r="Q182" s="3"/>
      <c r="R182" s="3"/>
      <c r="S182" s="3"/>
      <c r="T182" s="3"/>
      <c r="U182" s="3"/>
      <c r="V182" s="3"/>
      <c r="W182" s="44"/>
      <c r="X182" s="41"/>
      <c r="Y182" s="3"/>
      <c r="Z182" s="3"/>
    </row>
    <row r="183" spans="1:26" ht="19.5" customHeight="1" collapsed="1" x14ac:dyDescent="0.3">
      <c r="A183" s="3"/>
      <c r="B183" s="73" t="s">
        <v>259</v>
      </c>
      <c r="C183" s="56" t="s">
        <v>43</v>
      </c>
      <c r="D183" s="56" t="s">
        <v>43</v>
      </c>
      <c r="E183" s="57">
        <f>SUM(E184:E190)</f>
        <v>0</v>
      </c>
      <c r="F183" s="57">
        <f>SUMIF(D184:D190,"OK",F184:F190)</f>
        <v>4.41</v>
      </c>
      <c r="G183" s="58" t="s">
        <v>43</v>
      </c>
      <c r="H183" s="74"/>
      <c r="I183" s="74"/>
      <c r="J183" s="3"/>
      <c r="K183" s="3"/>
      <c r="L183" s="3"/>
      <c r="M183" s="3"/>
      <c r="N183" s="3"/>
      <c r="O183" s="3"/>
      <c r="P183" s="3"/>
      <c r="Q183" s="3"/>
      <c r="R183" s="3"/>
      <c r="S183" s="3"/>
      <c r="T183" s="3"/>
      <c r="U183" s="3"/>
      <c r="V183" s="3"/>
      <c r="W183" s="44"/>
      <c r="X183" s="41"/>
      <c r="Y183" s="3"/>
      <c r="Z183" s="3"/>
    </row>
    <row r="184" spans="1:26" ht="15.75" hidden="1" customHeight="1" outlineLevel="1" x14ac:dyDescent="0.3">
      <c r="A184" s="3"/>
      <c r="B184" s="10" t="s">
        <v>260</v>
      </c>
      <c r="C184" s="62"/>
      <c r="D184" s="62"/>
      <c r="E184" s="12">
        <v>0</v>
      </c>
      <c r="F184" s="12">
        <v>0</v>
      </c>
      <c r="G184" s="67"/>
      <c r="H184" s="63" t="s">
        <v>37</v>
      </c>
      <c r="I184" s="63"/>
      <c r="J184" s="3"/>
      <c r="K184" s="3"/>
      <c r="L184" s="3"/>
      <c r="M184" s="3"/>
      <c r="N184" s="3"/>
      <c r="O184" s="3"/>
      <c r="P184" s="3"/>
      <c r="Q184" s="3"/>
      <c r="R184" s="3"/>
      <c r="S184" s="3"/>
      <c r="T184" s="3"/>
      <c r="U184" s="3"/>
      <c r="V184" s="3"/>
      <c r="W184" s="44"/>
      <c r="X184" s="41"/>
      <c r="Y184" s="3"/>
      <c r="Z184" s="3"/>
    </row>
    <row r="185" spans="1:26" ht="15.75" hidden="1" customHeight="1" outlineLevel="1" x14ac:dyDescent="0.3">
      <c r="A185" s="3"/>
      <c r="B185" s="10" t="s">
        <v>261</v>
      </c>
      <c r="C185" s="62" t="s">
        <v>641</v>
      </c>
      <c r="D185" s="62" t="s">
        <v>94</v>
      </c>
      <c r="E185" s="12">
        <v>0</v>
      </c>
      <c r="F185" s="12">
        <f>0.61+3.79+0.01</f>
        <v>4.41</v>
      </c>
      <c r="G185" s="69"/>
      <c r="H185" s="63" t="s">
        <v>38</v>
      </c>
      <c r="I185" s="63"/>
      <c r="J185" s="3"/>
      <c r="K185" s="3"/>
      <c r="L185" s="3"/>
      <c r="M185" s="3"/>
      <c r="N185" s="3"/>
      <c r="O185" s="3"/>
      <c r="P185" s="3"/>
      <c r="Q185" s="3"/>
      <c r="R185" s="3"/>
      <c r="S185" s="3"/>
      <c r="T185" s="3"/>
      <c r="U185" s="3"/>
      <c r="V185" s="3"/>
      <c r="W185" s="44"/>
      <c r="X185" s="41"/>
      <c r="Y185" s="3"/>
      <c r="Z185" s="3"/>
    </row>
    <row r="186" spans="1:26" ht="15.75" hidden="1" customHeight="1" outlineLevel="1" x14ac:dyDescent="0.3">
      <c r="A186" s="3"/>
      <c r="B186" s="10" t="s">
        <v>263</v>
      </c>
      <c r="C186" s="62"/>
      <c r="D186" s="62"/>
      <c r="E186" s="12">
        <v>0</v>
      </c>
      <c r="F186" s="12">
        <v>0</v>
      </c>
      <c r="G186" s="67"/>
      <c r="H186" s="63" t="s">
        <v>234</v>
      </c>
      <c r="I186" s="63"/>
      <c r="J186" s="3"/>
      <c r="K186" s="3"/>
      <c r="L186" s="3"/>
      <c r="M186" s="3"/>
      <c r="N186" s="3"/>
      <c r="O186" s="3"/>
      <c r="P186" s="3"/>
      <c r="Q186" s="3"/>
      <c r="R186" s="3"/>
      <c r="S186" s="3"/>
      <c r="T186" s="3"/>
      <c r="U186" s="3"/>
      <c r="V186" s="3"/>
      <c r="W186" s="44"/>
      <c r="X186" s="41"/>
      <c r="Y186" s="3"/>
      <c r="Z186" s="3"/>
    </row>
    <row r="187" spans="1:26" ht="15.75" hidden="1" customHeight="1" outlineLevel="1" x14ac:dyDescent="0.3">
      <c r="A187" s="3"/>
      <c r="B187" s="10" t="s">
        <v>264</v>
      </c>
      <c r="C187" s="62"/>
      <c r="D187" s="62"/>
      <c r="E187" s="12">
        <v>0</v>
      </c>
      <c r="F187" s="12">
        <v>0</v>
      </c>
      <c r="G187" s="67"/>
      <c r="H187" s="63" t="s">
        <v>265</v>
      </c>
      <c r="I187" s="63"/>
      <c r="J187" s="3"/>
      <c r="K187" s="3"/>
      <c r="L187" s="3"/>
      <c r="M187" s="3"/>
      <c r="N187" s="3"/>
      <c r="O187" s="3"/>
      <c r="P187" s="3"/>
      <c r="Q187" s="3"/>
      <c r="R187" s="3"/>
      <c r="S187" s="3"/>
      <c r="T187" s="3"/>
      <c r="U187" s="3"/>
      <c r="V187" s="3"/>
      <c r="W187" s="44"/>
      <c r="X187" s="41"/>
      <c r="Y187" s="3"/>
      <c r="Z187" s="3"/>
    </row>
    <row r="188" spans="1:26" ht="15.75" hidden="1" customHeight="1" outlineLevel="1" x14ac:dyDescent="0.3">
      <c r="A188" s="3"/>
      <c r="B188" s="10" t="s">
        <v>551</v>
      </c>
      <c r="C188" s="62"/>
      <c r="D188" s="62"/>
      <c r="E188" s="12">
        <v>0</v>
      </c>
      <c r="F188" s="12">
        <v>0</v>
      </c>
      <c r="G188" s="67"/>
      <c r="H188" s="63" t="s">
        <v>39</v>
      </c>
      <c r="I188" s="63"/>
      <c r="J188" s="3"/>
      <c r="K188" s="3"/>
      <c r="L188" s="3"/>
      <c r="M188" s="3"/>
      <c r="N188" s="3"/>
      <c r="O188" s="3"/>
      <c r="P188" s="3"/>
      <c r="Q188" s="3"/>
      <c r="R188" s="3"/>
      <c r="S188" s="3"/>
      <c r="T188" s="3"/>
      <c r="U188" s="3"/>
      <c r="V188" s="3"/>
      <c r="W188" s="44"/>
      <c r="X188" s="41"/>
      <c r="Y188" s="3"/>
      <c r="Z188" s="3"/>
    </row>
    <row r="189" spans="1:26" ht="15.75" hidden="1" customHeight="1" outlineLevel="1" x14ac:dyDescent="0.3">
      <c r="A189" s="3"/>
      <c r="B189" s="10" t="s">
        <v>916</v>
      </c>
      <c r="C189" s="62"/>
      <c r="D189" s="62"/>
      <c r="E189" s="12">
        <v>0</v>
      </c>
      <c r="F189" s="12">
        <v>0</v>
      </c>
      <c r="G189" s="67"/>
      <c r="H189" s="63"/>
      <c r="I189" s="63"/>
      <c r="J189" s="3"/>
      <c r="K189" s="3"/>
      <c r="L189" s="3"/>
      <c r="M189" s="3"/>
      <c r="N189" s="3"/>
      <c r="O189" s="3"/>
      <c r="P189" s="3"/>
      <c r="Q189" s="3"/>
      <c r="R189" s="3"/>
      <c r="S189" s="3"/>
      <c r="T189" s="3"/>
      <c r="U189" s="3"/>
      <c r="V189" s="3"/>
      <c r="W189" s="44"/>
      <c r="X189" s="41"/>
      <c r="Y189" s="3"/>
      <c r="Z189" s="3"/>
    </row>
    <row r="190" spans="1:26" ht="15.75" hidden="1" customHeight="1" outlineLevel="1" x14ac:dyDescent="0.3">
      <c r="A190" s="3"/>
      <c r="B190" s="10" t="s">
        <v>916</v>
      </c>
      <c r="C190" s="62"/>
      <c r="D190" s="62"/>
      <c r="E190" s="12">
        <v>0</v>
      </c>
      <c r="F190" s="12">
        <v>0</v>
      </c>
      <c r="G190" s="67"/>
      <c r="H190" s="63"/>
      <c r="I190" s="63"/>
      <c r="J190" s="3"/>
      <c r="K190" s="3"/>
      <c r="L190" s="3"/>
      <c r="M190" s="3"/>
      <c r="N190" s="3"/>
      <c r="O190" s="3"/>
      <c r="P190" s="3"/>
      <c r="Q190" s="3"/>
      <c r="R190" s="3"/>
      <c r="S190" s="3"/>
      <c r="T190" s="3"/>
      <c r="U190" s="3"/>
      <c r="V190" s="3"/>
      <c r="W190" s="44"/>
      <c r="X190" s="41"/>
      <c r="Y190" s="3"/>
      <c r="Z190" s="3"/>
    </row>
    <row r="191" spans="1:26" ht="15.75" customHeight="1" collapsed="1" x14ac:dyDescent="0.3">
      <c r="A191" s="3"/>
      <c r="B191" s="3"/>
      <c r="C191" s="37"/>
      <c r="D191" s="37"/>
      <c r="E191" s="37"/>
      <c r="F191" s="37"/>
      <c r="G191" s="123"/>
      <c r="H191" s="37"/>
      <c r="I191" s="37"/>
      <c r="J191" s="37"/>
      <c r="K191" s="37"/>
      <c r="L191" s="37"/>
      <c r="M191" s="37"/>
      <c r="N191" s="37"/>
      <c r="O191" s="37"/>
      <c r="P191" s="37"/>
      <c r="Q191" s="37"/>
      <c r="R191" s="37"/>
      <c r="S191" s="37"/>
      <c r="T191" s="37"/>
      <c r="U191" s="37"/>
      <c r="V191" s="37"/>
      <c r="W191" s="44"/>
      <c r="X191" s="41"/>
    </row>
    <row r="192" spans="1:26" ht="15.75" customHeight="1" x14ac:dyDescent="0.3">
      <c r="A192" s="3"/>
      <c r="B192" s="3"/>
      <c r="C192" s="37"/>
      <c r="D192" s="37"/>
      <c r="E192" s="37"/>
      <c r="F192" s="111"/>
      <c r="G192" s="123"/>
      <c r="H192" s="37"/>
      <c r="I192" s="37"/>
      <c r="J192" s="37"/>
      <c r="K192" s="37"/>
      <c r="L192" s="37"/>
      <c r="M192" s="37"/>
      <c r="N192" s="37"/>
      <c r="O192" s="37"/>
      <c r="P192" s="37"/>
      <c r="Q192" s="37"/>
      <c r="R192" s="37"/>
      <c r="S192" s="37"/>
      <c r="T192" s="37"/>
      <c r="U192" s="37"/>
      <c r="V192" s="37"/>
      <c r="W192" s="44"/>
      <c r="X192" s="41"/>
    </row>
    <row r="193" spans="1:24" ht="15.75" customHeight="1" x14ac:dyDescent="0.3">
      <c r="A193" s="3"/>
      <c r="B193" s="3"/>
      <c r="C193" s="37"/>
      <c r="D193" s="37"/>
      <c r="E193" s="37"/>
      <c r="F193" s="37"/>
      <c r="G193" s="123"/>
      <c r="H193" s="37"/>
      <c r="I193" s="37"/>
      <c r="J193" s="37"/>
      <c r="K193" s="37"/>
      <c r="L193" s="37"/>
      <c r="M193" s="37"/>
      <c r="N193" s="37"/>
      <c r="O193" s="37"/>
      <c r="P193" s="37"/>
      <c r="Q193" s="37"/>
      <c r="R193" s="37"/>
      <c r="S193" s="37"/>
      <c r="T193" s="37"/>
      <c r="U193" s="37"/>
      <c r="V193" s="37"/>
      <c r="W193" s="44"/>
      <c r="X193" s="41"/>
    </row>
    <row r="194" spans="1:24" ht="15.75" customHeight="1" x14ac:dyDescent="0.3">
      <c r="A194" s="3"/>
      <c r="B194" s="3"/>
      <c r="C194" s="37"/>
      <c r="D194" s="37"/>
      <c r="E194" s="37"/>
      <c r="F194" s="37"/>
      <c r="G194" s="123"/>
      <c r="H194" s="37"/>
      <c r="I194" s="37"/>
      <c r="J194" s="37"/>
      <c r="K194" s="37"/>
      <c r="L194" s="37"/>
      <c r="M194" s="37"/>
      <c r="N194" s="37"/>
      <c r="O194" s="37"/>
      <c r="P194" s="37"/>
      <c r="Q194" s="37"/>
      <c r="R194" s="37"/>
      <c r="S194" s="37"/>
      <c r="T194" s="37"/>
      <c r="U194" s="37"/>
      <c r="V194" s="37"/>
      <c r="W194" s="44"/>
      <c r="X194" s="41"/>
    </row>
    <row r="195" spans="1:24" ht="15.75" customHeight="1" x14ac:dyDescent="0.3">
      <c r="A195" s="3"/>
      <c r="B195" s="3"/>
      <c r="C195" s="37"/>
      <c r="D195" s="37"/>
      <c r="E195" s="37"/>
      <c r="F195" s="37"/>
      <c r="G195" s="123"/>
      <c r="H195" s="37"/>
      <c r="I195" s="37"/>
      <c r="J195" s="37"/>
      <c r="K195" s="37"/>
      <c r="L195" s="37"/>
      <c r="M195" s="37"/>
      <c r="N195" s="37"/>
      <c r="O195" s="37"/>
      <c r="P195" s="37"/>
      <c r="Q195" s="37"/>
      <c r="R195" s="37"/>
      <c r="S195" s="37"/>
      <c r="T195" s="37"/>
      <c r="U195" s="37"/>
      <c r="V195" s="37"/>
      <c r="W195" s="44"/>
      <c r="X195" s="41"/>
    </row>
    <row r="196" spans="1:24" ht="15.75" customHeight="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4" ht="15.75" customHeight="1" x14ac:dyDescent="0.3">
      <c r="A197" s="3"/>
      <c r="B197" s="3"/>
      <c r="C197" s="37"/>
      <c r="D197" s="37"/>
      <c r="E197" s="37"/>
      <c r="F197" s="37"/>
      <c r="G197" s="123"/>
      <c r="H197" s="37"/>
      <c r="I197" s="37"/>
      <c r="J197" s="37"/>
      <c r="K197" s="37"/>
      <c r="L197" s="37"/>
      <c r="M197" s="37"/>
      <c r="N197" s="37"/>
      <c r="O197" s="37"/>
      <c r="P197" s="37"/>
      <c r="Q197" s="37"/>
      <c r="R197" s="37"/>
      <c r="S197" s="37"/>
      <c r="T197" s="37"/>
      <c r="U197" s="37"/>
      <c r="V197" s="37"/>
      <c r="W197" s="44"/>
      <c r="X197" s="41"/>
    </row>
    <row r="198" spans="1:24"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4"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4"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4"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4"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4"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4"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4"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4"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4"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4"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row r="392" spans="1:24" ht="15.75" customHeight="1" x14ac:dyDescent="0.3"/>
    <row r="393" spans="1:24" ht="15.75" customHeight="1" x14ac:dyDescent="0.3"/>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autoFilter ref="C5:F190" xr:uid="{00000000-0009-0000-0000-00000F000000}"/>
  <mergeCells count="30">
    <mergeCell ref="G48:G49"/>
    <mergeCell ref="G89:G90"/>
    <mergeCell ref="G92:G93"/>
    <mergeCell ref="G50:G51"/>
    <mergeCell ref="G53:G54"/>
    <mergeCell ref="G56:G57"/>
    <mergeCell ref="G60:G61"/>
    <mergeCell ref="G66:G67"/>
    <mergeCell ref="G71:G72"/>
    <mergeCell ref="G85:G86"/>
    <mergeCell ref="G35:G36"/>
    <mergeCell ref="G37:G40"/>
    <mergeCell ref="G42:G43"/>
    <mergeCell ref="G44:G45"/>
    <mergeCell ref="G46:G47"/>
    <mergeCell ref="G21:G22"/>
    <mergeCell ref="G25:G26"/>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3">
    <cfRule type="cellIs" dxfId="23" priority="1" operator="equal">
      <formula>"Diferente"</formula>
    </cfRule>
    <cfRule type="cellIs" dxfId="22" priority="2" operator="equal">
      <formula>"OK"</formula>
    </cfRule>
  </conditionalFormatting>
  <dataValidations count="1">
    <dataValidation type="list" allowBlank="1" showErrorMessage="1" sqref="D7:D123 D126:D127 D129:D131 D133:D136 D138:D143 D145:D148 D151:D154 D156:D159 D161:D163 D165:D178 D180:D182 D184:D190" xr:uid="{00000000-0002-0000-0F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F00-000000000000}">
          <x14:formula1>
            <xm:f>'Plano de contas DG'!$C$5:$C$38</xm:f>
          </x14:formula1>
          <xm:sqref>I6:I190</xm:sqref>
        </x14:dataValidation>
        <x14:dataValidation type="list" allowBlank="1" showErrorMessage="1" xr:uid="{00000000-0002-0000-0F00-000001000000}">
          <x14:formula1>
            <xm:f>Caixa!$B$5:$B$8</xm:f>
          </x14:formula1>
          <xm:sqref>H7:H123 H126:H127 H129:H131 H133:H136 H138:H143 H145:H148 H151:H154 H156:H159 H161:H163 H165:H178 H180:H182 H184:H190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sheetPr>
  <dimension ref="A1:Z101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hidden="1"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2"/>
      <c r="H2" s="82"/>
      <c r="I2" s="83"/>
      <c r="J2" s="82"/>
      <c r="K2" s="37"/>
      <c r="L2" s="37"/>
      <c r="M2" s="37"/>
      <c r="N2" s="37"/>
      <c r="O2" s="37"/>
      <c r="P2" s="37"/>
      <c r="Q2" s="37"/>
      <c r="R2" s="37"/>
      <c r="S2" s="37"/>
      <c r="T2" s="37"/>
      <c r="U2" s="3"/>
    </row>
    <row r="3" spans="1:26" ht="14.4" x14ac:dyDescent="0.3">
      <c r="A3" s="3"/>
      <c r="B3" s="206"/>
      <c r="C3" s="240"/>
      <c r="D3" s="241"/>
      <c r="E3" s="241"/>
      <c r="F3" s="242"/>
      <c r="G3" s="82"/>
      <c r="H3" s="82"/>
      <c r="I3" s="83"/>
      <c r="J3" s="82"/>
      <c r="K3" s="37"/>
      <c r="L3" s="37"/>
      <c r="M3" s="37"/>
      <c r="N3" s="37"/>
      <c r="O3" s="37"/>
      <c r="P3" s="37"/>
      <c r="Q3" s="37"/>
      <c r="R3" s="37"/>
      <c r="S3" s="37"/>
      <c r="T3" s="37"/>
      <c r="U3" s="3"/>
    </row>
    <row r="4" spans="1:26" ht="14.4" x14ac:dyDescent="0.3">
      <c r="A4" s="3"/>
      <c r="B4" s="227" t="s">
        <v>73</v>
      </c>
      <c r="C4" s="48" t="s">
        <v>43</v>
      </c>
      <c r="D4" s="48" t="s">
        <v>43</v>
      </c>
      <c r="E4" s="26">
        <f>SUBTOTAL(9,E16,E63,E38,E158,E183,E189,E87,E6,E34,E268,E319,E218,E228,E238,E248,E258,E113)</f>
        <v>0</v>
      </c>
      <c r="F4" s="26">
        <f>SUBTOTAL(9,F16,F63,F38,F148,F158,F183,F189,F87,F6,F34,F268,F319,F218,F228,F238,F248,F258,F113)</f>
        <v>19129.049999999996</v>
      </c>
      <c r="G4" s="48" t="s">
        <v>43</v>
      </c>
      <c r="H4" s="237" t="s">
        <v>1</v>
      </c>
      <c r="I4" s="243" t="s">
        <v>270</v>
      </c>
      <c r="J4" s="237" t="s">
        <v>74</v>
      </c>
      <c r="K4" s="37"/>
      <c r="L4" s="37"/>
      <c r="M4" s="37"/>
      <c r="N4" s="37"/>
      <c r="O4" s="37"/>
      <c r="P4" s="37"/>
      <c r="Q4" s="37"/>
      <c r="R4" s="37"/>
      <c r="S4" s="37"/>
      <c r="T4" s="37"/>
      <c r="U4" s="3"/>
      <c r="W4" s="3"/>
      <c r="X4" s="3"/>
      <c r="Y4" s="3"/>
      <c r="Z4" s="3"/>
    </row>
    <row r="5" spans="1:26" ht="14.4"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1266.6399999999999</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v>1</v>
      </c>
      <c r="D7" s="62" t="s">
        <v>94</v>
      </c>
      <c r="E7" s="12">
        <v>0</v>
      </c>
      <c r="F7" s="12">
        <v>562.30999999999995</v>
      </c>
      <c r="G7" s="89"/>
      <c r="H7" s="65" t="s">
        <v>37</v>
      </c>
      <c r="I7" s="112" t="s">
        <v>1171</v>
      </c>
      <c r="J7" s="65"/>
      <c r="K7" s="37"/>
      <c r="L7" s="37"/>
      <c r="M7" s="37"/>
      <c r="N7" s="37"/>
      <c r="O7" s="37"/>
      <c r="P7" s="37"/>
      <c r="Q7" s="37"/>
      <c r="R7" s="37"/>
      <c r="S7" s="37"/>
      <c r="T7" s="37"/>
      <c r="U7" s="3"/>
      <c r="W7" s="3"/>
      <c r="X7" s="3"/>
      <c r="Y7" s="3"/>
      <c r="Z7" s="3"/>
    </row>
    <row r="8" spans="1:26" ht="14.4" hidden="1" outlineLevel="1" x14ac:dyDescent="0.3">
      <c r="A8" s="3"/>
      <c r="B8" s="10" t="s">
        <v>277</v>
      </c>
      <c r="C8" s="62"/>
      <c r="D8" s="62"/>
      <c r="E8" s="12">
        <v>0</v>
      </c>
      <c r="F8" s="12">
        <v>0</v>
      </c>
      <c r="G8" s="89"/>
      <c r="H8" s="65"/>
      <c r="I8" s="112"/>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89"/>
      <c r="H9" s="65"/>
      <c r="I9" s="112"/>
      <c r="J9" s="65"/>
      <c r="K9" s="37"/>
      <c r="L9" s="37"/>
      <c r="M9" s="37"/>
      <c r="N9" s="37"/>
      <c r="O9" s="37"/>
      <c r="P9" s="37"/>
      <c r="Q9" s="37"/>
      <c r="R9" s="37"/>
      <c r="S9" s="37"/>
      <c r="T9" s="37"/>
      <c r="U9" s="3"/>
      <c r="W9" s="3"/>
      <c r="X9" s="3"/>
      <c r="Y9" s="3"/>
      <c r="Z9" s="3"/>
    </row>
    <row r="10" spans="1:26" ht="14.4" hidden="1" outlineLevel="1" x14ac:dyDescent="0.3">
      <c r="A10" s="3"/>
      <c r="B10" s="10" t="s">
        <v>281</v>
      </c>
      <c r="C10" s="62">
        <v>7</v>
      </c>
      <c r="D10" s="62" t="s">
        <v>94</v>
      </c>
      <c r="E10" s="12">
        <v>0</v>
      </c>
      <c r="F10" s="12">
        <v>306.18</v>
      </c>
      <c r="G10" s="89" t="s">
        <v>1172</v>
      </c>
      <c r="H10" s="65" t="s">
        <v>37</v>
      </c>
      <c r="I10" s="112" t="s">
        <v>1173</v>
      </c>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v>7</v>
      </c>
      <c r="D11" s="62" t="s">
        <v>94</v>
      </c>
      <c r="E11" s="12">
        <v>0</v>
      </c>
      <c r="F11" s="12">
        <v>69.39</v>
      </c>
      <c r="G11" s="89" t="s">
        <v>737</v>
      </c>
      <c r="H11" s="65" t="s">
        <v>37</v>
      </c>
      <c r="I11" s="112" t="s">
        <v>1174</v>
      </c>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v>7</v>
      </c>
      <c r="D12" s="62" t="s">
        <v>94</v>
      </c>
      <c r="E12" s="12">
        <v>0</v>
      </c>
      <c r="F12" s="12">
        <v>48.78</v>
      </c>
      <c r="G12" s="89" t="s">
        <v>919</v>
      </c>
      <c r="H12" s="65" t="s">
        <v>37</v>
      </c>
      <c r="I12" s="112" t="s">
        <v>1175</v>
      </c>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v>17</v>
      </c>
      <c r="D14" s="62" t="s">
        <v>94</v>
      </c>
      <c r="E14" s="12">
        <v>0</v>
      </c>
      <c r="F14" s="12">
        <v>129.97999999999999</v>
      </c>
      <c r="G14" s="89" t="s">
        <v>1176</v>
      </c>
      <c r="H14" s="65" t="s">
        <v>37</v>
      </c>
      <c r="I14" s="112" t="s">
        <v>1177</v>
      </c>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v>28</v>
      </c>
      <c r="D15" s="62" t="s">
        <v>94</v>
      </c>
      <c r="E15" s="12">
        <v>0</v>
      </c>
      <c r="F15" s="12">
        <v>150</v>
      </c>
      <c r="G15" s="89" t="s">
        <v>1178</v>
      </c>
      <c r="H15" s="65" t="s">
        <v>37</v>
      </c>
      <c r="I15" s="112" t="s">
        <v>1179</v>
      </c>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6708.57</v>
      </c>
      <c r="G16" s="87"/>
      <c r="H16" s="87"/>
      <c r="I16" s="88"/>
      <c r="J16" s="87"/>
      <c r="K16" s="37"/>
      <c r="L16" s="37"/>
      <c r="M16" s="37"/>
      <c r="N16" s="37"/>
      <c r="O16" s="37"/>
      <c r="P16" s="37"/>
      <c r="Q16" s="37"/>
      <c r="R16" s="37"/>
      <c r="S16" s="37"/>
      <c r="T16" s="37"/>
      <c r="U16" s="3"/>
    </row>
    <row r="17" spans="1:22" ht="14.4" hidden="1" outlineLevel="1" x14ac:dyDescent="0.3">
      <c r="A17" s="3"/>
      <c r="B17" s="10" t="s">
        <v>561</v>
      </c>
      <c r="C17" s="62">
        <v>26</v>
      </c>
      <c r="D17" s="62" t="s">
        <v>94</v>
      </c>
      <c r="E17" s="12">
        <v>0</v>
      </c>
      <c r="F17" s="12">
        <v>1438</v>
      </c>
      <c r="G17" s="249" t="s">
        <v>1180</v>
      </c>
      <c r="H17" s="65" t="s">
        <v>37</v>
      </c>
      <c r="I17" s="246" t="s">
        <v>1181</v>
      </c>
      <c r="J17" s="65"/>
      <c r="K17" s="37"/>
      <c r="L17" s="37"/>
      <c r="M17" s="37"/>
      <c r="N17" s="37"/>
      <c r="O17" s="37"/>
      <c r="P17" s="37"/>
      <c r="Q17" s="37"/>
      <c r="R17" s="37"/>
      <c r="S17" s="37"/>
      <c r="T17" s="37"/>
      <c r="U17" s="3"/>
    </row>
    <row r="18" spans="1:22" ht="14.4" hidden="1" outlineLevel="1" x14ac:dyDescent="0.3">
      <c r="A18" s="3"/>
      <c r="B18" s="10" t="s">
        <v>563</v>
      </c>
      <c r="C18" s="62">
        <v>26</v>
      </c>
      <c r="D18" s="62" t="s">
        <v>94</v>
      </c>
      <c r="E18" s="12">
        <v>0</v>
      </c>
      <c r="F18" s="12">
        <v>819</v>
      </c>
      <c r="G18" s="215"/>
      <c r="H18" s="65" t="s">
        <v>37</v>
      </c>
      <c r="I18" s="215"/>
      <c r="J18" s="65"/>
      <c r="K18" s="37"/>
      <c r="L18" s="37"/>
      <c r="M18" s="37"/>
      <c r="N18" s="37"/>
      <c r="O18" s="37"/>
      <c r="P18" s="37"/>
      <c r="Q18" s="37"/>
      <c r="R18" s="37"/>
      <c r="S18" s="37"/>
      <c r="T18" s="37"/>
      <c r="U18" s="3"/>
    </row>
    <row r="19" spans="1:22" ht="14.4" hidden="1" outlineLevel="1" x14ac:dyDescent="0.3">
      <c r="A19" s="3"/>
      <c r="B19" s="10" t="s">
        <v>564</v>
      </c>
      <c r="C19" s="62">
        <v>26</v>
      </c>
      <c r="D19" s="62" t="s">
        <v>94</v>
      </c>
      <c r="E19" s="12">
        <v>0</v>
      </c>
      <c r="F19" s="12">
        <v>100</v>
      </c>
      <c r="G19" s="215"/>
      <c r="H19" s="65" t="s">
        <v>37</v>
      </c>
      <c r="I19" s="215"/>
      <c r="J19" s="65"/>
      <c r="K19" s="37"/>
      <c r="L19" s="37"/>
      <c r="M19" s="37"/>
      <c r="N19" s="37"/>
      <c r="O19" s="37"/>
      <c r="P19" s="37"/>
      <c r="Q19" s="37"/>
      <c r="R19" s="37"/>
      <c r="S19" s="37"/>
      <c r="T19" s="37"/>
      <c r="U19" s="3"/>
    </row>
    <row r="20" spans="1:22" ht="14.4" hidden="1" outlineLevel="1" x14ac:dyDescent="0.3">
      <c r="A20" s="3"/>
      <c r="B20" s="10" t="s">
        <v>565</v>
      </c>
      <c r="C20" s="62">
        <v>26</v>
      </c>
      <c r="D20" s="62" t="s">
        <v>94</v>
      </c>
      <c r="E20" s="12">
        <v>0</v>
      </c>
      <c r="F20" s="12">
        <v>100</v>
      </c>
      <c r="G20" s="215"/>
      <c r="H20" s="65" t="s">
        <v>37</v>
      </c>
      <c r="I20" s="215"/>
      <c r="J20" s="65"/>
      <c r="K20" s="37"/>
      <c r="L20" s="37"/>
      <c r="M20" s="37"/>
      <c r="N20" s="37"/>
      <c r="O20" s="37"/>
      <c r="P20" s="37"/>
      <c r="Q20" s="37"/>
      <c r="R20" s="37"/>
      <c r="S20" s="37"/>
      <c r="T20" s="37"/>
      <c r="U20" s="3"/>
    </row>
    <row r="21" spans="1:22" ht="14.4" hidden="1" outlineLevel="1" x14ac:dyDescent="0.3">
      <c r="A21" s="3"/>
      <c r="B21" s="10" t="s">
        <v>566</v>
      </c>
      <c r="C21" s="62">
        <v>26</v>
      </c>
      <c r="D21" s="62" t="s">
        <v>94</v>
      </c>
      <c r="E21" s="12">
        <v>0</v>
      </c>
      <c r="F21" s="12">
        <v>400</v>
      </c>
      <c r="G21" s="216"/>
      <c r="H21" s="65" t="s">
        <v>37</v>
      </c>
      <c r="I21" s="216"/>
      <c r="J21" s="65"/>
      <c r="K21" s="37"/>
      <c r="L21" s="37"/>
      <c r="M21" s="37"/>
      <c r="N21" s="37"/>
      <c r="O21" s="37"/>
      <c r="P21" s="37"/>
      <c r="Q21" s="37"/>
      <c r="R21" s="37"/>
      <c r="S21" s="37"/>
      <c r="T21" s="37"/>
      <c r="U21" s="3"/>
    </row>
    <row r="22" spans="1:22" ht="14.4" hidden="1" outlineLevel="1" x14ac:dyDescent="0.3">
      <c r="A22" s="3"/>
      <c r="B22" s="10" t="s">
        <v>567</v>
      </c>
      <c r="C22" s="62">
        <v>16</v>
      </c>
      <c r="D22" s="62" t="s">
        <v>94</v>
      </c>
      <c r="E22" s="12">
        <v>0</v>
      </c>
      <c r="F22" s="12">
        <v>160</v>
      </c>
      <c r="G22" s="249" t="s">
        <v>1182</v>
      </c>
      <c r="H22" s="65" t="s">
        <v>37</v>
      </c>
      <c r="I22" s="246" t="s">
        <v>1183</v>
      </c>
      <c r="J22" s="65"/>
      <c r="K22" s="37"/>
      <c r="L22" s="37"/>
      <c r="M22" s="37"/>
      <c r="N22" s="37"/>
      <c r="O22" s="37"/>
      <c r="P22" s="37"/>
      <c r="Q22" s="37"/>
      <c r="R22" s="37"/>
      <c r="S22" s="37"/>
      <c r="T22" s="37"/>
      <c r="U22" s="3"/>
      <c r="V22" s="18"/>
    </row>
    <row r="23" spans="1:22" ht="14.4" hidden="1" outlineLevel="1" x14ac:dyDescent="0.3">
      <c r="A23" s="3"/>
      <c r="B23" s="10" t="s">
        <v>570</v>
      </c>
      <c r="C23" s="62">
        <v>16</v>
      </c>
      <c r="D23" s="62" t="s">
        <v>94</v>
      </c>
      <c r="E23" s="12">
        <v>0</v>
      </c>
      <c r="F23" s="12">
        <v>480</v>
      </c>
      <c r="G23" s="215"/>
      <c r="H23" s="65" t="s">
        <v>37</v>
      </c>
      <c r="I23" s="215"/>
      <c r="J23" s="65"/>
      <c r="K23" s="37"/>
      <c r="L23" s="37"/>
      <c r="M23" s="37"/>
      <c r="N23" s="37"/>
      <c r="O23" s="37"/>
      <c r="P23" s="37"/>
      <c r="Q23" s="37"/>
      <c r="R23" s="37"/>
      <c r="S23" s="37"/>
      <c r="T23" s="37"/>
      <c r="U23" s="3"/>
      <c r="V23" s="18"/>
    </row>
    <row r="24" spans="1:22" ht="14.4" hidden="1" outlineLevel="1" x14ac:dyDescent="0.3">
      <c r="A24" s="3"/>
      <c r="B24" s="10" t="s">
        <v>571</v>
      </c>
      <c r="C24" s="62">
        <v>16</v>
      </c>
      <c r="D24" s="62" t="s">
        <v>94</v>
      </c>
      <c r="E24" s="12">
        <v>0</v>
      </c>
      <c r="F24" s="12">
        <v>530</v>
      </c>
      <c r="G24" s="215"/>
      <c r="H24" s="65" t="s">
        <v>37</v>
      </c>
      <c r="I24" s="215"/>
      <c r="J24" s="65"/>
      <c r="K24" s="37"/>
      <c r="L24" s="37"/>
      <c r="M24" s="37"/>
      <c r="N24" s="37"/>
      <c r="O24" s="37"/>
      <c r="P24" s="37"/>
      <c r="Q24" s="37"/>
      <c r="R24" s="37"/>
      <c r="S24" s="37"/>
      <c r="T24" s="37"/>
      <c r="U24" s="3"/>
      <c r="V24" s="18"/>
    </row>
    <row r="25" spans="1:22" ht="14.4" hidden="1" outlineLevel="1" x14ac:dyDescent="0.3">
      <c r="A25" s="3"/>
      <c r="B25" s="10" t="s">
        <v>572</v>
      </c>
      <c r="C25" s="62">
        <v>16</v>
      </c>
      <c r="D25" s="62" t="s">
        <v>94</v>
      </c>
      <c r="E25" s="12">
        <v>0</v>
      </c>
      <c r="F25" s="12">
        <v>30</v>
      </c>
      <c r="G25" s="215"/>
      <c r="H25" s="65" t="s">
        <v>37</v>
      </c>
      <c r="I25" s="215"/>
      <c r="J25" s="65"/>
      <c r="K25" s="37"/>
      <c r="L25" s="37"/>
      <c r="M25" s="37"/>
      <c r="N25" s="37"/>
      <c r="O25" s="37"/>
      <c r="P25" s="37"/>
      <c r="Q25" s="37"/>
      <c r="R25" s="37"/>
      <c r="S25" s="37"/>
      <c r="T25" s="37"/>
      <c r="U25" s="3"/>
      <c r="V25" s="18"/>
    </row>
    <row r="26" spans="1:22" ht="14.4" hidden="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4.4" hidden="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4.4" hidden="1" outlineLevel="1" x14ac:dyDescent="0.3">
      <c r="A28" s="3"/>
      <c r="B28" s="10" t="s">
        <v>1184</v>
      </c>
      <c r="C28" s="62">
        <v>16</v>
      </c>
      <c r="D28" s="62" t="s">
        <v>94</v>
      </c>
      <c r="E28" s="12">
        <v>0</v>
      </c>
      <c r="F28" s="12">
        <v>100</v>
      </c>
      <c r="G28" s="216"/>
      <c r="H28" s="65" t="s">
        <v>37</v>
      </c>
      <c r="I28" s="216"/>
      <c r="J28" s="65"/>
      <c r="K28" s="37"/>
      <c r="L28" s="37"/>
      <c r="M28" s="37"/>
      <c r="N28" s="37"/>
      <c r="O28" s="37"/>
      <c r="P28" s="37"/>
      <c r="Q28" s="37"/>
      <c r="R28" s="37"/>
      <c r="S28" s="37"/>
      <c r="T28" s="37"/>
      <c r="U28" s="3"/>
      <c r="V28" s="18"/>
    </row>
    <row r="29" spans="1:22" ht="14.4" hidden="1" outlineLevel="1" x14ac:dyDescent="0.3">
      <c r="A29" s="3"/>
      <c r="B29" s="10" t="s">
        <v>292</v>
      </c>
      <c r="C29" s="62">
        <v>16</v>
      </c>
      <c r="D29" s="62" t="s">
        <v>94</v>
      </c>
      <c r="E29" s="12">
        <v>0</v>
      </c>
      <c r="F29" s="12">
        <v>108</v>
      </c>
      <c r="G29" s="65"/>
      <c r="H29" s="65" t="s">
        <v>37</v>
      </c>
      <c r="I29" s="112" t="s">
        <v>1185</v>
      </c>
      <c r="J29" s="65"/>
      <c r="K29" s="37"/>
      <c r="L29" s="37"/>
      <c r="M29" s="37"/>
      <c r="N29" s="37"/>
      <c r="O29" s="37"/>
      <c r="P29" s="37"/>
      <c r="Q29" s="37"/>
      <c r="R29" s="37"/>
      <c r="S29" s="37"/>
      <c r="T29" s="37"/>
      <c r="U29" s="3"/>
      <c r="V29" s="18"/>
    </row>
    <row r="30" spans="1:22" ht="14.4" hidden="1" outlineLevel="1" x14ac:dyDescent="0.3">
      <c r="A30" s="3"/>
      <c r="B30" s="10" t="s">
        <v>294</v>
      </c>
      <c r="C30" s="62">
        <v>30</v>
      </c>
      <c r="D30" s="62" t="s">
        <v>94</v>
      </c>
      <c r="E30" s="12">
        <v>0</v>
      </c>
      <c r="F30" s="12">
        <v>2289.3200000000002</v>
      </c>
      <c r="G30" s="89"/>
      <c r="H30" s="65" t="s">
        <v>37</v>
      </c>
      <c r="I30" s="112" t="s">
        <v>1186</v>
      </c>
      <c r="J30" s="65"/>
      <c r="K30" s="37"/>
      <c r="L30" s="37"/>
      <c r="M30" s="37"/>
      <c r="N30" s="37"/>
      <c r="O30" s="37"/>
      <c r="P30" s="37"/>
      <c r="Q30" s="37"/>
      <c r="R30" s="37"/>
      <c r="S30" s="37"/>
      <c r="T30" s="37"/>
      <c r="U30" s="3"/>
    </row>
    <row r="31" spans="1:22" ht="14.4" hidden="1" outlineLevel="1" x14ac:dyDescent="0.3">
      <c r="A31" s="3"/>
      <c r="B31" s="10" t="s">
        <v>579</v>
      </c>
      <c r="C31" s="62"/>
      <c r="D31" s="62"/>
      <c r="E31" s="12">
        <v>0</v>
      </c>
      <c r="F31" s="12">
        <v>0</v>
      </c>
      <c r="G31" s="65"/>
      <c r="H31" s="65"/>
      <c r="I31" s="112"/>
      <c r="J31" s="65"/>
      <c r="K31" s="37"/>
      <c r="L31" s="37"/>
      <c r="M31" s="37"/>
      <c r="N31" s="37"/>
      <c r="O31" s="37"/>
      <c r="P31" s="37"/>
      <c r="Q31" s="37"/>
      <c r="R31" s="37"/>
      <c r="S31" s="37"/>
      <c r="T31" s="37"/>
      <c r="U31" s="3"/>
    </row>
    <row r="32" spans="1:22" ht="14.4" hidden="1" outlineLevel="1" x14ac:dyDescent="0.3">
      <c r="A32" s="3"/>
      <c r="B32" s="10" t="s">
        <v>749</v>
      </c>
      <c r="C32" s="62">
        <v>16</v>
      </c>
      <c r="D32" s="62" t="s">
        <v>94</v>
      </c>
      <c r="E32" s="12">
        <v>0</v>
      </c>
      <c r="F32" s="12">
        <v>154.25</v>
      </c>
      <c r="G32" s="89" t="s">
        <v>1187</v>
      </c>
      <c r="H32" s="65" t="s">
        <v>37</v>
      </c>
      <c r="I32" s="112" t="s">
        <v>1188</v>
      </c>
      <c r="J32" s="65"/>
      <c r="K32" s="37"/>
      <c r="L32" s="37"/>
      <c r="M32" s="37"/>
      <c r="N32" s="37"/>
      <c r="O32" s="37"/>
      <c r="P32" s="37"/>
      <c r="Q32" s="37"/>
      <c r="R32" s="37"/>
      <c r="S32" s="37"/>
      <c r="T32" s="37"/>
      <c r="U32" s="3"/>
    </row>
    <row r="33" spans="1:26" ht="14.4" hidden="1" outlineLevel="1" x14ac:dyDescent="0.3">
      <c r="A33" s="3"/>
      <c r="B33" s="10" t="s">
        <v>582</v>
      </c>
      <c r="C33" s="62"/>
      <c r="D33" s="62"/>
      <c r="E33" s="12">
        <v>0</v>
      </c>
      <c r="F33" s="12">
        <v>0</v>
      </c>
      <c r="G33" s="65"/>
      <c r="H33" s="65"/>
      <c r="I33" s="89"/>
      <c r="J33" s="65"/>
      <c r="K33" s="37"/>
      <c r="L33" s="37"/>
      <c r="M33" s="37"/>
      <c r="N33" s="37"/>
      <c r="O33" s="37"/>
      <c r="P33" s="37"/>
      <c r="Q33" s="37"/>
      <c r="R33" s="37"/>
      <c r="S33" s="37"/>
      <c r="T33" s="37"/>
      <c r="U33" s="3"/>
    </row>
    <row r="34" spans="1:26" ht="20.399999999999999" collapsed="1" x14ac:dyDescent="0.3">
      <c r="A34" s="3"/>
      <c r="B34" s="84" t="s">
        <v>300</v>
      </c>
      <c r="C34" s="85" t="s">
        <v>43</v>
      </c>
      <c r="D34" s="85" t="s">
        <v>43</v>
      </c>
      <c r="E34" s="86">
        <f>SUM(E35:E37)</f>
        <v>0</v>
      </c>
      <c r="F34" s="86">
        <f>SUMIF(D35:D37,"OK",F35:F37)</f>
        <v>0.99</v>
      </c>
      <c r="G34" s="87"/>
      <c r="H34" s="87"/>
      <c r="I34" s="88"/>
      <c r="J34" s="87"/>
      <c r="K34" s="37"/>
      <c r="L34" s="37"/>
      <c r="M34" s="37"/>
      <c r="N34" s="37"/>
      <c r="O34" s="37"/>
      <c r="P34" s="37"/>
      <c r="Q34" s="37"/>
      <c r="R34" s="37"/>
      <c r="S34" s="37"/>
      <c r="T34" s="37"/>
      <c r="U34" s="3"/>
      <c r="W34" s="3"/>
      <c r="X34" s="3"/>
      <c r="Y34" s="3"/>
      <c r="Z34" s="3"/>
    </row>
    <row r="35" spans="1:26" ht="14.4" hidden="1" outlineLevel="1" x14ac:dyDescent="0.3">
      <c r="A35" s="3"/>
      <c r="B35" s="10" t="s">
        <v>583</v>
      </c>
      <c r="C35" s="62" t="s">
        <v>641</v>
      </c>
      <c r="D35" s="62" t="s">
        <v>94</v>
      </c>
      <c r="E35" s="12">
        <v>0</v>
      </c>
      <c r="F35" s="12">
        <f>0.14+0.85</f>
        <v>0.99</v>
      </c>
      <c r="G35" s="65"/>
      <c r="H35" s="65" t="s">
        <v>38</v>
      </c>
      <c r="I35" s="112" t="s">
        <v>1189</v>
      </c>
      <c r="J35" s="65"/>
      <c r="K35" s="37"/>
      <c r="L35" s="37"/>
      <c r="M35" s="37"/>
      <c r="N35" s="37"/>
      <c r="O35" s="37"/>
      <c r="P35" s="37"/>
      <c r="Q35" s="37"/>
      <c r="R35" s="37"/>
      <c r="S35" s="37"/>
      <c r="T35" s="37"/>
      <c r="U35" s="3"/>
      <c r="W35" s="3"/>
      <c r="X35" s="3"/>
      <c r="Y35" s="3"/>
      <c r="Z35" s="3"/>
    </row>
    <row r="36" spans="1:26" ht="14.4" hidden="1" outlineLevel="1" x14ac:dyDescent="0.3">
      <c r="A36" s="3"/>
      <c r="B36" s="10" t="s">
        <v>753</v>
      </c>
      <c r="C36" s="62"/>
      <c r="D36" s="62"/>
      <c r="E36" s="12">
        <v>0</v>
      </c>
      <c r="F36" s="12">
        <v>0</v>
      </c>
      <c r="G36" s="65"/>
      <c r="H36" s="65"/>
      <c r="I36" s="112"/>
      <c r="J36" s="65"/>
      <c r="K36" s="37"/>
      <c r="L36" s="37"/>
      <c r="M36" s="37"/>
      <c r="N36" s="37"/>
      <c r="O36" s="37"/>
      <c r="P36" s="37"/>
      <c r="Q36" s="37"/>
      <c r="R36" s="37"/>
      <c r="S36" s="37"/>
      <c r="T36" s="37"/>
      <c r="U36" s="3"/>
      <c r="W36" s="3"/>
      <c r="X36" s="3"/>
      <c r="Y36" s="3"/>
      <c r="Z36" s="3"/>
    </row>
    <row r="37" spans="1:26" ht="14.4" hidden="1" outlineLevel="1" x14ac:dyDescent="0.3">
      <c r="A37" s="3"/>
      <c r="B37" s="10" t="s">
        <v>305</v>
      </c>
      <c r="C37" s="62"/>
      <c r="D37" s="62"/>
      <c r="E37" s="12">
        <v>0</v>
      </c>
      <c r="F37" s="12">
        <v>0</v>
      </c>
      <c r="G37" s="65"/>
      <c r="H37" s="65"/>
      <c r="I37" s="112"/>
      <c r="J37" s="65"/>
      <c r="K37" s="37"/>
      <c r="L37" s="37"/>
      <c r="M37" s="37"/>
      <c r="N37" s="37"/>
      <c r="O37" s="37"/>
      <c r="P37" s="37"/>
      <c r="Q37" s="37"/>
      <c r="R37" s="37"/>
      <c r="S37" s="37"/>
      <c r="T37" s="37"/>
      <c r="U37" s="3"/>
      <c r="W37" s="3"/>
      <c r="X37" s="3"/>
      <c r="Y37" s="3"/>
      <c r="Z37" s="3"/>
    </row>
    <row r="38" spans="1:26" ht="20.399999999999999" collapsed="1" x14ac:dyDescent="0.3">
      <c r="A38" s="3"/>
      <c r="B38" s="84" t="s">
        <v>306</v>
      </c>
      <c r="C38" s="85" t="s">
        <v>43</v>
      </c>
      <c r="D38" s="85" t="s">
        <v>43</v>
      </c>
      <c r="E38" s="86">
        <f>SUM(E39:E62)</f>
        <v>0</v>
      </c>
      <c r="F38" s="86">
        <f>SUMIF(D39:D62,"OK",F39:F62)</f>
        <v>1660.1499999999999</v>
      </c>
      <c r="G38" s="87"/>
      <c r="H38" s="87"/>
      <c r="I38" s="88"/>
      <c r="J38" s="87"/>
      <c r="K38" s="37"/>
      <c r="L38" s="37"/>
      <c r="M38" s="37"/>
      <c r="N38" s="37"/>
      <c r="O38" s="37"/>
      <c r="P38" s="37"/>
      <c r="Q38" s="37"/>
      <c r="R38" s="37"/>
      <c r="S38" s="37"/>
      <c r="T38" s="37"/>
      <c r="U38" s="3"/>
      <c r="W38" s="3"/>
      <c r="X38" s="3"/>
      <c r="Y38" s="3"/>
      <c r="Z38" s="3"/>
    </row>
    <row r="39" spans="1:26" ht="14.4" hidden="1" outlineLevel="1" x14ac:dyDescent="0.3">
      <c r="A39" s="3"/>
      <c r="B39" s="10" t="s">
        <v>307</v>
      </c>
      <c r="C39" s="62"/>
      <c r="D39" s="62"/>
      <c r="E39" s="12">
        <v>0</v>
      </c>
      <c r="F39" s="12">
        <v>0</v>
      </c>
      <c r="G39" s="65"/>
      <c r="H39" s="65"/>
      <c r="I39" s="112"/>
      <c r="J39" s="65"/>
      <c r="K39" s="37"/>
      <c r="L39" s="37"/>
      <c r="M39" s="37"/>
      <c r="N39" s="37"/>
      <c r="O39" s="37"/>
      <c r="P39" s="37"/>
      <c r="Q39" s="37"/>
      <c r="R39" s="37"/>
      <c r="S39" s="37"/>
      <c r="T39" s="37"/>
      <c r="U39" s="3"/>
      <c r="W39" s="3"/>
      <c r="X39" s="3"/>
      <c r="Y39" s="3"/>
      <c r="Z39" s="3"/>
    </row>
    <row r="40" spans="1:26" ht="14.4" hidden="1" outlineLevel="1" x14ac:dyDescent="0.3">
      <c r="A40" s="3"/>
      <c r="B40" s="10" t="s">
        <v>589</v>
      </c>
      <c r="C40" s="62">
        <v>18</v>
      </c>
      <c r="D40" s="62" t="s">
        <v>94</v>
      </c>
      <c r="E40" s="12">
        <v>0</v>
      </c>
      <c r="F40" s="12">
        <v>650</v>
      </c>
      <c r="G40" s="65"/>
      <c r="H40" s="65" t="s">
        <v>37</v>
      </c>
      <c r="I40" s="112" t="s">
        <v>1190</v>
      </c>
      <c r="J40" s="65"/>
      <c r="K40" s="37"/>
      <c r="L40" s="37"/>
      <c r="M40" s="37"/>
      <c r="N40" s="37"/>
      <c r="O40" s="37"/>
      <c r="P40" s="37"/>
      <c r="Q40" s="37"/>
      <c r="R40" s="37"/>
      <c r="S40" s="37"/>
      <c r="T40" s="37"/>
      <c r="U40" s="3"/>
      <c r="W40" s="3"/>
      <c r="X40" s="3"/>
      <c r="Y40" s="3"/>
      <c r="Z40" s="3"/>
    </row>
    <row r="41" spans="1:26" ht="14.4" hidden="1" outlineLevel="1" x14ac:dyDescent="0.3">
      <c r="A41" s="3"/>
      <c r="B41" s="10" t="s">
        <v>756</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4.4" hidden="1" outlineLevel="1" x14ac:dyDescent="0.3">
      <c r="A42" s="3"/>
      <c r="B42" s="10" t="s">
        <v>312</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4.4" hidden="1" outlineLevel="1" x14ac:dyDescent="0.3">
      <c r="A43" s="3"/>
      <c r="B43" s="10" t="s">
        <v>314</v>
      </c>
      <c r="C43" s="62">
        <v>15</v>
      </c>
      <c r="D43" s="62" t="s">
        <v>94</v>
      </c>
      <c r="E43" s="12">
        <v>0</v>
      </c>
      <c r="F43" s="12">
        <v>84.9</v>
      </c>
      <c r="G43" s="65"/>
      <c r="H43" s="65" t="s">
        <v>37</v>
      </c>
      <c r="I43" s="112" t="s">
        <v>1191</v>
      </c>
      <c r="J43" s="65"/>
      <c r="K43" s="37"/>
      <c r="L43" s="37"/>
      <c r="M43" s="37"/>
      <c r="N43" s="37"/>
      <c r="O43" s="37"/>
      <c r="P43" s="37"/>
      <c r="Q43" s="37"/>
      <c r="R43" s="37"/>
      <c r="S43" s="37"/>
      <c r="T43" s="37"/>
      <c r="U43" s="3"/>
      <c r="W43" s="3"/>
      <c r="X43" s="3"/>
      <c r="Y43" s="3"/>
      <c r="Z43" s="3"/>
    </row>
    <row r="44" spans="1:26" ht="14.4" hidden="1" outlineLevel="1" x14ac:dyDescent="0.3">
      <c r="A44" s="3"/>
      <c r="B44" s="10" t="s">
        <v>595</v>
      </c>
      <c r="C44" s="62">
        <v>26</v>
      </c>
      <c r="D44" s="62" t="s">
        <v>94</v>
      </c>
      <c r="E44" s="12">
        <v>0</v>
      </c>
      <c r="F44" s="12">
        <v>212.9</v>
      </c>
      <c r="G44" s="89" t="s">
        <v>1071</v>
      </c>
      <c r="H44" s="65" t="s">
        <v>37</v>
      </c>
      <c r="I44" s="112" t="s">
        <v>1192</v>
      </c>
      <c r="J44" s="65"/>
      <c r="K44" s="37"/>
      <c r="L44" s="37"/>
      <c r="M44" s="37"/>
      <c r="N44" s="37"/>
      <c r="O44" s="37"/>
      <c r="P44" s="37"/>
      <c r="Q44" s="37"/>
      <c r="R44" s="37"/>
      <c r="S44" s="37"/>
      <c r="T44" s="37"/>
      <c r="U44" s="3"/>
      <c r="W44" s="3"/>
      <c r="X44" s="3"/>
      <c r="Y44" s="3"/>
      <c r="Z44" s="3"/>
    </row>
    <row r="45" spans="1:26" ht="14.4" hidden="1" outlineLevel="1" x14ac:dyDescent="0.3">
      <c r="A45" s="3"/>
      <c r="B45" s="10" t="s">
        <v>1193</v>
      </c>
      <c r="C45" s="62">
        <v>8</v>
      </c>
      <c r="D45" s="62" t="s">
        <v>94</v>
      </c>
      <c r="E45" s="12">
        <v>0</v>
      </c>
      <c r="F45" s="12">
        <v>264.02</v>
      </c>
      <c r="G45" s="65" t="s">
        <v>1194</v>
      </c>
      <c r="H45" s="65" t="s">
        <v>37</v>
      </c>
      <c r="I45" s="112" t="s">
        <v>1195</v>
      </c>
      <c r="J45" s="65"/>
      <c r="K45" s="37"/>
      <c r="L45" s="37"/>
      <c r="M45" s="37"/>
      <c r="N45" s="37"/>
      <c r="O45" s="37"/>
      <c r="P45" s="37"/>
      <c r="Q45" s="37"/>
      <c r="R45" s="37"/>
      <c r="S45" s="37"/>
      <c r="T45" s="37"/>
      <c r="U45" s="3"/>
      <c r="W45" s="3"/>
      <c r="X45" s="3"/>
      <c r="Y45" s="3"/>
      <c r="Z45" s="3"/>
    </row>
    <row r="46" spans="1:26" ht="14.4" hidden="1" outlineLevel="1" x14ac:dyDescent="0.3">
      <c r="A46" s="3"/>
      <c r="B46" s="10" t="s">
        <v>1196</v>
      </c>
      <c r="C46" s="62">
        <v>4</v>
      </c>
      <c r="D46" s="62" t="s">
        <v>94</v>
      </c>
      <c r="E46" s="12">
        <v>0</v>
      </c>
      <c r="F46" s="12">
        <v>448.33</v>
      </c>
      <c r="G46" s="65" t="s">
        <v>1197</v>
      </c>
      <c r="H46" s="65" t="s">
        <v>37</v>
      </c>
      <c r="I46" s="112" t="s">
        <v>1198</v>
      </c>
      <c r="J46" s="65"/>
      <c r="K46" s="37"/>
      <c r="L46" s="37"/>
      <c r="M46" s="37"/>
      <c r="N46" s="37"/>
      <c r="O46" s="37"/>
      <c r="P46" s="37"/>
      <c r="Q46" s="37"/>
      <c r="R46" s="37"/>
      <c r="S46" s="37"/>
      <c r="T46" s="37"/>
      <c r="U46" s="3"/>
      <c r="W46" s="3"/>
      <c r="X46" s="3"/>
      <c r="Y46" s="3"/>
      <c r="Z46" s="3"/>
    </row>
    <row r="47" spans="1:26" ht="14.4" hidden="1" outlineLevel="1" x14ac:dyDescent="0.3">
      <c r="A47" s="3"/>
      <c r="B47" s="10" t="s">
        <v>50</v>
      </c>
      <c r="C47" s="62"/>
      <c r="D47" s="62"/>
      <c r="E47" s="12">
        <v>0</v>
      </c>
      <c r="F47" s="12">
        <v>0</v>
      </c>
      <c r="G47" s="65"/>
      <c r="H47" s="65"/>
      <c r="I47" s="112"/>
      <c r="J47" s="65"/>
      <c r="K47" s="37"/>
      <c r="L47" s="37"/>
      <c r="M47" s="37"/>
      <c r="N47" s="37"/>
      <c r="O47" s="37"/>
      <c r="P47" s="37"/>
      <c r="Q47" s="37"/>
      <c r="R47" s="37"/>
      <c r="S47" s="37"/>
      <c r="T47" s="37"/>
      <c r="U47" s="3"/>
      <c r="W47" s="3"/>
      <c r="X47" s="3"/>
      <c r="Y47" s="3"/>
      <c r="Z47" s="3"/>
    </row>
    <row r="48" spans="1:26" ht="14.4" hidden="1" outlineLevel="1" x14ac:dyDescent="0.3">
      <c r="A48" s="3"/>
      <c r="B48" s="10" t="s">
        <v>50</v>
      </c>
      <c r="C48" s="62"/>
      <c r="D48" s="62"/>
      <c r="E48" s="12">
        <v>0</v>
      </c>
      <c r="F48" s="12">
        <v>0</v>
      </c>
      <c r="G48" s="65"/>
      <c r="H48" s="65"/>
      <c r="I48" s="112"/>
      <c r="J48" s="65"/>
      <c r="K48" s="37"/>
      <c r="L48" s="37"/>
      <c r="M48" s="37"/>
      <c r="N48" s="37"/>
      <c r="O48" s="37"/>
      <c r="P48" s="37"/>
      <c r="Q48" s="37"/>
      <c r="R48" s="37"/>
      <c r="S48" s="37"/>
      <c r="T48" s="37"/>
      <c r="U48" s="3"/>
      <c r="W48" s="3"/>
      <c r="X48" s="3"/>
      <c r="Y48" s="3"/>
      <c r="Z48" s="3"/>
    </row>
    <row r="49" spans="1:26" ht="14.4" hidden="1" outlineLevel="1" x14ac:dyDescent="0.3">
      <c r="A49" s="3"/>
      <c r="B49" s="10" t="s">
        <v>50</v>
      </c>
      <c r="C49" s="62"/>
      <c r="D49" s="62"/>
      <c r="E49" s="12">
        <v>0</v>
      </c>
      <c r="F49" s="12">
        <v>0</v>
      </c>
      <c r="G49" s="65"/>
      <c r="H49" s="65"/>
      <c r="I49" s="112"/>
      <c r="J49" s="65"/>
      <c r="K49" s="37"/>
      <c r="L49" s="37"/>
      <c r="M49" s="37"/>
      <c r="N49" s="37"/>
      <c r="O49" s="37"/>
      <c r="P49" s="37"/>
      <c r="Q49" s="37"/>
      <c r="R49" s="37"/>
      <c r="S49" s="37"/>
      <c r="T49" s="37"/>
      <c r="U49" s="3"/>
      <c r="W49" s="3"/>
      <c r="X49" s="3"/>
      <c r="Y49" s="3"/>
      <c r="Z49" s="3"/>
    </row>
    <row r="50" spans="1:26" ht="14.4" hidden="1" outlineLevel="1" x14ac:dyDescent="0.3">
      <c r="A50" s="3"/>
      <c r="B50" s="10" t="s">
        <v>50</v>
      </c>
      <c r="C50" s="62"/>
      <c r="D50" s="62"/>
      <c r="E50" s="12">
        <v>0</v>
      </c>
      <c r="F50" s="12">
        <v>0</v>
      </c>
      <c r="G50" s="65"/>
      <c r="H50" s="65"/>
      <c r="I50" s="112"/>
      <c r="J50" s="65"/>
      <c r="K50" s="37"/>
      <c r="L50" s="37"/>
      <c r="M50" s="37"/>
      <c r="N50" s="37"/>
      <c r="O50" s="37"/>
      <c r="P50" s="37"/>
      <c r="Q50" s="37"/>
      <c r="R50" s="37"/>
      <c r="S50" s="37"/>
      <c r="T50" s="37"/>
      <c r="U50" s="3"/>
      <c r="W50" s="3"/>
      <c r="X50" s="3"/>
      <c r="Y50" s="3"/>
      <c r="Z50" s="3"/>
    </row>
    <row r="51" spans="1:26" ht="14.4" hidden="1" outlineLevel="1" x14ac:dyDescent="0.3">
      <c r="A51" s="3"/>
      <c r="B51" s="10" t="s">
        <v>50</v>
      </c>
      <c r="C51" s="62"/>
      <c r="D51" s="62"/>
      <c r="E51" s="12">
        <v>0</v>
      </c>
      <c r="F51" s="12">
        <v>0</v>
      </c>
      <c r="G51" s="65"/>
      <c r="H51" s="65"/>
      <c r="I51" s="112"/>
      <c r="J51" s="65"/>
      <c r="K51" s="37"/>
      <c r="L51" s="37"/>
      <c r="M51" s="37"/>
      <c r="N51" s="37"/>
      <c r="O51" s="37"/>
      <c r="P51" s="37"/>
      <c r="Q51" s="37"/>
      <c r="R51" s="37"/>
      <c r="S51" s="37"/>
      <c r="T51" s="37"/>
      <c r="U51" s="3"/>
      <c r="W51" s="3"/>
      <c r="X51" s="3"/>
      <c r="Y51" s="3"/>
      <c r="Z51" s="3"/>
    </row>
    <row r="52" spans="1:26" ht="14.4" hidden="1" outlineLevel="1" x14ac:dyDescent="0.3">
      <c r="A52" s="3"/>
      <c r="B52" s="10" t="s">
        <v>50</v>
      </c>
      <c r="C52" s="80"/>
      <c r="D52" s="62"/>
      <c r="E52" s="12">
        <v>0</v>
      </c>
      <c r="F52" s="12">
        <v>0</v>
      </c>
      <c r="G52" s="65"/>
      <c r="H52" s="65"/>
      <c r="I52" s="89"/>
      <c r="J52" s="65"/>
      <c r="K52" s="37"/>
      <c r="L52" s="37"/>
      <c r="M52" s="37"/>
      <c r="N52" s="37"/>
      <c r="O52" s="37"/>
      <c r="P52" s="37"/>
      <c r="Q52" s="37"/>
      <c r="R52" s="37"/>
      <c r="S52" s="37"/>
      <c r="T52" s="37"/>
      <c r="U52" s="3"/>
      <c r="W52" s="3"/>
      <c r="X52" s="3"/>
      <c r="Y52" s="3"/>
      <c r="Z52" s="3"/>
    </row>
    <row r="53" spans="1:26" ht="14.4" hidden="1" outlineLevel="1" x14ac:dyDescent="0.3">
      <c r="A53" s="3"/>
      <c r="B53" s="10" t="s">
        <v>50</v>
      </c>
      <c r="C53" s="62"/>
      <c r="D53" s="62"/>
      <c r="E53" s="12">
        <v>0</v>
      </c>
      <c r="F53" s="12">
        <v>0</v>
      </c>
      <c r="G53" s="65"/>
      <c r="H53" s="65"/>
      <c r="I53" s="112"/>
      <c r="J53" s="65"/>
      <c r="K53" s="37"/>
      <c r="L53" s="37"/>
      <c r="M53" s="37"/>
      <c r="N53" s="37"/>
      <c r="O53" s="37"/>
      <c r="P53" s="37"/>
      <c r="Q53" s="37"/>
      <c r="R53" s="37"/>
      <c r="S53" s="37"/>
      <c r="T53" s="37"/>
      <c r="U53" s="3"/>
      <c r="W53" s="3"/>
      <c r="X53" s="3"/>
      <c r="Y53" s="3"/>
      <c r="Z53" s="3"/>
    </row>
    <row r="54" spans="1:26" ht="14.4" hidden="1" outlineLevel="1" x14ac:dyDescent="0.3">
      <c r="A54" s="3"/>
      <c r="B54" s="10" t="s">
        <v>50</v>
      </c>
      <c r="C54" s="62"/>
      <c r="D54" s="62"/>
      <c r="E54" s="12">
        <v>0</v>
      </c>
      <c r="F54" s="12">
        <v>0</v>
      </c>
      <c r="G54" s="65"/>
      <c r="H54" s="65"/>
      <c r="I54" s="112"/>
      <c r="J54" s="65"/>
      <c r="K54" s="37"/>
      <c r="L54" s="37"/>
      <c r="M54" s="37"/>
      <c r="N54" s="37"/>
      <c r="O54" s="37"/>
      <c r="P54" s="37"/>
      <c r="Q54" s="37"/>
      <c r="R54" s="37"/>
      <c r="S54" s="37"/>
      <c r="T54" s="37"/>
      <c r="U54" s="3"/>
      <c r="W54" s="3"/>
      <c r="X54" s="3"/>
      <c r="Y54" s="3"/>
      <c r="Z54" s="3"/>
    </row>
    <row r="55" spans="1:26" ht="14.4" hidden="1" outlineLevel="1" x14ac:dyDescent="0.3">
      <c r="A55" s="3"/>
      <c r="B55" s="10" t="s">
        <v>50</v>
      </c>
      <c r="C55" s="62"/>
      <c r="D55" s="62"/>
      <c r="E55" s="12">
        <v>0</v>
      </c>
      <c r="F55" s="12">
        <v>0</v>
      </c>
      <c r="G55" s="89"/>
      <c r="H55" s="65"/>
      <c r="I55" s="112"/>
      <c r="J55" s="65"/>
      <c r="K55" s="37"/>
      <c r="L55" s="37"/>
      <c r="M55" s="37"/>
      <c r="N55" s="37"/>
      <c r="O55" s="37"/>
      <c r="P55" s="37"/>
      <c r="Q55" s="37"/>
      <c r="R55" s="37"/>
      <c r="S55" s="37"/>
      <c r="T55" s="37"/>
      <c r="U55" s="3"/>
      <c r="W55" s="3"/>
      <c r="X55" s="3"/>
      <c r="Y55" s="3"/>
      <c r="Z55" s="3"/>
    </row>
    <row r="56" spans="1:26" ht="14.4" hidden="1" outlineLevel="1" x14ac:dyDescent="0.3">
      <c r="A56" s="3"/>
      <c r="B56" s="10" t="s">
        <v>50</v>
      </c>
      <c r="C56" s="62"/>
      <c r="D56" s="62"/>
      <c r="E56" s="12">
        <v>0</v>
      </c>
      <c r="F56" s="12">
        <v>0</v>
      </c>
      <c r="G56" s="89"/>
      <c r="H56" s="65"/>
      <c r="I56" s="112"/>
      <c r="J56" s="65"/>
      <c r="K56" s="37"/>
      <c r="L56" s="37"/>
      <c r="M56" s="37"/>
      <c r="N56" s="37"/>
      <c r="O56" s="37"/>
      <c r="P56" s="37"/>
      <c r="Q56" s="37"/>
      <c r="R56" s="37"/>
      <c r="S56" s="37"/>
      <c r="T56" s="37"/>
      <c r="U56" s="3"/>
      <c r="W56" s="3"/>
      <c r="X56" s="3"/>
      <c r="Y56" s="3"/>
      <c r="Z56" s="3"/>
    </row>
    <row r="57" spans="1:26" ht="14.4" hidden="1" outlineLevel="1" x14ac:dyDescent="0.3">
      <c r="A57" s="3"/>
      <c r="B57" s="10" t="s">
        <v>50</v>
      </c>
      <c r="C57" s="62"/>
      <c r="D57" s="62"/>
      <c r="E57" s="12">
        <v>0</v>
      </c>
      <c r="F57" s="12">
        <v>0</v>
      </c>
      <c r="G57" s="89"/>
      <c r="H57" s="65"/>
      <c r="I57" s="112"/>
      <c r="J57" s="65"/>
      <c r="K57" s="37"/>
      <c r="L57" s="37"/>
      <c r="M57" s="37"/>
      <c r="N57" s="37"/>
      <c r="O57" s="37"/>
      <c r="P57" s="37"/>
      <c r="Q57" s="37"/>
      <c r="R57" s="37"/>
      <c r="S57" s="37"/>
      <c r="T57" s="37"/>
      <c r="U57" s="3"/>
      <c r="W57" s="3"/>
      <c r="X57" s="3"/>
      <c r="Y57" s="3"/>
      <c r="Z57" s="3"/>
    </row>
    <row r="58" spans="1:26" ht="14.4" hidden="1" outlineLevel="1" x14ac:dyDescent="0.3">
      <c r="A58" s="3"/>
      <c r="B58" s="10" t="s">
        <v>50</v>
      </c>
      <c r="C58" s="62"/>
      <c r="D58" s="62"/>
      <c r="E58" s="12">
        <v>0</v>
      </c>
      <c r="F58" s="12">
        <v>0</v>
      </c>
      <c r="G58" s="89"/>
      <c r="H58" s="65"/>
      <c r="I58" s="112"/>
      <c r="J58" s="65"/>
      <c r="K58" s="37"/>
      <c r="L58" s="37"/>
      <c r="M58" s="37"/>
      <c r="N58" s="37"/>
      <c r="O58" s="37"/>
      <c r="P58" s="37"/>
      <c r="Q58" s="37"/>
      <c r="R58" s="37"/>
      <c r="S58" s="37"/>
      <c r="T58" s="37"/>
      <c r="U58" s="3"/>
      <c r="W58" s="3"/>
      <c r="X58" s="3"/>
      <c r="Y58" s="3"/>
      <c r="Z58" s="3"/>
    </row>
    <row r="59" spans="1:26" ht="14.4" hidden="1" outlineLevel="1" x14ac:dyDescent="0.3">
      <c r="A59" s="3"/>
      <c r="B59" s="10" t="s">
        <v>50</v>
      </c>
      <c r="C59" s="62"/>
      <c r="D59" s="62"/>
      <c r="E59" s="12">
        <v>0</v>
      </c>
      <c r="F59" s="12">
        <v>0</v>
      </c>
      <c r="G59" s="89"/>
      <c r="H59" s="65"/>
      <c r="I59" s="112"/>
      <c r="J59" s="65"/>
      <c r="K59" s="37"/>
      <c r="L59" s="37"/>
      <c r="M59" s="37"/>
      <c r="N59" s="37"/>
      <c r="O59" s="37"/>
      <c r="P59" s="37"/>
      <c r="Q59" s="37"/>
      <c r="R59" s="37"/>
      <c r="S59" s="37"/>
      <c r="T59" s="37"/>
      <c r="U59" s="3"/>
      <c r="W59" s="3"/>
      <c r="X59" s="3"/>
      <c r="Y59" s="3"/>
      <c r="Z59" s="3"/>
    </row>
    <row r="60" spans="1:26" ht="14.4" hidden="1" outlineLevel="1" x14ac:dyDescent="0.3">
      <c r="A60" s="3"/>
      <c r="B60" s="10" t="s">
        <v>50</v>
      </c>
      <c r="C60" s="62"/>
      <c r="D60" s="62"/>
      <c r="E60" s="12">
        <v>0</v>
      </c>
      <c r="F60" s="12">
        <v>0</v>
      </c>
      <c r="G60" s="89"/>
      <c r="H60" s="65"/>
      <c r="I60" s="112"/>
      <c r="J60" s="65"/>
      <c r="K60" s="37"/>
      <c r="L60" s="37"/>
      <c r="M60" s="37"/>
      <c r="N60" s="37"/>
      <c r="O60" s="37"/>
      <c r="P60" s="37"/>
      <c r="Q60" s="37"/>
      <c r="R60" s="37"/>
      <c r="S60" s="37"/>
      <c r="T60" s="37"/>
      <c r="U60" s="3"/>
      <c r="W60" s="3"/>
      <c r="X60" s="3"/>
      <c r="Y60" s="3"/>
      <c r="Z60" s="3"/>
    </row>
    <row r="61" spans="1:26" ht="14.4" hidden="1" outlineLevel="1" x14ac:dyDescent="0.3">
      <c r="A61" s="3"/>
      <c r="B61" s="10" t="s">
        <v>50</v>
      </c>
      <c r="C61" s="62"/>
      <c r="D61" s="62"/>
      <c r="E61" s="12">
        <v>0</v>
      </c>
      <c r="F61" s="12">
        <v>0</v>
      </c>
      <c r="G61" s="89"/>
      <c r="H61" s="65"/>
      <c r="I61" s="112"/>
      <c r="J61" s="65"/>
      <c r="K61" s="37"/>
      <c r="L61" s="37"/>
      <c r="M61" s="37"/>
      <c r="N61" s="37"/>
      <c r="O61" s="37"/>
      <c r="P61" s="37"/>
      <c r="Q61" s="37"/>
      <c r="R61" s="37"/>
      <c r="S61" s="37"/>
      <c r="T61" s="37"/>
      <c r="U61" s="3"/>
      <c r="W61" s="3"/>
      <c r="X61" s="3"/>
      <c r="Y61" s="3"/>
      <c r="Z61" s="3"/>
    </row>
    <row r="62" spans="1:26" ht="14.4" hidden="1" outlineLevel="1" x14ac:dyDescent="0.3">
      <c r="A62" s="3"/>
      <c r="B62" s="10" t="s">
        <v>50</v>
      </c>
      <c r="C62" s="62"/>
      <c r="D62" s="62"/>
      <c r="E62" s="12">
        <v>0</v>
      </c>
      <c r="F62" s="12">
        <v>0</v>
      </c>
      <c r="G62" s="65"/>
      <c r="H62" s="65"/>
      <c r="I62" s="112"/>
      <c r="J62" s="65"/>
      <c r="K62" s="37"/>
      <c r="L62" s="37"/>
      <c r="M62" s="37"/>
      <c r="N62" s="37"/>
      <c r="O62" s="37"/>
      <c r="P62" s="37"/>
      <c r="Q62" s="37"/>
      <c r="R62" s="37"/>
      <c r="S62" s="37"/>
      <c r="T62" s="37"/>
      <c r="U62" s="3"/>
      <c r="W62" s="3"/>
      <c r="X62" s="3"/>
      <c r="Y62" s="3"/>
      <c r="Z62" s="3"/>
    </row>
    <row r="63" spans="1:26" ht="20.399999999999999" collapsed="1" x14ac:dyDescent="0.3">
      <c r="A63" s="3"/>
      <c r="B63" s="84" t="s">
        <v>329</v>
      </c>
      <c r="C63" s="85" t="s">
        <v>43</v>
      </c>
      <c r="D63" s="85" t="s">
        <v>43</v>
      </c>
      <c r="E63" s="86">
        <f>SUM(E64:E86)</f>
        <v>0</v>
      </c>
      <c r="F63" s="86">
        <f>SUMIF(D64:D86,"OK",F64:F86)</f>
        <v>1023.5500000000001</v>
      </c>
      <c r="G63" s="87"/>
      <c r="H63" s="87"/>
      <c r="I63" s="88"/>
      <c r="J63" s="87"/>
      <c r="K63" s="37"/>
      <c r="L63" s="37"/>
      <c r="M63" s="37"/>
      <c r="N63" s="37"/>
      <c r="O63" s="37"/>
      <c r="P63" s="37"/>
      <c r="Q63" s="37"/>
      <c r="R63" s="37"/>
      <c r="S63" s="37"/>
      <c r="T63" s="37"/>
      <c r="U63" s="3"/>
    </row>
    <row r="64" spans="1:26" ht="14.4" hidden="1" outlineLevel="1" x14ac:dyDescent="0.3">
      <c r="A64" s="3"/>
      <c r="B64" s="10" t="s">
        <v>1199</v>
      </c>
      <c r="C64" s="80"/>
      <c r="D64" s="62"/>
      <c r="E64" s="12">
        <v>0</v>
      </c>
      <c r="F64" s="12">
        <v>0</v>
      </c>
      <c r="G64" s="65"/>
      <c r="H64" s="65"/>
      <c r="I64" s="112"/>
      <c r="J64" s="89"/>
      <c r="K64" s="37"/>
      <c r="L64" s="37"/>
      <c r="M64" s="37"/>
      <c r="N64" s="37"/>
      <c r="O64" s="37"/>
      <c r="P64" s="37"/>
      <c r="Q64" s="37"/>
      <c r="R64" s="37"/>
      <c r="S64" s="37"/>
      <c r="T64" s="37"/>
      <c r="U64" s="3"/>
      <c r="V64" s="18"/>
    </row>
    <row r="65" spans="1:22" ht="14.4" hidden="1" outlineLevel="1" x14ac:dyDescent="0.3">
      <c r="A65" s="3"/>
      <c r="B65" s="10" t="s">
        <v>1199</v>
      </c>
      <c r="C65" s="80"/>
      <c r="D65" s="62"/>
      <c r="E65" s="12">
        <v>0</v>
      </c>
      <c r="F65" s="12">
        <v>0</v>
      </c>
      <c r="G65" s="65"/>
      <c r="H65" s="65"/>
      <c r="I65" s="112"/>
      <c r="J65" s="89"/>
      <c r="K65" s="37"/>
      <c r="L65" s="37"/>
      <c r="M65" s="37"/>
      <c r="N65" s="37"/>
      <c r="O65" s="37"/>
      <c r="P65" s="37"/>
      <c r="Q65" s="37"/>
      <c r="R65" s="37"/>
      <c r="S65" s="37"/>
      <c r="T65" s="37"/>
      <c r="U65" s="3"/>
      <c r="V65" s="18"/>
    </row>
    <row r="66" spans="1:22" ht="14.4" hidden="1" outlineLevel="1" x14ac:dyDescent="0.3">
      <c r="A66" s="3"/>
      <c r="B66" s="10" t="s">
        <v>1199</v>
      </c>
      <c r="C66" s="80"/>
      <c r="D66" s="62"/>
      <c r="E66" s="12">
        <v>0</v>
      </c>
      <c r="F66" s="12">
        <v>0</v>
      </c>
      <c r="G66" s="65"/>
      <c r="H66" s="65"/>
      <c r="I66" s="112"/>
      <c r="J66" s="89"/>
      <c r="K66" s="37"/>
      <c r="L66" s="37"/>
      <c r="M66" s="37"/>
      <c r="N66" s="37"/>
      <c r="O66" s="37"/>
      <c r="P66" s="37"/>
      <c r="Q66" s="37"/>
      <c r="R66" s="37"/>
      <c r="S66" s="37"/>
      <c r="T66" s="37"/>
      <c r="U66" s="3"/>
      <c r="V66" s="18"/>
    </row>
    <row r="67" spans="1:22" ht="14.4" hidden="1" outlineLevel="1" x14ac:dyDescent="0.3">
      <c r="A67" s="3"/>
      <c r="B67" s="10" t="s">
        <v>1199</v>
      </c>
      <c r="C67" s="80"/>
      <c r="D67" s="62"/>
      <c r="E67" s="12">
        <v>0</v>
      </c>
      <c r="F67" s="12">
        <v>0</v>
      </c>
      <c r="G67" s="65"/>
      <c r="H67" s="65"/>
      <c r="I67" s="112"/>
      <c r="J67" s="89"/>
      <c r="K67" s="37"/>
      <c r="L67" s="37"/>
      <c r="M67" s="37"/>
      <c r="N67" s="37"/>
      <c r="O67" s="37"/>
      <c r="P67" s="37"/>
      <c r="Q67" s="37"/>
      <c r="R67" s="37"/>
      <c r="S67" s="37"/>
      <c r="T67" s="37"/>
      <c r="U67" s="3"/>
      <c r="V67" s="18"/>
    </row>
    <row r="68" spans="1:22" ht="14.4" hidden="1" outlineLevel="1" x14ac:dyDescent="0.3">
      <c r="A68" s="3"/>
      <c r="B68" s="10" t="s">
        <v>1199</v>
      </c>
      <c r="C68" s="80"/>
      <c r="D68" s="62"/>
      <c r="E68" s="12">
        <v>0</v>
      </c>
      <c r="F68" s="12">
        <v>0</v>
      </c>
      <c r="G68" s="65"/>
      <c r="H68" s="65"/>
      <c r="I68" s="112"/>
      <c r="J68" s="89"/>
      <c r="K68" s="37"/>
      <c r="L68" s="37"/>
      <c r="M68" s="37"/>
      <c r="N68" s="37"/>
      <c r="O68" s="37"/>
      <c r="P68" s="37"/>
      <c r="Q68" s="37"/>
      <c r="R68" s="37"/>
      <c r="S68" s="37"/>
      <c r="T68" s="37"/>
      <c r="U68" s="3"/>
      <c r="V68" s="18"/>
    </row>
    <row r="69" spans="1:22" ht="14.4" hidden="1" outlineLevel="1" x14ac:dyDescent="0.3">
      <c r="A69" s="3"/>
      <c r="B69" s="10" t="s">
        <v>1200</v>
      </c>
      <c r="C69" s="80">
        <v>17</v>
      </c>
      <c r="D69" s="62" t="s">
        <v>94</v>
      </c>
      <c r="E69" s="12">
        <v>0</v>
      </c>
      <c r="F69" s="12">
        <v>497.19</v>
      </c>
      <c r="G69" s="65"/>
      <c r="H69" s="65" t="s">
        <v>37</v>
      </c>
      <c r="I69" s="112" t="s">
        <v>1201</v>
      </c>
      <c r="J69" s="89"/>
      <c r="K69" s="37"/>
      <c r="L69" s="37"/>
      <c r="M69" s="37"/>
      <c r="N69" s="37"/>
      <c r="O69" s="37"/>
      <c r="P69" s="37"/>
      <c r="Q69" s="37"/>
      <c r="R69" s="37"/>
      <c r="S69" s="37"/>
      <c r="T69" s="37"/>
      <c r="U69" s="3"/>
      <c r="V69" s="18"/>
    </row>
    <row r="70" spans="1:22" ht="14.4" hidden="1" outlineLevel="1" x14ac:dyDescent="0.3">
      <c r="A70" s="3"/>
      <c r="B70" s="10" t="s">
        <v>1202</v>
      </c>
      <c r="C70" s="80">
        <v>21</v>
      </c>
      <c r="D70" s="62" t="s">
        <v>94</v>
      </c>
      <c r="E70" s="12">
        <v>0</v>
      </c>
      <c r="F70" s="12">
        <v>80</v>
      </c>
      <c r="G70" s="65" t="s">
        <v>613</v>
      </c>
      <c r="H70" s="65" t="s">
        <v>37</v>
      </c>
      <c r="I70" s="112" t="s">
        <v>1203</v>
      </c>
      <c r="J70" s="89"/>
      <c r="K70" s="37"/>
      <c r="L70" s="37"/>
      <c r="M70" s="37"/>
      <c r="N70" s="37"/>
      <c r="O70" s="37"/>
      <c r="P70" s="37"/>
      <c r="Q70" s="37"/>
      <c r="R70" s="37"/>
      <c r="S70" s="37"/>
      <c r="T70" s="37"/>
      <c r="U70" s="3"/>
      <c r="V70" s="18"/>
    </row>
    <row r="71" spans="1:22" ht="14.4" hidden="1" outlineLevel="1" x14ac:dyDescent="0.3">
      <c r="A71" s="3"/>
      <c r="B71" s="10" t="s">
        <v>1202</v>
      </c>
      <c r="C71" s="80"/>
      <c r="D71" s="62"/>
      <c r="E71" s="12">
        <v>0</v>
      </c>
      <c r="F71" s="12">
        <v>0</v>
      </c>
      <c r="G71" s="65"/>
      <c r="H71" s="65"/>
      <c r="I71" s="112"/>
      <c r="J71" s="89"/>
      <c r="K71" s="37"/>
      <c r="L71" s="37"/>
      <c r="M71" s="37"/>
      <c r="N71" s="37"/>
      <c r="O71" s="37"/>
      <c r="P71" s="37"/>
      <c r="Q71" s="37"/>
      <c r="R71" s="37"/>
      <c r="S71" s="37"/>
      <c r="T71" s="37"/>
      <c r="U71" s="3"/>
      <c r="V71" s="18"/>
    </row>
    <row r="72" spans="1:22" ht="14.4" hidden="1" outlineLevel="1" x14ac:dyDescent="0.3">
      <c r="A72" s="3"/>
      <c r="B72" s="10" t="s">
        <v>1202</v>
      </c>
      <c r="C72" s="80"/>
      <c r="D72" s="62"/>
      <c r="E72" s="12">
        <v>0</v>
      </c>
      <c r="F72" s="12">
        <v>0</v>
      </c>
      <c r="G72" s="65"/>
      <c r="H72" s="65"/>
      <c r="I72" s="89"/>
      <c r="J72" s="89"/>
      <c r="K72" s="37"/>
      <c r="L72" s="37"/>
      <c r="M72" s="37"/>
      <c r="N72" s="37"/>
      <c r="O72" s="37"/>
      <c r="P72" s="37"/>
      <c r="Q72" s="37"/>
      <c r="R72" s="37"/>
      <c r="S72" s="37"/>
      <c r="T72" s="37"/>
      <c r="U72" s="3"/>
      <c r="V72" s="18"/>
    </row>
    <row r="73" spans="1:22" ht="14.4" hidden="1" outlineLevel="1" x14ac:dyDescent="0.3">
      <c r="A73" s="3"/>
      <c r="B73" s="10" t="s">
        <v>1204</v>
      </c>
      <c r="C73" s="80"/>
      <c r="D73" s="62"/>
      <c r="E73" s="12">
        <v>0</v>
      </c>
      <c r="F73" s="12">
        <v>0</v>
      </c>
      <c r="G73" s="65"/>
      <c r="H73" s="65"/>
      <c r="I73" s="112"/>
      <c r="J73" s="89"/>
      <c r="K73" s="37"/>
      <c r="L73" s="37"/>
      <c r="M73" s="37"/>
      <c r="N73" s="37"/>
      <c r="O73" s="37"/>
      <c r="P73" s="37"/>
      <c r="Q73" s="37"/>
      <c r="R73" s="37"/>
      <c r="S73" s="37"/>
      <c r="T73" s="37"/>
      <c r="U73" s="3"/>
      <c r="V73" s="18"/>
    </row>
    <row r="74" spans="1:22" ht="14.4" hidden="1" outlineLevel="1" x14ac:dyDescent="0.3">
      <c r="A74" s="3"/>
      <c r="B74" s="10" t="s">
        <v>1204</v>
      </c>
      <c r="C74" s="80"/>
      <c r="D74" s="62"/>
      <c r="E74" s="12">
        <v>0</v>
      </c>
      <c r="F74" s="12">
        <v>0</v>
      </c>
      <c r="G74" s="65"/>
      <c r="H74" s="65"/>
      <c r="I74" s="112"/>
      <c r="J74" s="89"/>
      <c r="K74" s="37"/>
      <c r="L74" s="37"/>
      <c r="M74" s="37"/>
      <c r="N74" s="37"/>
      <c r="O74" s="37"/>
      <c r="P74" s="37"/>
      <c r="Q74" s="37"/>
      <c r="R74" s="37"/>
      <c r="S74" s="37"/>
      <c r="T74" s="37"/>
      <c r="U74" s="3"/>
      <c r="V74" s="18"/>
    </row>
    <row r="75" spans="1:22" ht="14.4" hidden="1" outlineLevel="1" x14ac:dyDescent="0.3">
      <c r="A75" s="3"/>
      <c r="B75" s="10" t="s">
        <v>330</v>
      </c>
      <c r="C75" s="80"/>
      <c r="D75" s="62"/>
      <c r="E75" s="12">
        <v>0</v>
      </c>
      <c r="F75" s="12">
        <v>0</v>
      </c>
      <c r="G75" s="65"/>
      <c r="H75" s="65"/>
      <c r="I75" s="89"/>
      <c r="J75" s="89"/>
      <c r="K75" s="37"/>
      <c r="L75" s="37"/>
      <c r="M75" s="37"/>
      <c r="N75" s="37"/>
      <c r="O75" s="37"/>
      <c r="P75" s="37"/>
      <c r="Q75" s="37"/>
      <c r="R75" s="37"/>
      <c r="S75" s="37"/>
      <c r="T75" s="37"/>
      <c r="U75" s="3"/>
      <c r="V75" s="18"/>
    </row>
    <row r="76" spans="1:22" ht="14.4" hidden="1" outlineLevel="1" x14ac:dyDescent="0.3">
      <c r="A76" s="3"/>
      <c r="B76" s="10" t="s">
        <v>330</v>
      </c>
      <c r="C76" s="80"/>
      <c r="D76" s="62"/>
      <c r="E76" s="12">
        <v>0</v>
      </c>
      <c r="F76" s="12">
        <v>0</v>
      </c>
      <c r="G76" s="65"/>
      <c r="H76" s="65"/>
      <c r="I76" s="89"/>
      <c r="J76" s="89"/>
      <c r="K76" s="37"/>
      <c r="L76" s="37"/>
      <c r="M76" s="37"/>
      <c r="N76" s="37"/>
      <c r="O76" s="37"/>
      <c r="P76" s="37"/>
      <c r="Q76" s="37"/>
      <c r="R76" s="37"/>
      <c r="S76" s="37"/>
      <c r="T76" s="37"/>
      <c r="U76" s="3"/>
      <c r="V76" s="18"/>
    </row>
    <row r="77" spans="1:22" ht="14.4" hidden="1" outlineLevel="1" x14ac:dyDescent="0.3">
      <c r="A77" s="3"/>
      <c r="B77" s="10" t="s">
        <v>334</v>
      </c>
      <c r="C77" s="62">
        <v>16</v>
      </c>
      <c r="D77" s="62" t="s">
        <v>94</v>
      </c>
      <c r="E77" s="12">
        <v>0</v>
      </c>
      <c r="F77" s="12">
        <v>152</v>
      </c>
      <c r="G77" s="65"/>
      <c r="H77" s="65" t="s">
        <v>37</v>
      </c>
      <c r="I77" s="112" t="s">
        <v>1205</v>
      </c>
      <c r="J77" s="65"/>
      <c r="K77" s="37"/>
      <c r="L77" s="37"/>
      <c r="M77" s="37"/>
      <c r="N77" s="37"/>
      <c r="O77" s="37"/>
      <c r="P77" s="37"/>
      <c r="Q77" s="37"/>
      <c r="R77" s="37"/>
      <c r="S77" s="37"/>
      <c r="T77" s="37"/>
      <c r="U77" s="3"/>
    </row>
    <row r="78" spans="1:22" ht="14.4" hidden="1" outlineLevel="1" x14ac:dyDescent="0.3">
      <c r="A78" s="3"/>
      <c r="B78" s="10" t="s">
        <v>334</v>
      </c>
      <c r="C78" s="62"/>
      <c r="D78" s="62"/>
      <c r="E78" s="12">
        <v>0</v>
      </c>
      <c r="F78" s="12">
        <v>0</v>
      </c>
      <c r="G78" s="65"/>
      <c r="H78" s="65"/>
      <c r="I78" s="89"/>
      <c r="J78" s="65"/>
      <c r="K78" s="37"/>
      <c r="L78" s="37"/>
      <c r="M78" s="37"/>
      <c r="N78" s="37"/>
      <c r="O78" s="37"/>
      <c r="P78" s="37"/>
      <c r="Q78" s="37"/>
      <c r="R78" s="37"/>
      <c r="S78" s="37"/>
      <c r="T78" s="37"/>
      <c r="U78" s="3"/>
    </row>
    <row r="79" spans="1:22" ht="14.4" hidden="1" outlineLevel="1" x14ac:dyDescent="0.3">
      <c r="A79" s="3"/>
      <c r="B79" s="10" t="s">
        <v>627</v>
      </c>
      <c r="C79" s="80"/>
      <c r="D79" s="62"/>
      <c r="E79" s="12">
        <v>0</v>
      </c>
      <c r="F79" s="12">
        <v>0</v>
      </c>
      <c r="G79" s="65"/>
      <c r="H79" s="65"/>
      <c r="I79" s="112"/>
      <c r="J79" s="89"/>
      <c r="K79" s="37"/>
      <c r="L79" s="37"/>
      <c r="M79" s="37"/>
      <c r="N79" s="37"/>
      <c r="O79" s="37"/>
      <c r="P79" s="37"/>
      <c r="Q79" s="37"/>
      <c r="R79" s="37"/>
      <c r="S79" s="37"/>
      <c r="T79" s="37"/>
      <c r="U79" s="3"/>
    </row>
    <row r="80" spans="1:22" ht="14.4" hidden="1" outlineLevel="1" x14ac:dyDescent="0.3">
      <c r="A80" s="3"/>
      <c r="B80" s="10" t="s">
        <v>627</v>
      </c>
      <c r="C80" s="80"/>
      <c r="D80" s="62"/>
      <c r="E80" s="12">
        <v>0</v>
      </c>
      <c r="F80" s="12">
        <v>0</v>
      </c>
      <c r="G80" s="65"/>
      <c r="H80" s="65"/>
      <c r="I80" s="112"/>
      <c r="J80" s="89"/>
      <c r="K80" s="37"/>
      <c r="L80" s="37"/>
      <c r="M80" s="37"/>
      <c r="N80" s="37"/>
      <c r="O80" s="37"/>
      <c r="P80" s="37"/>
      <c r="Q80" s="37"/>
      <c r="R80" s="37"/>
      <c r="S80" s="37"/>
      <c r="T80" s="37"/>
      <c r="U80" s="3"/>
    </row>
    <row r="81" spans="1:26" ht="14.4" hidden="1" outlineLevel="1" x14ac:dyDescent="0.3">
      <c r="A81" s="3"/>
      <c r="B81" s="10" t="s">
        <v>627</v>
      </c>
      <c r="C81" s="80"/>
      <c r="D81" s="62"/>
      <c r="E81" s="12">
        <v>0</v>
      </c>
      <c r="F81" s="12">
        <v>0</v>
      </c>
      <c r="G81" s="65"/>
      <c r="H81" s="65"/>
      <c r="I81" s="112"/>
      <c r="J81" s="89"/>
      <c r="K81" s="37"/>
      <c r="L81" s="37"/>
      <c r="M81" s="37"/>
      <c r="N81" s="37"/>
      <c r="O81" s="37"/>
      <c r="P81" s="37"/>
      <c r="Q81" s="37"/>
      <c r="R81" s="37"/>
      <c r="S81" s="37"/>
      <c r="T81" s="37"/>
      <c r="U81" s="3"/>
    </row>
    <row r="82" spans="1:26" ht="14.4" hidden="1" outlineLevel="1" x14ac:dyDescent="0.3">
      <c r="A82" s="3"/>
      <c r="B82" s="10" t="s">
        <v>629</v>
      </c>
      <c r="C82" s="80">
        <v>18</v>
      </c>
      <c r="D82" s="62" t="s">
        <v>94</v>
      </c>
      <c r="E82" s="12">
        <v>0</v>
      </c>
      <c r="F82" s="12">
        <v>134.38</v>
      </c>
      <c r="G82" s="65"/>
      <c r="H82" s="65" t="s">
        <v>37</v>
      </c>
      <c r="I82" s="112" t="s">
        <v>1206</v>
      </c>
      <c r="J82" s="89"/>
      <c r="K82" s="37"/>
      <c r="L82" s="37"/>
      <c r="M82" s="37"/>
      <c r="N82" s="37"/>
      <c r="O82" s="37"/>
      <c r="P82" s="37"/>
      <c r="Q82" s="37"/>
      <c r="R82" s="37"/>
      <c r="S82" s="37"/>
      <c r="T82" s="37"/>
      <c r="U82" s="3"/>
    </row>
    <row r="83" spans="1:26" ht="14.4" hidden="1" outlineLevel="1" x14ac:dyDescent="0.3">
      <c r="A83" s="3"/>
      <c r="B83" s="10" t="s">
        <v>629</v>
      </c>
      <c r="C83" s="80">
        <v>18</v>
      </c>
      <c r="D83" s="62" t="s">
        <v>94</v>
      </c>
      <c r="E83" s="12">
        <v>0</v>
      </c>
      <c r="F83" s="12">
        <v>159.97999999999999</v>
      </c>
      <c r="G83" s="65"/>
      <c r="H83" s="65" t="s">
        <v>37</v>
      </c>
      <c r="I83" s="112" t="s">
        <v>1207</v>
      </c>
      <c r="J83" s="89"/>
      <c r="K83" s="37"/>
      <c r="L83" s="37"/>
      <c r="M83" s="37"/>
      <c r="N83" s="37"/>
      <c r="O83" s="37"/>
      <c r="P83" s="37"/>
      <c r="Q83" s="37"/>
      <c r="R83" s="37"/>
      <c r="S83" s="37"/>
      <c r="T83" s="37"/>
      <c r="U83" s="3"/>
    </row>
    <row r="84" spans="1:26" ht="14.4" hidden="1" outlineLevel="1" x14ac:dyDescent="0.3">
      <c r="A84" s="3"/>
      <c r="B84" s="10" t="s">
        <v>341</v>
      </c>
      <c r="C84" s="80"/>
      <c r="D84" s="62"/>
      <c r="E84" s="12">
        <v>0</v>
      </c>
      <c r="F84" s="12">
        <v>0</v>
      </c>
      <c r="G84" s="65"/>
      <c r="H84" s="65"/>
      <c r="I84" s="89"/>
      <c r="J84" s="65"/>
      <c r="K84" s="37"/>
      <c r="L84" s="37"/>
      <c r="M84" s="37"/>
      <c r="N84" s="37"/>
      <c r="O84" s="37"/>
      <c r="P84" s="37"/>
      <c r="Q84" s="37"/>
      <c r="R84" s="37"/>
      <c r="S84" s="37"/>
      <c r="T84" s="37"/>
      <c r="U84" s="3"/>
      <c r="W84" s="3"/>
      <c r="X84" s="3"/>
      <c r="Y84" s="3"/>
      <c r="Z84" s="3"/>
    </row>
    <row r="85" spans="1:26" ht="14.4" hidden="1" outlineLevel="1" x14ac:dyDescent="0.3">
      <c r="A85" s="3"/>
      <c r="B85" s="10" t="s">
        <v>1208</v>
      </c>
      <c r="C85" s="62"/>
      <c r="D85" s="62"/>
      <c r="E85" s="12">
        <v>0</v>
      </c>
      <c r="F85" s="12">
        <v>0</v>
      </c>
      <c r="G85" s="65"/>
      <c r="H85" s="65"/>
      <c r="I85" s="112"/>
      <c r="J85" s="65"/>
      <c r="K85" s="37"/>
      <c r="L85" s="37"/>
      <c r="M85" s="37"/>
      <c r="N85" s="37"/>
      <c r="O85" s="37"/>
      <c r="P85" s="37"/>
      <c r="Q85" s="37"/>
      <c r="R85" s="37"/>
      <c r="S85" s="37"/>
      <c r="T85" s="37"/>
      <c r="U85" s="3"/>
      <c r="W85" s="3"/>
      <c r="X85" s="3"/>
      <c r="Y85" s="3"/>
      <c r="Z85" s="3"/>
    </row>
    <row r="86" spans="1:26" ht="14.4" hidden="1" outlineLevel="1" x14ac:dyDescent="0.3">
      <c r="A86" s="3"/>
      <c r="B86" s="10" t="s">
        <v>811</v>
      </c>
      <c r="C86" s="62"/>
      <c r="D86" s="62"/>
      <c r="E86" s="12">
        <v>0</v>
      </c>
      <c r="F86" s="12">
        <v>0</v>
      </c>
      <c r="G86" s="89"/>
      <c r="H86" s="65"/>
      <c r="I86" s="112"/>
      <c r="J86" s="65"/>
      <c r="K86" s="37"/>
      <c r="L86" s="37"/>
      <c r="M86" s="37"/>
      <c r="N86" s="37"/>
      <c r="O86" s="37"/>
      <c r="P86" s="37"/>
      <c r="Q86" s="37"/>
      <c r="R86" s="37"/>
      <c r="S86" s="37"/>
      <c r="T86" s="37"/>
      <c r="U86" s="3"/>
      <c r="W86" s="3"/>
      <c r="X86" s="3"/>
      <c r="Y86" s="3"/>
      <c r="Z86" s="3"/>
    </row>
    <row r="87" spans="1:26" ht="20.399999999999999" collapsed="1" x14ac:dyDescent="0.3">
      <c r="A87" s="3"/>
      <c r="B87" s="84" t="s">
        <v>348</v>
      </c>
      <c r="C87" s="85" t="s">
        <v>43</v>
      </c>
      <c r="D87" s="85" t="s">
        <v>43</v>
      </c>
      <c r="E87" s="86">
        <f t="shared" ref="E87:F87" si="0">SUM(E88,E104,E109)</f>
        <v>0</v>
      </c>
      <c r="F87" s="86">
        <f t="shared" si="0"/>
        <v>0</v>
      </c>
      <c r="G87" s="87"/>
      <c r="H87" s="87"/>
      <c r="I87" s="88"/>
      <c r="J87" s="87"/>
      <c r="K87" s="37"/>
      <c r="L87" s="37"/>
      <c r="M87" s="37"/>
      <c r="N87" s="37"/>
      <c r="O87" s="37"/>
      <c r="P87" s="37"/>
      <c r="Q87" s="37"/>
      <c r="R87" s="37"/>
      <c r="S87" s="37"/>
      <c r="T87" s="37"/>
      <c r="U87" s="3"/>
      <c r="W87" s="3"/>
      <c r="X87" s="3"/>
      <c r="Y87" s="3"/>
      <c r="Z87" s="3"/>
    </row>
    <row r="88" spans="1:26" hidden="1" outlineLevel="1" x14ac:dyDescent="0.3">
      <c r="A88" s="3"/>
      <c r="B88" s="91" t="s">
        <v>349</v>
      </c>
      <c r="C88" s="92"/>
      <c r="D88" s="92"/>
      <c r="E88" s="93">
        <f>SUM(E89:E103)</f>
        <v>0</v>
      </c>
      <c r="F88" s="93">
        <f>SUMIF(D89:D103,"OK",F89:F103)</f>
        <v>0</v>
      </c>
      <c r="G88" s="94"/>
      <c r="H88" s="94"/>
      <c r="I88" s="95"/>
      <c r="J88" s="94"/>
      <c r="K88" s="37"/>
      <c r="L88" s="37"/>
      <c r="M88" s="37"/>
      <c r="N88" s="37"/>
      <c r="O88" s="37"/>
      <c r="P88" s="37"/>
      <c r="Q88" s="37"/>
      <c r="R88" s="37"/>
      <c r="S88" s="37"/>
      <c r="T88" s="37"/>
      <c r="U88" s="3"/>
      <c r="W88" s="3"/>
      <c r="X88" s="3"/>
      <c r="Y88" s="3"/>
      <c r="Z88" s="3"/>
    </row>
    <row r="89" spans="1:26" ht="14.4" hidden="1" outlineLevel="1" x14ac:dyDescent="0.3">
      <c r="A89" s="3"/>
      <c r="B89" s="10" t="s">
        <v>330</v>
      </c>
      <c r="C89" s="62"/>
      <c r="D89" s="62"/>
      <c r="E89" s="12">
        <v>0</v>
      </c>
      <c r="F89" s="12">
        <v>0</v>
      </c>
      <c r="G89" s="65"/>
      <c r="H89" s="65"/>
      <c r="I89" s="112"/>
      <c r="J89" s="65"/>
      <c r="K89" s="37"/>
      <c r="L89" s="37"/>
      <c r="M89" s="37"/>
      <c r="N89" s="37"/>
      <c r="O89" s="37"/>
      <c r="P89" s="37"/>
      <c r="Q89" s="37"/>
      <c r="R89" s="37"/>
      <c r="S89" s="37"/>
      <c r="T89" s="37"/>
      <c r="U89" s="3"/>
      <c r="W89" s="3"/>
      <c r="X89" s="3"/>
      <c r="Y89" s="3"/>
      <c r="Z89" s="3"/>
    </row>
    <row r="90" spans="1:26" ht="14.4" hidden="1" outlineLevel="1" x14ac:dyDescent="0.3">
      <c r="A90" s="3"/>
      <c r="B90" s="10" t="s">
        <v>330</v>
      </c>
      <c r="C90" s="62"/>
      <c r="D90" s="62"/>
      <c r="E90" s="12">
        <v>0</v>
      </c>
      <c r="F90" s="12">
        <v>0</v>
      </c>
      <c r="G90" s="65"/>
      <c r="H90" s="65"/>
      <c r="I90" s="112"/>
      <c r="J90" s="65"/>
      <c r="K90" s="37"/>
      <c r="L90" s="37"/>
      <c r="M90" s="37"/>
      <c r="N90" s="37"/>
      <c r="O90" s="37"/>
      <c r="P90" s="37"/>
      <c r="Q90" s="37"/>
      <c r="R90" s="37"/>
      <c r="S90" s="37"/>
      <c r="T90" s="37"/>
      <c r="U90" s="3"/>
      <c r="W90" s="3"/>
      <c r="X90" s="3"/>
      <c r="Y90" s="3"/>
      <c r="Z90" s="3"/>
    </row>
    <row r="91" spans="1:26" ht="14.4" hidden="1" outlineLevel="1" x14ac:dyDescent="0.3">
      <c r="A91" s="3"/>
      <c r="B91" s="10" t="s">
        <v>330</v>
      </c>
      <c r="C91" s="62"/>
      <c r="D91" s="62"/>
      <c r="E91" s="12">
        <v>0</v>
      </c>
      <c r="F91" s="12">
        <v>0</v>
      </c>
      <c r="G91" s="65"/>
      <c r="H91" s="65"/>
      <c r="I91" s="112"/>
      <c r="J91" s="65"/>
      <c r="K91" s="37"/>
      <c r="L91" s="37"/>
      <c r="M91" s="37"/>
      <c r="N91" s="37"/>
      <c r="O91" s="37"/>
      <c r="P91" s="37"/>
      <c r="Q91" s="37"/>
      <c r="R91" s="37"/>
      <c r="S91" s="37"/>
      <c r="T91" s="37"/>
      <c r="U91" s="3"/>
      <c r="W91" s="3"/>
      <c r="X91" s="3"/>
      <c r="Y91" s="3"/>
      <c r="Z91" s="3"/>
    </row>
    <row r="92" spans="1:26" ht="14.4" hidden="1" outlineLevel="1" x14ac:dyDescent="0.3">
      <c r="A92" s="3"/>
      <c r="B92" s="10" t="s">
        <v>330</v>
      </c>
      <c r="C92" s="62"/>
      <c r="D92" s="62"/>
      <c r="E92" s="12">
        <v>0</v>
      </c>
      <c r="F92" s="12">
        <v>0</v>
      </c>
      <c r="G92" s="65"/>
      <c r="H92" s="65"/>
      <c r="I92" s="112"/>
      <c r="J92" s="65"/>
      <c r="K92" s="37"/>
      <c r="L92" s="37"/>
      <c r="M92" s="37"/>
      <c r="N92" s="37"/>
      <c r="O92" s="37"/>
      <c r="P92" s="37"/>
      <c r="Q92" s="37"/>
      <c r="R92" s="37"/>
      <c r="S92" s="37"/>
      <c r="T92" s="37"/>
      <c r="U92" s="3"/>
      <c r="W92" s="3"/>
      <c r="X92" s="3"/>
      <c r="Y92" s="3"/>
      <c r="Z92" s="3"/>
    </row>
    <row r="93" spans="1:26" ht="14.4" hidden="1" outlineLevel="1" x14ac:dyDescent="0.3">
      <c r="A93" s="3"/>
      <c r="B93" s="10" t="s">
        <v>330</v>
      </c>
      <c r="C93" s="62"/>
      <c r="D93" s="62"/>
      <c r="E93" s="12">
        <v>0</v>
      </c>
      <c r="F93" s="12">
        <v>0</v>
      </c>
      <c r="G93" s="65"/>
      <c r="H93" s="65"/>
      <c r="I93" s="112"/>
      <c r="J93" s="65"/>
      <c r="K93" s="37"/>
      <c r="L93" s="37"/>
      <c r="M93" s="37"/>
      <c r="N93" s="37"/>
      <c r="O93" s="37"/>
      <c r="P93" s="37"/>
      <c r="Q93" s="37"/>
      <c r="R93" s="37"/>
      <c r="S93" s="37"/>
      <c r="T93" s="37"/>
      <c r="U93" s="3"/>
      <c r="W93" s="3"/>
      <c r="X93" s="3"/>
      <c r="Y93" s="3"/>
      <c r="Z93" s="3"/>
    </row>
    <row r="94" spans="1:26" ht="14.4" hidden="1" outlineLevel="1" x14ac:dyDescent="0.3">
      <c r="A94" s="3"/>
      <c r="B94" s="10" t="s">
        <v>330</v>
      </c>
      <c r="C94" s="62"/>
      <c r="D94" s="62"/>
      <c r="E94" s="12">
        <v>0</v>
      </c>
      <c r="F94" s="12">
        <v>0</v>
      </c>
      <c r="G94" s="65"/>
      <c r="H94" s="65"/>
      <c r="I94" s="112"/>
      <c r="J94" s="65"/>
      <c r="K94" s="37"/>
      <c r="L94" s="37"/>
      <c r="M94" s="37"/>
      <c r="N94" s="37"/>
      <c r="O94" s="37"/>
      <c r="P94" s="37"/>
      <c r="Q94" s="37"/>
      <c r="R94" s="37"/>
      <c r="S94" s="37"/>
      <c r="T94" s="37"/>
      <c r="U94" s="3"/>
      <c r="W94" s="3"/>
      <c r="X94" s="3"/>
      <c r="Y94" s="3"/>
      <c r="Z94" s="3"/>
    </row>
    <row r="95" spans="1:26" ht="14.4" hidden="1" outlineLevel="1" x14ac:dyDescent="0.3">
      <c r="A95" s="3"/>
      <c r="B95" s="10" t="s">
        <v>330</v>
      </c>
      <c r="C95" s="62"/>
      <c r="D95" s="62"/>
      <c r="E95" s="12">
        <v>0</v>
      </c>
      <c r="F95" s="12">
        <v>0</v>
      </c>
      <c r="G95" s="65"/>
      <c r="H95" s="65"/>
      <c r="I95" s="112"/>
      <c r="J95" s="65"/>
      <c r="K95" s="37"/>
      <c r="L95" s="37"/>
      <c r="M95" s="37"/>
      <c r="N95" s="37"/>
      <c r="O95" s="37"/>
      <c r="P95" s="37"/>
      <c r="Q95" s="37"/>
      <c r="R95" s="37"/>
      <c r="S95" s="37"/>
      <c r="T95" s="37"/>
      <c r="U95" s="3"/>
      <c r="W95" s="3"/>
      <c r="X95" s="3"/>
      <c r="Y95" s="3"/>
      <c r="Z95" s="3"/>
    </row>
    <row r="96" spans="1:26" ht="14.4" hidden="1" outlineLevel="1" x14ac:dyDescent="0.3">
      <c r="A96" s="3"/>
      <c r="B96" s="10" t="s">
        <v>330</v>
      </c>
      <c r="C96" s="62"/>
      <c r="D96" s="62"/>
      <c r="E96" s="12">
        <v>0</v>
      </c>
      <c r="F96" s="12">
        <v>0</v>
      </c>
      <c r="G96" s="65"/>
      <c r="H96" s="65"/>
      <c r="I96" s="112"/>
      <c r="J96" s="65"/>
      <c r="K96" s="37"/>
      <c r="L96" s="37"/>
      <c r="M96" s="37"/>
      <c r="N96" s="37"/>
      <c r="O96" s="37"/>
      <c r="P96" s="37"/>
      <c r="Q96" s="37"/>
      <c r="R96" s="37"/>
      <c r="S96" s="37"/>
      <c r="T96" s="37"/>
      <c r="U96" s="3"/>
      <c r="W96" s="3"/>
      <c r="X96" s="3"/>
      <c r="Y96" s="3"/>
      <c r="Z96" s="3"/>
    </row>
    <row r="97" spans="1:26" ht="14.4" hidden="1" outlineLevel="1" x14ac:dyDescent="0.3">
      <c r="A97" s="3"/>
      <c r="B97" s="10" t="s">
        <v>330</v>
      </c>
      <c r="C97" s="62"/>
      <c r="D97" s="62"/>
      <c r="E97" s="12">
        <v>0</v>
      </c>
      <c r="F97" s="12">
        <v>0</v>
      </c>
      <c r="G97" s="65"/>
      <c r="H97" s="65"/>
      <c r="I97" s="112"/>
      <c r="J97" s="65"/>
      <c r="K97" s="37"/>
      <c r="L97" s="37"/>
      <c r="M97" s="37"/>
      <c r="N97" s="37"/>
      <c r="O97" s="37"/>
      <c r="P97" s="37"/>
      <c r="Q97" s="37"/>
      <c r="R97" s="37"/>
      <c r="S97" s="37"/>
      <c r="T97" s="37"/>
      <c r="U97" s="3"/>
      <c r="W97" s="3"/>
      <c r="X97" s="3"/>
      <c r="Y97" s="3"/>
      <c r="Z97" s="3"/>
    </row>
    <row r="98" spans="1:26" ht="14.4" hidden="1" outlineLevel="1" x14ac:dyDescent="0.3">
      <c r="A98" s="3"/>
      <c r="B98" s="10" t="s">
        <v>330</v>
      </c>
      <c r="C98" s="62"/>
      <c r="D98" s="62"/>
      <c r="E98" s="12">
        <v>0</v>
      </c>
      <c r="F98" s="12">
        <v>0</v>
      </c>
      <c r="G98" s="65"/>
      <c r="H98" s="65"/>
      <c r="I98" s="112"/>
      <c r="J98" s="65"/>
      <c r="K98" s="37"/>
      <c r="L98" s="37"/>
      <c r="M98" s="37"/>
      <c r="N98" s="37"/>
      <c r="O98" s="37"/>
      <c r="P98" s="37"/>
      <c r="Q98" s="37"/>
      <c r="R98" s="37"/>
      <c r="S98" s="37"/>
      <c r="T98" s="37"/>
      <c r="U98" s="3"/>
      <c r="W98" s="3"/>
      <c r="X98" s="3"/>
      <c r="Y98" s="3"/>
      <c r="Z98" s="3"/>
    </row>
    <row r="99" spans="1:26" ht="14.4" hidden="1" outlineLevel="1" x14ac:dyDescent="0.3">
      <c r="A99" s="3"/>
      <c r="B99" s="10" t="s">
        <v>330</v>
      </c>
      <c r="C99" s="62"/>
      <c r="D99" s="62"/>
      <c r="E99" s="12">
        <v>0</v>
      </c>
      <c r="F99" s="12">
        <v>0</v>
      </c>
      <c r="G99" s="65"/>
      <c r="H99" s="65"/>
      <c r="I99" s="112"/>
      <c r="J99" s="65"/>
      <c r="K99" s="37"/>
      <c r="L99" s="37"/>
      <c r="M99" s="37"/>
      <c r="N99" s="37"/>
      <c r="O99" s="37"/>
      <c r="P99" s="37"/>
      <c r="Q99" s="37"/>
      <c r="R99" s="37"/>
      <c r="S99" s="37"/>
      <c r="T99" s="37"/>
      <c r="U99" s="3"/>
      <c r="W99" s="3"/>
      <c r="X99" s="3"/>
      <c r="Y99" s="3"/>
      <c r="Z99" s="3"/>
    </row>
    <row r="100" spans="1:26" ht="14.4" hidden="1" outlineLevel="1" x14ac:dyDescent="0.3">
      <c r="A100" s="3"/>
      <c r="B100" s="10" t="s">
        <v>330</v>
      </c>
      <c r="C100" s="62"/>
      <c r="D100" s="62"/>
      <c r="E100" s="12">
        <v>0</v>
      </c>
      <c r="F100" s="12">
        <v>0</v>
      </c>
      <c r="G100" s="65"/>
      <c r="H100" s="65"/>
      <c r="I100" s="112"/>
      <c r="J100" s="65"/>
      <c r="K100" s="37"/>
      <c r="L100" s="37"/>
      <c r="M100" s="37"/>
      <c r="N100" s="37"/>
      <c r="O100" s="37"/>
      <c r="P100" s="37"/>
      <c r="Q100" s="37"/>
      <c r="R100" s="37"/>
      <c r="S100" s="37"/>
      <c r="T100" s="37"/>
      <c r="U100" s="3"/>
      <c r="W100" s="3"/>
      <c r="X100" s="3"/>
      <c r="Y100" s="3"/>
      <c r="Z100" s="3"/>
    </row>
    <row r="101" spans="1:26" ht="14.4" hidden="1" outlineLevel="1" x14ac:dyDescent="0.3">
      <c r="A101" s="3"/>
      <c r="B101" s="10" t="s">
        <v>334</v>
      </c>
      <c r="C101" s="62"/>
      <c r="D101" s="62"/>
      <c r="E101" s="12">
        <v>0</v>
      </c>
      <c r="F101" s="12">
        <v>0</v>
      </c>
      <c r="G101" s="65"/>
      <c r="H101" s="65"/>
      <c r="I101" s="112"/>
      <c r="J101" s="65"/>
      <c r="K101" s="37"/>
      <c r="L101" s="37"/>
      <c r="M101" s="37"/>
      <c r="N101" s="37"/>
      <c r="O101" s="37"/>
      <c r="P101" s="37"/>
      <c r="Q101" s="37"/>
      <c r="R101" s="37"/>
      <c r="S101" s="37"/>
      <c r="T101" s="37"/>
      <c r="U101" s="3"/>
      <c r="W101" s="3"/>
      <c r="X101" s="3"/>
      <c r="Y101" s="3"/>
      <c r="Z101" s="3"/>
    </row>
    <row r="102" spans="1:26" ht="14.4" hidden="1" outlineLevel="1" x14ac:dyDescent="0.3">
      <c r="A102" s="3"/>
      <c r="B102" s="10" t="s">
        <v>341</v>
      </c>
      <c r="C102" s="62"/>
      <c r="D102" s="62"/>
      <c r="E102" s="12">
        <v>0</v>
      </c>
      <c r="F102" s="12">
        <v>0</v>
      </c>
      <c r="G102" s="65"/>
      <c r="H102" s="65"/>
      <c r="I102" s="112"/>
      <c r="J102" s="65"/>
      <c r="K102" s="37"/>
      <c r="L102" s="37"/>
      <c r="M102" s="37"/>
      <c r="N102" s="37"/>
      <c r="O102" s="37"/>
      <c r="P102" s="37"/>
      <c r="Q102" s="37"/>
      <c r="R102" s="37"/>
      <c r="S102" s="37"/>
      <c r="T102" s="37"/>
      <c r="U102" s="3"/>
      <c r="W102" s="3"/>
      <c r="X102" s="3"/>
      <c r="Y102" s="3"/>
      <c r="Z102" s="3"/>
    </row>
    <row r="103" spans="1:26" ht="14.4" hidden="1" outlineLevel="1" x14ac:dyDescent="0.3">
      <c r="A103" s="3"/>
      <c r="B103" s="10" t="s">
        <v>811</v>
      </c>
      <c r="C103" s="62"/>
      <c r="D103" s="62"/>
      <c r="E103" s="12">
        <v>0</v>
      </c>
      <c r="F103" s="12">
        <v>0</v>
      </c>
      <c r="G103" s="65"/>
      <c r="H103" s="65"/>
      <c r="I103" s="112"/>
      <c r="J103" s="65"/>
      <c r="K103" s="37"/>
      <c r="L103" s="37"/>
      <c r="M103" s="37"/>
      <c r="N103" s="37"/>
      <c r="O103" s="37"/>
      <c r="P103" s="37"/>
      <c r="Q103" s="37"/>
      <c r="R103" s="37"/>
      <c r="S103" s="37"/>
      <c r="T103" s="37"/>
      <c r="U103" s="3"/>
      <c r="W103" s="3"/>
      <c r="X103" s="3"/>
      <c r="Y103" s="3"/>
      <c r="Z103" s="3"/>
    </row>
    <row r="104" spans="1:26" hidden="1" outlineLevel="1" x14ac:dyDescent="0.3">
      <c r="A104" s="3"/>
      <c r="B104" s="91" t="s">
        <v>352</v>
      </c>
      <c r="C104" s="92"/>
      <c r="D104" s="92"/>
      <c r="E104" s="93">
        <f>SUM(E105:E108)</f>
        <v>0</v>
      </c>
      <c r="F104" s="93">
        <f>SUMIF(D105:D108,"OK",F105:F108)</f>
        <v>0</v>
      </c>
      <c r="G104" s="94"/>
      <c r="H104" s="94"/>
      <c r="I104" s="95"/>
      <c r="J104" s="94"/>
      <c r="K104" s="37"/>
      <c r="L104" s="37"/>
      <c r="M104" s="37"/>
      <c r="N104" s="37"/>
      <c r="O104" s="37"/>
      <c r="P104" s="37"/>
      <c r="Q104" s="37"/>
      <c r="R104" s="37"/>
      <c r="S104" s="37"/>
      <c r="T104" s="37"/>
      <c r="U104" s="3"/>
      <c r="W104" s="3"/>
      <c r="X104" s="3"/>
      <c r="Y104" s="3"/>
      <c r="Z104" s="3"/>
    </row>
    <row r="105" spans="1:26" ht="14.4" hidden="1" outlineLevel="1" x14ac:dyDescent="0.3">
      <c r="A105" s="3"/>
      <c r="B105" s="10" t="s">
        <v>50</v>
      </c>
      <c r="C105" s="62"/>
      <c r="D105" s="62"/>
      <c r="E105" s="12">
        <v>0</v>
      </c>
      <c r="F105" s="12">
        <v>0</v>
      </c>
      <c r="G105" s="65"/>
      <c r="H105" s="65"/>
      <c r="I105" s="112"/>
      <c r="J105" s="65"/>
      <c r="K105" s="37"/>
      <c r="L105" s="37"/>
      <c r="M105" s="37"/>
      <c r="N105" s="37"/>
      <c r="O105" s="37"/>
      <c r="P105" s="37"/>
      <c r="Q105" s="37"/>
      <c r="R105" s="37"/>
      <c r="S105" s="37"/>
      <c r="T105" s="37"/>
      <c r="U105" s="3"/>
      <c r="W105" s="3"/>
      <c r="X105" s="3"/>
      <c r="Y105" s="3"/>
      <c r="Z105" s="3"/>
    </row>
    <row r="106" spans="1:26" ht="14.4" hidden="1" outlineLevel="1" x14ac:dyDescent="0.3">
      <c r="A106" s="3"/>
      <c r="B106" s="10" t="s">
        <v>50</v>
      </c>
      <c r="C106" s="62"/>
      <c r="D106" s="62"/>
      <c r="E106" s="12">
        <v>0</v>
      </c>
      <c r="F106" s="12">
        <v>0</v>
      </c>
      <c r="G106" s="65"/>
      <c r="H106" s="65"/>
      <c r="I106" s="112"/>
      <c r="J106" s="65"/>
      <c r="K106" s="37"/>
      <c r="L106" s="37"/>
      <c r="M106" s="37"/>
      <c r="N106" s="37"/>
      <c r="O106" s="37"/>
      <c r="P106" s="37"/>
      <c r="Q106" s="37"/>
      <c r="R106" s="37"/>
      <c r="S106" s="37"/>
      <c r="T106" s="37"/>
      <c r="U106" s="3"/>
      <c r="W106" s="3"/>
      <c r="X106" s="3"/>
      <c r="Y106" s="3"/>
      <c r="Z106" s="3"/>
    </row>
    <row r="107" spans="1:26" ht="14.4" hidden="1" outlineLevel="1" x14ac:dyDescent="0.3">
      <c r="A107" s="3"/>
      <c r="B107" s="10" t="s">
        <v>50</v>
      </c>
      <c r="C107" s="62"/>
      <c r="D107" s="62"/>
      <c r="E107" s="12">
        <v>0</v>
      </c>
      <c r="F107" s="12">
        <v>0</v>
      </c>
      <c r="G107" s="65"/>
      <c r="H107" s="65"/>
      <c r="I107" s="112"/>
      <c r="J107" s="65"/>
      <c r="K107" s="37"/>
      <c r="L107" s="37"/>
      <c r="M107" s="37"/>
      <c r="N107" s="37"/>
      <c r="O107" s="37"/>
      <c r="P107" s="37"/>
      <c r="Q107" s="37"/>
      <c r="R107" s="37"/>
      <c r="S107" s="37"/>
      <c r="T107" s="37"/>
      <c r="U107" s="3"/>
      <c r="W107" s="3"/>
      <c r="X107" s="3"/>
      <c r="Y107" s="3"/>
      <c r="Z107" s="3"/>
    </row>
    <row r="108" spans="1:26" ht="14.4" hidden="1" outlineLevel="1" x14ac:dyDescent="0.3">
      <c r="A108" s="3"/>
      <c r="B108" s="10" t="s">
        <v>50</v>
      </c>
      <c r="C108" s="62"/>
      <c r="D108" s="62"/>
      <c r="E108" s="12">
        <v>0</v>
      </c>
      <c r="F108" s="12">
        <v>0</v>
      </c>
      <c r="G108" s="89"/>
      <c r="H108" s="65"/>
      <c r="I108" s="112"/>
      <c r="J108" s="65"/>
      <c r="K108" s="37"/>
      <c r="L108" s="37"/>
      <c r="M108" s="37"/>
      <c r="N108" s="37"/>
      <c r="O108" s="37"/>
      <c r="P108" s="37"/>
      <c r="Q108" s="37"/>
      <c r="R108" s="37"/>
      <c r="S108" s="37"/>
      <c r="T108" s="37"/>
      <c r="U108" s="3"/>
      <c r="W108" s="3"/>
      <c r="X108" s="3"/>
      <c r="Y108" s="3"/>
      <c r="Z108" s="3"/>
    </row>
    <row r="109" spans="1:26" hidden="1" outlineLevel="1" x14ac:dyDescent="0.3">
      <c r="A109" s="3"/>
      <c r="B109" s="91" t="s">
        <v>356</v>
      </c>
      <c r="C109" s="92"/>
      <c r="D109" s="92"/>
      <c r="E109" s="93">
        <f>SUM(E110:E112)</f>
        <v>0</v>
      </c>
      <c r="F109" s="93">
        <f>SUMIF(D110:D112,"OK",F110:F112)</f>
        <v>0</v>
      </c>
      <c r="G109" s="94"/>
      <c r="H109" s="94"/>
      <c r="I109" s="95"/>
      <c r="J109" s="94"/>
      <c r="K109" s="37"/>
      <c r="L109" s="37"/>
      <c r="M109" s="37"/>
      <c r="N109" s="37"/>
      <c r="O109" s="37"/>
      <c r="P109" s="37"/>
      <c r="Q109" s="37"/>
      <c r="R109" s="37"/>
      <c r="S109" s="37"/>
      <c r="T109" s="37"/>
      <c r="U109" s="3"/>
      <c r="W109" s="3"/>
      <c r="X109" s="3"/>
      <c r="Y109" s="3"/>
      <c r="Z109" s="3"/>
    </row>
    <row r="110" spans="1:26" ht="14.4" hidden="1" outlineLevel="1" x14ac:dyDescent="0.3">
      <c r="A110" s="3"/>
      <c r="B110" s="10" t="s">
        <v>50</v>
      </c>
      <c r="C110" s="62"/>
      <c r="D110" s="62"/>
      <c r="E110" s="12">
        <v>0</v>
      </c>
      <c r="F110" s="12">
        <v>0</v>
      </c>
      <c r="G110" s="65"/>
      <c r="H110" s="65"/>
      <c r="I110" s="89"/>
      <c r="J110" s="65"/>
      <c r="K110" s="37"/>
      <c r="L110" s="37"/>
      <c r="M110" s="37"/>
      <c r="N110" s="37"/>
      <c r="O110" s="37"/>
      <c r="P110" s="37"/>
      <c r="Q110" s="37"/>
      <c r="R110" s="37"/>
      <c r="S110" s="37"/>
      <c r="T110" s="37"/>
      <c r="U110" s="3"/>
      <c r="W110" s="3"/>
      <c r="X110" s="3"/>
      <c r="Y110" s="3"/>
      <c r="Z110" s="3"/>
    </row>
    <row r="111" spans="1:26" ht="14.4" hidden="1" outlineLevel="1" x14ac:dyDescent="0.3">
      <c r="A111" s="3"/>
      <c r="B111" s="10" t="s">
        <v>50</v>
      </c>
      <c r="C111" s="62"/>
      <c r="D111" s="62"/>
      <c r="E111" s="12">
        <v>0</v>
      </c>
      <c r="F111" s="12">
        <v>0</v>
      </c>
      <c r="G111" s="65"/>
      <c r="H111" s="65"/>
      <c r="I111" s="89"/>
      <c r="J111" s="65"/>
      <c r="K111" s="37"/>
      <c r="L111" s="37"/>
      <c r="M111" s="37"/>
      <c r="N111" s="37"/>
      <c r="O111" s="37"/>
      <c r="P111" s="37"/>
      <c r="Q111" s="37"/>
      <c r="R111" s="37"/>
      <c r="S111" s="37"/>
      <c r="T111" s="37"/>
      <c r="U111" s="3"/>
      <c r="W111" s="3"/>
      <c r="X111" s="3"/>
      <c r="Y111" s="3"/>
      <c r="Z111" s="3"/>
    </row>
    <row r="112" spans="1:26" ht="14.4" hidden="1" outlineLevel="1" x14ac:dyDescent="0.3">
      <c r="A112" s="3"/>
      <c r="B112" s="10" t="s">
        <v>50</v>
      </c>
      <c r="C112" s="62"/>
      <c r="D112" s="62"/>
      <c r="E112" s="12">
        <v>0</v>
      </c>
      <c r="F112" s="12">
        <v>0</v>
      </c>
      <c r="G112" s="65"/>
      <c r="H112" s="65"/>
      <c r="I112" s="89"/>
      <c r="J112" s="65"/>
      <c r="K112" s="37"/>
      <c r="L112" s="37"/>
      <c r="M112" s="37"/>
      <c r="N112" s="37"/>
      <c r="O112" s="37"/>
      <c r="P112" s="37"/>
      <c r="Q112" s="37"/>
      <c r="R112" s="37"/>
      <c r="S112" s="37"/>
      <c r="T112" s="37"/>
      <c r="U112" s="3"/>
      <c r="W112" s="3"/>
      <c r="X112" s="3"/>
      <c r="Y112" s="3"/>
      <c r="Z112" s="3"/>
    </row>
    <row r="113" spans="1:26" ht="20.399999999999999" collapsed="1" x14ac:dyDescent="0.3">
      <c r="A113" s="3"/>
      <c r="B113" s="84" t="s">
        <v>357</v>
      </c>
      <c r="C113" s="85" t="s">
        <v>43</v>
      </c>
      <c r="D113" s="85" t="s">
        <v>43</v>
      </c>
      <c r="E113" s="86">
        <f t="shared" ref="E113:F113" si="1">SUM(E114,E121)</f>
        <v>0</v>
      </c>
      <c r="F113" s="86">
        <f t="shared" si="1"/>
        <v>6245.8499999999985</v>
      </c>
      <c r="G113" s="87"/>
      <c r="H113" s="87"/>
      <c r="I113" s="88"/>
      <c r="J113" s="87"/>
      <c r="K113" s="37"/>
      <c r="L113" s="37"/>
      <c r="M113" s="37"/>
      <c r="N113" s="37"/>
      <c r="O113" s="37"/>
      <c r="P113" s="37"/>
      <c r="Q113" s="37"/>
      <c r="R113" s="37"/>
      <c r="S113" s="37"/>
      <c r="T113" s="37"/>
      <c r="U113" s="3"/>
      <c r="W113" s="3"/>
      <c r="X113" s="3"/>
      <c r="Y113" s="3"/>
      <c r="Z113" s="3"/>
    </row>
    <row r="114" spans="1:26" hidden="1" outlineLevel="1" x14ac:dyDescent="0.3">
      <c r="A114" s="3"/>
      <c r="B114" s="91" t="s">
        <v>358</v>
      </c>
      <c r="C114" s="92"/>
      <c r="D114" s="92"/>
      <c r="E114" s="93">
        <f>SUM(E115:E120)</f>
        <v>0</v>
      </c>
      <c r="F114" s="93">
        <f>SUMIF(D115:D120,"OK",F115:F120)</f>
        <v>855.18999999999994</v>
      </c>
      <c r="G114" s="94"/>
      <c r="H114" s="94"/>
      <c r="I114" s="95"/>
      <c r="J114" s="94"/>
      <c r="K114" s="37"/>
      <c r="L114" s="37"/>
      <c r="M114" s="37"/>
      <c r="N114" s="37"/>
      <c r="O114" s="37"/>
      <c r="P114" s="37"/>
      <c r="Q114" s="37"/>
      <c r="R114" s="37"/>
      <c r="S114" s="37"/>
      <c r="T114" s="37"/>
      <c r="U114" s="3"/>
      <c r="W114" s="3"/>
      <c r="X114" s="3"/>
      <c r="Y114" s="3"/>
      <c r="Z114" s="3"/>
    </row>
    <row r="115" spans="1:26" ht="14.4" hidden="1" outlineLevel="1" x14ac:dyDescent="0.3">
      <c r="A115" s="3"/>
      <c r="B115" s="10" t="s">
        <v>986</v>
      </c>
      <c r="C115" s="62">
        <v>29</v>
      </c>
      <c r="D115" s="62" t="s">
        <v>94</v>
      </c>
      <c r="E115" s="12">
        <v>0</v>
      </c>
      <c r="F115" s="12">
        <v>60</v>
      </c>
      <c r="G115" s="89" t="s">
        <v>613</v>
      </c>
      <c r="H115" s="65" t="s">
        <v>37</v>
      </c>
      <c r="I115" s="112" t="s">
        <v>1209</v>
      </c>
      <c r="J115" s="65"/>
      <c r="K115" s="37"/>
      <c r="L115" s="37"/>
      <c r="M115" s="37"/>
      <c r="N115" s="37"/>
      <c r="O115" s="37"/>
      <c r="P115" s="37"/>
      <c r="Q115" s="37"/>
      <c r="R115" s="37"/>
      <c r="S115" s="37"/>
      <c r="T115" s="37"/>
      <c r="U115" s="3"/>
      <c r="W115" s="3"/>
      <c r="X115" s="3"/>
      <c r="Y115" s="3"/>
      <c r="Z115" s="3"/>
    </row>
    <row r="116" spans="1:26" ht="14.4" hidden="1" outlineLevel="1" x14ac:dyDescent="0.3">
      <c r="A116" s="3"/>
      <c r="B116" s="10" t="s">
        <v>986</v>
      </c>
      <c r="C116" s="62">
        <v>30</v>
      </c>
      <c r="D116" s="62" t="s">
        <v>94</v>
      </c>
      <c r="E116" s="12">
        <v>0</v>
      </c>
      <c r="F116" s="12">
        <v>226.72</v>
      </c>
      <c r="G116" s="65"/>
      <c r="H116" s="65" t="s">
        <v>37</v>
      </c>
      <c r="I116" s="112" t="s">
        <v>1210</v>
      </c>
      <c r="J116" s="65"/>
      <c r="K116" s="37"/>
      <c r="L116" s="37"/>
      <c r="M116" s="37"/>
      <c r="N116" s="37"/>
      <c r="O116" s="37"/>
      <c r="P116" s="37"/>
      <c r="Q116" s="37"/>
      <c r="R116" s="37"/>
      <c r="S116" s="37"/>
      <c r="T116" s="37"/>
      <c r="U116" s="3"/>
      <c r="W116" s="3"/>
      <c r="X116" s="3"/>
      <c r="Y116" s="3"/>
      <c r="Z116" s="3"/>
    </row>
    <row r="117" spans="1:26" ht="14.4" hidden="1" outlineLevel="1" x14ac:dyDescent="0.3">
      <c r="A117" s="3"/>
      <c r="B117" s="10" t="s">
        <v>986</v>
      </c>
      <c r="C117" s="62">
        <v>30</v>
      </c>
      <c r="D117" s="62" t="s">
        <v>94</v>
      </c>
      <c r="E117" s="12">
        <v>0</v>
      </c>
      <c r="F117" s="12">
        <v>384.8</v>
      </c>
      <c r="G117" s="65" t="s">
        <v>1211</v>
      </c>
      <c r="H117" s="65" t="s">
        <v>37</v>
      </c>
      <c r="I117" s="112" t="s">
        <v>1212</v>
      </c>
      <c r="J117" s="65"/>
      <c r="K117" s="37"/>
      <c r="L117" s="37"/>
      <c r="M117" s="37"/>
      <c r="N117" s="37"/>
      <c r="O117" s="37"/>
      <c r="P117" s="37"/>
      <c r="Q117" s="37"/>
      <c r="R117" s="37"/>
      <c r="S117" s="37"/>
      <c r="T117" s="37"/>
      <c r="U117" s="3"/>
      <c r="W117" s="3"/>
      <c r="X117" s="3"/>
      <c r="Y117" s="3"/>
      <c r="Z117" s="3"/>
    </row>
    <row r="118" spans="1:26" ht="14.4" hidden="1" outlineLevel="1" x14ac:dyDescent="0.3">
      <c r="A118" s="3"/>
      <c r="B118" s="10" t="s">
        <v>986</v>
      </c>
      <c r="C118" s="62">
        <v>30</v>
      </c>
      <c r="D118" s="62" t="s">
        <v>94</v>
      </c>
      <c r="E118" s="12">
        <v>0</v>
      </c>
      <c r="F118" s="12">
        <v>141</v>
      </c>
      <c r="G118" s="65" t="s">
        <v>1211</v>
      </c>
      <c r="H118" s="65" t="s">
        <v>37</v>
      </c>
      <c r="I118" s="112" t="s">
        <v>1213</v>
      </c>
      <c r="J118" s="65"/>
      <c r="K118" s="37"/>
      <c r="L118" s="37"/>
      <c r="M118" s="37"/>
      <c r="N118" s="37"/>
      <c r="O118" s="37"/>
      <c r="P118" s="37"/>
      <c r="Q118" s="37"/>
      <c r="R118" s="37"/>
      <c r="S118" s="37"/>
      <c r="T118" s="37"/>
      <c r="U118" s="3"/>
      <c r="W118" s="3"/>
      <c r="X118" s="3"/>
      <c r="Y118" s="3"/>
      <c r="Z118" s="3"/>
    </row>
    <row r="119" spans="1:26" ht="14.4" hidden="1" outlineLevel="1" x14ac:dyDescent="0.3">
      <c r="A119" s="3"/>
      <c r="B119" s="10" t="s">
        <v>986</v>
      </c>
      <c r="C119" s="62">
        <v>30</v>
      </c>
      <c r="D119" s="62" t="s">
        <v>94</v>
      </c>
      <c r="E119" s="12">
        <v>0</v>
      </c>
      <c r="F119" s="12">
        <v>18.670000000000002</v>
      </c>
      <c r="G119" s="65"/>
      <c r="H119" s="65" t="s">
        <v>37</v>
      </c>
      <c r="I119" s="112" t="s">
        <v>1214</v>
      </c>
      <c r="J119" s="65"/>
      <c r="K119" s="37"/>
      <c r="L119" s="37"/>
      <c r="M119" s="37"/>
      <c r="N119" s="37"/>
      <c r="O119" s="37"/>
      <c r="P119" s="37"/>
      <c r="Q119" s="37"/>
      <c r="R119" s="37"/>
      <c r="S119" s="37"/>
      <c r="T119" s="37"/>
      <c r="U119" s="3"/>
      <c r="W119" s="3"/>
      <c r="X119" s="3"/>
      <c r="Y119" s="3"/>
      <c r="Z119" s="3"/>
    </row>
    <row r="120" spans="1:26" ht="14.4" hidden="1" outlineLevel="1" x14ac:dyDescent="0.3">
      <c r="A120" s="3"/>
      <c r="B120" s="10" t="s">
        <v>1215</v>
      </c>
      <c r="C120" s="62">
        <v>30</v>
      </c>
      <c r="D120" s="62" t="s">
        <v>94</v>
      </c>
      <c r="E120" s="12">
        <v>0</v>
      </c>
      <c r="F120" s="12">
        <v>24</v>
      </c>
      <c r="G120" s="65"/>
      <c r="H120" s="65" t="s">
        <v>37</v>
      </c>
      <c r="I120" s="112" t="s">
        <v>1216</v>
      </c>
      <c r="J120" s="65"/>
      <c r="K120" s="37"/>
      <c r="L120" s="37"/>
      <c r="M120" s="37"/>
      <c r="N120" s="37"/>
      <c r="O120" s="37"/>
      <c r="P120" s="37"/>
      <c r="Q120" s="37"/>
      <c r="R120" s="37"/>
      <c r="S120" s="37"/>
      <c r="T120" s="37"/>
      <c r="U120" s="3"/>
      <c r="W120" s="3"/>
      <c r="X120" s="3"/>
      <c r="Y120" s="3"/>
      <c r="Z120" s="3"/>
    </row>
    <row r="121" spans="1:26" hidden="1" outlineLevel="1" x14ac:dyDescent="0.3">
      <c r="A121" s="3"/>
      <c r="B121" s="91" t="s">
        <v>632</v>
      </c>
      <c r="C121" s="92"/>
      <c r="D121" s="92"/>
      <c r="E121" s="93">
        <f>SUM(E122:E147)</f>
        <v>0</v>
      </c>
      <c r="F121" s="93">
        <f>SUMIF(D122:D147,"OK",F122:F147)</f>
        <v>5390.6599999999989</v>
      </c>
      <c r="G121" s="94"/>
      <c r="H121" s="94"/>
      <c r="I121" s="95"/>
      <c r="J121" s="94"/>
      <c r="K121" s="37"/>
      <c r="L121" s="37"/>
      <c r="M121" s="37"/>
      <c r="N121" s="37"/>
      <c r="O121" s="37"/>
      <c r="P121" s="37"/>
      <c r="Q121" s="37"/>
      <c r="R121" s="37"/>
      <c r="S121" s="37"/>
      <c r="T121" s="37"/>
      <c r="U121" s="3"/>
      <c r="W121" s="3"/>
      <c r="X121" s="3"/>
      <c r="Y121" s="3"/>
      <c r="Z121" s="3"/>
    </row>
    <row r="122" spans="1:26" ht="14.4" hidden="1" outlineLevel="1" x14ac:dyDescent="0.3">
      <c r="A122" s="3"/>
      <c r="B122" s="10" t="s">
        <v>1217</v>
      </c>
      <c r="C122" s="62">
        <v>1</v>
      </c>
      <c r="D122" s="62" t="s">
        <v>94</v>
      </c>
      <c r="E122" s="12">
        <v>0</v>
      </c>
      <c r="F122" s="12">
        <v>500</v>
      </c>
      <c r="G122" s="65"/>
      <c r="H122" s="65" t="s">
        <v>37</v>
      </c>
      <c r="I122" s="112" t="s">
        <v>1218</v>
      </c>
      <c r="J122" s="65"/>
      <c r="K122" s="37"/>
      <c r="L122" s="37"/>
      <c r="M122" s="37"/>
      <c r="N122" s="37"/>
      <c r="O122" s="37"/>
      <c r="P122" s="37"/>
      <c r="Q122" s="37"/>
      <c r="R122" s="37"/>
      <c r="S122" s="37"/>
      <c r="T122" s="37"/>
      <c r="U122" s="3"/>
      <c r="W122" s="3"/>
      <c r="X122" s="3"/>
      <c r="Y122" s="3"/>
      <c r="Z122" s="3"/>
    </row>
    <row r="123" spans="1:26" ht="14.4" hidden="1" outlineLevel="1" x14ac:dyDescent="0.3">
      <c r="A123" s="3"/>
      <c r="B123" s="10" t="s">
        <v>1219</v>
      </c>
      <c r="C123" s="62">
        <v>1</v>
      </c>
      <c r="D123" s="62" t="s">
        <v>94</v>
      </c>
      <c r="E123" s="12">
        <v>0</v>
      </c>
      <c r="F123" s="12">
        <v>1347.54</v>
      </c>
      <c r="G123" s="89" t="s">
        <v>1220</v>
      </c>
      <c r="H123" s="65" t="s">
        <v>37</v>
      </c>
      <c r="I123" s="112" t="s">
        <v>1221</v>
      </c>
      <c r="J123" s="65"/>
      <c r="K123" s="37"/>
      <c r="L123" s="37"/>
      <c r="M123" s="37"/>
      <c r="N123" s="37"/>
      <c r="O123" s="37"/>
      <c r="P123" s="37"/>
      <c r="Q123" s="37"/>
      <c r="R123" s="37"/>
      <c r="S123" s="37"/>
      <c r="T123" s="37"/>
      <c r="U123" s="3"/>
      <c r="W123" s="3"/>
      <c r="X123" s="3"/>
      <c r="Y123" s="3"/>
      <c r="Z123" s="3"/>
    </row>
    <row r="124" spans="1:26" ht="14.4" hidden="1" outlineLevel="1" x14ac:dyDescent="0.3">
      <c r="A124" s="3"/>
      <c r="B124" s="10" t="s">
        <v>1219</v>
      </c>
      <c r="C124" s="62">
        <v>1</v>
      </c>
      <c r="D124" s="62" t="s">
        <v>94</v>
      </c>
      <c r="E124" s="12">
        <v>0</v>
      </c>
      <c r="F124" s="12">
        <v>200</v>
      </c>
      <c r="G124" s="89" t="s">
        <v>366</v>
      </c>
      <c r="H124" s="65" t="s">
        <v>37</v>
      </c>
      <c r="I124" s="112" t="s">
        <v>1222</v>
      </c>
      <c r="J124" s="65"/>
      <c r="K124" s="37"/>
      <c r="L124" s="37"/>
      <c r="M124" s="37"/>
      <c r="N124" s="37"/>
      <c r="O124" s="37"/>
      <c r="P124" s="37"/>
      <c r="Q124" s="37"/>
      <c r="R124" s="37"/>
      <c r="S124" s="37"/>
      <c r="T124" s="37"/>
      <c r="U124" s="3"/>
      <c r="W124" s="3"/>
      <c r="X124" s="3"/>
      <c r="Y124" s="3"/>
      <c r="Z124" s="3"/>
    </row>
    <row r="125" spans="1:26" ht="14.4" hidden="1" outlineLevel="1" x14ac:dyDescent="0.3">
      <c r="A125" s="3"/>
      <c r="B125" s="10" t="s">
        <v>1219</v>
      </c>
      <c r="C125" s="62">
        <v>2</v>
      </c>
      <c r="D125" s="62" t="s">
        <v>94</v>
      </c>
      <c r="E125" s="12">
        <v>0</v>
      </c>
      <c r="F125" s="12">
        <v>409.76</v>
      </c>
      <c r="G125" s="89"/>
      <c r="H125" s="65" t="s">
        <v>37</v>
      </c>
      <c r="I125" s="112" t="s">
        <v>1223</v>
      </c>
      <c r="J125" s="65"/>
      <c r="K125" s="37"/>
      <c r="L125" s="37"/>
      <c r="M125" s="37"/>
      <c r="N125" s="37"/>
      <c r="O125" s="37"/>
      <c r="P125" s="37"/>
      <c r="Q125" s="37"/>
      <c r="R125" s="37"/>
      <c r="S125" s="37"/>
      <c r="T125" s="37"/>
      <c r="U125" s="3"/>
      <c r="W125" s="3"/>
      <c r="X125" s="3"/>
      <c r="Y125" s="3"/>
      <c r="Z125" s="3"/>
    </row>
    <row r="126" spans="1:26" ht="14.4" hidden="1" outlineLevel="1" x14ac:dyDescent="0.3">
      <c r="A126" s="3"/>
      <c r="B126" s="10" t="s">
        <v>1219</v>
      </c>
      <c r="C126" s="62">
        <v>2</v>
      </c>
      <c r="D126" s="62" t="s">
        <v>94</v>
      </c>
      <c r="E126" s="12">
        <v>0</v>
      </c>
      <c r="F126" s="12">
        <v>34.35</v>
      </c>
      <c r="G126" s="65"/>
      <c r="H126" s="65" t="s">
        <v>37</v>
      </c>
      <c r="I126" s="112" t="s">
        <v>1224</v>
      </c>
      <c r="J126" s="65"/>
      <c r="K126" s="37"/>
      <c r="L126" s="37"/>
      <c r="M126" s="37"/>
      <c r="N126" s="37"/>
      <c r="O126" s="37"/>
      <c r="P126" s="37"/>
      <c r="Q126" s="37"/>
      <c r="R126" s="37"/>
      <c r="S126" s="37"/>
      <c r="T126" s="37"/>
      <c r="U126" s="3"/>
      <c r="W126" s="3"/>
      <c r="X126" s="3"/>
      <c r="Y126" s="3"/>
      <c r="Z126" s="3"/>
    </row>
    <row r="127" spans="1:26" ht="14.4" hidden="1" outlineLevel="1" x14ac:dyDescent="0.3">
      <c r="A127" s="3"/>
      <c r="B127" s="10" t="s">
        <v>1219</v>
      </c>
      <c r="C127" s="62">
        <v>3</v>
      </c>
      <c r="D127" s="62" t="s">
        <v>94</v>
      </c>
      <c r="E127" s="12">
        <v>0</v>
      </c>
      <c r="F127" s="12">
        <v>75</v>
      </c>
      <c r="G127" s="65" t="s">
        <v>605</v>
      </c>
      <c r="H127" s="65" t="s">
        <v>37</v>
      </c>
      <c r="I127" s="112" t="s">
        <v>1225</v>
      </c>
      <c r="J127" s="65"/>
      <c r="K127" s="37"/>
      <c r="L127" s="37"/>
      <c r="M127" s="37"/>
      <c r="N127" s="37"/>
      <c r="O127" s="37"/>
      <c r="P127" s="37"/>
      <c r="Q127" s="37"/>
      <c r="R127" s="37"/>
      <c r="S127" s="37"/>
      <c r="T127" s="37"/>
      <c r="U127" s="3"/>
      <c r="W127" s="3"/>
      <c r="X127" s="3"/>
      <c r="Y127" s="3"/>
      <c r="Z127" s="3"/>
    </row>
    <row r="128" spans="1:26" ht="14.4" hidden="1" outlineLevel="1" x14ac:dyDescent="0.3">
      <c r="A128" s="3"/>
      <c r="B128" s="10" t="s">
        <v>1219</v>
      </c>
      <c r="C128" s="62"/>
      <c r="D128" s="62"/>
      <c r="E128" s="12">
        <v>0</v>
      </c>
      <c r="F128" s="12">
        <v>0</v>
      </c>
      <c r="G128" s="65"/>
      <c r="H128" s="65"/>
      <c r="I128" s="112"/>
      <c r="J128" s="65"/>
      <c r="K128" s="37"/>
      <c r="L128" s="37"/>
      <c r="M128" s="37"/>
      <c r="N128" s="37"/>
      <c r="O128" s="37"/>
      <c r="P128" s="37"/>
      <c r="Q128" s="37"/>
      <c r="R128" s="37"/>
      <c r="S128" s="37"/>
      <c r="T128" s="37"/>
      <c r="U128" s="3"/>
      <c r="W128" s="3"/>
      <c r="X128" s="3"/>
      <c r="Y128" s="3"/>
      <c r="Z128" s="3"/>
    </row>
    <row r="129" spans="1:26" ht="14.4" hidden="1" outlineLevel="1" x14ac:dyDescent="0.3">
      <c r="A129" s="3"/>
      <c r="B129" s="10" t="s">
        <v>1219</v>
      </c>
      <c r="C129" s="62"/>
      <c r="D129" s="62"/>
      <c r="E129" s="12">
        <v>0</v>
      </c>
      <c r="F129" s="12">
        <v>0</v>
      </c>
      <c r="G129" s="65"/>
      <c r="H129" s="65"/>
      <c r="I129" s="112"/>
      <c r="J129" s="65"/>
      <c r="K129" s="37"/>
      <c r="L129" s="37"/>
      <c r="M129" s="37"/>
      <c r="N129" s="37"/>
      <c r="O129" s="37"/>
      <c r="P129" s="37"/>
      <c r="Q129" s="37"/>
      <c r="R129" s="37"/>
      <c r="S129" s="37"/>
      <c r="T129" s="37"/>
      <c r="U129" s="3"/>
      <c r="W129" s="3"/>
      <c r="X129" s="3"/>
      <c r="Y129" s="3"/>
      <c r="Z129" s="3"/>
    </row>
    <row r="130" spans="1:26" ht="14.4" hidden="1" outlineLevel="1" x14ac:dyDescent="0.3">
      <c r="A130" s="3"/>
      <c r="B130" s="10" t="s">
        <v>1226</v>
      </c>
      <c r="C130" s="62">
        <v>2</v>
      </c>
      <c r="D130" s="62" t="s">
        <v>94</v>
      </c>
      <c r="E130" s="12">
        <v>0</v>
      </c>
      <c r="F130" s="12">
        <v>300</v>
      </c>
      <c r="G130" s="65" t="s">
        <v>1227</v>
      </c>
      <c r="H130" s="65" t="s">
        <v>37</v>
      </c>
      <c r="I130" s="112" t="s">
        <v>1228</v>
      </c>
      <c r="J130" s="65"/>
      <c r="K130" s="37"/>
      <c r="L130" s="37"/>
      <c r="M130" s="37"/>
      <c r="N130" s="37"/>
      <c r="O130" s="37"/>
      <c r="P130" s="37"/>
      <c r="Q130" s="37"/>
      <c r="R130" s="37"/>
      <c r="S130" s="37"/>
      <c r="T130" s="37"/>
      <c r="U130" s="3"/>
      <c r="W130" s="3"/>
      <c r="X130" s="3"/>
      <c r="Y130" s="3"/>
      <c r="Z130" s="3"/>
    </row>
    <row r="131" spans="1:26" ht="14.4" hidden="1" outlineLevel="1" x14ac:dyDescent="0.3">
      <c r="A131" s="3"/>
      <c r="B131" s="10" t="s">
        <v>1229</v>
      </c>
      <c r="C131" s="62">
        <v>2</v>
      </c>
      <c r="D131" s="62" t="s">
        <v>94</v>
      </c>
      <c r="E131" s="12">
        <v>0</v>
      </c>
      <c r="F131" s="12">
        <v>15</v>
      </c>
      <c r="G131" s="65"/>
      <c r="H131" s="65" t="s">
        <v>37</v>
      </c>
      <c r="I131" s="112" t="s">
        <v>1230</v>
      </c>
      <c r="J131" s="65"/>
      <c r="K131" s="37"/>
      <c r="L131" s="37"/>
      <c r="M131" s="37"/>
      <c r="N131" s="37"/>
      <c r="O131" s="37"/>
      <c r="P131" s="37"/>
      <c r="Q131" s="37"/>
      <c r="R131" s="37"/>
      <c r="S131" s="37"/>
      <c r="T131" s="37"/>
      <c r="U131" s="3"/>
      <c r="W131" s="3"/>
      <c r="X131" s="3"/>
      <c r="Y131" s="3"/>
      <c r="Z131" s="3"/>
    </row>
    <row r="132" spans="1:26" ht="14.4" hidden="1" outlineLevel="1" x14ac:dyDescent="0.3">
      <c r="A132" s="3"/>
      <c r="B132" s="10" t="s">
        <v>1229</v>
      </c>
      <c r="C132" s="62">
        <v>2</v>
      </c>
      <c r="D132" s="62" t="s">
        <v>94</v>
      </c>
      <c r="E132" s="12">
        <v>0</v>
      </c>
      <c r="F132" s="12">
        <v>170</v>
      </c>
      <c r="G132" s="65"/>
      <c r="H132" s="65" t="s">
        <v>37</v>
      </c>
      <c r="I132" s="112" t="s">
        <v>1231</v>
      </c>
      <c r="J132" s="65"/>
      <c r="K132" s="37"/>
      <c r="L132" s="37"/>
      <c r="M132" s="37"/>
      <c r="N132" s="37"/>
      <c r="O132" s="37"/>
      <c r="P132" s="37"/>
      <c r="Q132" s="37"/>
      <c r="R132" s="37"/>
      <c r="S132" s="37"/>
      <c r="T132" s="37"/>
      <c r="U132" s="3"/>
      <c r="W132" s="3"/>
      <c r="X132" s="3"/>
      <c r="Y132" s="3"/>
      <c r="Z132" s="3"/>
    </row>
    <row r="133" spans="1:26" ht="14.4" hidden="1" outlineLevel="1" x14ac:dyDescent="0.3">
      <c r="A133" s="3"/>
      <c r="B133" s="10" t="s">
        <v>1229</v>
      </c>
      <c r="C133" s="62">
        <v>7</v>
      </c>
      <c r="D133" s="62" t="s">
        <v>94</v>
      </c>
      <c r="E133" s="12">
        <v>0</v>
      </c>
      <c r="F133" s="12">
        <v>147.19999999999999</v>
      </c>
      <c r="G133" s="65"/>
      <c r="H133" s="65" t="s">
        <v>37</v>
      </c>
      <c r="I133" s="112" t="s">
        <v>1232</v>
      </c>
      <c r="J133" s="65"/>
      <c r="K133" s="37"/>
      <c r="L133" s="37"/>
      <c r="M133" s="37"/>
      <c r="N133" s="37"/>
      <c r="O133" s="37"/>
      <c r="P133" s="37"/>
      <c r="Q133" s="37"/>
      <c r="R133" s="37"/>
      <c r="S133" s="37"/>
      <c r="T133" s="37"/>
      <c r="U133" s="3"/>
      <c r="W133" s="3"/>
      <c r="X133" s="3"/>
      <c r="Y133" s="3"/>
      <c r="Z133" s="3"/>
    </row>
    <row r="134" spans="1:26" ht="14.4" hidden="1" outlineLevel="1" x14ac:dyDescent="0.3">
      <c r="A134" s="3"/>
      <c r="B134" s="10" t="s">
        <v>1233</v>
      </c>
      <c r="C134" s="62">
        <v>8</v>
      </c>
      <c r="D134" s="62" t="s">
        <v>94</v>
      </c>
      <c r="E134" s="12">
        <v>0</v>
      </c>
      <c r="F134" s="12">
        <v>364.24</v>
      </c>
      <c r="G134" s="65" t="s">
        <v>1220</v>
      </c>
      <c r="H134" s="65" t="s">
        <v>37</v>
      </c>
      <c r="I134" s="112" t="s">
        <v>1234</v>
      </c>
      <c r="J134" s="65"/>
      <c r="K134" s="37"/>
      <c r="L134" s="37"/>
      <c r="M134" s="37"/>
      <c r="N134" s="37"/>
      <c r="O134" s="37"/>
      <c r="P134" s="37"/>
      <c r="Q134" s="37"/>
      <c r="R134" s="37"/>
      <c r="S134" s="37"/>
      <c r="T134" s="37"/>
      <c r="U134" s="3"/>
      <c r="W134" s="3"/>
      <c r="X134" s="3"/>
      <c r="Y134" s="3"/>
      <c r="Z134" s="3"/>
    </row>
    <row r="135" spans="1:26" ht="14.4" hidden="1" outlineLevel="1" x14ac:dyDescent="0.3">
      <c r="A135" s="3"/>
      <c r="B135" s="10" t="s">
        <v>1233</v>
      </c>
      <c r="C135" s="62">
        <v>9</v>
      </c>
      <c r="D135" s="62" t="s">
        <v>94</v>
      </c>
      <c r="E135" s="12">
        <v>0</v>
      </c>
      <c r="F135" s="12">
        <v>97</v>
      </c>
      <c r="G135" s="65" t="s">
        <v>613</v>
      </c>
      <c r="H135" s="65" t="s">
        <v>37</v>
      </c>
      <c r="I135" s="112" t="s">
        <v>1235</v>
      </c>
      <c r="J135" s="65"/>
      <c r="K135" s="37"/>
      <c r="L135" s="37"/>
      <c r="M135" s="37"/>
      <c r="N135" s="37"/>
      <c r="O135" s="37"/>
      <c r="P135" s="37"/>
      <c r="Q135" s="37"/>
      <c r="R135" s="37"/>
      <c r="S135" s="37"/>
      <c r="T135" s="37"/>
      <c r="U135" s="3"/>
      <c r="W135" s="3"/>
      <c r="X135" s="3"/>
      <c r="Y135" s="3"/>
      <c r="Z135" s="3"/>
    </row>
    <row r="136" spans="1:26" ht="14.4" hidden="1" outlineLevel="1" x14ac:dyDescent="0.3">
      <c r="A136" s="3"/>
      <c r="B136" s="10" t="s">
        <v>1236</v>
      </c>
      <c r="C136" s="62">
        <v>9</v>
      </c>
      <c r="D136" s="62" t="s">
        <v>94</v>
      </c>
      <c r="E136" s="12">
        <v>0</v>
      </c>
      <c r="F136" s="12">
        <v>30</v>
      </c>
      <c r="G136" s="65" t="s">
        <v>1237</v>
      </c>
      <c r="H136" s="65" t="s">
        <v>37</v>
      </c>
      <c r="I136" s="112" t="s">
        <v>1238</v>
      </c>
      <c r="J136" s="65"/>
      <c r="K136" s="37"/>
      <c r="L136" s="37"/>
      <c r="M136" s="37"/>
      <c r="N136" s="37"/>
      <c r="O136" s="37"/>
      <c r="P136" s="37"/>
      <c r="Q136" s="37"/>
      <c r="R136" s="37"/>
      <c r="S136" s="37"/>
      <c r="T136" s="37"/>
      <c r="U136" s="3"/>
      <c r="W136" s="3"/>
      <c r="X136" s="3"/>
      <c r="Y136" s="3"/>
      <c r="Z136" s="3"/>
    </row>
    <row r="137" spans="1:26" ht="14.4" hidden="1" outlineLevel="1" x14ac:dyDescent="0.3">
      <c r="A137" s="3"/>
      <c r="B137" s="10" t="s">
        <v>1233</v>
      </c>
      <c r="C137" s="62">
        <v>13</v>
      </c>
      <c r="D137" s="62" t="s">
        <v>94</v>
      </c>
      <c r="E137" s="12">
        <v>0</v>
      </c>
      <c r="F137" s="12">
        <v>135.84</v>
      </c>
      <c r="G137" s="65"/>
      <c r="H137" s="65" t="s">
        <v>37</v>
      </c>
      <c r="I137" s="112" t="s">
        <v>1239</v>
      </c>
      <c r="J137" s="65"/>
      <c r="K137" s="37"/>
      <c r="L137" s="37"/>
      <c r="M137" s="37"/>
      <c r="N137" s="37"/>
      <c r="O137" s="37"/>
      <c r="P137" s="37"/>
      <c r="Q137" s="37"/>
      <c r="R137" s="37"/>
      <c r="S137" s="37"/>
      <c r="T137" s="37"/>
      <c r="U137" s="3"/>
      <c r="W137" s="3"/>
      <c r="X137" s="3"/>
      <c r="Y137" s="3"/>
      <c r="Z137" s="3"/>
    </row>
    <row r="138" spans="1:26" ht="14.4" hidden="1" outlineLevel="1" x14ac:dyDescent="0.3">
      <c r="A138" s="3"/>
      <c r="B138" s="10" t="s">
        <v>1233</v>
      </c>
      <c r="C138" s="62">
        <v>8</v>
      </c>
      <c r="D138" s="62" t="s">
        <v>94</v>
      </c>
      <c r="E138" s="12">
        <v>0</v>
      </c>
      <c r="F138" s="12">
        <v>190</v>
      </c>
      <c r="G138" s="65" t="s">
        <v>366</v>
      </c>
      <c r="H138" s="65" t="s">
        <v>37</v>
      </c>
      <c r="I138" s="112" t="s">
        <v>1240</v>
      </c>
      <c r="J138" s="65"/>
      <c r="K138" s="37"/>
      <c r="L138" s="37"/>
      <c r="M138" s="37"/>
      <c r="N138" s="37"/>
      <c r="O138" s="37"/>
      <c r="P138" s="37"/>
      <c r="Q138" s="37"/>
      <c r="R138" s="37"/>
      <c r="S138" s="37"/>
      <c r="T138" s="37"/>
      <c r="U138" s="3"/>
      <c r="W138" s="3"/>
      <c r="X138" s="3"/>
      <c r="Y138" s="3"/>
      <c r="Z138" s="3"/>
    </row>
    <row r="139" spans="1:26" ht="14.4" hidden="1" outlineLevel="1" x14ac:dyDescent="0.3">
      <c r="A139" s="3"/>
      <c r="B139" s="10" t="s">
        <v>1241</v>
      </c>
      <c r="C139" s="62">
        <v>8</v>
      </c>
      <c r="D139" s="62" t="s">
        <v>94</v>
      </c>
      <c r="E139" s="12">
        <v>0</v>
      </c>
      <c r="F139" s="12">
        <v>17.64</v>
      </c>
      <c r="G139" s="65"/>
      <c r="H139" s="65" t="s">
        <v>37</v>
      </c>
      <c r="I139" s="112" t="s">
        <v>1242</v>
      </c>
      <c r="J139" s="65"/>
      <c r="K139" s="37"/>
      <c r="L139" s="37"/>
      <c r="M139" s="37"/>
      <c r="N139" s="37"/>
      <c r="O139" s="37"/>
      <c r="P139" s="37"/>
      <c r="Q139" s="37"/>
      <c r="R139" s="37"/>
      <c r="S139" s="37"/>
      <c r="T139" s="37"/>
      <c r="U139" s="3"/>
      <c r="W139" s="3"/>
      <c r="X139" s="3"/>
      <c r="Y139" s="3"/>
      <c r="Z139" s="3"/>
    </row>
    <row r="140" spans="1:26" ht="14.4" hidden="1" outlineLevel="1" x14ac:dyDescent="0.3">
      <c r="A140" s="3"/>
      <c r="B140" s="10" t="s">
        <v>1241</v>
      </c>
      <c r="C140" s="62">
        <v>8</v>
      </c>
      <c r="D140" s="62" t="s">
        <v>94</v>
      </c>
      <c r="E140" s="12">
        <v>0</v>
      </c>
      <c r="F140" s="12">
        <v>67</v>
      </c>
      <c r="G140" s="65"/>
      <c r="H140" s="65" t="s">
        <v>37</v>
      </c>
      <c r="I140" s="112" t="s">
        <v>1243</v>
      </c>
      <c r="J140" s="65"/>
      <c r="K140" s="37"/>
      <c r="L140" s="37"/>
      <c r="M140" s="37"/>
      <c r="N140" s="37"/>
      <c r="O140" s="37"/>
      <c r="P140" s="37"/>
      <c r="Q140" s="37"/>
      <c r="R140" s="37"/>
      <c r="S140" s="37"/>
      <c r="T140" s="37"/>
      <c r="U140" s="3"/>
      <c r="W140" s="3"/>
      <c r="X140" s="3"/>
      <c r="Y140" s="3"/>
      <c r="Z140" s="3"/>
    </row>
    <row r="141" spans="1:26" ht="14.4" hidden="1" outlineLevel="1" x14ac:dyDescent="0.3">
      <c r="A141" s="3"/>
      <c r="B141" s="10" t="s">
        <v>1241</v>
      </c>
      <c r="C141" s="62">
        <v>8</v>
      </c>
      <c r="D141" s="62" t="s">
        <v>94</v>
      </c>
      <c r="E141" s="12">
        <v>0</v>
      </c>
      <c r="F141" s="12">
        <v>602.70000000000005</v>
      </c>
      <c r="G141" s="65"/>
      <c r="H141" s="65" t="s">
        <v>37</v>
      </c>
      <c r="I141" s="112" t="s">
        <v>1244</v>
      </c>
      <c r="J141" s="65"/>
      <c r="K141" s="37"/>
      <c r="L141" s="37"/>
      <c r="M141" s="37"/>
      <c r="N141" s="37"/>
      <c r="O141" s="37"/>
      <c r="P141" s="37"/>
      <c r="Q141" s="37"/>
      <c r="R141" s="37"/>
      <c r="S141" s="37"/>
      <c r="T141" s="37"/>
      <c r="U141" s="3"/>
      <c r="W141" s="3"/>
      <c r="X141" s="3"/>
      <c r="Y141" s="3"/>
      <c r="Z141" s="3"/>
    </row>
    <row r="142" spans="1:26" ht="14.4" hidden="1" outlineLevel="1" x14ac:dyDescent="0.3">
      <c r="A142" s="3"/>
      <c r="B142" s="10" t="s">
        <v>1241</v>
      </c>
      <c r="C142" s="62">
        <v>8</v>
      </c>
      <c r="D142" s="62" t="s">
        <v>94</v>
      </c>
      <c r="E142" s="12">
        <v>0</v>
      </c>
      <c r="F142" s="12">
        <v>111.82</v>
      </c>
      <c r="G142" s="65"/>
      <c r="H142" s="65" t="s">
        <v>37</v>
      </c>
      <c r="I142" s="112" t="s">
        <v>1245</v>
      </c>
      <c r="J142" s="65"/>
      <c r="K142" s="37"/>
      <c r="L142" s="37"/>
      <c r="M142" s="37"/>
      <c r="N142" s="37"/>
      <c r="O142" s="37"/>
      <c r="P142" s="37"/>
      <c r="Q142" s="37"/>
      <c r="R142" s="37"/>
      <c r="S142" s="37"/>
      <c r="T142" s="37"/>
      <c r="U142" s="3"/>
      <c r="W142" s="3"/>
      <c r="X142" s="3"/>
      <c r="Y142" s="3"/>
      <c r="Z142" s="3"/>
    </row>
    <row r="143" spans="1:26" ht="14.4" hidden="1" outlineLevel="1" x14ac:dyDescent="0.3">
      <c r="A143" s="3"/>
      <c r="B143" s="10" t="s">
        <v>1241</v>
      </c>
      <c r="C143" s="62">
        <v>8</v>
      </c>
      <c r="D143" s="62" t="s">
        <v>94</v>
      </c>
      <c r="E143" s="12">
        <v>0</v>
      </c>
      <c r="F143" s="12">
        <v>177.99</v>
      </c>
      <c r="G143" s="65"/>
      <c r="H143" s="65" t="s">
        <v>37</v>
      </c>
      <c r="I143" s="112" t="s">
        <v>1246</v>
      </c>
      <c r="J143" s="65"/>
      <c r="K143" s="37"/>
      <c r="L143" s="37"/>
      <c r="M143" s="37"/>
      <c r="N143" s="37"/>
      <c r="O143" s="37"/>
      <c r="P143" s="37"/>
      <c r="Q143" s="37"/>
      <c r="R143" s="37"/>
      <c r="S143" s="37"/>
      <c r="T143" s="37"/>
      <c r="U143" s="3"/>
      <c r="W143" s="3"/>
      <c r="X143" s="3"/>
      <c r="Y143" s="3"/>
      <c r="Z143" s="3"/>
    </row>
    <row r="144" spans="1:26" ht="14.4" hidden="1" outlineLevel="1" x14ac:dyDescent="0.3">
      <c r="A144" s="3"/>
      <c r="B144" s="10" t="s">
        <v>1241</v>
      </c>
      <c r="C144" s="62">
        <v>8</v>
      </c>
      <c r="D144" s="62" t="s">
        <v>94</v>
      </c>
      <c r="E144" s="12">
        <v>0</v>
      </c>
      <c r="F144" s="12">
        <v>134</v>
      </c>
      <c r="G144" s="65"/>
      <c r="H144" s="65" t="s">
        <v>37</v>
      </c>
      <c r="I144" s="112" t="s">
        <v>1247</v>
      </c>
      <c r="J144" s="65"/>
      <c r="K144" s="37"/>
      <c r="L144" s="37"/>
      <c r="M144" s="37"/>
      <c r="N144" s="37"/>
      <c r="O144" s="37"/>
      <c r="P144" s="37"/>
      <c r="Q144" s="37"/>
      <c r="R144" s="37"/>
      <c r="S144" s="37"/>
      <c r="T144" s="37"/>
      <c r="U144" s="3"/>
      <c r="W144" s="3"/>
      <c r="X144" s="3"/>
      <c r="Y144" s="3"/>
      <c r="Z144" s="3"/>
    </row>
    <row r="145" spans="1:26" ht="14.4" hidden="1" outlineLevel="1" x14ac:dyDescent="0.3">
      <c r="A145" s="3"/>
      <c r="B145" s="10" t="s">
        <v>1241</v>
      </c>
      <c r="C145" s="62">
        <v>8</v>
      </c>
      <c r="D145" s="62" t="s">
        <v>94</v>
      </c>
      <c r="E145" s="12">
        <v>0</v>
      </c>
      <c r="F145" s="12">
        <v>141.58000000000001</v>
      </c>
      <c r="G145" s="65"/>
      <c r="H145" s="65" t="s">
        <v>37</v>
      </c>
      <c r="I145" s="112" t="s">
        <v>1248</v>
      </c>
      <c r="J145" s="65"/>
      <c r="K145" s="37"/>
      <c r="L145" s="37"/>
      <c r="M145" s="37"/>
      <c r="N145" s="37"/>
      <c r="O145" s="37"/>
      <c r="P145" s="37"/>
      <c r="Q145" s="37"/>
      <c r="R145" s="37"/>
      <c r="S145" s="37"/>
      <c r="T145" s="37"/>
      <c r="U145" s="3"/>
      <c r="W145" s="3"/>
      <c r="X145" s="3"/>
      <c r="Y145" s="3"/>
      <c r="Z145" s="3"/>
    </row>
    <row r="146" spans="1:26" ht="14.4" hidden="1" outlineLevel="1" x14ac:dyDescent="0.3">
      <c r="A146" s="3"/>
      <c r="B146" s="10" t="s">
        <v>1241</v>
      </c>
      <c r="C146" s="62">
        <v>8</v>
      </c>
      <c r="D146" s="62" t="s">
        <v>94</v>
      </c>
      <c r="E146" s="12">
        <v>0</v>
      </c>
      <c r="F146" s="12">
        <v>32</v>
      </c>
      <c r="G146" s="65"/>
      <c r="H146" s="65" t="s">
        <v>37</v>
      </c>
      <c r="I146" s="112" t="s">
        <v>1249</v>
      </c>
      <c r="J146" s="65"/>
      <c r="K146" s="37"/>
      <c r="L146" s="37"/>
      <c r="M146" s="37"/>
      <c r="N146" s="37"/>
      <c r="O146" s="37"/>
      <c r="P146" s="37"/>
      <c r="Q146" s="37"/>
      <c r="R146" s="37"/>
      <c r="S146" s="37"/>
      <c r="T146" s="37"/>
      <c r="U146" s="3"/>
      <c r="W146" s="3"/>
      <c r="X146" s="3"/>
      <c r="Y146" s="3"/>
      <c r="Z146" s="3"/>
    </row>
    <row r="147" spans="1:26" ht="14.4" hidden="1" outlineLevel="1" x14ac:dyDescent="0.3">
      <c r="A147" s="3"/>
      <c r="B147" s="10" t="s">
        <v>1241</v>
      </c>
      <c r="C147" s="62">
        <v>8</v>
      </c>
      <c r="D147" s="62" t="s">
        <v>94</v>
      </c>
      <c r="E147" s="12">
        <v>0</v>
      </c>
      <c r="F147" s="12">
        <v>90</v>
      </c>
      <c r="G147" s="65"/>
      <c r="H147" s="65" t="s">
        <v>37</v>
      </c>
      <c r="I147" s="112" t="s">
        <v>1250</v>
      </c>
      <c r="J147" s="65"/>
      <c r="K147" s="37"/>
      <c r="L147" s="37"/>
      <c r="M147" s="37"/>
      <c r="N147" s="37"/>
      <c r="O147" s="37"/>
      <c r="P147" s="37"/>
      <c r="Q147" s="37"/>
      <c r="R147" s="37"/>
      <c r="S147" s="37"/>
      <c r="T147" s="37"/>
      <c r="U147" s="3"/>
      <c r="W147" s="3"/>
      <c r="X147" s="3"/>
      <c r="Y147" s="3"/>
      <c r="Z147" s="3"/>
    </row>
    <row r="148" spans="1:26" ht="20.399999999999999" collapsed="1" x14ac:dyDescent="0.3">
      <c r="A148" s="3"/>
      <c r="B148" s="84" t="s">
        <v>87</v>
      </c>
      <c r="C148" s="85" t="s">
        <v>43</v>
      </c>
      <c r="D148" s="85" t="s">
        <v>43</v>
      </c>
      <c r="E148" s="86">
        <f>SUM(E149:E157)</f>
        <v>0</v>
      </c>
      <c r="F148" s="86">
        <f>SUMIF(D149:D157,"OK",F149:F157)</f>
        <v>513.21</v>
      </c>
      <c r="G148" s="87"/>
      <c r="H148" s="87"/>
      <c r="I148" s="88"/>
      <c r="J148" s="87"/>
      <c r="K148" s="37"/>
      <c r="L148" s="37"/>
      <c r="M148" s="37"/>
      <c r="N148" s="37"/>
      <c r="O148" s="37"/>
      <c r="P148" s="37"/>
      <c r="Q148" s="37"/>
      <c r="R148" s="37"/>
      <c r="S148" s="37"/>
      <c r="T148" s="37"/>
      <c r="U148" s="3"/>
      <c r="W148" s="3"/>
      <c r="X148" s="3"/>
      <c r="Y148" s="3"/>
      <c r="Z148" s="3"/>
    </row>
    <row r="149" spans="1:26" ht="14.4" hidden="1" outlineLevel="1" x14ac:dyDescent="0.3">
      <c r="A149" s="3"/>
      <c r="B149" s="10" t="s">
        <v>1251</v>
      </c>
      <c r="C149" s="80">
        <v>8</v>
      </c>
      <c r="D149" s="62" t="s">
        <v>94</v>
      </c>
      <c r="E149" s="12">
        <v>0</v>
      </c>
      <c r="F149" s="12">
        <v>513.21</v>
      </c>
      <c r="G149" s="65" t="s">
        <v>1252</v>
      </c>
      <c r="H149" s="65" t="s">
        <v>37</v>
      </c>
      <c r="I149" s="112" t="s">
        <v>1253</v>
      </c>
      <c r="J149" s="89"/>
      <c r="K149" s="37"/>
      <c r="L149" s="37"/>
      <c r="M149" s="37"/>
      <c r="N149" s="37"/>
      <c r="O149" s="37"/>
      <c r="P149" s="37"/>
      <c r="Q149" s="37"/>
      <c r="R149" s="37"/>
      <c r="S149" s="37"/>
      <c r="T149" s="37"/>
      <c r="U149" s="3"/>
      <c r="W149" s="3"/>
      <c r="X149" s="3"/>
      <c r="Y149" s="3"/>
      <c r="Z149" s="3"/>
    </row>
    <row r="150" spans="1:26" ht="14.4" hidden="1" outlineLevel="1" x14ac:dyDescent="0.3">
      <c r="A150" s="3"/>
      <c r="B150" s="10" t="s">
        <v>354</v>
      </c>
      <c r="C150" s="62"/>
      <c r="D150" s="62"/>
      <c r="E150" s="12">
        <v>0</v>
      </c>
      <c r="F150" s="12">
        <v>0</v>
      </c>
      <c r="G150" s="89"/>
      <c r="H150" s="65"/>
      <c r="I150" s="112"/>
      <c r="J150" s="65"/>
      <c r="K150" s="37"/>
      <c r="L150" s="37"/>
      <c r="M150" s="37"/>
      <c r="N150" s="37"/>
      <c r="O150" s="37"/>
      <c r="P150" s="37"/>
      <c r="Q150" s="37"/>
      <c r="R150" s="37"/>
      <c r="S150" s="37"/>
      <c r="T150" s="37"/>
      <c r="U150" s="3"/>
      <c r="W150" s="3"/>
      <c r="X150" s="3"/>
      <c r="Y150" s="3"/>
      <c r="Z150" s="3"/>
    </row>
    <row r="151" spans="1:26" ht="14.4" hidden="1" outlineLevel="1" x14ac:dyDescent="0.3">
      <c r="A151" s="3"/>
      <c r="B151" s="10" t="s">
        <v>355</v>
      </c>
      <c r="C151" s="62"/>
      <c r="D151" s="62"/>
      <c r="E151" s="12">
        <v>0</v>
      </c>
      <c r="F151" s="12">
        <v>0</v>
      </c>
      <c r="G151" s="65"/>
      <c r="H151" s="65"/>
      <c r="I151" s="89"/>
      <c r="J151" s="65"/>
      <c r="K151" s="37"/>
      <c r="L151" s="37"/>
      <c r="M151" s="37"/>
      <c r="N151" s="37"/>
      <c r="O151" s="37"/>
      <c r="P151" s="37"/>
      <c r="Q151" s="37"/>
      <c r="R151" s="37"/>
      <c r="S151" s="37"/>
      <c r="T151" s="37"/>
      <c r="U151" s="3"/>
      <c r="W151" s="3"/>
      <c r="X151" s="3"/>
      <c r="Y151" s="3"/>
      <c r="Z151" s="3"/>
    </row>
    <row r="152" spans="1:26" ht="14.4" hidden="1" outlineLevel="1" x14ac:dyDescent="0.3">
      <c r="A152" s="3"/>
      <c r="B152" s="10" t="s">
        <v>369</v>
      </c>
      <c r="C152" s="62"/>
      <c r="D152" s="62"/>
      <c r="E152" s="12">
        <v>0</v>
      </c>
      <c r="F152" s="12">
        <v>0</v>
      </c>
      <c r="G152" s="65"/>
      <c r="H152" s="65"/>
      <c r="I152" s="89"/>
      <c r="J152" s="65"/>
      <c r="K152" s="37"/>
      <c r="L152" s="37"/>
      <c r="M152" s="37"/>
      <c r="N152" s="37"/>
      <c r="O152" s="37"/>
      <c r="P152" s="37"/>
      <c r="Q152" s="37"/>
      <c r="R152" s="37"/>
      <c r="S152" s="37"/>
      <c r="T152" s="37"/>
      <c r="U152" s="3"/>
      <c r="W152" s="3"/>
      <c r="X152" s="3"/>
      <c r="Y152" s="3"/>
      <c r="Z152" s="3"/>
    </row>
    <row r="153" spans="1:26" ht="14.4" hidden="1" outlineLevel="1" x14ac:dyDescent="0.3">
      <c r="A153" s="3"/>
      <c r="B153" s="10" t="s">
        <v>327</v>
      </c>
      <c r="C153" s="62"/>
      <c r="D153" s="62"/>
      <c r="E153" s="12">
        <v>0</v>
      </c>
      <c r="F153" s="12">
        <v>0</v>
      </c>
      <c r="G153" s="65"/>
      <c r="H153" s="65"/>
      <c r="I153" s="89"/>
      <c r="J153" s="65"/>
      <c r="K153" s="37"/>
      <c r="L153" s="37"/>
      <c r="M153" s="37"/>
      <c r="N153" s="37"/>
      <c r="O153" s="37"/>
      <c r="P153" s="37"/>
      <c r="Q153" s="37"/>
      <c r="R153" s="37"/>
      <c r="S153" s="37"/>
      <c r="T153" s="37"/>
      <c r="U153" s="3"/>
      <c r="W153" s="3"/>
      <c r="X153" s="3"/>
      <c r="Y153" s="3"/>
      <c r="Z153" s="3"/>
    </row>
    <row r="154" spans="1:26" ht="14.4" hidden="1" outlineLevel="1" x14ac:dyDescent="0.3">
      <c r="A154" s="3"/>
      <c r="B154" s="10" t="s">
        <v>328</v>
      </c>
      <c r="C154" s="62"/>
      <c r="D154" s="62"/>
      <c r="E154" s="12">
        <v>0</v>
      </c>
      <c r="F154" s="12">
        <v>0</v>
      </c>
      <c r="G154" s="65"/>
      <c r="H154" s="65"/>
      <c r="I154" s="89"/>
      <c r="J154" s="65"/>
      <c r="K154" s="37"/>
      <c r="L154" s="37"/>
      <c r="M154" s="37"/>
      <c r="N154" s="37"/>
      <c r="O154" s="37"/>
      <c r="P154" s="37"/>
      <c r="Q154" s="37"/>
      <c r="R154" s="37"/>
      <c r="S154" s="37"/>
      <c r="T154" s="37"/>
      <c r="U154" s="3"/>
      <c r="W154" s="3"/>
      <c r="X154" s="3"/>
      <c r="Y154" s="3"/>
      <c r="Z154" s="3"/>
    </row>
    <row r="155" spans="1:26" ht="14.4" hidden="1" outlineLevel="1" x14ac:dyDescent="0.3">
      <c r="A155" s="3"/>
      <c r="B155" s="10" t="s">
        <v>370</v>
      </c>
      <c r="C155" s="62"/>
      <c r="D155" s="62"/>
      <c r="E155" s="12">
        <v>0</v>
      </c>
      <c r="F155" s="12">
        <v>0</v>
      </c>
      <c r="G155" s="65"/>
      <c r="H155" s="65"/>
      <c r="I155" s="89"/>
      <c r="J155" s="65"/>
      <c r="K155" s="37"/>
      <c r="L155" s="37"/>
      <c r="M155" s="37"/>
      <c r="N155" s="37"/>
      <c r="O155" s="37"/>
      <c r="P155" s="37"/>
      <c r="Q155" s="37"/>
      <c r="R155" s="37"/>
      <c r="S155" s="37"/>
      <c r="T155" s="37"/>
      <c r="U155" s="3"/>
      <c r="W155" s="3"/>
      <c r="X155" s="3"/>
      <c r="Y155" s="3"/>
      <c r="Z155" s="3"/>
    </row>
    <row r="156" spans="1:26" ht="14.4" hidden="1" outlineLevel="1" x14ac:dyDescent="0.3">
      <c r="A156" s="3"/>
      <c r="B156" s="10" t="s">
        <v>371</v>
      </c>
      <c r="C156" s="62"/>
      <c r="D156" s="62"/>
      <c r="E156" s="12">
        <v>0</v>
      </c>
      <c r="F156" s="12">
        <v>0</v>
      </c>
      <c r="G156" s="65"/>
      <c r="H156" s="65"/>
      <c r="I156" s="89"/>
      <c r="J156" s="65"/>
      <c r="K156" s="37"/>
      <c r="L156" s="37"/>
      <c r="M156" s="37"/>
      <c r="N156" s="37"/>
      <c r="O156" s="37"/>
      <c r="P156" s="37"/>
      <c r="Q156" s="37"/>
      <c r="R156" s="37"/>
      <c r="S156" s="37"/>
      <c r="T156" s="37"/>
      <c r="U156" s="3"/>
      <c r="W156" s="3"/>
      <c r="X156" s="3"/>
      <c r="Y156" s="3"/>
      <c r="Z156" s="3"/>
    </row>
    <row r="157" spans="1:26" ht="14.4" hidden="1" outlineLevel="1" x14ac:dyDescent="0.3">
      <c r="A157" s="3"/>
      <c r="B157" s="10" t="s">
        <v>372</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20.399999999999999" collapsed="1" x14ac:dyDescent="0.3">
      <c r="A158" s="3"/>
      <c r="B158" s="84" t="s">
        <v>88</v>
      </c>
      <c r="C158" s="85" t="s">
        <v>43</v>
      </c>
      <c r="D158" s="85" t="s">
        <v>43</v>
      </c>
      <c r="E158" s="86">
        <f t="shared" ref="E158:F158" si="2">SUM(E159,E165,E171,E177)</f>
        <v>0</v>
      </c>
      <c r="F158" s="86">
        <f t="shared" si="2"/>
        <v>1202.08</v>
      </c>
      <c r="G158" s="87"/>
      <c r="H158" s="87"/>
      <c r="I158" s="88"/>
      <c r="J158" s="87"/>
      <c r="K158" s="37"/>
      <c r="L158" s="37"/>
      <c r="M158" s="37"/>
      <c r="N158" s="37"/>
      <c r="O158" s="37"/>
      <c r="P158" s="37"/>
      <c r="Q158" s="37"/>
      <c r="R158" s="37"/>
      <c r="S158" s="37"/>
      <c r="T158" s="37"/>
      <c r="U158" s="3"/>
      <c r="W158" s="3"/>
      <c r="X158" s="3"/>
      <c r="Y158" s="3"/>
      <c r="Z158" s="3"/>
    </row>
    <row r="159" spans="1:26" hidden="1" outlineLevel="1" x14ac:dyDescent="0.3">
      <c r="A159" s="3"/>
      <c r="B159" s="91" t="s">
        <v>380</v>
      </c>
      <c r="C159" s="92"/>
      <c r="D159" s="92"/>
      <c r="E159" s="93">
        <f>SUM(E160:E164)</f>
        <v>0</v>
      </c>
      <c r="F159" s="93">
        <f>SUMIF(D160:D164,"OK",F160:F164)</f>
        <v>1202.08</v>
      </c>
      <c r="G159" s="94"/>
      <c r="H159" s="94"/>
      <c r="I159" s="95"/>
      <c r="J159" s="94"/>
      <c r="K159" s="37"/>
      <c r="L159" s="37"/>
      <c r="M159" s="37"/>
      <c r="N159" s="37"/>
      <c r="O159" s="37"/>
      <c r="P159" s="37"/>
      <c r="Q159" s="37"/>
      <c r="R159" s="37"/>
      <c r="S159" s="37"/>
      <c r="T159" s="37"/>
      <c r="U159" s="3"/>
      <c r="W159" s="3"/>
      <c r="X159" s="3"/>
      <c r="Y159" s="3"/>
      <c r="Z159" s="3"/>
    </row>
    <row r="160" spans="1:26" ht="14.4" hidden="1" outlineLevel="1" x14ac:dyDescent="0.3">
      <c r="A160" s="3"/>
      <c r="B160" s="10" t="s">
        <v>844</v>
      </c>
      <c r="C160" s="62">
        <v>15</v>
      </c>
      <c r="D160" s="62" t="s">
        <v>94</v>
      </c>
      <c r="E160" s="12">
        <v>0</v>
      </c>
      <c r="F160" s="12">
        <v>537</v>
      </c>
      <c r="G160" s="65" t="s">
        <v>1254</v>
      </c>
      <c r="H160" s="65" t="s">
        <v>37</v>
      </c>
      <c r="I160" s="112" t="s">
        <v>1255</v>
      </c>
      <c r="J160" s="65"/>
      <c r="K160" s="37"/>
      <c r="L160" s="37"/>
      <c r="M160" s="37"/>
      <c r="N160" s="37"/>
      <c r="O160" s="37"/>
      <c r="P160" s="37"/>
      <c r="Q160" s="37"/>
      <c r="R160" s="37"/>
      <c r="S160" s="37"/>
      <c r="T160" s="37"/>
      <c r="U160" s="3"/>
      <c r="W160" s="3"/>
      <c r="X160" s="3"/>
      <c r="Y160" s="3"/>
      <c r="Z160" s="3"/>
    </row>
    <row r="161" spans="1:26" ht="14.4" hidden="1" outlineLevel="1" x14ac:dyDescent="0.3">
      <c r="A161" s="3"/>
      <c r="B161" s="10" t="s">
        <v>850</v>
      </c>
      <c r="C161" s="62">
        <v>8</v>
      </c>
      <c r="D161" s="62" t="s">
        <v>94</v>
      </c>
      <c r="E161" s="12">
        <v>0</v>
      </c>
      <c r="F161" s="12">
        <v>665.08</v>
      </c>
      <c r="G161" s="65" t="s">
        <v>1256</v>
      </c>
      <c r="H161" s="65" t="s">
        <v>37</v>
      </c>
      <c r="I161" s="112" t="s">
        <v>1257</v>
      </c>
      <c r="J161" s="65"/>
      <c r="K161" s="37"/>
      <c r="L161" s="37"/>
      <c r="M161" s="37"/>
      <c r="N161" s="37"/>
      <c r="O161" s="37"/>
      <c r="P161" s="37"/>
      <c r="Q161" s="37"/>
      <c r="R161" s="37"/>
      <c r="S161" s="37"/>
      <c r="T161" s="37"/>
      <c r="U161" s="3"/>
      <c r="W161" s="3"/>
      <c r="X161" s="3"/>
      <c r="Y161" s="3"/>
      <c r="Z161" s="3"/>
    </row>
    <row r="162" spans="1:26" ht="14.4" hidden="1" outlineLevel="1" x14ac:dyDescent="0.3">
      <c r="A162" s="3"/>
      <c r="B162" s="10" t="s">
        <v>355</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4.4" hidden="1" outlineLevel="1" x14ac:dyDescent="0.3">
      <c r="A163" s="3"/>
      <c r="B163" s="10" t="s">
        <v>369</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4.4" hidden="1" outlineLevel="1" x14ac:dyDescent="0.3">
      <c r="A164" s="3"/>
      <c r="B164" s="10" t="s">
        <v>327</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idden="1" outlineLevel="1" x14ac:dyDescent="0.3">
      <c r="A165" s="3"/>
      <c r="B165" s="91" t="s">
        <v>643</v>
      </c>
      <c r="C165" s="92"/>
      <c r="D165" s="92"/>
      <c r="E165" s="93">
        <f>SUM(E166:E170)</f>
        <v>0</v>
      </c>
      <c r="F165" s="93">
        <f>SUMIF(D166:D170,"OK",F166:F170)</f>
        <v>0</v>
      </c>
      <c r="G165" s="94"/>
      <c r="H165" s="94"/>
      <c r="I165" s="95"/>
      <c r="J165" s="94"/>
      <c r="K165" s="37"/>
      <c r="L165" s="37"/>
      <c r="M165" s="37"/>
      <c r="N165" s="37"/>
      <c r="O165" s="37"/>
      <c r="P165" s="37"/>
      <c r="Q165" s="37"/>
      <c r="R165" s="37"/>
      <c r="S165" s="37"/>
      <c r="T165" s="37"/>
      <c r="U165" s="3"/>
      <c r="W165" s="3"/>
      <c r="X165" s="3"/>
      <c r="Y165" s="3"/>
      <c r="Z165" s="3"/>
    </row>
    <row r="166" spans="1:26" ht="14.4" hidden="1" outlineLevel="1" x14ac:dyDescent="0.3">
      <c r="A166" s="3"/>
      <c r="B166" s="10" t="s">
        <v>353</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4.4" hidden="1" outlineLevel="1" x14ac:dyDescent="0.3">
      <c r="A167" s="3"/>
      <c r="B167" s="10" t="s">
        <v>354</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t="14.4" hidden="1" outlineLevel="1" x14ac:dyDescent="0.3">
      <c r="A168" s="3"/>
      <c r="B168" s="10" t="s">
        <v>355</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4.4" hidden="1" outlineLevel="1" x14ac:dyDescent="0.3">
      <c r="A169" s="3"/>
      <c r="B169" s="10" t="s">
        <v>369</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4.4" hidden="1" outlineLevel="1" x14ac:dyDescent="0.3">
      <c r="A170" s="3"/>
      <c r="B170" s="10" t="s">
        <v>327</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idden="1" outlineLevel="1" x14ac:dyDescent="0.3">
      <c r="A171" s="3"/>
      <c r="B171" s="91" t="s">
        <v>381</v>
      </c>
      <c r="C171" s="92"/>
      <c r="D171" s="92"/>
      <c r="E171" s="93">
        <f>SUM(E172:E176)</f>
        <v>0</v>
      </c>
      <c r="F171" s="93">
        <f>SUMIF(D172:D176,"OK",F172:F176)</f>
        <v>0</v>
      </c>
      <c r="G171" s="94"/>
      <c r="H171" s="94"/>
      <c r="I171" s="95"/>
      <c r="J171" s="94"/>
      <c r="K171" s="37"/>
      <c r="L171" s="37"/>
      <c r="M171" s="37"/>
      <c r="N171" s="37"/>
      <c r="O171" s="37"/>
      <c r="P171" s="37"/>
      <c r="Q171" s="37"/>
      <c r="R171" s="37"/>
      <c r="S171" s="37"/>
      <c r="T171" s="37"/>
      <c r="U171" s="3"/>
      <c r="W171" s="3"/>
      <c r="X171" s="3"/>
      <c r="Y171" s="3"/>
      <c r="Z171" s="3"/>
    </row>
    <row r="172" spans="1:26" ht="14.4" hidden="1" outlineLevel="1" x14ac:dyDescent="0.3">
      <c r="A172" s="3"/>
      <c r="B172" s="10" t="s">
        <v>353</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4.4" hidden="1" outlineLevel="1" x14ac:dyDescent="0.3">
      <c r="A173" s="3"/>
      <c r="B173" s="10" t="s">
        <v>354</v>
      </c>
      <c r="C173" s="62"/>
      <c r="D173" s="62"/>
      <c r="E173" s="12">
        <v>0</v>
      </c>
      <c r="F173" s="12">
        <v>0</v>
      </c>
      <c r="G173" s="65"/>
      <c r="H173" s="65"/>
      <c r="I173" s="89"/>
      <c r="J173" s="65"/>
      <c r="K173" s="37"/>
      <c r="L173" s="37"/>
      <c r="M173" s="37"/>
      <c r="N173" s="37"/>
      <c r="O173" s="37"/>
      <c r="P173" s="37"/>
      <c r="Q173" s="37"/>
      <c r="R173" s="37"/>
      <c r="S173" s="37"/>
      <c r="T173" s="37"/>
      <c r="U173" s="3"/>
      <c r="W173" s="3"/>
      <c r="X173" s="3"/>
      <c r="Y173" s="3"/>
      <c r="Z173" s="3"/>
    </row>
    <row r="174" spans="1:26" ht="14.4" hidden="1" outlineLevel="1" x14ac:dyDescent="0.3">
      <c r="A174" s="3"/>
      <c r="B174" s="10" t="s">
        <v>355</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14.4" hidden="1" outlineLevel="1" x14ac:dyDescent="0.3">
      <c r="A175" s="3"/>
      <c r="B175" s="10" t="s">
        <v>369</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4.4" hidden="1" outlineLevel="1" x14ac:dyDescent="0.3">
      <c r="A176" s="3"/>
      <c r="B176" s="10" t="s">
        <v>327</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idden="1" outlineLevel="1" x14ac:dyDescent="0.3">
      <c r="A177" s="3"/>
      <c r="B177" s="91" t="s">
        <v>382</v>
      </c>
      <c r="C177" s="92"/>
      <c r="D177" s="92"/>
      <c r="E177" s="93">
        <f>SUM(E178:E182)</f>
        <v>0</v>
      </c>
      <c r="F177" s="93">
        <f>SUMIF(D178:D182,"OK",F178:F182)</f>
        <v>0</v>
      </c>
      <c r="G177" s="94"/>
      <c r="H177" s="94"/>
      <c r="I177" s="95"/>
      <c r="J177" s="94"/>
      <c r="K177" s="37"/>
      <c r="L177" s="37"/>
      <c r="M177" s="37"/>
      <c r="N177" s="37"/>
      <c r="O177" s="37"/>
      <c r="P177" s="37"/>
      <c r="Q177" s="37"/>
      <c r="R177" s="37"/>
      <c r="S177" s="37"/>
      <c r="T177" s="37"/>
      <c r="U177" s="3"/>
      <c r="W177" s="3"/>
      <c r="X177" s="3"/>
      <c r="Y177" s="3"/>
      <c r="Z177" s="3"/>
    </row>
    <row r="178" spans="1:26" ht="14.4" hidden="1" outlineLevel="1" x14ac:dyDescent="0.3">
      <c r="A178" s="3"/>
      <c r="B178" s="10" t="s">
        <v>353</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4.4" hidden="1" outlineLevel="1" x14ac:dyDescent="0.3">
      <c r="A179" s="3"/>
      <c r="B179" s="10" t="s">
        <v>354</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14.4" hidden="1" outlineLevel="1" x14ac:dyDescent="0.3">
      <c r="A180" s="3"/>
      <c r="B180" s="10" t="s">
        <v>355</v>
      </c>
      <c r="C180" s="62"/>
      <c r="D180" s="62"/>
      <c r="E180" s="12">
        <v>0</v>
      </c>
      <c r="F180" s="12">
        <v>0</v>
      </c>
      <c r="G180" s="65"/>
      <c r="H180" s="65"/>
      <c r="I180" s="89"/>
      <c r="J180" s="65"/>
      <c r="K180" s="37"/>
      <c r="L180" s="37"/>
      <c r="M180" s="37"/>
      <c r="N180" s="37"/>
      <c r="O180" s="37"/>
      <c r="P180" s="37"/>
      <c r="Q180" s="37"/>
      <c r="R180" s="37"/>
      <c r="S180" s="37"/>
      <c r="T180" s="37"/>
      <c r="U180" s="3"/>
      <c r="W180" s="3"/>
      <c r="X180" s="3"/>
      <c r="Y180" s="3"/>
      <c r="Z180" s="3"/>
    </row>
    <row r="181" spans="1:26" ht="14.4" hidden="1" outlineLevel="1" x14ac:dyDescent="0.3">
      <c r="A181" s="3"/>
      <c r="B181" s="10" t="s">
        <v>369</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4.4" hidden="1" outlineLevel="1" x14ac:dyDescent="0.3">
      <c r="A182" s="3"/>
      <c r="B182" s="10" t="s">
        <v>327</v>
      </c>
      <c r="C182" s="62"/>
      <c r="D182" s="62"/>
      <c r="E182" s="12">
        <v>0</v>
      </c>
      <c r="F182" s="12">
        <v>0</v>
      </c>
      <c r="G182" s="65"/>
      <c r="H182" s="65"/>
      <c r="I182" s="89"/>
      <c r="J182" s="65"/>
      <c r="K182" s="37"/>
      <c r="L182" s="37"/>
      <c r="M182" s="37"/>
      <c r="N182" s="37"/>
      <c r="O182" s="37"/>
      <c r="P182" s="37"/>
      <c r="Q182" s="37"/>
      <c r="R182" s="37"/>
      <c r="S182" s="37"/>
      <c r="T182" s="37"/>
      <c r="U182" s="3"/>
      <c r="W182" s="3"/>
      <c r="X182" s="3"/>
      <c r="Y182" s="3"/>
      <c r="Z182" s="3"/>
    </row>
    <row r="183" spans="1:26" ht="20.399999999999999" collapsed="1" x14ac:dyDescent="0.3">
      <c r="A183" s="3"/>
      <c r="B183" s="84" t="s">
        <v>383</v>
      </c>
      <c r="C183" s="85" t="s">
        <v>43</v>
      </c>
      <c r="D183" s="85" t="s">
        <v>43</v>
      </c>
      <c r="E183" s="86">
        <f>SUM(E184:E188)</f>
        <v>0</v>
      </c>
      <c r="F183" s="86">
        <f>SUMIF(D184:D188,"OK",F184:F188)</f>
        <v>0</v>
      </c>
      <c r="G183" s="87"/>
      <c r="H183" s="87"/>
      <c r="I183" s="88"/>
      <c r="J183" s="87"/>
      <c r="K183" s="37"/>
      <c r="L183" s="37"/>
      <c r="M183" s="37"/>
      <c r="N183" s="37"/>
      <c r="O183" s="37"/>
      <c r="P183" s="37"/>
      <c r="Q183" s="37"/>
      <c r="R183" s="37"/>
      <c r="S183" s="37"/>
      <c r="T183" s="37"/>
      <c r="U183" s="3"/>
      <c r="W183" s="3"/>
      <c r="X183" s="3"/>
      <c r="Y183" s="3"/>
      <c r="Z183" s="3"/>
    </row>
    <row r="184" spans="1:26" ht="14.4" hidden="1" outlineLevel="1" x14ac:dyDescent="0.3">
      <c r="A184" s="3"/>
      <c r="B184" s="10" t="s">
        <v>353</v>
      </c>
      <c r="C184" s="62"/>
      <c r="D184" s="62"/>
      <c r="E184" s="12">
        <v>0</v>
      </c>
      <c r="F184" s="12">
        <v>0</v>
      </c>
      <c r="G184" s="65"/>
      <c r="H184" s="65"/>
      <c r="I184" s="89"/>
      <c r="J184" s="65"/>
      <c r="K184" s="37"/>
      <c r="L184" s="37"/>
      <c r="M184" s="37"/>
      <c r="N184" s="37"/>
      <c r="O184" s="37"/>
      <c r="P184" s="37"/>
      <c r="Q184" s="37"/>
      <c r="R184" s="37"/>
      <c r="S184" s="37"/>
      <c r="T184" s="37"/>
      <c r="U184" s="3"/>
      <c r="W184" s="3"/>
      <c r="X184" s="3"/>
      <c r="Y184" s="3"/>
      <c r="Z184" s="3"/>
    </row>
    <row r="185" spans="1:26" ht="14.4" hidden="1" outlineLevel="1" x14ac:dyDescent="0.3">
      <c r="A185" s="3"/>
      <c r="B185" s="10" t="s">
        <v>354</v>
      </c>
      <c r="C185" s="62"/>
      <c r="D185" s="62"/>
      <c r="E185" s="12">
        <v>0</v>
      </c>
      <c r="F185" s="12">
        <v>0</v>
      </c>
      <c r="G185" s="65"/>
      <c r="H185" s="65"/>
      <c r="I185" s="89"/>
      <c r="J185" s="65"/>
      <c r="K185" s="37"/>
      <c r="L185" s="37"/>
      <c r="M185" s="37"/>
      <c r="N185" s="37"/>
      <c r="O185" s="37"/>
      <c r="P185" s="37"/>
      <c r="Q185" s="37"/>
      <c r="R185" s="37"/>
      <c r="S185" s="37"/>
      <c r="T185" s="37"/>
      <c r="U185" s="3"/>
      <c r="W185" s="3"/>
      <c r="X185" s="3"/>
      <c r="Y185" s="3"/>
      <c r="Z185" s="3"/>
    </row>
    <row r="186" spans="1:26" ht="14.4" hidden="1" outlineLevel="1" x14ac:dyDescent="0.3">
      <c r="A186" s="3"/>
      <c r="B186" s="10" t="s">
        <v>355</v>
      </c>
      <c r="C186" s="62"/>
      <c r="D186" s="62"/>
      <c r="E186" s="12">
        <v>0</v>
      </c>
      <c r="F186" s="12">
        <v>0</v>
      </c>
      <c r="G186" s="65"/>
      <c r="H186" s="65"/>
      <c r="I186" s="89"/>
      <c r="J186" s="65"/>
      <c r="K186" s="37"/>
      <c r="L186" s="37"/>
      <c r="M186" s="37"/>
      <c r="N186" s="37"/>
      <c r="O186" s="37"/>
      <c r="P186" s="37"/>
      <c r="Q186" s="37"/>
      <c r="R186" s="37"/>
      <c r="S186" s="37"/>
      <c r="T186" s="37"/>
      <c r="U186" s="3"/>
      <c r="W186" s="3"/>
      <c r="X186" s="3"/>
      <c r="Y186" s="3"/>
      <c r="Z186" s="3"/>
    </row>
    <row r="187" spans="1:26" ht="14.4" hidden="1" outlineLevel="1" x14ac:dyDescent="0.3">
      <c r="A187" s="3"/>
      <c r="B187" s="10" t="s">
        <v>369</v>
      </c>
      <c r="C187" s="62"/>
      <c r="D187" s="62"/>
      <c r="E187" s="12">
        <v>0</v>
      </c>
      <c r="F187" s="12">
        <v>0</v>
      </c>
      <c r="G187" s="65"/>
      <c r="H187" s="65"/>
      <c r="I187" s="89"/>
      <c r="J187" s="65"/>
      <c r="K187" s="37"/>
      <c r="L187" s="37"/>
      <c r="M187" s="37"/>
      <c r="N187" s="37"/>
      <c r="O187" s="37"/>
      <c r="P187" s="37"/>
      <c r="Q187" s="37"/>
      <c r="R187" s="37"/>
      <c r="S187" s="37"/>
      <c r="T187" s="37"/>
      <c r="U187" s="3"/>
      <c r="W187" s="3"/>
      <c r="X187" s="3"/>
      <c r="Y187" s="3"/>
      <c r="Z187" s="3"/>
    </row>
    <row r="188" spans="1:26" ht="14.4" hidden="1" outlineLevel="1" x14ac:dyDescent="0.3">
      <c r="A188" s="3"/>
      <c r="B188" s="10" t="s">
        <v>327</v>
      </c>
      <c r="C188" s="62"/>
      <c r="D188" s="62"/>
      <c r="E188" s="12">
        <v>0</v>
      </c>
      <c r="F188" s="12">
        <v>0</v>
      </c>
      <c r="G188" s="65"/>
      <c r="H188" s="65"/>
      <c r="I188" s="89"/>
      <c r="J188" s="65"/>
      <c r="K188" s="37"/>
      <c r="L188" s="37"/>
      <c r="M188" s="37"/>
      <c r="N188" s="37"/>
      <c r="O188" s="37"/>
      <c r="P188" s="37"/>
      <c r="Q188" s="37"/>
      <c r="R188" s="37"/>
      <c r="S188" s="37"/>
      <c r="T188" s="37"/>
      <c r="U188" s="3"/>
      <c r="W188" s="3"/>
      <c r="X188" s="3"/>
      <c r="Y188" s="3"/>
      <c r="Z188" s="3"/>
    </row>
    <row r="189" spans="1:26" ht="20.399999999999999" collapsed="1" x14ac:dyDescent="0.3">
      <c r="A189" s="3"/>
      <c r="B189" s="84" t="s">
        <v>384</v>
      </c>
      <c r="C189" s="85" t="s">
        <v>43</v>
      </c>
      <c r="D189" s="85" t="s">
        <v>43</v>
      </c>
      <c r="E189" s="86">
        <f>SUM(E190:E217)</f>
        <v>0</v>
      </c>
      <c r="F189" s="86">
        <f>SUMIF(D190:D217,"OK",F190:F217)</f>
        <v>129.13999999999999</v>
      </c>
      <c r="G189" s="87"/>
      <c r="H189" s="87"/>
      <c r="I189" s="88"/>
      <c r="J189" s="87"/>
      <c r="K189" s="37"/>
      <c r="L189" s="37"/>
      <c r="M189" s="37"/>
      <c r="N189" s="37"/>
      <c r="O189" s="37"/>
      <c r="P189" s="37"/>
      <c r="Q189" s="37"/>
      <c r="R189" s="37"/>
      <c r="S189" s="37"/>
      <c r="T189" s="37"/>
      <c r="U189" s="3"/>
      <c r="W189" s="3"/>
      <c r="X189" s="3"/>
      <c r="Y189" s="3"/>
      <c r="Z189" s="3"/>
    </row>
    <row r="190" spans="1:26" ht="14.4" hidden="1" outlineLevel="1" x14ac:dyDescent="0.3">
      <c r="A190" s="3"/>
      <c r="B190" s="10" t="s">
        <v>1258</v>
      </c>
      <c r="C190" s="80">
        <v>1</v>
      </c>
      <c r="D190" s="62" t="s">
        <v>94</v>
      </c>
      <c r="E190" s="12">
        <v>0</v>
      </c>
      <c r="F190" s="12">
        <v>129.13999999999999</v>
      </c>
      <c r="G190" s="89"/>
      <c r="H190" s="65" t="s">
        <v>37</v>
      </c>
      <c r="I190" s="112" t="s">
        <v>1259</v>
      </c>
      <c r="J190" s="65"/>
      <c r="K190" s="37"/>
      <c r="L190" s="37"/>
      <c r="M190" s="37"/>
      <c r="N190" s="37"/>
      <c r="O190" s="37"/>
      <c r="P190" s="37"/>
      <c r="Q190" s="37"/>
      <c r="R190" s="37"/>
      <c r="S190" s="37"/>
      <c r="T190" s="37"/>
      <c r="U190" s="3"/>
      <c r="W190" s="3"/>
      <c r="X190" s="3"/>
      <c r="Y190" s="3"/>
      <c r="Z190" s="3"/>
    </row>
    <row r="191" spans="1:26" ht="14.4" hidden="1" outlineLevel="1" x14ac:dyDescent="0.3">
      <c r="A191" s="3"/>
      <c r="B191" s="10" t="s">
        <v>50</v>
      </c>
      <c r="C191" s="62"/>
      <c r="D191" s="62"/>
      <c r="E191" s="12">
        <v>0</v>
      </c>
      <c r="F191" s="12">
        <v>0</v>
      </c>
      <c r="G191" s="89"/>
      <c r="H191" s="65"/>
      <c r="I191" s="112"/>
      <c r="J191" s="89"/>
      <c r="K191" s="37"/>
      <c r="L191" s="37"/>
      <c r="M191" s="37"/>
      <c r="N191" s="37"/>
      <c r="O191" s="37"/>
      <c r="P191" s="37"/>
      <c r="Q191" s="37"/>
      <c r="R191" s="37"/>
      <c r="S191" s="37"/>
      <c r="T191" s="37"/>
      <c r="U191" s="3"/>
      <c r="W191" s="3"/>
      <c r="X191" s="3"/>
      <c r="Y191" s="3"/>
      <c r="Z191" s="3"/>
    </row>
    <row r="192" spans="1:26" ht="14.4" hidden="1" outlineLevel="1" x14ac:dyDescent="0.3">
      <c r="A192" s="3"/>
      <c r="B192" s="10" t="s">
        <v>50</v>
      </c>
      <c r="C192" s="62"/>
      <c r="D192" s="62"/>
      <c r="E192" s="12">
        <v>0</v>
      </c>
      <c r="F192" s="12">
        <v>0</v>
      </c>
      <c r="G192" s="65"/>
      <c r="H192" s="65"/>
      <c r="I192" s="112"/>
      <c r="J192" s="65"/>
      <c r="K192" s="37"/>
      <c r="L192" s="37"/>
      <c r="M192" s="37"/>
      <c r="N192" s="37"/>
      <c r="O192" s="37"/>
      <c r="P192" s="37"/>
      <c r="Q192" s="37"/>
      <c r="R192" s="37"/>
      <c r="S192" s="37"/>
      <c r="T192" s="37"/>
      <c r="U192" s="3"/>
      <c r="W192" s="3"/>
      <c r="X192" s="3"/>
      <c r="Y192" s="3"/>
      <c r="Z192" s="3"/>
    </row>
    <row r="193" spans="1:26" ht="14.4" hidden="1" outlineLevel="1" x14ac:dyDescent="0.3">
      <c r="A193" s="3"/>
      <c r="B193" s="10" t="s">
        <v>50</v>
      </c>
      <c r="C193" s="62"/>
      <c r="D193" s="62"/>
      <c r="E193" s="12">
        <v>0</v>
      </c>
      <c r="F193" s="12">
        <v>0</v>
      </c>
      <c r="G193" s="89"/>
      <c r="H193" s="65"/>
      <c r="I193" s="112"/>
      <c r="J193" s="65"/>
      <c r="K193" s="37"/>
      <c r="L193" s="37"/>
      <c r="M193" s="37"/>
      <c r="N193" s="37"/>
      <c r="O193" s="37"/>
      <c r="P193" s="37"/>
      <c r="Q193" s="37"/>
      <c r="R193" s="37"/>
      <c r="S193" s="37"/>
      <c r="T193" s="37"/>
      <c r="U193" s="3"/>
      <c r="W193" s="3"/>
      <c r="X193" s="3"/>
      <c r="Y193" s="3"/>
      <c r="Z193" s="3"/>
    </row>
    <row r="194" spans="1:26" ht="14.4" hidden="1" outlineLevel="1" x14ac:dyDescent="0.3">
      <c r="A194" s="3"/>
      <c r="B194" s="10" t="s">
        <v>50</v>
      </c>
      <c r="C194" s="62"/>
      <c r="D194" s="62"/>
      <c r="E194" s="12">
        <v>0</v>
      </c>
      <c r="F194" s="12">
        <v>0</v>
      </c>
      <c r="G194" s="65"/>
      <c r="H194" s="65"/>
      <c r="I194" s="112"/>
      <c r="J194" s="65"/>
      <c r="K194" s="37"/>
      <c r="L194" s="37"/>
      <c r="M194" s="37"/>
      <c r="N194" s="37"/>
      <c r="O194" s="37"/>
      <c r="P194" s="37"/>
      <c r="Q194" s="37"/>
      <c r="R194" s="37"/>
      <c r="S194" s="37"/>
      <c r="T194" s="37"/>
      <c r="U194" s="3"/>
      <c r="W194" s="3"/>
      <c r="X194" s="3"/>
      <c r="Y194" s="3"/>
      <c r="Z194" s="3"/>
    </row>
    <row r="195" spans="1:26" ht="14.4" hidden="1" outlineLevel="1" x14ac:dyDescent="0.3">
      <c r="A195" s="3"/>
      <c r="B195" s="10" t="s">
        <v>50</v>
      </c>
      <c r="C195" s="62"/>
      <c r="D195" s="62"/>
      <c r="E195" s="12">
        <v>0</v>
      </c>
      <c r="F195" s="12">
        <v>0</v>
      </c>
      <c r="G195" s="65"/>
      <c r="H195" s="65"/>
      <c r="I195" s="112"/>
      <c r="J195" s="65"/>
      <c r="K195" s="37"/>
      <c r="L195" s="37"/>
      <c r="M195" s="37"/>
      <c r="N195" s="37"/>
      <c r="O195" s="37"/>
      <c r="P195" s="37"/>
      <c r="Q195" s="37"/>
      <c r="R195" s="37"/>
      <c r="S195" s="37"/>
      <c r="T195" s="37"/>
      <c r="U195" s="3"/>
      <c r="W195" s="3"/>
      <c r="X195" s="3"/>
      <c r="Y195" s="3"/>
      <c r="Z195" s="3"/>
    </row>
    <row r="196" spans="1:26" ht="14.4" hidden="1" outlineLevel="1" x14ac:dyDescent="0.3">
      <c r="A196" s="3"/>
      <c r="B196" s="10" t="s">
        <v>50</v>
      </c>
      <c r="C196" s="62"/>
      <c r="D196" s="62"/>
      <c r="E196" s="12">
        <v>0</v>
      </c>
      <c r="F196" s="12">
        <v>0</v>
      </c>
      <c r="G196" s="65"/>
      <c r="H196" s="65"/>
      <c r="I196" s="112"/>
      <c r="J196" s="65"/>
      <c r="K196" s="37"/>
      <c r="L196" s="37"/>
      <c r="M196" s="37"/>
      <c r="N196" s="37"/>
      <c r="O196" s="37"/>
      <c r="P196" s="37"/>
      <c r="Q196" s="37"/>
      <c r="R196" s="37"/>
      <c r="S196" s="37"/>
      <c r="T196" s="37"/>
      <c r="U196" s="3"/>
      <c r="W196" s="3"/>
      <c r="X196" s="3"/>
      <c r="Y196" s="3"/>
      <c r="Z196" s="3"/>
    </row>
    <row r="197" spans="1:26" ht="14.4" hidden="1" outlineLevel="1" x14ac:dyDescent="0.3">
      <c r="A197" s="3"/>
      <c r="B197" s="10" t="s">
        <v>50</v>
      </c>
      <c r="C197" s="62"/>
      <c r="D197" s="62"/>
      <c r="E197" s="12">
        <v>0</v>
      </c>
      <c r="F197" s="12">
        <v>0</v>
      </c>
      <c r="G197" s="65"/>
      <c r="H197" s="65"/>
      <c r="I197" s="112"/>
      <c r="J197" s="65"/>
      <c r="K197" s="37"/>
      <c r="L197" s="37"/>
      <c r="M197" s="37"/>
      <c r="N197" s="37"/>
      <c r="O197" s="37"/>
      <c r="P197" s="37"/>
      <c r="Q197" s="37"/>
      <c r="R197" s="37"/>
      <c r="S197" s="37"/>
      <c r="T197" s="37"/>
      <c r="U197" s="3"/>
      <c r="W197" s="3"/>
      <c r="X197" s="3"/>
      <c r="Y197" s="3"/>
      <c r="Z197" s="3"/>
    </row>
    <row r="198" spans="1:26" ht="14.4" hidden="1" outlineLevel="1" x14ac:dyDescent="0.3">
      <c r="A198" s="3"/>
      <c r="B198" s="10" t="s">
        <v>50</v>
      </c>
      <c r="C198" s="62"/>
      <c r="D198" s="62"/>
      <c r="E198" s="12">
        <v>0</v>
      </c>
      <c r="F198" s="12">
        <v>0</v>
      </c>
      <c r="G198" s="65"/>
      <c r="H198" s="65"/>
      <c r="I198" s="112"/>
      <c r="J198" s="65"/>
      <c r="K198" s="37"/>
      <c r="L198" s="37"/>
      <c r="M198" s="37"/>
      <c r="N198" s="37"/>
      <c r="O198" s="37"/>
      <c r="P198" s="37"/>
      <c r="Q198" s="37"/>
      <c r="R198" s="37"/>
      <c r="S198" s="37"/>
      <c r="T198" s="37"/>
      <c r="U198" s="3"/>
      <c r="W198" s="3"/>
      <c r="X198" s="3"/>
      <c r="Y198" s="3"/>
      <c r="Z198" s="3"/>
    </row>
    <row r="199" spans="1:26" ht="14.4" hidden="1" outlineLevel="1" x14ac:dyDescent="0.3">
      <c r="A199" s="3"/>
      <c r="B199" s="10" t="s">
        <v>50</v>
      </c>
      <c r="C199" s="62"/>
      <c r="D199" s="62"/>
      <c r="E199" s="12">
        <v>0</v>
      </c>
      <c r="F199" s="12">
        <v>0</v>
      </c>
      <c r="G199" s="65"/>
      <c r="H199" s="65"/>
      <c r="I199" s="112"/>
      <c r="J199" s="65"/>
      <c r="K199" s="37"/>
      <c r="L199" s="37"/>
      <c r="M199" s="37"/>
      <c r="N199" s="37"/>
      <c r="O199" s="37"/>
      <c r="P199" s="37"/>
      <c r="Q199" s="37"/>
      <c r="R199" s="37"/>
      <c r="S199" s="37"/>
      <c r="T199" s="37"/>
      <c r="U199" s="3"/>
      <c r="W199" s="3"/>
      <c r="X199" s="3"/>
      <c r="Y199" s="3"/>
      <c r="Z199" s="3"/>
    </row>
    <row r="200" spans="1:26" ht="14.4" hidden="1" outlineLevel="1" x14ac:dyDescent="0.3">
      <c r="A200" s="3"/>
      <c r="B200" s="10" t="s">
        <v>50</v>
      </c>
      <c r="C200" s="62"/>
      <c r="D200" s="62"/>
      <c r="E200" s="12">
        <v>0</v>
      </c>
      <c r="F200" s="12">
        <v>0</v>
      </c>
      <c r="G200" s="65"/>
      <c r="H200" s="65"/>
      <c r="I200" s="112"/>
      <c r="J200" s="65"/>
      <c r="K200" s="37"/>
      <c r="L200" s="37"/>
      <c r="M200" s="37"/>
      <c r="N200" s="37"/>
      <c r="O200" s="37"/>
      <c r="P200" s="37"/>
      <c r="Q200" s="37"/>
      <c r="R200" s="37"/>
      <c r="S200" s="37"/>
      <c r="T200" s="37"/>
      <c r="U200" s="3"/>
      <c r="W200" s="3"/>
      <c r="X200" s="3"/>
      <c r="Y200" s="3"/>
      <c r="Z200" s="3"/>
    </row>
    <row r="201" spans="1:26" ht="14.4" hidden="1" outlineLevel="1" x14ac:dyDescent="0.3">
      <c r="A201" s="3"/>
      <c r="B201" s="10" t="s">
        <v>50</v>
      </c>
      <c r="C201" s="62"/>
      <c r="D201" s="62"/>
      <c r="E201" s="12">
        <v>0</v>
      </c>
      <c r="F201" s="12">
        <v>0</v>
      </c>
      <c r="G201" s="65"/>
      <c r="H201" s="65"/>
      <c r="I201" s="112"/>
      <c r="J201" s="65"/>
      <c r="K201" s="37"/>
      <c r="L201" s="37"/>
      <c r="M201" s="37"/>
      <c r="N201" s="37"/>
      <c r="O201" s="37"/>
      <c r="P201" s="37"/>
      <c r="Q201" s="37"/>
      <c r="R201" s="37"/>
      <c r="S201" s="37"/>
      <c r="T201" s="37"/>
      <c r="U201" s="3"/>
      <c r="W201" s="3"/>
      <c r="X201" s="3"/>
      <c r="Y201" s="3"/>
      <c r="Z201" s="3"/>
    </row>
    <row r="202" spans="1:26" ht="14.4" hidden="1" outlineLevel="1" x14ac:dyDescent="0.3">
      <c r="A202" s="3"/>
      <c r="B202" s="10" t="s">
        <v>50</v>
      </c>
      <c r="C202" s="62"/>
      <c r="D202" s="62"/>
      <c r="E202" s="12">
        <v>0</v>
      </c>
      <c r="F202" s="12">
        <v>0</v>
      </c>
      <c r="G202" s="65"/>
      <c r="H202" s="65"/>
      <c r="I202" s="128"/>
      <c r="J202" s="65"/>
      <c r="K202" s="37"/>
      <c r="L202" s="37"/>
      <c r="M202" s="37"/>
      <c r="N202" s="37"/>
      <c r="O202" s="37"/>
      <c r="P202" s="37"/>
      <c r="Q202" s="37"/>
      <c r="R202" s="37"/>
      <c r="S202" s="37"/>
      <c r="T202" s="37"/>
      <c r="U202" s="3"/>
      <c r="W202" s="3"/>
      <c r="X202" s="3"/>
      <c r="Y202" s="3"/>
      <c r="Z202" s="3"/>
    </row>
    <row r="203" spans="1:26" ht="14.4" hidden="1" outlineLevel="1" x14ac:dyDescent="0.3">
      <c r="A203" s="3"/>
      <c r="B203" s="10" t="s">
        <v>50</v>
      </c>
      <c r="C203" s="62"/>
      <c r="D203" s="62"/>
      <c r="E203" s="12">
        <v>0</v>
      </c>
      <c r="F203" s="12">
        <v>0</v>
      </c>
      <c r="G203" s="65"/>
      <c r="H203" s="65"/>
      <c r="I203" s="128"/>
      <c r="J203" s="65"/>
      <c r="K203" s="37"/>
      <c r="L203" s="37"/>
      <c r="M203" s="37"/>
      <c r="N203" s="37"/>
      <c r="O203" s="37"/>
      <c r="P203" s="37"/>
      <c r="Q203" s="37"/>
      <c r="R203" s="37"/>
      <c r="S203" s="37"/>
      <c r="T203" s="37"/>
      <c r="U203" s="3"/>
      <c r="W203" s="3"/>
      <c r="X203" s="3"/>
      <c r="Y203" s="3"/>
      <c r="Z203" s="3"/>
    </row>
    <row r="204" spans="1:26" ht="14.4" hidden="1" outlineLevel="1" x14ac:dyDescent="0.3">
      <c r="A204" s="3"/>
      <c r="B204" s="10" t="s">
        <v>50</v>
      </c>
      <c r="C204" s="62"/>
      <c r="D204" s="62"/>
      <c r="E204" s="12">
        <v>0</v>
      </c>
      <c r="F204" s="12">
        <v>0</v>
      </c>
      <c r="G204" s="65"/>
      <c r="H204" s="65"/>
      <c r="I204" s="112"/>
      <c r="J204" s="65"/>
      <c r="K204" s="37"/>
      <c r="L204" s="37"/>
      <c r="M204" s="37"/>
      <c r="N204" s="37"/>
      <c r="O204" s="37"/>
      <c r="P204" s="37"/>
      <c r="Q204" s="37"/>
      <c r="R204" s="37"/>
      <c r="S204" s="37"/>
      <c r="T204" s="37"/>
      <c r="U204" s="3"/>
      <c r="W204" s="3"/>
      <c r="X204" s="3"/>
      <c r="Y204" s="3"/>
      <c r="Z204" s="3"/>
    </row>
    <row r="205" spans="1:26" ht="14.4" hidden="1" outlineLevel="1" x14ac:dyDescent="0.3">
      <c r="A205" s="3"/>
      <c r="B205" s="10" t="s">
        <v>50</v>
      </c>
      <c r="C205" s="62"/>
      <c r="D205" s="62"/>
      <c r="E205" s="12">
        <v>0</v>
      </c>
      <c r="F205" s="12">
        <v>0</v>
      </c>
      <c r="G205" s="65"/>
      <c r="H205" s="65"/>
      <c r="I205" s="112"/>
      <c r="J205" s="65"/>
      <c r="K205" s="37"/>
      <c r="L205" s="37"/>
      <c r="M205" s="37"/>
      <c r="N205" s="37"/>
      <c r="O205" s="37"/>
      <c r="P205" s="37"/>
      <c r="Q205" s="37"/>
      <c r="R205" s="37"/>
      <c r="S205" s="37"/>
      <c r="T205" s="37"/>
      <c r="U205" s="3"/>
      <c r="W205" s="3"/>
      <c r="X205" s="3"/>
      <c r="Y205" s="3"/>
      <c r="Z205" s="3"/>
    </row>
    <row r="206" spans="1:26" ht="14.4" hidden="1" outlineLevel="1" x14ac:dyDescent="0.3">
      <c r="A206" s="3"/>
      <c r="B206" s="10" t="s">
        <v>50</v>
      </c>
      <c r="C206" s="62"/>
      <c r="D206" s="62"/>
      <c r="E206" s="12">
        <v>0</v>
      </c>
      <c r="F206" s="12">
        <v>0</v>
      </c>
      <c r="G206" s="65"/>
      <c r="H206" s="65"/>
      <c r="I206" s="112"/>
      <c r="J206" s="65"/>
      <c r="K206" s="37"/>
      <c r="L206" s="37"/>
      <c r="M206" s="37"/>
      <c r="N206" s="37"/>
      <c r="O206" s="37"/>
      <c r="P206" s="37"/>
      <c r="Q206" s="37"/>
      <c r="R206" s="37"/>
      <c r="S206" s="37"/>
      <c r="T206" s="37"/>
      <c r="U206" s="3"/>
      <c r="W206" s="3"/>
      <c r="X206" s="3"/>
      <c r="Y206" s="3"/>
      <c r="Z206" s="3"/>
    </row>
    <row r="207" spans="1:26" ht="14.4" hidden="1" outlineLevel="1" x14ac:dyDescent="0.3">
      <c r="A207" s="3"/>
      <c r="B207" s="10" t="s">
        <v>50</v>
      </c>
      <c r="C207" s="62"/>
      <c r="D207" s="62"/>
      <c r="E207" s="12">
        <v>0</v>
      </c>
      <c r="F207" s="12">
        <v>0</v>
      </c>
      <c r="G207" s="65"/>
      <c r="H207" s="65"/>
      <c r="I207" s="112"/>
      <c r="J207" s="65"/>
      <c r="K207" s="37"/>
      <c r="L207" s="37"/>
      <c r="M207" s="37"/>
      <c r="N207" s="37"/>
      <c r="O207" s="37"/>
      <c r="P207" s="37"/>
      <c r="Q207" s="37"/>
      <c r="R207" s="37"/>
      <c r="S207" s="37"/>
      <c r="T207" s="37"/>
      <c r="U207" s="3"/>
      <c r="W207" s="3"/>
      <c r="X207" s="3"/>
      <c r="Y207" s="3"/>
      <c r="Z207" s="3"/>
    </row>
    <row r="208" spans="1:26" ht="14.4" hidden="1" outlineLevel="1" x14ac:dyDescent="0.3">
      <c r="A208" s="3"/>
      <c r="B208" s="10" t="s">
        <v>50</v>
      </c>
      <c r="C208" s="62"/>
      <c r="D208" s="62"/>
      <c r="E208" s="12">
        <v>0</v>
      </c>
      <c r="F208" s="12">
        <v>0</v>
      </c>
      <c r="G208" s="65"/>
      <c r="H208" s="65"/>
      <c r="I208" s="112"/>
      <c r="J208" s="65"/>
      <c r="K208" s="37"/>
      <c r="L208" s="37"/>
      <c r="M208" s="37"/>
      <c r="N208" s="37"/>
      <c r="O208" s="37"/>
      <c r="P208" s="37"/>
      <c r="Q208" s="37"/>
      <c r="R208" s="37"/>
      <c r="S208" s="37"/>
      <c r="T208" s="37"/>
      <c r="U208" s="3"/>
      <c r="W208" s="3"/>
      <c r="X208" s="3"/>
      <c r="Y208" s="3"/>
      <c r="Z208" s="3"/>
    </row>
    <row r="209" spans="1:26" ht="14.4" hidden="1" outlineLevel="1" x14ac:dyDescent="0.3">
      <c r="A209" s="3"/>
      <c r="B209" s="10" t="s">
        <v>50</v>
      </c>
      <c r="C209" s="62"/>
      <c r="D209" s="62"/>
      <c r="E209" s="12">
        <v>0</v>
      </c>
      <c r="F209" s="12">
        <v>0</v>
      </c>
      <c r="G209" s="65"/>
      <c r="H209" s="65"/>
      <c r="I209" s="128"/>
      <c r="J209" s="65"/>
      <c r="K209" s="37"/>
      <c r="L209" s="37"/>
      <c r="M209" s="37"/>
      <c r="N209" s="37"/>
      <c r="O209" s="37"/>
      <c r="P209" s="37"/>
      <c r="Q209" s="37"/>
      <c r="R209" s="37"/>
      <c r="S209" s="37"/>
      <c r="T209" s="37"/>
      <c r="U209" s="3"/>
      <c r="W209" s="3"/>
      <c r="X209" s="3"/>
      <c r="Y209" s="3"/>
      <c r="Z209" s="3"/>
    </row>
    <row r="210" spans="1:26" ht="14.4" hidden="1" outlineLevel="1" x14ac:dyDescent="0.3">
      <c r="A210" s="3"/>
      <c r="B210" s="10" t="s">
        <v>50</v>
      </c>
      <c r="C210" s="62"/>
      <c r="D210" s="62"/>
      <c r="E210" s="12">
        <v>0</v>
      </c>
      <c r="F210" s="12">
        <v>0</v>
      </c>
      <c r="G210" s="65"/>
      <c r="H210" s="65"/>
      <c r="I210" s="112"/>
      <c r="J210" s="65"/>
      <c r="K210" s="37"/>
      <c r="L210" s="37"/>
      <c r="M210" s="37"/>
      <c r="N210" s="37"/>
      <c r="O210" s="37"/>
      <c r="P210" s="37"/>
      <c r="Q210" s="37"/>
      <c r="R210" s="37"/>
      <c r="S210" s="37"/>
      <c r="T210" s="37"/>
      <c r="U210" s="3"/>
      <c r="W210" s="3"/>
      <c r="X210" s="3"/>
      <c r="Y210" s="3"/>
      <c r="Z210" s="3"/>
    </row>
    <row r="211" spans="1:26" ht="14.4" hidden="1" outlineLevel="1" x14ac:dyDescent="0.3">
      <c r="A211" s="3"/>
      <c r="B211" s="10" t="s">
        <v>50</v>
      </c>
      <c r="C211" s="62"/>
      <c r="D211" s="62"/>
      <c r="E211" s="12">
        <v>0</v>
      </c>
      <c r="F211" s="12">
        <v>0</v>
      </c>
      <c r="G211" s="65"/>
      <c r="H211" s="65"/>
      <c r="I211" s="128"/>
      <c r="J211" s="65"/>
      <c r="K211" s="37"/>
      <c r="L211" s="37"/>
      <c r="M211" s="37"/>
      <c r="N211" s="37"/>
      <c r="O211" s="37"/>
      <c r="P211" s="37"/>
      <c r="Q211" s="37"/>
      <c r="R211" s="37"/>
      <c r="S211" s="37"/>
      <c r="T211" s="37"/>
      <c r="U211" s="3"/>
      <c r="W211" s="3"/>
      <c r="X211" s="3"/>
      <c r="Y211" s="3"/>
      <c r="Z211" s="3"/>
    </row>
    <row r="212" spans="1:26" ht="14.4" hidden="1" outlineLevel="1" x14ac:dyDescent="0.3">
      <c r="A212" s="3"/>
      <c r="B212" s="10" t="s">
        <v>50</v>
      </c>
      <c r="C212" s="62"/>
      <c r="D212" s="62"/>
      <c r="E212" s="12">
        <v>0</v>
      </c>
      <c r="F212" s="12">
        <v>0</v>
      </c>
      <c r="G212" s="65"/>
      <c r="H212" s="65"/>
      <c r="I212" s="128"/>
      <c r="J212" s="65"/>
      <c r="K212" s="37"/>
      <c r="L212" s="37"/>
      <c r="M212" s="37"/>
      <c r="N212" s="37"/>
      <c r="O212" s="37"/>
      <c r="P212" s="37"/>
      <c r="Q212" s="37"/>
      <c r="R212" s="37"/>
      <c r="S212" s="37"/>
      <c r="T212" s="37"/>
      <c r="U212" s="3"/>
      <c r="W212" s="3"/>
      <c r="X212" s="3"/>
      <c r="Y212" s="3"/>
      <c r="Z212" s="3"/>
    </row>
    <row r="213" spans="1:26" ht="14.4" hidden="1" outlineLevel="1" x14ac:dyDescent="0.3">
      <c r="A213" s="3"/>
      <c r="B213" s="10" t="s">
        <v>50</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4.4" hidden="1" outlineLevel="1" x14ac:dyDescent="0.3">
      <c r="A214" s="3"/>
      <c r="B214" s="10" t="s">
        <v>50</v>
      </c>
      <c r="C214" s="62"/>
      <c r="D214" s="62"/>
      <c r="E214" s="12">
        <v>0</v>
      </c>
      <c r="F214" s="12">
        <v>0</v>
      </c>
      <c r="G214" s="65"/>
      <c r="H214" s="65"/>
      <c r="I214" s="89"/>
      <c r="J214" s="65"/>
      <c r="K214" s="37"/>
      <c r="L214" s="37"/>
      <c r="M214" s="37"/>
      <c r="N214" s="37"/>
      <c r="O214" s="37"/>
      <c r="P214" s="37"/>
      <c r="Q214" s="37"/>
      <c r="R214" s="37"/>
      <c r="S214" s="37"/>
      <c r="T214" s="37"/>
      <c r="U214" s="3"/>
      <c r="W214" s="3"/>
      <c r="X214" s="3"/>
      <c r="Y214" s="3"/>
      <c r="Z214" s="3"/>
    </row>
    <row r="215" spans="1:26" ht="14.4" hidden="1" outlineLevel="1" x14ac:dyDescent="0.3">
      <c r="A215" s="3"/>
      <c r="B215" s="10" t="s">
        <v>50</v>
      </c>
      <c r="C215" s="62"/>
      <c r="D215" s="62"/>
      <c r="E215" s="12">
        <v>0</v>
      </c>
      <c r="F215" s="12">
        <v>0</v>
      </c>
      <c r="G215" s="65"/>
      <c r="H215" s="65"/>
      <c r="I215" s="89"/>
      <c r="J215" s="65"/>
      <c r="K215" s="37"/>
      <c r="L215" s="37"/>
      <c r="M215" s="37"/>
      <c r="N215" s="37"/>
      <c r="O215" s="37"/>
      <c r="P215" s="37"/>
      <c r="Q215" s="37"/>
      <c r="R215" s="37"/>
      <c r="S215" s="37"/>
      <c r="T215" s="37"/>
      <c r="U215" s="3"/>
      <c r="W215" s="3"/>
      <c r="X215" s="3"/>
      <c r="Y215" s="3"/>
      <c r="Z215" s="3"/>
    </row>
    <row r="216" spans="1:26" ht="14.4" hidden="1" outlineLevel="1" x14ac:dyDescent="0.3">
      <c r="A216" s="3"/>
      <c r="B216" s="10" t="s">
        <v>50</v>
      </c>
      <c r="C216" s="62"/>
      <c r="D216" s="62"/>
      <c r="E216" s="12">
        <v>0</v>
      </c>
      <c r="F216" s="12">
        <v>0</v>
      </c>
      <c r="G216" s="65"/>
      <c r="H216" s="65"/>
      <c r="I216" s="89"/>
      <c r="J216" s="65"/>
      <c r="K216" s="37"/>
      <c r="L216" s="37"/>
      <c r="M216" s="37"/>
      <c r="N216" s="37"/>
      <c r="O216" s="37"/>
      <c r="P216" s="37"/>
      <c r="Q216" s="37"/>
      <c r="R216" s="37"/>
      <c r="S216" s="37"/>
      <c r="T216" s="37"/>
      <c r="U216" s="3"/>
      <c r="W216" s="3"/>
      <c r="X216" s="3"/>
      <c r="Y216" s="3"/>
      <c r="Z216" s="3"/>
    </row>
    <row r="217" spans="1:26" ht="14.4" hidden="1" outlineLevel="1" x14ac:dyDescent="0.3">
      <c r="A217" s="3"/>
      <c r="B217" s="10" t="s">
        <v>50</v>
      </c>
      <c r="C217" s="62"/>
      <c r="D217" s="62"/>
      <c r="E217" s="12">
        <v>0</v>
      </c>
      <c r="F217" s="12">
        <v>0</v>
      </c>
      <c r="G217" s="65"/>
      <c r="H217" s="65"/>
      <c r="I217" s="89"/>
      <c r="J217" s="65"/>
      <c r="K217" s="37"/>
      <c r="L217" s="37"/>
      <c r="M217" s="37"/>
      <c r="N217" s="37"/>
      <c r="O217" s="37"/>
      <c r="P217" s="37"/>
      <c r="Q217" s="37"/>
      <c r="R217" s="37"/>
      <c r="S217" s="37"/>
      <c r="T217" s="37"/>
      <c r="U217" s="3"/>
      <c r="W217" s="3"/>
      <c r="X217" s="3"/>
      <c r="Y217" s="3"/>
      <c r="Z217" s="3"/>
    </row>
    <row r="218" spans="1:26" ht="20.399999999999999" collapsed="1" x14ac:dyDescent="0.3">
      <c r="A218" s="3"/>
      <c r="B218" s="84" t="s">
        <v>394</v>
      </c>
      <c r="C218" s="85" t="s">
        <v>43</v>
      </c>
      <c r="D218" s="85" t="s">
        <v>43</v>
      </c>
      <c r="E218" s="86">
        <f>SUM(E219:E227)</f>
        <v>0</v>
      </c>
      <c r="F218" s="86">
        <f>SUMIF(D219:D227,"OK",F219:F227)</f>
        <v>100</v>
      </c>
      <c r="G218" s="87"/>
      <c r="H218" s="87"/>
      <c r="I218" s="88"/>
      <c r="J218" s="87"/>
      <c r="K218" s="37"/>
      <c r="L218" s="37"/>
      <c r="M218" s="37"/>
      <c r="N218" s="37"/>
      <c r="O218" s="37"/>
      <c r="P218" s="37"/>
      <c r="Q218" s="37"/>
      <c r="R218" s="37"/>
      <c r="S218" s="37"/>
      <c r="T218" s="37"/>
      <c r="U218" s="3"/>
      <c r="W218" s="3"/>
      <c r="X218" s="3"/>
      <c r="Y218" s="3"/>
      <c r="Z218" s="3"/>
    </row>
    <row r="219" spans="1:26" ht="14.4" hidden="1" outlineLevel="1" x14ac:dyDescent="0.3">
      <c r="A219" s="3"/>
      <c r="B219" s="10" t="s">
        <v>1260</v>
      </c>
      <c r="C219" s="62">
        <v>11</v>
      </c>
      <c r="D219" s="62" t="s">
        <v>94</v>
      </c>
      <c r="E219" s="12">
        <v>0</v>
      </c>
      <c r="F219" s="12">
        <v>100</v>
      </c>
      <c r="G219" s="65"/>
      <c r="H219" s="65" t="s">
        <v>37</v>
      </c>
      <c r="I219" s="112" t="s">
        <v>1261</v>
      </c>
      <c r="J219" s="65"/>
      <c r="K219" s="37"/>
      <c r="L219" s="37"/>
      <c r="M219" s="37"/>
      <c r="N219" s="37"/>
      <c r="O219" s="37"/>
      <c r="P219" s="37"/>
      <c r="Q219" s="37"/>
      <c r="R219" s="37"/>
      <c r="S219" s="37"/>
      <c r="T219" s="37"/>
      <c r="U219" s="3"/>
      <c r="W219" s="3"/>
      <c r="X219" s="3"/>
      <c r="Y219" s="3"/>
      <c r="Z219" s="3"/>
    </row>
    <row r="220" spans="1:26" ht="14.4" hidden="1" outlineLevel="1" x14ac:dyDescent="0.3">
      <c r="A220" s="3"/>
      <c r="B220" s="10" t="s">
        <v>354</v>
      </c>
      <c r="C220" s="62"/>
      <c r="D220" s="62"/>
      <c r="E220" s="12">
        <v>0</v>
      </c>
      <c r="F220" s="12">
        <v>0</v>
      </c>
      <c r="G220" s="65"/>
      <c r="H220" s="65"/>
      <c r="I220" s="112"/>
      <c r="J220" s="65"/>
      <c r="K220" s="37"/>
      <c r="L220" s="37"/>
      <c r="M220" s="37"/>
      <c r="N220" s="37"/>
      <c r="O220" s="37"/>
      <c r="P220" s="37"/>
      <c r="Q220" s="37"/>
      <c r="R220" s="37"/>
      <c r="S220" s="37"/>
      <c r="T220" s="37"/>
      <c r="U220" s="3"/>
      <c r="W220" s="3"/>
      <c r="X220" s="3"/>
      <c r="Y220" s="3"/>
      <c r="Z220" s="3"/>
    </row>
    <row r="221" spans="1:26" ht="14.4" hidden="1" outlineLevel="1" x14ac:dyDescent="0.3">
      <c r="A221" s="3"/>
      <c r="B221" s="10" t="s">
        <v>355</v>
      </c>
      <c r="C221" s="62"/>
      <c r="D221" s="62"/>
      <c r="E221" s="12">
        <v>0</v>
      </c>
      <c r="F221" s="12">
        <v>0</v>
      </c>
      <c r="G221" s="65"/>
      <c r="H221" s="65"/>
      <c r="I221" s="112"/>
      <c r="J221" s="65"/>
      <c r="K221" s="37"/>
      <c r="L221" s="37"/>
      <c r="M221" s="37"/>
      <c r="N221" s="37"/>
      <c r="O221" s="37"/>
      <c r="P221" s="37"/>
      <c r="Q221" s="37"/>
      <c r="R221" s="37"/>
      <c r="S221" s="37"/>
      <c r="T221" s="37"/>
      <c r="U221" s="3"/>
      <c r="W221" s="3"/>
      <c r="X221" s="3"/>
      <c r="Y221" s="3"/>
      <c r="Z221" s="3"/>
    </row>
    <row r="222" spans="1:26" ht="14.4" hidden="1" outlineLevel="1" x14ac:dyDescent="0.3">
      <c r="A222" s="3"/>
      <c r="B222" s="10" t="s">
        <v>369</v>
      </c>
      <c r="C222" s="62"/>
      <c r="D222" s="62"/>
      <c r="E222" s="12">
        <v>0</v>
      </c>
      <c r="F222" s="12">
        <v>0</v>
      </c>
      <c r="G222" s="65"/>
      <c r="H222" s="65"/>
      <c r="I222" s="112"/>
      <c r="J222" s="65"/>
      <c r="K222" s="37"/>
      <c r="L222" s="37"/>
      <c r="M222" s="37"/>
      <c r="N222" s="37"/>
      <c r="O222" s="37"/>
      <c r="P222" s="37"/>
      <c r="Q222" s="37"/>
      <c r="R222" s="37"/>
      <c r="S222" s="37"/>
      <c r="T222" s="37"/>
      <c r="U222" s="3"/>
      <c r="W222" s="3"/>
      <c r="X222" s="3"/>
      <c r="Y222" s="3"/>
      <c r="Z222" s="3"/>
    </row>
    <row r="223" spans="1:26" ht="14.4" hidden="1" outlineLevel="1" x14ac:dyDescent="0.3">
      <c r="A223" s="3"/>
      <c r="B223" s="10" t="s">
        <v>327</v>
      </c>
      <c r="C223" s="62"/>
      <c r="D223" s="62"/>
      <c r="E223" s="12">
        <v>0</v>
      </c>
      <c r="F223" s="12">
        <v>0</v>
      </c>
      <c r="G223" s="65"/>
      <c r="H223" s="65"/>
      <c r="I223" s="89"/>
      <c r="J223" s="65"/>
      <c r="K223" s="37"/>
      <c r="L223" s="37"/>
      <c r="M223" s="37"/>
      <c r="N223" s="37"/>
      <c r="O223" s="37"/>
      <c r="P223" s="37"/>
      <c r="Q223" s="37"/>
      <c r="R223" s="37"/>
      <c r="S223" s="37"/>
      <c r="T223" s="37"/>
      <c r="U223" s="3"/>
      <c r="W223" s="3"/>
      <c r="X223" s="3"/>
      <c r="Y223" s="3"/>
      <c r="Z223" s="3"/>
    </row>
    <row r="224" spans="1:26" ht="14.4" hidden="1" outlineLevel="1" x14ac:dyDescent="0.3">
      <c r="A224" s="3"/>
      <c r="B224" s="10" t="s">
        <v>328</v>
      </c>
      <c r="C224" s="62"/>
      <c r="D224" s="62"/>
      <c r="E224" s="12">
        <v>0</v>
      </c>
      <c r="F224" s="12">
        <v>0</v>
      </c>
      <c r="G224" s="65"/>
      <c r="H224" s="65"/>
      <c r="I224" s="89"/>
      <c r="J224" s="65"/>
      <c r="K224" s="37"/>
      <c r="L224" s="37"/>
      <c r="M224" s="37"/>
      <c r="N224" s="37"/>
      <c r="O224" s="37"/>
      <c r="P224" s="37"/>
      <c r="Q224" s="37"/>
      <c r="R224" s="37"/>
      <c r="S224" s="37"/>
      <c r="T224" s="37"/>
      <c r="U224" s="3"/>
      <c r="W224" s="3"/>
      <c r="X224" s="3"/>
      <c r="Y224" s="3"/>
      <c r="Z224" s="3"/>
    </row>
    <row r="225" spans="1:26" ht="14.4" hidden="1" outlineLevel="1" x14ac:dyDescent="0.3">
      <c r="A225" s="3"/>
      <c r="B225" s="10" t="s">
        <v>370</v>
      </c>
      <c r="C225" s="62"/>
      <c r="D225" s="62"/>
      <c r="E225" s="12">
        <v>0</v>
      </c>
      <c r="F225" s="12">
        <v>0</v>
      </c>
      <c r="G225" s="65"/>
      <c r="H225" s="65"/>
      <c r="I225" s="89"/>
      <c r="J225" s="65"/>
      <c r="K225" s="37"/>
      <c r="L225" s="37"/>
      <c r="M225" s="37"/>
      <c r="N225" s="37"/>
      <c r="O225" s="37"/>
      <c r="P225" s="37"/>
      <c r="Q225" s="37"/>
      <c r="R225" s="37"/>
      <c r="S225" s="37"/>
      <c r="T225" s="37"/>
      <c r="U225" s="3"/>
      <c r="W225" s="3"/>
      <c r="X225" s="3"/>
      <c r="Y225" s="3"/>
      <c r="Z225" s="3"/>
    </row>
    <row r="226" spans="1:26" ht="14.4" hidden="1" outlineLevel="1" x14ac:dyDescent="0.3">
      <c r="A226" s="3"/>
      <c r="B226" s="10" t="s">
        <v>371</v>
      </c>
      <c r="C226" s="62"/>
      <c r="D226" s="62"/>
      <c r="E226" s="12">
        <v>0</v>
      </c>
      <c r="F226" s="12">
        <v>0</v>
      </c>
      <c r="G226" s="65"/>
      <c r="H226" s="65"/>
      <c r="I226" s="89"/>
      <c r="J226" s="65"/>
      <c r="K226" s="37"/>
      <c r="L226" s="37"/>
      <c r="M226" s="37"/>
      <c r="N226" s="37"/>
      <c r="O226" s="37"/>
      <c r="P226" s="37"/>
      <c r="Q226" s="37"/>
      <c r="R226" s="37"/>
      <c r="S226" s="37"/>
      <c r="T226" s="37"/>
      <c r="U226" s="3"/>
      <c r="W226" s="3"/>
      <c r="X226" s="3"/>
      <c r="Y226" s="3"/>
      <c r="Z226" s="3"/>
    </row>
    <row r="227" spans="1:26" ht="14.4" hidden="1" outlineLevel="1" x14ac:dyDescent="0.3">
      <c r="A227" s="3"/>
      <c r="B227" s="10" t="s">
        <v>372</v>
      </c>
      <c r="C227" s="62"/>
      <c r="D227" s="62"/>
      <c r="E227" s="12">
        <v>0</v>
      </c>
      <c r="F227" s="12">
        <v>0</v>
      </c>
      <c r="G227" s="65"/>
      <c r="H227" s="65"/>
      <c r="I227" s="89"/>
      <c r="J227" s="65"/>
      <c r="K227" s="37"/>
      <c r="L227" s="37"/>
      <c r="M227" s="37"/>
      <c r="N227" s="37"/>
      <c r="O227" s="37"/>
      <c r="P227" s="37"/>
      <c r="Q227" s="37"/>
      <c r="R227" s="37"/>
      <c r="S227" s="37"/>
      <c r="T227" s="37"/>
      <c r="U227" s="3"/>
      <c r="W227" s="3"/>
      <c r="X227" s="3"/>
      <c r="Y227" s="3"/>
      <c r="Z227" s="3"/>
    </row>
    <row r="228" spans="1:26" ht="20.399999999999999" collapsed="1" x14ac:dyDescent="0.3">
      <c r="A228" s="3"/>
      <c r="B228" s="84" t="s">
        <v>401</v>
      </c>
      <c r="C228" s="85" t="s">
        <v>43</v>
      </c>
      <c r="D228" s="85" t="s">
        <v>43</v>
      </c>
      <c r="E228" s="86">
        <f>SUM(E229:E237)</f>
        <v>0</v>
      </c>
      <c r="F228" s="86">
        <f>SUMIF(D229:D237,"OK",F229:F237)</f>
        <v>0</v>
      </c>
      <c r="G228" s="87"/>
      <c r="H228" s="87"/>
      <c r="I228" s="88"/>
      <c r="J228" s="87"/>
      <c r="K228" s="37"/>
      <c r="L228" s="37"/>
      <c r="M228" s="37"/>
      <c r="N228" s="37"/>
      <c r="O228" s="37"/>
      <c r="P228" s="37"/>
      <c r="Q228" s="37"/>
      <c r="R228" s="37"/>
      <c r="S228" s="37"/>
      <c r="T228" s="37"/>
      <c r="U228" s="3"/>
      <c r="W228" s="3"/>
      <c r="X228" s="3"/>
      <c r="Y228" s="3"/>
      <c r="Z228" s="3"/>
    </row>
    <row r="229" spans="1:26" ht="14.4" hidden="1" outlineLevel="1" x14ac:dyDescent="0.3">
      <c r="A229" s="3"/>
      <c r="B229" s="10" t="s">
        <v>1262</v>
      </c>
      <c r="C229" s="62"/>
      <c r="D229" s="62"/>
      <c r="E229" s="12">
        <v>0</v>
      </c>
      <c r="F229" s="12">
        <v>0</v>
      </c>
      <c r="G229" s="65"/>
      <c r="H229" s="65"/>
      <c r="I229" s="112"/>
      <c r="J229" s="65"/>
      <c r="K229" s="37"/>
      <c r="L229" s="37"/>
      <c r="M229" s="37"/>
      <c r="N229" s="37"/>
      <c r="O229" s="37"/>
      <c r="P229" s="37"/>
      <c r="Q229" s="37"/>
      <c r="R229" s="37"/>
      <c r="S229" s="37"/>
      <c r="T229" s="37"/>
      <c r="U229" s="3"/>
      <c r="W229" s="3"/>
      <c r="X229" s="3"/>
      <c r="Y229" s="3"/>
      <c r="Z229" s="3"/>
    </row>
    <row r="230" spans="1:26" ht="14.4" hidden="1" outlineLevel="1" x14ac:dyDescent="0.3">
      <c r="A230" s="3"/>
      <c r="B230" s="10" t="s">
        <v>354</v>
      </c>
      <c r="C230" s="62"/>
      <c r="D230" s="62"/>
      <c r="E230" s="12">
        <v>0</v>
      </c>
      <c r="F230" s="12">
        <v>0</v>
      </c>
      <c r="G230" s="65"/>
      <c r="H230" s="65"/>
      <c r="I230" s="112"/>
      <c r="J230" s="65"/>
      <c r="K230" s="37"/>
      <c r="L230" s="37"/>
      <c r="M230" s="37"/>
      <c r="N230" s="37"/>
      <c r="O230" s="37"/>
      <c r="P230" s="37"/>
      <c r="Q230" s="37"/>
      <c r="R230" s="37"/>
      <c r="S230" s="37"/>
      <c r="T230" s="37"/>
      <c r="U230" s="3"/>
      <c r="W230" s="3"/>
      <c r="X230" s="3"/>
      <c r="Y230" s="3"/>
      <c r="Z230" s="3"/>
    </row>
    <row r="231" spans="1:26" ht="14.4" hidden="1" outlineLevel="1" x14ac:dyDescent="0.3">
      <c r="A231" s="3"/>
      <c r="B231" s="10" t="s">
        <v>355</v>
      </c>
      <c r="C231" s="62"/>
      <c r="D231" s="62"/>
      <c r="E231" s="12">
        <v>0</v>
      </c>
      <c r="F231" s="12">
        <v>0</v>
      </c>
      <c r="G231" s="65"/>
      <c r="H231" s="65"/>
      <c r="I231" s="112"/>
      <c r="J231" s="65"/>
      <c r="K231" s="37"/>
      <c r="L231" s="37"/>
      <c r="M231" s="37"/>
      <c r="N231" s="37"/>
      <c r="O231" s="37"/>
      <c r="P231" s="37"/>
      <c r="Q231" s="37"/>
      <c r="R231" s="37"/>
      <c r="S231" s="37"/>
      <c r="T231" s="37"/>
      <c r="U231" s="3"/>
      <c r="W231" s="3"/>
      <c r="X231" s="3"/>
      <c r="Y231" s="3"/>
      <c r="Z231" s="3"/>
    </row>
    <row r="232" spans="1:26" ht="14.4" hidden="1" outlineLevel="1" x14ac:dyDescent="0.3">
      <c r="A232" s="3"/>
      <c r="B232" s="10" t="s">
        <v>369</v>
      </c>
      <c r="C232" s="62"/>
      <c r="D232" s="62"/>
      <c r="E232" s="12">
        <v>0</v>
      </c>
      <c r="F232" s="12">
        <v>0</v>
      </c>
      <c r="G232" s="65"/>
      <c r="H232" s="65"/>
      <c r="I232" s="112"/>
      <c r="J232" s="65"/>
      <c r="K232" s="37"/>
      <c r="L232" s="37"/>
      <c r="M232" s="37"/>
      <c r="N232" s="37"/>
      <c r="O232" s="37"/>
      <c r="P232" s="37"/>
      <c r="Q232" s="37"/>
      <c r="R232" s="37"/>
      <c r="S232" s="37"/>
      <c r="T232" s="37"/>
      <c r="U232" s="3"/>
      <c r="W232" s="3"/>
      <c r="X232" s="3"/>
      <c r="Y232" s="3"/>
      <c r="Z232" s="3"/>
    </row>
    <row r="233" spans="1:26" ht="14.4" hidden="1" outlineLevel="1" x14ac:dyDescent="0.3">
      <c r="A233" s="3"/>
      <c r="B233" s="10" t="s">
        <v>327</v>
      </c>
      <c r="C233" s="62"/>
      <c r="D233" s="62"/>
      <c r="E233" s="12">
        <v>0</v>
      </c>
      <c r="F233" s="12">
        <v>0</v>
      </c>
      <c r="G233" s="65"/>
      <c r="H233" s="65"/>
      <c r="I233" s="112"/>
      <c r="J233" s="65"/>
      <c r="K233" s="37"/>
      <c r="L233" s="37"/>
      <c r="M233" s="37"/>
      <c r="N233" s="37"/>
      <c r="O233" s="37"/>
      <c r="P233" s="37"/>
      <c r="Q233" s="37"/>
      <c r="R233" s="37"/>
      <c r="S233" s="37"/>
      <c r="T233" s="37"/>
      <c r="U233" s="3"/>
      <c r="W233" s="3"/>
      <c r="X233" s="3"/>
      <c r="Y233" s="3"/>
      <c r="Z233" s="3"/>
    </row>
    <row r="234" spans="1:26" ht="14.4" hidden="1" outlineLevel="1" x14ac:dyDescent="0.3">
      <c r="A234" s="3"/>
      <c r="B234" s="10" t="s">
        <v>328</v>
      </c>
      <c r="C234" s="62"/>
      <c r="D234" s="62"/>
      <c r="E234" s="12">
        <v>0</v>
      </c>
      <c r="F234" s="12">
        <v>0</v>
      </c>
      <c r="G234" s="65"/>
      <c r="H234" s="65"/>
      <c r="I234" s="112"/>
      <c r="J234" s="65"/>
      <c r="K234" s="37"/>
      <c r="L234" s="37"/>
      <c r="M234" s="37"/>
      <c r="N234" s="37"/>
      <c r="O234" s="37"/>
      <c r="P234" s="37"/>
      <c r="Q234" s="37"/>
      <c r="R234" s="37"/>
      <c r="S234" s="37"/>
      <c r="T234" s="37"/>
      <c r="U234" s="3"/>
      <c r="W234" s="3"/>
      <c r="X234" s="3"/>
      <c r="Y234" s="3"/>
      <c r="Z234" s="3"/>
    </row>
    <row r="235" spans="1:26" ht="14.4" hidden="1" outlineLevel="1" x14ac:dyDescent="0.3">
      <c r="A235" s="3"/>
      <c r="B235" s="10" t="s">
        <v>370</v>
      </c>
      <c r="C235" s="62"/>
      <c r="D235" s="62"/>
      <c r="E235" s="12">
        <v>0</v>
      </c>
      <c r="F235" s="12">
        <v>0</v>
      </c>
      <c r="G235" s="65"/>
      <c r="H235" s="65"/>
      <c r="I235" s="112"/>
      <c r="J235" s="65"/>
      <c r="K235" s="37"/>
      <c r="L235" s="37"/>
      <c r="M235" s="37"/>
      <c r="N235" s="37"/>
      <c r="O235" s="37"/>
      <c r="P235" s="37"/>
      <c r="Q235" s="37"/>
      <c r="R235" s="37"/>
      <c r="S235" s="37"/>
      <c r="T235" s="37"/>
      <c r="U235" s="3"/>
      <c r="W235" s="3"/>
      <c r="X235" s="3"/>
      <c r="Y235" s="3"/>
      <c r="Z235" s="3"/>
    </row>
    <row r="236" spans="1:26" ht="14.4" hidden="1" outlineLevel="1" x14ac:dyDescent="0.3">
      <c r="A236" s="3"/>
      <c r="B236" s="10" t="s">
        <v>371</v>
      </c>
      <c r="C236" s="62"/>
      <c r="D236" s="62"/>
      <c r="E236" s="12">
        <v>0</v>
      </c>
      <c r="F236" s="12">
        <v>0</v>
      </c>
      <c r="G236" s="89"/>
      <c r="H236" s="65"/>
      <c r="I236" s="112"/>
      <c r="J236" s="65"/>
      <c r="K236" s="37"/>
      <c r="L236" s="37"/>
      <c r="M236" s="37"/>
      <c r="N236" s="37"/>
      <c r="O236" s="37"/>
      <c r="P236" s="37"/>
      <c r="Q236" s="37"/>
      <c r="R236" s="37"/>
      <c r="S236" s="37"/>
      <c r="T236" s="37"/>
      <c r="U236" s="3"/>
      <c r="W236" s="3"/>
      <c r="X236" s="3"/>
      <c r="Y236" s="3"/>
      <c r="Z236" s="3"/>
    </row>
    <row r="237" spans="1:26" ht="14.4" hidden="1" outlineLevel="1" x14ac:dyDescent="0.3">
      <c r="A237" s="3"/>
      <c r="B237" s="10" t="s">
        <v>372</v>
      </c>
      <c r="C237" s="62"/>
      <c r="D237" s="62"/>
      <c r="E237" s="12">
        <v>0</v>
      </c>
      <c r="F237" s="12">
        <v>0</v>
      </c>
      <c r="G237" s="89"/>
      <c r="H237" s="65"/>
      <c r="I237" s="112"/>
      <c r="J237" s="65"/>
      <c r="K237" s="37"/>
      <c r="L237" s="37"/>
      <c r="M237" s="37"/>
      <c r="N237" s="37"/>
      <c r="O237" s="37"/>
      <c r="P237" s="37"/>
      <c r="Q237" s="37"/>
      <c r="R237" s="37"/>
      <c r="S237" s="37"/>
      <c r="T237" s="37"/>
      <c r="U237" s="3"/>
      <c r="W237" s="3"/>
      <c r="X237" s="3"/>
      <c r="Y237" s="3"/>
      <c r="Z237" s="3"/>
    </row>
    <row r="238" spans="1:26" ht="20.399999999999999" collapsed="1" x14ac:dyDescent="0.3">
      <c r="A238" s="3"/>
      <c r="B238" s="84" t="s">
        <v>402</v>
      </c>
      <c r="C238" s="85" t="s">
        <v>43</v>
      </c>
      <c r="D238" s="85" t="s">
        <v>43</v>
      </c>
      <c r="E238" s="86">
        <f>SUM(E239:E247)</f>
        <v>0</v>
      </c>
      <c r="F238" s="86">
        <f>SUMIF(D239:D247,"OK",F239:F247)</f>
        <v>0</v>
      </c>
      <c r="G238" s="87"/>
      <c r="H238" s="87"/>
      <c r="I238" s="88"/>
      <c r="J238" s="87"/>
      <c r="K238" s="37"/>
      <c r="L238" s="37"/>
      <c r="M238" s="37"/>
      <c r="N238" s="37"/>
      <c r="O238" s="37"/>
      <c r="P238" s="37"/>
      <c r="Q238" s="37"/>
      <c r="R238" s="37"/>
      <c r="S238" s="37"/>
      <c r="T238" s="37"/>
      <c r="U238" s="3"/>
      <c r="W238" s="3"/>
      <c r="X238" s="3"/>
      <c r="Y238" s="3"/>
      <c r="Z238" s="3"/>
    </row>
    <row r="239" spans="1:26" ht="14.4" hidden="1" outlineLevel="1" x14ac:dyDescent="0.3">
      <c r="A239" s="3"/>
      <c r="B239" s="10" t="s">
        <v>353</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4.4" hidden="1" outlineLevel="1" x14ac:dyDescent="0.3">
      <c r="A240" s="3"/>
      <c r="B240" s="10" t="s">
        <v>354</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4.4" hidden="1" outlineLevel="1" x14ac:dyDescent="0.3">
      <c r="A241" s="3"/>
      <c r="B241" s="10" t="s">
        <v>355</v>
      </c>
      <c r="C241" s="62"/>
      <c r="D241" s="62"/>
      <c r="E241" s="12">
        <v>0</v>
      </c>
      <c r="F241" s="12">
        <v>0</v>
      </c>
      <c r="G241" s="65"/>
      <c r="H241" s="65"/>
      <c r="I241" s="89"/>
      <c r="J241" s="65"/>
      <c r="K241" s="37"/>
      <c r="L241" s="37"/>
      <c r="M241" s="37"/>
      <c r="N241" s="37"/>
      <c r="O241" s="37"/>
      <c r="P241" s="37"/>
      <c r="Q241" s="37"/>
      <c r="R241" s="37"/>
      <c r="S241" s="37"/>
      <c r="T241" s="37"/>
      <c r="U241" s="3"/>
      <c r="W241" s="3"/>
      <c r="X241" s="3"/>
      <c r="Y241" s="3"/>
      <c r="Z241" s="3"/>
    </row>
    <row r="242" spans="1:26" ht="14.4" hidden="1" outlineLevel="1" x14ac:dyDescent="0.3">
      <c r="A242" s="3"/>
      <c r="B242" s="10" t="s">
        <v>369</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4.4" hidden="1" outlineLevel="1" x14ac:dyDescent="0.3">
      <c r="A243" s="3"/>
      <c r="B243" s="10" t="s">
        <v>327</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14.4" hidden="1" outlineLevel="1" x14ac:dyDescent="0.3">
      <c r="A244" s="3"/>
      <c r="B244" s="10" t="s">
        <v>328</v>
      </c>
      <c r="C244" s="62"/>
      <c r="D244" s="62"/>
      <c r="E244" s="12">
        <v>0</v>
      </c>
      <c r="F244" s="12">
        <v>0</v>
      </c>
      <c r="G244" s="65"/>
      <c r="H244" s="65"/>
      <c r="I244" s="89"/>
      <c r="J244" s="65"/>
      <c r="K244" s="37"/>
      <c r="L244" s="37"/>
      <c r="M244" s="37"/>
      <c r="N244" s="37"/>
      <c r="O244" s="37"/>
      <c r="P244" s="37"/>
      <c r="Q244" s="37"/>
      <c r="R244" s="37"/>
      <c r="S244" s="37"/>
      <c r="T244" s="37"/>
      <c r="U244" s="3"/>
      <c r="W244" s="3"/>
      <c r="X244" s="3"/>
      <c r="Y244" s="3"/>
      <c r="Z244" s="3"/>
    </row>
    <row r="245" spans="1:26" ht="14.4" hidden="1" outlineLevel="1" x14ac:dyDescent="0.3">
      <c r="A245" s="3"/>
      <c r="B245" s="10" t="s">
        <v>370</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t="14.4" hidden="1" outlineLevel="1" x14ac:dyDescent="0.3">
      <c r="A246" s="3"/>
      <c r="B246" s="10" t="s">
        <v>371</v>
      </c>
      <c r="C246" s="62"/>
      <c r="D246" s="62"/>
      <c r="E246" s="12">
        <v>0</v>
      </c>
      <c r="F246" s="12">
        <v>0</v>
      </c>
      <c r="G246" s="65"/>
      <c r="H246" s="65"/>
      <c r="I246" s="89"/>
      <c r="J246" s="65"/>
      <c r="K246" s="37"/>
      <c r="L246" s="37"/>
      <c r="M246" s="37"/>
      <c r="N246" s="37"/>
      <c r="O246" s="37"/>
      <c r="P246" s="37"/>
      <c r="Q246" s="37"/>
      <c r="R246" s="37"/>
      <c r="S246" s="37"/>
      <c r="T246" s="37"/>
      <c r="U246" s="3"/>
      <c r="W246" s="3"/>
      <c r="X246" s="3"/>
      <c r="Y246" s="3"/>
      <c r="Z246" s="3"/>
    </row>
    <row r="247" spans="1:26" ht="14.4" hidden="1" outlineLevel="1" x14ac:dyDescent="0.3">
      <c r="A247" s="3"/>
      <c r="B247" s="10" t="s">
        <v>372</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20.399999999999999" collapsed="1" x14ac:dyDescent="0.3">
      <c r="A248" s="3"/>
      <c r="B248" s="84" t="s">
        <v>403</v>
      </c>
      <c r="C248" s="85" t="s">
        <v>43</v>
      </c>
      <c r="D248" s="85" t="s">
        <v>43</v>
      </c>
      <c r="E248" s="86">
        <f>SUM(E249:E257)</f>
        <v>0</v>
      </c>
      <c r="F248" s="86">
        <f>SUMIF(D249:D257,"OK",F249:F257)</f>
        <v>80</v>
      </c>
      <c r="G248" s="87"/>
      <c r="H248" s="87"/>
      <c r="I248" s="88"/>
      <c r="J248" s="87"/>
      <c r="K248" s="37"/>
      <c r="L248" s="37"/>
      <c r="M248" s="37"/>
      <c r="N248" s="37"/>
      <c r="O248" s="37"/>
      <c r="P248" s="37"/>
      <c r="Q248" s="37"/>
      <c r="R248" s="37"/>
      <c r="S248" s="37"/>
      <c r="T248" s="37"/>
      <c r="U248" s="3"/>
      <c r="W248" s="3"/>
      <c r="X248" s="3"/>
      <c r="Y248" s="3"/>
      <c r="Z248" s="3"/>
    </row>
    <row r="249" spans="1:26" ht="14.4" hidden="1" outlineLevel="1" x14ac:dyDescent="0.3">
      <c r="A249" s="3"/>
      <c r="B249" s="10" t="s">
        <v>1148</v>
      </c>
      <c r="C249" s="62">
        <v>30</v>
      </c>
      <c r="D249" s="62" t="s">
        <v>94</v>
      </c>
      <c r="E249" s="12">
        <v>0</v>
      </c>
      <c r="F249" s="12">
        <v>80</v>
      </c>
      <c r="G249" s="89"/>
      <c r="H249" s="65" t="s">
        <v>37</v>
      </c>
      <c r="I249" s="112" t="s">
        <v>1186</v>
      </c>
      <c r="J249" s="65"/>
      <c r="K249" s="37"/>
      <c r="L249" s="37"/>
      <c r="M249" s="37"/>
      <c r="N249" s="37"/>
      <c r="O249" s="37"/>
      <c r="P249" s="37"/>
      <c r="Q249" s="37"/>
      <c r="R249" s="37"/>
      <c r="S249" s="37"/>
      <c r="T249" s="37"/>
      <c r="U249" s="3"/>
      <c r="W249" s="3"/>
      <c r="X249" s="3"/>
      <c r="Y249" s="3"/>
      <c r="Z249" s="3"/>
    </row>
    <row r="250" spans="1:26" ht="14.4" hidden="1" outlineLevel="1" x14ac:dyDescent="0.3">
      <c r="A250" s="3"/>
      <c r="B250" s="10" t="s">
        <v>354</v>
      </c>
      <c r="C250" s="62"/>
      <c r="D250" s="62"/>
      <c r="E250" s="12">
        <v>0</v>
      </c>
      <c r="F250" s="12">
        <v>0</v>
      </c>
      <c r="G250" s="65"/>
      <c r="H250" s="65"/>
      <c r="I250" s="89"/>
      <c r="J250" s="65"/>
      <c r="K250" s="37"/>
      <c r="L250" s="37"/>
      <c r="M250" s="37"/>
      <c r="N250" s="37"/>
      <c r="O250" s="37"/>
      <c r="P250" s="37"/>
      <c r="Q250" s="37"/>
      <c r="R250" s="37"/>
      <c r="S250" s="37"/>
      <c r="T250" s="37"/>
      <c r="U250" s="3"/>
      <c r="W250" s="3"/>
      <c r="X250" s="3"/>
      <c r="Y250" s="3"/>
      <c r="Z250" s="3"/>
    </row>
    <row r="251" spans="1:26" ht="14.4" hidden="1" outlineLevel="1" x14ac:dyDescent="0.3">
      <c r="A251" s="3"/>
      <c r="B251" s="10" t="s">
        <v>355</v>
      </c>
      <c r="C251" s="62"/>
      <c r="D251" s="62"/>
      <c r="E251" s="12">
        <v>0</v>
      </c>
      <c r="F251" s="12">
        <v>0</v>
      </c>
      <c r="G251" s="65"/>
      <c r="H251" s="65"/>
      <c r="I251" s="89"/>
      <c r="J251" s="65"/>
      <c r="K251" s="37"/>
      <c r="L251" s="37"/>
      <c r="M251" s="37"/>
      <c r="N251" s="37"/>
      <c r="O251" s="37"/>
      <c r="P251" s="37"/>
      <c r="Q251" s="37"/>
      <c r="R251" s="37"/>
      <c r="S251" s="37"/>
      <c r="T251" s="37"/>
      <c r="U251" s="3"/>
      <c r="W251" s="3"/>
      <c r="X251" s="3"/>
      <c r="Y251" s="3"/>
      <c r="Z251" s="3"/>
    </row>
    <row r="252" spans="1:26" ht="14.4" hidden="1" outlineLevel="1" x14ac:dyDescent="0.3">
      <c r="A252" s="3"/>
      <c r="B252" s="10" t="s">
        <v>369</v>
      </c>
      <c r="C252" s="62"/>
      <c r="D252" s="62"/>
      <c r="E252" s="12">
        <v>0</v>
      </c>
      <c r="F252" s="12">
        <v>0</v>
      </c>
      <c r="G252" s="65"/>
      <c r="H252" s="65"/>
      <c r="I252" s="89"/>
      <c r="J252" s="65"/>
      <c r="K252" s="37"/>
      <c r="L252" s="37"/>
      <c r="M252" s="37"/>
      <c r="N252" s="37"/>
      <c r="O252" s="37"/>
      <c r="P252" s="37"/>
      <c r="Q252" s="37"/>
      <c r="R252" s="37"/>
      <c r="S252" s="37"/>
      <c r="T252" s="37"/>
      <c r="U252" s="3"/>
      <c r="W252" s="3"/>
      <c r="X252" s="3"/>
      <c r="Y252" s="3"/>
      <c r="Z252" s="3"/>
    </row>
    <row r="253" spans="1:26" ht="14.4" hidden="1" outlineLevel="1" x14ac:dyDescent="0.3">
      <c r="A253" s="3"/>
      <c r="B253" s="10" t="s">
        <v>327</v>
      </c>
      <c r="C253" s="62"/>
      <c r="D253" s="62"/>
      <c r="E253" s="12">
        <v>0</v>
      </c>
      <c r="F253" s="12">
        <v>0</v>
      </c>
      <c r="G253" s="65"/>
      <c r="H253" s="65"/>
      <c r="I253" s="89"/>
      <c r="J253" s="65"/>
      <c r="K253" s="37"/>
      <c r="L253" s="37"/>
      <c r="M253" s="37"/>
      <c r="N253" s="37"/>
      <c r="O253" s="37"/>
      <c r="P253" s="37"/>
      <c r="Q253" s="37"/>
      <c r="R253" s="37"/>
      <c r="S253" s="37"/>
      <c r="T253" s="37"/>
      <c r="U253" s="3"/>
      <c r="W253" s="3"/>
      <c r="X253" s="3"/>
      <c r="Y253" s="3"/>
      <c r="Z253" s="3"/>
    </row>
    <row r="254" spans="1:26" ht="14.4" hidden="1" outlineLevel="1" x14ac:dyDescent="0.3">
      <c r="A254" s="3"/>
      <c r="B254" s="10" t="s">
        <v>328</v>
      </c>
      <c r="C254" s="62"/>
      <c r="D254" s="62"/>
      <c r="E254" s="12">
        <v>0</v>
      </c>
      <c r="F254" s="12">
        <v>0</v>
      </c>
      <c r="G254" s="65"/>
      <c r="H254" s="65"/>
      <c r="I254" s="89"/>
      <c r="J254" s="65"/>
      <c r="K254" s="37"/>
      <c r="L254" s="37"/>
      <c r="M254" s="37"/>
      <c r="N254" s="37"/>
      <c r="O254" s="37"/>
      <c r="P254" s="37"/>
      <c r="Q254" s="37"/>
      <c r="R254" s="37"/>
      <c r="S254" s="37"/>
      <c r="T254" s="37"/>
      <c r="U254" s="3"/>
      <c r="W254" s="3"/>
      <c r="X254" s="3"/>
      <c r="Y254" s="3"/>
      <c r="Z254" s="3"/>
    </row>
    <row r="255" spans="1:26" ht="14.4" hidden="1" outlineLevel="1" x14ac:dyDescent="0.3">
      <c r="A255" s="3"/>
      <c r="B255" s="10" t="s">
        <v>370</v>
      </c>
      <c r="C255" s="62"/>
      <c r="D255" s="62"/>
      <c r="E255" s="12">
        <v>0</v>
      </c>
      <c r="F255" s="12">
        <v>0</v>
      </c>
      <c r="G255" s="65"/>
      <c r="H255" s="65"/>
      <c r="I255" s="89"/>
      <c r="J255" s="65"/>
      <c r="K255" s="37"/>
      <c r="L255" s="37"/>
      <c r="M255" s="37"/>
      <c r="N255" s="37"/>
      <c r="O255" s="37"/>
      <c r="P255" s="37"/>
      <c r="Q255" s="37"/>
      <c r="R255" s="37"/>
      <c r="S255" s="37"/>
      <c r="T255" s="37"/>
      <c r="U255" s="3"/>
      <c r="W255" s="3"/>
      <c r="X255" s="3"/>
      <c r="Y255" s="3"/>
      <c r="Z255" s="3"/>
    </row>
    <row r="256" spans="1:26" ht="14.4" hidden="1" outlineLevel="1" x14ac:dyDescent="0.3">
      <c r="A256" s="3"/>
      <c r="B256" s="10" t="s">
        <v>371</v>
      </c>
      <c r="C256" s="62"/>
      <c r="D256" s="62"/>
      <c r="E256" s="12">
        <v>0</v>
      </c>
      <c r="F256" s="12">
        <v>0</v>
      </c>
      <c r="G256" s="65"/>
      <c r="H256" s="65"/>
      <c r="I256" s="89"/>
      <c r="J256" s="65"/>
      <c r="K256" s="37"/>
      <c r="L256" s="37"/>
      <c r="M256" s="37"/>
      <c r="N256" s="37"/>
      <c r="O256" s="37"/>
      <c r="P256" s="37"/>
      <c r="Q256" s="37"/>
      <c r="R256" s="37"/>
      <c r="S256" s="37"/>
      <c r="T256" s="37"/>
      <c r="U256" s="3"/>
      <c r="W256" s="3"/>
      <c r="X256" s="3"/>
      <c r="Y256" s="3"/>
      <c r="Z256" s="3"/>
    </row>
    <row r="257" spans="1:26" ht="14.4" hidden="1" outlineLevel="1" x14ac:dyDescent="0.3">
      <c r="A257" s="3"/>
      <c r="B257" s="10" t="s">
        <v>372</v>
      </c>
      <c r="C257" s="62"/>
      <c r="D257" s="62"/>
      <c r="E257" s="12">
        <v>0</v>
      </c>
      <c r="F257" s="12">
        <v>0</v>
      </c>
      <c r="G257" s="65"/>
      <c r="H257" s="65"/>
      <c r="I257" s="89"/>
      <c r="J257" s="65"/>
      <c r="K257" s="37"/>
      <c r="L257" s="37"/>
      <c r="M257" s="37"/>
      <c r="N257" s="37"/>
      <c r="O257" s="37"/>
      <c r="P257" s="37"/>
      <c r="Q257" s="37"/>
      <c r="R257" s="37"/>
      <c r="S257" s="37"/>
      <c r="T257" s="37"/>
      <c r="U257" s="3"/>
      <c r="W257" s="3"/>
      <c r="X257" s="3"/>
      <c r="Y257" s="3"/>
      <c r="Z257" s="3"/>
    </row>
    <row r="258" spans="1:26" ht="20.399999999999999" collapsed="1" x14ac:dyDescent="0.3">
      <c r="A258" s="3"/>
      <c r="B258" s="84" t="s">
        <v>405</v>
      </c>
      <c r="C258" s="85" t="s">
        <v>43</v>
      </c>
      <c r="D258" s="85" t="s">
        <v>43</v>
      </c>
      <c r="E258" s="86">
        <f>SUM(E259:E267)</f>
        <v>0</v>
      </c>
      <c r="F258" s="86">
        <f>SUMIF(D259:D267,"OK",F259:F267)</f>
        <v>0</v>
      </c>
      <c r="G258" s="87"/>
      <c r="H258" s="87"/>
      <c r="I258" s="88"/>
      <c r="J258" s="87"/>
      <c r="K258" s="37"/>
      <c r="L258" s="37"/>
      <c r="M258" s="37"/>
      <c r="N258" s="37"/>
      <c r="O258" s="37"/>
      <c r="P258" s="37"/>
      <c r="Q258" s="37"/>
      <c r="R258" s="37"/>
      <c r="S258" s="37"/>
      <c r="T258" s="37"/>
      <c r="U258" s="3"/>
      <c r="W258" s="3"/>
      <c r="X258" s="3"/>
      <c r="Y258" s="3"/>
      <c r="Z258" s="3"/>
    </row>
    <row r="259" spans="1:26" ht="14.4" hidden="1" outlineLevel="1" x14ac:dyDescent="0.3">
      <c r="A259" s="3"/>
      <c r="B259" s="10" t="s">
        <v>1263</v>
      </c>
      <c r="C259" s="62"/>
      <c r="D259" s="62"/>
      <c r="E259" s="12">
        <v>0</v>
      </c>
      <c r="F259" s="12">
        <v>0</v>
      </c>
      <c r="G259" s="65"/>
      <c r="H259" s="65"/>
      <c r="I259" s="112"/>
      <c r="J259" s="65"/>
      <c r="K259" s="37"/>
      <c r="L259" s="37"/>
      <c r="M259" s="37"/>
      <c r="N259" s="37"/>
      <c r="O259" s="37"/>
      <c r="P259" s="37"/>
      <c r="Q259" s="37"/>
      <c r="R259" s="37"/>
      <c r="S259" s="37"/>
      <c r="T259" s="37"/>
      <c r="U259" s="3"/>
      <c r="W259" s="3"/>
      <c r="X259" s="3"/>
      <c r="Y259" s="3"/>
      <c r="Z259" s="3"/>
    </row>
    <row r="260" spans="1:26" ht="14.4" hidden="1" outlineLevel="1" x14ac:dyDescent="0.3">
      <c r="A260" s="3"/>
      <c r="B260" s="10" t="s">
        <v>354</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4.4" hidden="1" outlineLevel="1" x14ac:dyDescent="0.3">
      <c r="A261" s="3"/>
      <c r="B261" s="10" t="s">
        <v>355</v>
      </c>
      <c r="C261" s="62"/>
      <c r="D261" s="62"/>
      <c r="E261" s="12">
        <v>0</v>
      </c>
      <c r="F261" s="12">
        <v>0</v>
      </c>
      <c r="G261" s="65"/>
      <c r="H261" s="65"/>
      <c r="I261" s="89"/>
      <c r="J261" s="65"/>
      <c r="K261" s="37"/>
      <c r="L261" s="37"/>
      <c r="M261" s="37"/>
      <c r="N261" s="37"/>
      <c r="O261" s="37"/>
      <c r="P261" s="37"/>
      <c r="Q261" s="37"/>
      <c r="R261" s="37"/>
      <c r="S261" s="37"/>
      <c r="T261" s="37"/>
      <c r="U261" s="3"/>
      <c r="W261" s="3"/>
      <c r="X261" s="3"/>
      <c r="Y261" s="3"/>
      <c r="Z261" s="3"/>
    </row>
    <row r="262" spans="1:26" ht="14.4" hidden="1" outlineLevel="1" x14ac:dyDescent="0.3">
      <c r="A262" s="3"/>
      <c r="B262" s="10" t="s">
        <v>369</v>
      </c>
      <c r="C262" s="62"/>
      <c r="D262" s="62"/>
      <c r="E262" s="12">
        <v>0</v>
      </c>
      <c r="F262" s="12">
        <v>0</v>
      </c>
      <c r="G262" s="65"/>
      <c r="H262" s="65"/>
      <c r="I262" s="89"/>
      <c r="J262" s="65"/>
      <c r="K262" s="37"/>
      <c r="L262" s="37"/>
      <c r="M262" s="37"/>
      <c r="N262" s="37"/>
      <c r="O262" s="37"/>
      <c r="P262" s="37"/>
      <c r="Q262" s="37"/>
      <c r="R262" s="37"/>
      <c r="S262" s="37"/>
      <c r="T262" s="37"/>
      <c r="U262" s="3"/>
      <c r="W262" s="3"/>
      <c r="X262" s="3"/>
      <c r="Y262" s="3"/>
      <c r="Z262" s="3"/>
    </row>
    <row r="263" spans="1:26" ht="14.4" hidden="1" outlineLevel="1" x14ac:dyDescent="0.3">
      <c r="A263" s="3"/>
      <c r="B263" s="10" t="s">
        <v>327</v>
      </c>
      <c r="C263" s="62"/>
      <c r="D263" s="62"/>
      <c r="E263" s="12">
        <v>0</v>
      </c>
      <c r="F263" s="12">
        <v>0</v>
      </c>
      <c r="G263" s="65"/>
      <c r="H263" s="65"/>
      <c r="I263" s="89"/>
      <c r="J263" s="65"/>
      <c r="K263" s="37"/>
      <c r="L263" s="37"/>
      <c r="M263" s="37"/>
      <c r="N263" s="37"/>
      <c r="O263" s="37"/>
      <c r="P263" s="37"/>
      <c r="Q263" s="37"/>
      <c r="R263" s="37"/>
      <c r="S263" s="37"/>
      <c r="T263" s="37"/>
      <c r="U263" s="3"/>
      <c r="W263" s="3"/>
      <c r="X263" s="3"/>
      <c r="Y263" s="3"/>
      <c r="Z263" s="3"/>
    </row>
    <row r="264" spans="1:26" ht="14.4" hidden="1" outlineLevel="1" x14ac:dyDescent="0.3">
      <c r="A264" s="3"/>
      <c r="B264" s="10" t="s">
        <v>328</v>
      </c>
      <c r="C264" s="62"/>
      <c r="D264" s="62"/>
      <c r="E264" s="12">
        <v>0</v>
      </c>
      <c r="F264" s="12">
        <v>0</v>
      </c>
      <c r="G264" s="65"/>
      <c r="H264" s="65"/>
      <c r="I264" s="89"/>
      <c r="J264" s="65"/>
      <c r="K264" s="37"/>
      <c r="L264" s="37"/>
      <c r="M264" s="37"/>
      <c r="N264" s="37"/>
      <c r="O264" s="37"/>
      <c r="P264" s="37"/>
      <c r="Q264" s="37"/>
      <c r="R264" s="37"/>
      <c r="S264" s="37"/>
      <c r="T264" s="37"/>
      <c r="U264" s="3"/>
      <c r="W264" s="3"/>
      <c r="X264" s="3"/>
      <c r="Y264" s="3"/>
      <c r="Z264" s="3"/>
    </row>
    <row r="265" spans="1:26" ht="14.4" hidden="1" outlineLevel="1" x14ac:dyDescent="0.3">
      <c r="A265" s="3"/>
      <c r="B265" s="10" t="s">
        <v>370</v>
      </c>
      <c r="C265" s="62"/>
      <c r="D265" s="62"/>
      <c r="E265" s="12">
        <v>0</v>
      </c>
      <c r="F265" s="12">
        <v>0</v>
      </c>
      <c r="G265" s="65"/>
      <c r="H265" s="65"/>
      <c r="I265" s="89"/>
      <c r="J265" s="65"/>
      <c r="K265" s="37"/>
      <c r="L265" s="37"/>
      <c r="M265" s="37"/>
      <c r="N265" s="37"/>
      <c r="O265" s="37"/>
      <c r="P265" s="37"/>
      <c r="Q265" s="37"/>
      <c r="R265" s="37"/>
      <c r="S265" s="37"/>
      <c r="T265" s="37"/>
      <c r="U265" s="3"/>
      <c r="W265" s="3"/>
      <c r="X265" s="3"/>
      <c r="Y265" s="3"/>
      <c r="Z265" s="3"/>
    </row>
    <row r="266" spans="1:26" ht="14.4" hidden="1" outlineLevel="1" x14ac:dyDescent="0.3">
      <c r="A266" s="3"/>
      <c r="B266" s="10" t="s">
        <v>371</v>
      </c>
      <c r="C266" s="62"/>
      <c r="D266" s="62"/>
      <c r="E266" s="12">
        <v>0</v>
      </c>
      <c r="F266" s="12">
        <v>0</v>
      </c>
      <c r="G266" s="65"/>
      <c r="H266" s="65"/>
      <c r="I266" s="89"/>
      <c r="J266" s="65"/>
      <c r="K266" s="37"/>
      <c r="L266" s="37"/>
      <c r="M266" s="37"/>
      <c r="N266" s="37"/>
      <c r="O266" s="37"/>
      <c r="P266" s="37"/>
      <c r="Q266" s="37"/>
      <c r="R266" s="37"/>
      <c r="S266" s="37"/>
      <c r="T266" s="37"/>
      <c r="U266" s="3"/>
      <c r="W266" s="3"/>
      <c r="X266" s="3"/>
      <c r="Y266" s="3"/>
      <c r="Z266" s="3"/>
    </row>
    <row r="267" spans="1:26" ht="14.4" hidden="1" outlineLevel="1" x14ac:dyDescent="0.3">
      <c r="A267" s="3"/>
      <c r="B267" s="10" t="s">
        <v>372</v>
      </c>
      <c r="C267" s="62"/>
      <c r="D267" s="62"/>
      <c r="E267" s="12">
        <v>0</v>
      </c>
      <c r="F267" s="12">
        <v>0</v>
      </c>
      <c r="G267" s="65"/>
      <c r="H267" s="65"/>
      <c r="I267" s="89"/>
      <c r="J267" s="65"/>
      <c r="K267" s="37"/>
      <c r="L267" s="37"/>
      <c r="M267" s="37"/>
      <c r="N267" s="37"/>
      <c r="O267" s="37"/>
      <c r="P267" s="37"/>
      <c r="Q267" s="37"/>
      <c r="R267" s="37"/>
      <c r="S267" s="37"/>
      <c r="T267" s="37"/>
      <c r="U267" s="3"/>
      <c r="W267" s="3"/>
      <c r="X267" s="3"/>
      <c r="Y267" s="3"/>
      <c r="Z267" s="3"/>
    </row>
    <row r="268" spans="1:26" ht="20.399999999999999" collapsed="1" x14ac:dyDescent="0.3">
      <c r="A268" s="3"/>
      <c r="B268" s="84" t="s">
        <v>408</v>
      </c>
      <c r="C268" s="85" t="s">
        <v>43</v>
      </c>
      <c r="D268" s="85" t="s">
        <v>43</v>
      </c>
      <c r="E268" s="86">
        <f>SUM(E269,E279,E289,E299)</f>
        <v>0</v>
      </c>
      <c r="F268" s="86">
        <f>SUM(F269,F279,F289,F299,F309)</f>
        <v>94.87</v>
      </c>
      <c r="G268" s="87"/>
      <c r="H268" s="87"/>
      <c r="I268" s="88"/>
      <c r="J268" s="87"/>
      <c r="K268" s="37"/>
      <c r="L268" s="37"/>
      <c r="M268" s="37"/>
      <c r="N268" s="37"/>
      <c r="O268" s="37"/>
      <c r="P268" s="37"/>
      <c r="Q268" s="37"/>
      <c r="R268" s="37"/>
      <c r="S268" s="37"/>
      <c r="T268" s="37"/>
      <c r="U268" s="3"/>
      <c r="W268" s="3"/>
      <c r="X268" s="3"/>
      <c r="Y268" s="3"/>
      <c r="Z268" s="3"/>
    </row>
    <row r="269" spans="1:26" hidden="1" outlineLevel="1" x14ac:dyDescent="0.3">
      <c r="A269" s="3"/>
      <c r="B269" s="91" t="s">
        <v>232</v>
      </c>
      <c r="C269" s="92"/>
      <c r="D269" s="92"/>
      <c r="E269" s="93">
        <f>SUM(E270:E278)</f>
        <v>0</v>
      </c>
      <c r="F269" s="93">
        <f>SUMIF(D270:D278,"OK",F270:F278)</f>
        <v>94.87</v>
      </c>
      <c r="G269" s="94"/>
      <c r="H269" s="94"/>
      <c r="I269" s="95"/>
      <c r="J269" s="94"/>
      <c r="K269" s="37"/>
      <c r="L269" s="37"/>
      <c r="M269" s="37"/>
      <c r="N269" s="37"/>
      <c r="O269" s="37"/>
      <c r="P269" s="37"/>
      <c r="Q269" s="37"/>
      <c r="R269" s="37"/>
      <c r="S269" s="37"/>
      <c r="T269" s="37"/>
      <c r="U269" s="3"/>
      <c r="W269" s="3"/>
      <c r="X269" s="3"/>
      <c r="Y269" s="3"/>
      <c r="Z269" s="3"/>
    </row>
    <row r="270" spans="1:26" ht="14.4" hidden="1" outlineLevel="1" x14ac:dyDescent="0.3">
      <c r="A270" s="3"/>
      <c r="B270" s="10" t="s">
        <v>1264</v>
      </c>
      <c r="C270" s="62">
        <v>4</v>
      </c>
      <c r="D270" s="62" t="s">
        <v>94</v>
      </c>
      <c r="E270" s="12">
        <v>0</v>
      </c>
      <c r="F270" s="12">
        <v>94.87</v>
      </c>
      <c r="G270" s="65"/>
      <c r="H270" s="65" t="s">
        <v>37</v>
      </c>
      <c r="I270" s="112" t="s">
        <v>1265</v>
      </c>
      <c r="J270" s="65"/>
      <c r="K270" s="37"/>
      <c r="L270" s="37"/>
      <c r="M270" s="37"/>
      <c r="N270" s="37"/>
      <c r="O270" s="37"/>
      <c r="P270" s="37"/>
      <c r="Q270" s="37"/>
      <c r="R270" s="37"/>
      <c r="S270" s="37"/>
      <c r="T270" s="37"/>
      <c r="U270" s="3"/>
      <c r="W270" s="3"/>
      <c r="X270" s="3"/>
      <c r="Y270" s="3"/>
      <c r="Z270" s="3"/>
    </row>
    <row r="271" spans="1:26" ht="14.4" hidden="1" outlineLevel="1" x14ac:dyDescent="0.3">
      <c r="A271" s="3"/>
      <c r="B271" s="10" t="s">
        <v>354</v>
      </c>
      <c r="C271" s="62"/>
      <c r="D271" s="62"/>
      <c r="E271" s="12">
        <v>0</v>
      </c>
      <c r="F271" s="12">
        <v>0</v>
      </c>
      <c r="G271" s="65"/>
      <c r="H271" s="65"/>
      <c r="I271" s="126"/>
      <c r="J271" s="65"/>
      <c r="K271" s="37"/>
      <c r="L271" s="37"/>
      <c r="M271" s="37"/>
      <c r="N271" s="37"/>
      <c r="O271" s="37"/>
      <c r="P271" s="37"/>
      <c r="Q271" s="37"/>
      <c r="R271" s="37"/>
      <c r="S271" s="37"/>
      <c r="T271" s="37"/>
      <c r="U271" s="3"/>
      <c r="W271" s="3"/>
      <c r="X271" s="3"/>
      <c r="Y271" s="3"/>
      <c r="Z271" s="3"/>
    </row>
    <row r="272" spans="1:26" ht="14.4" hidden="1" outlineLevel="1" x14ac:dyDescent="0.3">
      <c r="A272" s="3"/>
      <c r="B272" s="10" t="s">
        <v>355</v>
      </c>
      <c r="C272" s="62"/>
      <c r="D272" s="62"/>
      <c r="E272" s="12">
        <v>0</v>
      </c>
      <c r="F272" s="12">
        <v>0</v>
      </c>
      <c r="G272" s="65"/>
      <c r="H272" s="65"/>
      <c r="I272" s="126"/>
      <c r="J272" s="65"/>
      <c r="K272" s="37"/>
      <c r="L272" s="37"/>
      <c r="M272" s="37"/>
      <c r="N272" s="37"/>
      <c r="O272" s="37"/>
      <c r="P272" s="37"/>
      <c r="Q272" s="37"/>
      <c r="R272" s="37"/>
      <c r="S272" s="37"/>
      <c r="T272" s="37"/>
      <c r="U272" s="3"/>
      <c r="W272" s="3"/>
      <c r="X272" s="3"/>
      <c r="Y272" s="3"/>
      <c r="Z272" s="3"/>
    </row>
    <row r="273" spans="1:26" ht="14.4" hidden="1" outlineLevel="1" x14ac:dyDescent="0.3">
      <c r="A273" s="3"/>
      <c r="B273" s="10" t="s">
        <v>369</v>
      </c>
      <c r="C273" s="62"/>
      <c r="D273" s="62"/>
      <c r="E273" s="12">
        <v>0</v>
      </c>
      <c r="F273" s="12">
        <v>0</v>
      </c>
      <c r="G273" s="65"/>
      <c r="H273" s="65"/>
      <c r="I273" s="112"/>
      <c r="J273" s="65"/>
      <c r="K273" s="37"/>
      <c r="L273" s="37"/>
      <c r="M273" s="37"/>
      <c r="N273" s="37"/>
      <c r="O273" s="37"/>
      <c r="P273" s="37"/>
      <c r="Q273" s="37"/>
      <c r="R273" s="37"/>
      <c r="S273" s="37"/>
      <c r="T273" s="37"/>
      <c r="U273" s="3"/>
      <c r="W273" s="3"/>
      <c r="X273" s="3"/>
      <c r="Y273" s="3"/>
      <c r="Z273" s="3"/>
    </row>
    <row r="274" spans="1:26" ht="14.4" hidden="1" outlineLevel="1" x14ac:dyDescent="0.3">
      <c r="A274" s="3"/>
      <c r="B274" s="10" t="s">
        <v>327</v>
      </c>
      <c r="C274" s="62"/>
      <c r="D274" s="62"/>
      <c r="E274" s="12">
        <v>0</v>
      </c>
      <c r="F274" s="12">
        <v>0</v>
      </c>
      <c r="G274" s="65"/>
      <c r="H274" s="65"/>
      <c r="I274" s="112"/>
      <c r="J274" s="65"/>
      <c r="K274" s="37"/>
      <c r="L274" s="37"/>
      <c r="M274" s="37"/>
      <c r="N274" s="37"/>
      <c r="O274" s="37"/>
      <c r="P274" s="37"/>
      <c r="Q274" s="37"/>
      <c r="R274" s="37"/>
      <c r="S274" s="37"/>
      <c r="T274" s="37"/>
      <c r="U274" s="3"/>
      <c r="W274" s="3"/>
      <c r="X274" s="3"/>
      <c r="Y274" s="3"/>
      <c r="Z274" s="3"/>
    </row>
    <row r="275" spans="1:26" ht="14.4" hidden="1" outlineLevel="1" x14ac:dyDescent="0.3">
      <c r="A275" s="3"/>
      <c r="B275" s="10" t="s">
        <v>328</v>
      </c>
      <c r="C275" s="62"/>
      <c r="D275" s="62"/>
      <c r="E275" s="12">
        <v>0</v>
      </c>
      <c r="F275" s="12">
        <v>0</v>
      </c>
      <c r="G275" s="65"/>
      <c r="H275" s="65"/>
      <c r="I275" s="89"/>
      <c r="J275" s="65"/>
      <c r="K275" s="37"/>
      <c r="L275" s="37"/>
      <c r="M275" s="37"/>
      <c r="N275" s="37"/>
      <c r="O275" s="37"/>
      <c r="P275" s="37"/>
      <c r="Q275" s="37"/>
      <c r="R275" s="37"/>
      <c r="S275" s="37"/>
      <c r="T275" s="37"/>
      <c r="U275" s="3"/>
      <c r="W275" s="3"/>
      <c r="X275" s="3"/>
      <c r="Y275" s="3"/>
      <c r="Z275" s="3"/>
    </row>
    <row r="276" spans="1:26" ht="14.4" hidden="1" outlineLevel="1" x14ac:dyDescent="0.3">
      <c r="A276" s="3"/>
      <c r="B276" s="10" t="s">
        <v>370</v>
      </c>
      <c r="C276" s="62"/>
      <c r="D276" s="62"/>
      <c r="E276" s="12">
        <v>0</v>
      </c>
      <c r="F276" s="12">
        <v>0</v>
      </c>
      <c r="G276" s="65"/>
      <c r="H276" s="65"/>
      <c r="I276" s="89"/>
      <c r="J276" s="65"/>
      <c r="K276" s="37"/>
      <c r="L276" s="37"/>
      <c r="M276" s="37"/>
      <c r="N276" s="37"/>
      <c r="O276" s="37"/>
      <c r="P276" s="37"/>
      <c r="Q276" s="37"/>
      <c r="R276" s="37"/>
      <c r="S276" s="37"/>
      <c r="T276" s="37"/>
      <c r="U276" s="3"/>
      <c r="W276" s="3"/>
      <c r="X276" s="3"/>
      <c r="Y276" s="3"/>
      <c r="Z276" s="3"/>
    </row>
    <row r="277" spans="1:26" ht="14.4" hidden="1" outlineLevel="1" x14ac:dyDescent="0.3">
      <c r="A277" s="3"/>
      <c r="B277" s="10" t="s">
        <v>371</v>
      </c>
      <c r="C277" s="62"/>
      <c r="D277" s="62"/>
      <c r="E277" s="12">
        <v>0</v>
      </c>
      <c r="F277" s="12">
        <v>0</v>
      </c>
      <c r="G277" s="65"/>
      <c r="H277" s="65"/>
      <c r="I277" s="89"/>
      <c r="J277" s="65"/>
      <c r="K277" s="37"/>
      <c r="L277" s="37"/>
      <c r="M277" s="37"/>
      <c r="N277" s="37"/>
      <c r="O277" s="37"/>
      <c r="P277" s="37"/>
      <c r="Q277" s="37"/>
      <c r="R277" s="37"/>
      <c r="S277" s="37"/>
      <c r="T277" s="37"/>
      <c r="U277" s="3"/>
      <c r="W277" s="3"/>
      <c r="X277" s="3"/>
      <c r="Y277" s="3"/>
      <c r="Z277" s="3"/>
    </row>
    <row r="278" spans="1:26" ht="14.4" hidden="1" outlineLevel="1" x14ac:dyDescent="0.3">
      <c r="A278" s="3"/>
      <c r="B278" s="10" t="s">
        <v>372</v>
      </c>
      <c r="C278" s="62"/>
      <c r="D278" s="62"/>
      <c r="E278" s="12">
        <v>0</v>
      </c>
      <c r="F278" s="12">
        <v>0</v>
      </c>
      <c r="G278" s="65"/>
      <c r="H278" s="65"/>
      <c r="I278" s="89"/>
      <c r="J278" s="65"/>
      <c r="K278" s="37"/>
      <c r="L278" s="37"/>
      <c r="M278" s="37"/>
      <c r="N278" s="37"/>
      <c r="O278" s="37"/>
      <c r="P278" s="37"/>
      <c r="Q278" s="37"/>
      <c r="R278" s="37"/>
      <c r="S278" s="37"/>
      <c r="T278" s="37"/>
      <c r="U278" s="3"/>
      <c r="W278" s="3"/>
      <c r="X278" s="3"/>
      <c r="Y278" s="3"/>
      <c r="Z278" s="3"/>
    </row>
    <row r="279" spans="1:26" hidden="1" outlineLevel="1" x14ac:dyDescent="0.3">
      <c r="A279" s="3"/>
      <c r="B279" s="91" t="s">
        <v>651</v>
      </c>
      <c r="C279" s="92"/>
      <c r="D279" s="92"/>
      <c r="E279" s="93">
        <f>SUM(E280:E288)</f>
        <v>0</v>
      </c>
      <c r="F279" s="93">
        <f>SUMIF(D280:D288,"OK",F280:F288)</f>
        <v>0</v>
      </c>
      <c r="G279" s="94"/>
      <c r="H279" s="94"/>
      <c r="I279" s="95"/>
      <c r="J279" s="94"/>
      <c r="K279" s="37"/>
      <c r="L279" s="37"/>
      <c r="M279" s="37"/>
      <c r="N279" s="37"/>
      <c r="O279" s="37"/>
      <c r="P279" s="37"/>
      <c r="Q279" s="37"/>
      <c r="R279" s="37"/>
      <c r="S279" s="37"/>
      <c r="T279" s="37"/>
      <c r="U279" s="3"/>
      <c r="W279" s="3"/>
      <c r="X279" s="3"/>
      <c r="Y279" s="3"/>
      <c r="Z279" s="3"/>
    </row>
    <row r="280" spans="1:26" ht="14.4" hidden="1" outlineLevel="1" x14ac:dyDescent="0.3">
      <c r="A280" s="3"/>
      <c r="B280" s="10" t="s">
        <v>353</v>
      </c>
      <c r="C280" s="62"/>
      <c r="D280" s="62"/>
      <c r="E280" s="12">
        <v>0</v>
      </c>
      <c r="F280" s="12">
        <v>0</v>
      </c>
      <c r="G280" s="65"/>
      <c r="H280" s="65"/>
      <c r="I280" s="112"/>
      <c r="J280" s="65"/>
      <c r="K280" s="37"/>
      <c r="L280" s="37"/>
      <c r="M280" s="37"/>
      <c r="N280" s="37"/>
      <c r="O280" s="37"/>
      <c r="P280" s="37"/>
      <c r="Q280" s="37"/>
      <c r="R280" s="37"/>
      <c r="S280" s="37"/>
      <c r="T280" s="37"/>
      <c r="U280" s="3"/>
      <c r="W280" s="3"/>
      <c r="X280" s="3"/>
      <c r="Y280" s="3"/>
      <c r="Z280" s="3"/>
    </row>
    <row r="281" spans="1:26" ht="14.4" hidden="1" outlineLevel="1" x14ac:dyDescent="0.3">
      <c r="A281" s="3"/>
      <c r="B281" s="10" t="s">
        <v>354</v>
      </c>
      <c r="C281" s="62"/>
      <c r="D281" s="62"/>
      <c r="E281" s="12">
        <v>0</v>
      </c>
      <c r="F281" s="12">
        <v>0</v>
      </c>
      <c r="G281" s="65"/>
      <c r="H281" s="65"/>
      <c r="I281" s="112"/>
      <c r="J281" s="65"/>
      <c r="K281" s="37"/>
      <c r="L281" s="37"/>
      <c r="M281" s="37"/>
      <c r="N281" s="37"/>
      <c r="O281" s="37"/>
      <c r="P281" s="37"/>
      <c r="Q281" s="37"/>
      <c r="R281" s="37"/>
      <c r="S281" s="37"/>
      <c r="T281" s="37"/>
      <c r="U281" s="3"/>
      <c r="W281" s="3"/>
      <c r="X281" s="3"/>
      <c r="Y281" s="3"/>
      <c r="Z281" s="3"/>
    </row>
    <row r="282" spans="1:26" ht="14.4" hidden="1" outlineLevel="1" x14ac:dyDescent="0.3">
      <c r="A282" s="3"/>
      <c r="B282" s="10" t="s">
        <v>355</v>
      </c>
      <c r="C282" s="62"/>
      <c r="D282" s="62"/>
      <c r="E282" s="12">
        <v>0</v>
      </c>
      <c r="F282" s="12">
        <v>0</v>
      </c>
      <c r="G282" s="65"/>
      <c r="H282" s="65"/>
      <c r="I282" s="112"/>
      <c r="J282" s="65"/>
      <c r="K282" s="37"/>
      <c r="L282" s="37"/>
      <c r="M282" s="37"/>
      <c r="N282" s="37"/>
      <c r="O282" s="37"/>
      <c r="P282" s="37"/>
      <c r="Q282" s="37"/>
      <c r="R282" s="37"/>
      <c r="S282" s="37"/>
      <c r="T282" s="37"/>
      <c r="U282" s="3"/>
      <c r="W282" s="3"/>
      <c r="X282" s="3"/>
      <c r="Y282" s="3"/>
      <c r="Z282" s="3"/>
    </row>
    <row r="283" spans="1:26" ht="14.4" hidden="1" outlineLevel="1" x14ac:dyDescent="0.3">
      <c r="A283" s="3"/>
      <c r="B283" s="10" t="s">
        <v>369</v>
      </c>
      <c r="C283" s="62"/>
      <c r="D283" s="62"/>
      <c r="E283" s="12">
        <v>0</v>
      </c>
      <c r="F283" s="12">
        <v>0</v>
      </c>
      <c r="G283" s="65"/>
      <c r="H283" s="65"/>
      <c r="I283" s="112"/>
      <c r="J283" s="65"/>
      <c r="K283" s="37"/>
      <c r="L283" s="37"/>
      <c r="M283" s="37"/>
      <c r="N283" s="37"/>
      <c r="O283" s="37"/>
      <c r="P283" s="37"/>
      <c r="Q283" s="37"/>
      <c r="R283" s="37"/>
      <c r="S283" s="37"/>
      <c r="T283" s="37"/>
      <c r="U283" s="3"/>
      <c r="W283" s="3"/>
      <c r="X283" s="3"/>
      <c r="Y283" s="3"/>
      <c r="Z283" s="3"/>
    </row>
    <row r="284" spans="1:26" ht="14.4" hidden="1" outlineLevel="1" x14ac:dyDescent="0.3">
      <c r="A284" s="3"/>
      <c r="B284" s="10" t="s">
        <v>327</v>
      </c>
      <c r="C284" s="62"/>
      <c r="D284" s="62"/>
      <c r="E284" s="12">
        <v>0</v>
      </c>
      <c r="F284" s="12">
        <v>0</v>
      </c>
      <c r="G284" s="65"/>
      <c r="H284" s="65"/>
      <c r="I284" s="112"/>
      <c r="J284" s="65"/>
      <c r="K284" s="37"/>
      <c r="L284" s="37"/>
      <c r="M284" s="37"/>
      <c r="N284" s="37"/>
      <c r="O284" s="37"/>
      <c r="P284" s="37"/>
      <c r="Q284" s="37"/>
      <c r="R284" s="37"/>
      <c r="S284" s="37"/>
      <c r="T284" s="37"/>
      <c r="U284" s="3"/>
      <c r="W284" s="3"/>
      <c r="X284" s="3"/>
      <c r="Y284" s="3"/>
      <c r="Z284" s="3"/>
    </row>
    <row r="285" spans="1:26" ht="14.4" hidden="1" outlineLevel="1" x14ac:dyDescent="0.3">
      <c r="A285" s="3"/>
      <c r="B285" s="10" t="s">
        <v>328</v>
      </c>
      <c r="C285" s="62"/>
      <c r="D285" s="62"/>
      <c r="E285" s="12">
        <v>0</v>
      </c>
      <c r="F285" s="12">
        <v>0</v>
      </c>
      <c r="G285" s="65"/>
      <c r="H285" s="65"/>
      <c r="I285" s="112"/>
      <c r="J285" s="65"/>
      <c r="K285" s="37"/>
      <c r="L285" s="37"/>
      <c r="M285" s="37"/>
      <c r="N285" s="37"/>
      <c r="O285" s="37"/>
      <c r="P285" s="37"/>
      <c r="Q285" s="37"/>
      <c r="R285" s="37"/>
      <c r="S285" s="37"/>
      <c r="T285" s="37"/>
      <c r="U285" s="3"/>
      <c r="W285" s="3"/>
      <c r="X285" s="3"/>
      <c r="Y285" s="3"/>
      <c r="Z285" s="3"/>
    </row>
    <row r="286" spans="1:26" ht="14.4" hidden="1" outlineLevel="1" x14ac:dyDescent="0.3">
      <c r="A286" s="3"/>
      <c r="B286" s="10" t="s">
        <v>370</v>
      </c>
      <c r="C286" s="62"/>
      <c r="D286" s="62"/>
      <c r="E286" s="12">
        <v>0</v>
      </c>
      <c r="F286" s="12">
        <v>0</v>
      </c>
      <c r="G286" s="65"/>
      <c r="H286" s="65"/>
      <c r="I286" s="112"/>
      <c r="J286" s="65"/>
      <c r="K286" s="37"/>
      <c r="L286" s="37"/>
      <c r="M286" s="37"/>
      <c r="N286" s="37"/>
      <c r="O286" s="37"/>
      <c r="P286" s="37"/>
      <c r="Q286" s="37"/>
      <c r="R286" s="37"/>
      <c r="S286" s="37"/>
      <c r="T286" s="37"/>
      <c r="U286" s="3"/>
      <c r="W286" s="3"/>
      <c r="X286" s="3"/>
      <c r="Y286" s="3"/>
      <c r="Z286" s="3"/>
    </row>
    <row r="287" spans="1:26" ht="14.4" hidden="1" outlineLevel="1" x14ac:dyDescent="0.3">
      <c r="A287" s="3"/>
      <c r="B287" s="10" t="s">
        <v>371</v>
      </c>
      <c r="C287" s="62"/>
      <c r="D287" s="62"/>
      <c r="E287" s="12">
        <v>0</v>
      </c>
      <c r="F287" s="12">
        <v>0</v>
      </c>
      <c r="G287" s="65"/>
      <c r="H287" s="65"/>
      <c r="I287" s="112"/>
      <c r="J287" s="65"/>
      <c r="K287" s="37"/>
      <c r="L287" s="37"/>
      <c r="M287" s="37"/>
      <c r="N287" s="37"/>
      <c r="O287" s="37"/>
      <c r="P287" s="37"/>
      <c r="Q287" s="37"/>
      <c r="R287" s="37"/>
      <c r="S287" s="37"/>
      <c r="T287" s="37"/>
      <c r="U287" s="3"/>
      <c r="W287" s="3"/>
      <c r="X287" s="3"/>
      <c r="Y287" s="3"/>
      <c r="Z287" s="3"/>
    </row>
    <row r="288" spans="1:26" ht="14.4" hidden="1" outlineLevel="1" x14ac:dyDescent="0.3">
      <c r="A288" s="3"/>
      <c r="B288" s="10" t="s">
        <v>372</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idden="1" outlineLevel="1" x14ac:dyDescent="0.3">
      <c r="A289" s="3"/>
      <c r="B289" s="91" t="s">
        <v>1024</v>
      </c>
      <c r="C289" s="92"/>
      <c r="D289" s="92"/>
      <c r="E289" s="93">
        <f>SUM(E290:E298)</f>
        <v>0</v>
      </c>
      <c r="F289" s="93">
        <f>SUMIF(D290:D298,"OK",F290:F298)</f>
        <v>0</v>
      </c>
      <c r="G289" s="94"/>
      <c r="H289" s="94"/>
      <c r="I289" s="95"/>
      <c r="J289" s="94"/>
      <c r="K289" s="37"/>
      <c r="L289" s="37"/>
      <c r="M289" s="37"/>
      <c r="N289" s="37"/>
      <c r="O289" s="37"/>
      <c r="P289" s="37"/>
      <c r="Q289" s="37"/>
      <c r="R289" s="37"/>
      <c r="S289" s="37"/>
      <c r="T289" s="37"/>
      <c r="U289" s="3"/>
      <c r="W289" s="3"/>
      <c r="X289" s="3"/>
      <c r="Y289" s="3"/>
      <c r="Z289" s="3"/>
    </row>
    <row r="290" spans="1:26" ht="14.4" hidden="1" outlineLevel="1" x14ac:dyDescent="0.3">
      <c r="A290" s="3"/>
      <c r="B290" s="10" t="s">
        <v>1025</v>
      </c>
      <c r="C290" s="62"/>
      <c r="D290" s="62"/>
      <c r="E290" s="12">
        <v>0</v>
      </c>
      <c r="F290" s="12">
        <v>0</v>
      </c>
      <c r="G290" s="65"/>
      <c r="H290" s="65"/>
      <c r="I290" s="89"/>
      <c r="J290" s="65"/>
      <c r="K290" s="37"/>
      <c r="L290" s="37"/>
      <c r="M290" s="37"/>
      <c r="N290" s="37"/>
      <c r="O290" s="37"/>
      <c r="P290" s="37"/>
      <c r="Q290" s="37"/>
      <c r="R290" s="37"/>
      <c r="S290" s="37"/>
      <c r="T290" s="37"/>
      <c r="U290" s="3"/>
      <c r="W290" s="3"/>
      <c r="X290" s="3"/>
      <c r="Y290" s="3"/>
      <c r="Z290" s="3"/>
    </row>
    <row r="291" spans="1:26" ht="14.4" hidden="1" outlineLevel="1" x14ac:dyDescent="0.3">
      <c r="A291" s="3"/>
      <c r="B291" s="10" t="s">
        <v>354</v>
      </c>
      <c r="C291" s="62"/>
      <c r="D291" s="62"/>
      <c r="E291" s="12">
        <v>0</v>
      </c>
      <c r="F291" s="12">
        <v>0</v>
      </c>
      <c r="G291" s="65"/>
      <c r="H291" s="65"/>
      <c r="I291" s="89"/>
      <c r="J291" s="65"/>
      <c r="K291" s="37"/>
      <c r="L291" s="37"/>
      <c r="M291" s="37"/>
      <c r="N291" s="37"/>
      <c r="O291" s="37"/>
      <c r="P291" s="37"/>
      <c r="Q291" s="37"/>
      <c r="R291" s="37"/>
      <c r="S291" s="37"/>
      <c r="T291" s="37"/>
      <c r="U291" s="3"/>
      <c r="W291" s="3"/>
      <c r="X291" s="3"/>
      <c r="Y291" s="3"/>
      <c r="Z291" s="3"/>
    </row>
    <row r="292" spans="1:26" ht="14.4" hidden="1" outlineLevel="1" x14ac:dyDescent="0.3">
      <c r="A292" s="3"/>
      <c r="B292" s="10" t="s">
        <v>355</v>
      </c>
      <c r="C292" s="62"/>
      <c r="D292" s="62"/>
      <c r="E292" s="12">
        <v>0</v>
      </c>
      <c r="F292" s="12">
        <v>0</v>
      </c>
      <c r="G292" s="65"/>
      <c r="H292" s="65"/>
      <c r="I292" s="89"/>
      <c r="J292" s="65"/>
      <c r="K292" s="37"/>
      <c r="L292" s="37"/>
      <c r="M292" s="37"/>
      <c r="N292" s="37"/>
      <c r="O292" s="37"/>
      <c r="P292" s="37"/>
      <c r="Q292" s="37"/>
      <c r="R292" s="37"/>
      <c r="S292" s="37"/>
      <c r="T292" s="37"/>
      <c r="U292" s="3"/>
      <c r="W292" s="3"/>
      <c r="X292" s="3"/>
      <c r="Y292" s="3"/>
      <c r="Z292" s="3"/>
    </row>
    <row r="293" spans="1:26" ht="14.4" hidden="1" outlineLevel="1" x14ac:dyDescent="0.3">
      <c r="A293" s="3"/>
      <c r="B293" s="10" t="s">
        <v>369</v>
      </c>
      <c r="C293" s="62"/>
      <c r="D293" s="62"/>
      <c r="E293" s="12">
        <v>0</v>
      </c>
      <c r="F293" s="12">
        <v>0</v>
      </c>
      <c r="G293" s="65"/>
      <c r="H293" s="65"/>
      <c r="I293" s="89"/>
      <c r="J293" s="65"/>
      <c r="K293" s="37"/>
      <c r="L293" s="37"/>
      <c r="M293" s="37"/>
      <c r="N293" s="37"/>
      <c r="O293" s="37"/>
      <c r="P293" s="37"/>
      <c r="Q293" s="37"/>
      <c r="R293" s="37"/>
      <c r="S293" s="37"/>
      <c r="T293" s="37"/>
      <c r="U293" s="3"/>
      <c r="W293" s="3"/>
      <c r="X293" s="3"/>
      <c r="Y293" s="3"/>
      <c r="Z293" s="3"/>
    </row>
    <row r="294" spans="1:26" ht="14.4" hidden="1" outlineLevel="1" x14ac:dyDescent="0.3">
      <c r="A294" s="3"/>
      <c r="B294" s="10" t="s">
        <v>327</v>
      </c>
      <c r="C294" s="62"/>
      <c r="D294" s="62"/>
      <c r="E294" s="12">
        <v>0</v>
      </c>
      <c r="F294" s="12">
        <v>0</v>
      </c>
      <c r="G294" s="65"/>
      <c r="H294" s="65"/>
      <c r="I294" s="89"/>
      <c r="J294" s="65"/>
      <c r="K294" s="37"/>
      <c r="L294" s="37"/>
      <c r="M294" s="37"/>
      <c r="N294" s="37"/>
      <c r="O294" s="37"/>
      <c r="P294" s="37"/>
      <c r="Q294" s="37"/>
      <c r="R294" s="37"/>
      <c r="S294" s="37"/>
      <c r="T294" s="37"/>
      <c r="U294" s="3"/>
      <c r="W294" s="3"/>
      <c r="X294" s="3"/>
      <c r="Y294" s="3"/>
      <c r="Z294" s="3"/>
    </row>
    <row r="295" spans="1:26" ht="14.4" hidden="1" outlineLevel="1" x14ac:dyDescent="0.3">
      <c r="A295" s="3"/>
      <c r="B295" s="10" t="s">
        <v>328</v>
      </c>
      <c r="C295" s="62"/>
      <c r="D295" s="62"/>
      <c r="E295" s="12">
        <v>0</v>
      </c>
      <c r="F295" s="12">
        <v>0</v>
      </c>
      <c r="G295" s="65"/>
      <c r="H295" s="65"/>
      <c r="I295" s="89"/>
      <c r="J295" s="65"/>
      <c r="K295" s="37"/>
      <c r="L295" s="37"/>
      <c r="M295" s="37"/>
      <c r="N295" s="37"/>
      <c r="O295" s="37"/>
      <c r="P295" s="37"/>
      <c r="Q295" s="37"/>
      <c r="R295" s="37"/>
      <c r="S295" s="37"/>
      <c r="T295" s="37"/>
      <c r="U295" s="3"/>
      <c r="W295" s="3"/>
      <c r="X295" s="3"/>
      <c r="Y295" s="3"/>
      <c r="Z295" s="3"/>
    </row>
    <row r="296" spans="1:26" ht="14.4" hidden="1" outlineLevel="1" x14ac:dyDescent="0.3">
      <c r="A296" s="3"/>
      <c r="B296" s="10" t="s">
        <v>370</v>
      </c>
      <c r="C296" s="62"/>
      <c r="D296" s="62"/>
      <c r="E296" s="12">
        <v>0</v>
      </c>
      <c r="F296" s="12">
        <v>0</v>
      </c>
      <c r="G296" s="65"/>
      <c r="H296" s="65"/>
      <c r="I296" s="89"/>
      <c r="J296" s="65"/>
      <c r="K296" s="37"/>
      <c r="L296" s="37"/>
      <c r="M296" s="37"/>
      <c r="N296" s="37"/>
      <c r="O296" s="37"/>
      <c r="P296" s="37"/>
      <c r="Q296" s="37"/>
      <c r="R296" s="37"/>
      <c r="S296" s="37"/>
      <c r="T296" s="37"/>
      <c r="U296" s="3"/>
      <c r="W296" s="3"/>
      <c r="X296" s="3"/>
      <c r="Y296" s="3"/>
      <c r="Z296" s="3"/>
    </row>
    <row r="297" spans="1:26" ht="14.4" hidden="1" outlineLevel="1" x14ac:dyDescent="0.3">
      <c r="A297" s="3"/>
      <c r="B297" s="10" t="s">
        <v>371</v>
      </c>
      <c r="C297" s="62"/>
      <c r="D297" s="62"/>
      <c r="E297" s="12">
        <v>0</v>
      </c>
      <c r="F297" s="12">
        <v>0</v>
      </c>
      <c r="G297" s="65"/>
      <c r="H297" s="65"/>
      <c r="I297" s="89"/>
      <c r="J297" s="65"/>
      <c r="K297" s="37"/>
      <c r="L297" s="37"/>
      <c r="M297" s="37"/>
      <c r="N297" s="37"/>
      <c r="O297" s="37"/>
      <c r="P297" s="37"/>
      <c r="Q297" s="37"/>
      <c r="R297" s="37"/>
      <c r="S297" s="37"/>
      <c r="T297" s="37"/>
      <c r="U297" s="3"/>
      <c r="W297" s="3"/>
      <c r="X297" s="3"/>
      <c r="Y297" s="3"/>
      <c r="Z297" s="3"/>
    </row>
    <row r="298" spans="1:26" ht="14.4" hidden="1" outlineLevel="1" x14ac:dyDescent="0.3">
      <c r="A298" s="3"/>
      <c r="B298" s="10" t="s">
        <v>372</v>
      </c>
      <c r="C298" s="62"/>
      <c r="D298" s="62"/>
      <c r="E298" s="12">
        <v>0</v>
      </c>
      <c r="F298" s="12">
        <v>0</v>
      </c>
      <c r="G298" s="65"/>
      <c r="H298" s="65"/>
      <c r="I298" s="89"/>
      <c r="J298" s="65"/>
      <c r="K298" s="37"/>
      <c r="L298" s="37"/>
      <c r="M298" s="37"/>
      <c r="N298" s="37"/>
      <c r="O298" s="37"/>
      <c r="P298" s="37"/>
      <c r="Q298" s="37"/>
      <c r="R298" s="37"/>
      <c r="S298" s="37"/>
      <c r="T298" s="37"/>
      <c r="U298" s="3"/>
      <c r="W298" s="3"/>
      <c r="X298" s="3"/>
      <c r="Y298" s="3"/>
      <c r="Z298" s="3"/>
    </row>
    <row r="299" spans="1:26" hidden="1" outlineLevel="1" x14ac:dyDescent="0.3">
      <c r="A299" s="3"/>
      <c r="B299" s="91" t="s">
        <v>1266</v>
      </c>
      <c r="C299" s="92"/>
      <c r="D299" s="92"/>
      <c r="E299" s="93">
        <f>SUM(E300:E308)</f>
        <v>0</v>
      </c>
      <c r="F299" s="93">
        <f>SUMIF(D300:D308,"OK",F300:F308)</f>
        <v>0</v>
      </c>
      <c r="G299" s="94"/>
      <c r="H299" s="94"/>
      <c r="I299" s="95"/>
      <c r="J299" s="94"/>
      <c r="K299" s="37"/>
      <c r="L299" s="37"/>
      <c r="M299" s="37"/>
      <c r="N299" s="37"/>
      <c r="O299" s="37"/>
      <c r="P299" s="37"/>
      <c r="Q299" s="37"/>
      <c r="R299" s="37"/>
      <c r="S299" s="37"/>
      <c r="T299" s="37"/>
      <c r="U299" s="3"/>
      <c r="W299" s="3"/>
      <c r="X299" s="3"/>
      <c r="Y299" s="3"/>
      <c r="Z299" s="3"/>
    </row>
    <row r="300" spans="1:26" ht="14.4" hidden="1" outlineLevel="1" x14ac:dyDescent="0.3">
      <c r="A300" s="3"/>
      <c r="B300" s="10" t="s">
        <v>353</v>
      </c>
      <c r="C300" s="62"/>
      <c r="D300" s="62"/>
      <c r="E300" s="12">
        <v>0</v>
      </c>
      <c r="F300" s="12">
        <v>0</v>
      </c>
      <c r="G300" s="65"/>
      <c r="H300" s="65"/>
      <c r="I300" s="112"/>
      <c r="J300" s="65"/>
      <c r="K300" s="37"/>
      <c r="L300" s="37"/>
      <c r="M300" s="37"/>
      <c r="N300" s="37"/>
      <c r="O300" s="37"/>
      <c r="P300" s="37"/>
      <c r="Q300" s="37"/>
      <c r="R300" s="37"/>
      <c r="S300" s="37"/>
      <c r="T300" s="37"/>
      <c r="U300" s="3"/>
      <c r="W300" s="3"/>
      <c r="X300" s="3"/>
      <c r="Y300" s="3"/>
      <c r="Z300" s="3"/>
    </row>
    <row r="301" spans="1:26" ht="14.4" hidden="1" outlineLevel="1" x14ac:dyDescent="0.3">
      <c r="A301" s="3"/>
      <c r="B301" s="10" t="s">
        <v>354</v>
      </c>
      <c r="C301" s="62"/>
      <c r="D301" s="62"/>
      <c r="E301" s="12">
        <v>0</v>
      </c>
      <c r="F301" s="12">
        <v>0</v>
      </c>
      <c r="G301" s="65"/>
      <c r="H301" s="65"/>
      <c r="I301" s="89"/>
      <c r="J301" s="65"/>
      <c r="K301" s="37"/>
      <c r="L301" s="37"/>
      <c r="M301" s="37"/>
      <c r="N301" s="37"/>
      <c r="O301" s="37"/>
      <c r="P301" s="37"/>
      <c r="Q301" s="37"/>
      <c r="R301" s="37"/>
      <c r="S301" s="37"/>
      <c r="T301" s="37"/>
      <c r="U301" s="3"/>
      <c r="W301" s="3"/>
      <c r="X301" s="3"/>
      <c r="Y301" s="3"/>
      <c r="Z301" s="3"/>
    </row>
    <row r="302" spans="1:26" ht="14.4" hidden="1" outlineLevel="1" x14ac:dyDescent="0.3">
      <c r="A302" s="3"/>
      <c r="B302" s="10" t="s">
        <v>355</v>
      </c>
      <c r="C302" s="62"/>
      <c r="D302" s="62"/>
      <c r="E302" s="12">
        <v>0</v>
      </c>
      <c r="F302" s="12">
        <v>0</v>
      </c>
      <c r="G302" s="65"/>
      <c r="H302" s="65"/>
      <c r="I302" s="89"/>
      <c r="J302" s="65"/>
      <c r="K302" s="37"/>
      <c r="L302" s="37"/>
      <c r="M302" s="37"/>
      <c r="N302" s="37"/>
      <c r="O302" s="37"/>
      <c r="P302" s="37"/>
      <c r="Q302" s="37"/>
      <c r="R302" s="37"/>
      <c r="S302" s="37"/>
      <c r="T302" s="37"/>
      <c r="U302" s="3"/>
      <c r="W302" s="3"/>
      <c r="X302" s="3"/>
      <c r="Y302" s="3"/>
      <c r="Z302" s="3"/>
    </row>
    <row r="303" spans="1:26" ht="14.4" hidden="1" outlineLevel="1" x14ac:dyDescent="0.3">
      <c r="A303" s="3"/>
      <c r="B303" s="10" t="s">
        <v>369</v>
      </c>
      <c r="C303" s="62"/>
      <c r="D303" s="62"/>
      <c r="E303" s="12">
        <v>0</v>
      </c>
      <c r="F303" s="12">
        <v>0</v>
      </c>
      <c r="G303" s="65"/>
      <c r="H303" s="65"/>
      <c r="I303" s="89"/>
      <c r="J303" s="65"/>
      <c r="K303" s="37"/>
      <c r="L303" s="37"/>
      <c r="M303" s="37"/>
      <c r="N303" s="37"/>
      <c r="O303" s="37"/>
      <c r="P303" s="37"/>
      <c r="Q303" s="37"/>
      <c r="R303" s="37"/>
      <c r="S303" s="37"/>
      <c r="T303" s="37"/>
      <c r="U303" s="3"/>
      <c r="W303" s="3"/>
      <c r="X303" s="3"/>
      <c r="Y303" s="3"/>
      <c r="Z303" s="3"/>
    </row>
    <row r="304" spans="1:26" ht="14.4" hidden="1" outlineLevel="1" x14ac:dyDescent="0.3">
      <c r="A304" s="3"/>
      <c r="B304" s="10" t="s">
        <v>327</v>
      </c>
      <c r="C304" s="62"/>
      <c r="D304" s="62"/>
      <c r="E304" s="12">
        <v>0</v>
      </c>
      <c r="F304" s="12">
        <v>0</v>
      </c>
      <c r="G304" s="65"/>
      <c r="H304" s="65"/>
      <c r="I304" s="89"/>
      <c r="J304" s="65"/>
      <c r="K304" s="37"/>
      <c r="L304" s="37"/>
      <c r="M304" s="37"/>
      <c r="N304" s="37"/>
      <c r="O304" s="37"/>
      <c r="P304" s="37"/>
      <c r="Q304" s="37"/>
      <c r="R304" s="37"/>
      <c r="S304" s="37"/>
      <c r="T304" s="37"/>
      <c r="U304" s="3"/>
      <c r="W304" s="3"/>
      <c r="X304" s="3"/>
      <c r="Y304" s="3"/>
      <c r="Z304" s="3"/>
    </row>
    <row r="305" spans="1:26" ht="14.4" hidden="1" outlineLevel="1" x14ac:dyDescent="0.3">
      <c r="A305" s="3"/>
      <c r="B305" s="10" t="s">
        <v>328</v>
      </c>
      <c r="C305" s="62"/>
      <c r="D305" s="62"/>
      <c r="E305" s="12">
        <v>0</v>
      </c>
      <c r="F305" s="12">
        <v>0</v>
      </c>
      <c r="G305" s="65"/>
      <c r="H305" s="65"/>
      <c r="I305" s="89"/>
      <c r="J305" s="65"/>
      <c r="K305" s="37"/>
      <c r="L305" s="37"/>
      <c r="M305" s="37"/>
      <c r="N305" s="37"/>
      <c r="O305" s="37"/>
      <c r="P305" s="37"/>
      <c r="Q305" s="37"/>
      <c r="R305" s="37"/>
      <c r="S305" s="37"/>
      <c r="T305" s="37"/>
      <c r="U305" s="3"/>
      <c r="W305" s="3"/>
      <c r="X305" s="3"/>
      <c r="Y305" s="3"/>
      <c r="Z305" s="3"/>
    </row>
    <row r="306" spans="1:26" ht="14.4" hidden="1" outlineLevel="1" x14ac:dyDescent="0.3">
      <c r="A306" s="3"/>
      <c r="B306" s="10" t="s">
        <v>370</v>
      </c>
      <c r="C306" s="62"/>
      <c r="D306" s="62"/>
      <c r="E306" s="12">
        <v>0</v>
      </c>
      <c r="F306" s="12">
        <v>0</v>
      </c>
      <c r="G306" s="65"/>
      <c r="H306" s="65"/>
      <c r="I306" s="89"/>
      <c r="J306" s="65"/>
      <c r="K306" s="37"/>
      <c r="L306" s="37"/>
      <c r="M306" s="37"/>
      <c r="N306" s="37"/>
      <c r="O306" s="37"/>
      <c r="P306" s="37"/>
      <c r="Q306" s="37"/>
      <c r="R306" s="37"/>
      <c r="S306" s="37"/>
      <c r="T306" s="37"/>
      <c r="U306" s="3"/>
      <c r="W306" s="3"/>
      <c r="X306" s="3"/>
      <c r="Y306" s="3"/>
      <c r="Z306" s="3"/>
    </row>
    <row r="307" spans="1:26" ht="14.4" hidden="1" outlineLevel="1" x14ac:dyDescent="0.3">
      <c r="A307" s="3"/>
      <c r="B307" s="10" t="s">
        <v>371</v>
      </c>
      <c r="C307" s="62"/>
      <c r="D307" s="62"/>
      <c r="E307" s="12">
        <v>0</v>
      </c>
      <c r="F307" s="12">
        <v>0</v>
      </c>
      <c r="G307" s="65"/>
      <c r="H307" s="65"/>
      <c r="I307" s="89"/>
      <c r="J307" s="65"/>
      <c r="K307" s="37"/>
      <c r="L307" s="37"/>
      <c r="M307" s="37"/>
      <c r="N307" s="37"/>
      <c r="O307" s="37"/>
      <c r="P307" s="37"/>
      <c r="Q307" s="37"/>
      <c r="R307" s="37"/>
      <c r="S307" s="37"/>
      <c r="T307" s="37"/>
      <c r="U307" s="3"/>
      <c r="W307" s="3"/>
      <c r="X307" s="3"/>
      <c r="Y307" s="3"/>
      <c r="Z307" s="3"/>
    </row>
    <row r="308" spans="1:26" ht="14.4" hidden="1" outlineLevel="1" x14ac:dyDescent="0.3">
      <c r="A308" s="3"/>
      <c r="B308" s="10" t="s">
        <v>372</v>
      </c>
      <c r="C308" s="62"/>
      <c r="D308" s="62"/>
      <c r="E308" s="12">
        <v>0</v>
      </c>
      <c r="F308" s="12">
        <v>0</v>
      </c>
      <c r="G308" s="65"/>
      <c r="H308" s="65"/>
      <c r="I308" s="89"/>
      <c r="J308" s="65"/>
      <c r="K308" s="37"/>
      <c r="L308" s="37"/>
      <c r="M308" s="37"/>
      <c r="N308" s="37"/>
      <c r="O308" s="37"/>
      <c r="P308" s="37"/>
      <c r="Q308" s="37"/>
      <c r="R308" s="37"/>
      <c r="S308" s="37"/>
      <c r="T308" s="37"/>
      <c r="U308" s="3"/>
      <c r="W308" s="3"/>
      <c r="X308" s="3"/>
      <c r="Y308" s="3"/>
      <c r="Z308" s="3"/>
    </row>
    <row r="309" spans="1:26" hidden="1" outlineLevel="1" x14ac:dyDescent="0.3">
      <c r="A309" s="3"/>
      <c r="B309" s="91" t="s">
        <v>689</v>
      </c>
      <c r="C309" s="92"/>
      <c r="D309" s="92"/>
      <c r="E309" s="93">
        <f>SUM(E310:E318)</f>
        <v>0</v>
      </c>
      <c r="F309" s="93">
        <f>SUMIF(D310:D318,"OK",F310:F318)</f>
        <v>0</v>
      </c>
      <c r="G309" s="94"/>
      <c r="H309" s="94"/>
      <c r="I309" s="95"/>
      <c r="J309" s="94"/>
      <c r="K309" s="37"/>
      <c r="L309" s="37"/>
      <c r="M309" s="37"/>
      <c r="N309" s="37"/>
      <c r="O309" s="37"/>
      <c r="P309" s="37"/>
      <c r="Q309" s="37"/>
      <c r="R309" s="37"/>
      <c r="S309" s="37"/>
      <c r="T309" s="37"/>
      <c r="U309" s="3"/>
      <c r="W309" s="3"/>
      <c r="X309" s="3"/>
      <c r="Y309" s="3"/>
      <c r="Z309" s="3"/>
    </row>
    <row r="310" spans="1:26" ht="14.4" hidden="1" outlineLevel="1" x14ac:dyDescent="0.3">
      <c r="A310" s="3"/>
      <c r="B310" s="10" t="s">
        <v>353</v>
      </c>
      <c r="C310" s="62"/>
      <c r="D310" s="62"/>
      <c r="E310" s="12">
        <v>0</v>
      </c>
      <c r="F310" s="12">
        <v>0</v>
      </c>
      <c r="G310" s="65"/>
      <c r="H310" s="65"/>
      <c r="I310" s="112"/>
      <c r="J310" s="65"/>
      <c r="K310" s="37"/>
      <c r="L310" s="37"/>
      <c r="M310" s="37"/>
      <c r="N310" s="37"/>
      <c r="O310" s="37"/>
      <c r="P310" s="37"/>
      <c r="Q310" s="37"/>
      <c r="R310" s="37"/>
      <c r="S310" s="37"/>
      <c r="T310" s="37"/>
      <c r="U310" s="3"/>
      <c r="W310" s="3"/>
      <c r="X310" s="3"/>
      <c r="Y310" s="3"/>
      <c r="Z310" s="3"/>
    </row>
    <row r="311" spans="1:26" ht="14.4" hidden="1" outlineLevel="1" x14ac:dyDescent="0.3">
      <c r="A311" s="3"/>
      <c r="B311" s="10" t="s">
        <v>354</v>
      </c>
      <c r="C311" s="62"/>
      <c r="D311" s="62"/>
      <c r="E311" s="12">
        <v>0</v>
      </c>
      <c r="F311" s="12">
        <v>0</v>
      </c>
      <c r="G311" s="65"/>
      <c r="H311" s="65"/>
      <c r="I311" s="112"/>
      <c r="J311" s="65"/>
      <c r="K311" s="37"/>
      <c r="L311" s="37"/>
      <c r="M311" s="37"/>
      <c r="N311" s="37"/>
      <c r="O311" s="37"/>
      <c r="P311" s="37"/>
      <c r="Q311" s="37"/>
      <c r="R311" s="37"/>
      <c r="S311" s="37"/>
      <c r="T311" s="37"/>
      <c r="U311" s="3"/>
      <c r="W311" s="3"/>
      <c r="X311" s="3"/>
      <c r="Y311" s="3"/>
      <c r="Z311" s="3"/>
    </row>
    <row r="312" spans="1:26" ht="14.4" hidden="1" outlineLevel="1" x14ac:dyDescent="0.3">
      <c r="A312" s="3"/>
      <c r="B312" s="10" t="s">
        <v>355</v>
      </c>
      <c r="C312" s="62"/>
      <c r="D312" s="62"/>
      <c r="E312" s="12">
        <v>0</v>
      </c>
      <c r="F312" s="12">
        <v>0</v>
      </c>
      <c r="G312" s="65"/>
      <c r="H312" s="65"/>
      <c r="I312" s="89"/>
      <c r="J312" s="65"/>
      <c r="K312" s="37"/>
      <c r="L312" s="37"/>
      <c r="M312" s="37"/>
      <c r="N312" s="37"/>
      <c r="O312" s="37"/>
      <c r="P312" s="37"/>
      <c r="Q312" s="37"/>
      <c r="R312" s="37"/>
      <c r="S312" s="37"/>
      <c r="T312" s="37"/>
      <c r="U312" s="3"/>
      <c r="W312" s="3"/>
      <c r="X312" s="3"/>
      <c r="Y312" s="3"/>
      <c r="Z312" s="3"/>
    </row>
    <row r="313" spans="1:26" ht="14.4" hidden="1" outlineLevel="1" x14ac:dyDescent="0.3">
      <c r="A313" s="3"/>
      <c r="B313" s="10" t="s">
        <v>369</v>
      </c>
      <c r="C313" s="62"/>
      <c r="D313" s="62"/>
      <c r="E313" s="12">
        <v>0</v>
      </c>
      <c r="F313" s="12">
        <v>0</v>
      </c>
      <c r="G313" s="65"/>
      <c r="H313" s="65"/>
      <c r="I313" s="89"/>
      <c r="J313" s="65"/>
      <c r="K313" s="37"/>
      <c r="L313" s="37"/>
      <c r="M313" s="37"/>
      <c r="N313" s="37"/>
      <c r="O313" s="37"/>
      <c r="P313" s="37"/>
      <c r="Q313" s="37"/>
      <c r="R313" s="37"/>
      <c r="S313" s="37"/>
      <c r="T313" s="37"/>
      <c r="U313" s="3"/>
      <c r="W313" s="3"/>
      <c r="X313" s="3"/>
      <c r="Y313" s="3"/>
      <c r="Z313" s="3"/>
    </row>
    <row r="314" spans="1:26" ht="14.4" hidden="1" outlineLevel="1" x14ac:dyDescent="0.3">
      <c r="A314" s="3"/>
      <c r="B314" s="10" t="s">
        <v>327</v>
      </c>
      <c r="C314" s="62"/>
      <c r="D314" s="62"/>
      <c r="E314" s="12">
        <v>0</v>
      </c>
      <c r="F314" s="12">
        <v>0</v>
      </c>
      <c r="G314" s="65"/>
      <c r="H314" s="65"/>
      <c r="I314" s="89"/>
      <c r="J314" s="65"/>
      <c r="K314" s="37"/>
      <c r="L314" s="37"/>
      <c r="M314" s="37"/>
      <c r="N314" s="37"/>
      <c r="O314" s="37"/>
      <c r="P314" s="37"/>
      <c r="Q314" s="37"/>
      <c r="R314" s="37"/>
      <c r="S314" s="37"/>
      <c r="T314" s="37"/>
      <c r="U314" s="3"/>
      <c r="W314" s="3"/>
      <c r="X314" s="3"/>
      <c r="Y314" s="3"/>
      <c r="Z314" s="3"/>
    </row>
    <row r="315" spans="1:26" ht="14.4" hidden="1" outlineLevel="1" x14ac:dyDescent="0.3">
      <c r="A315" s="3"/>
      <c r="B315" s="10" t="s">
        <v>328</v>
      </c>
      <c r="C315" s="62"/>
      <c r="D315" s="62"/>
      <c r="E315" s="12">
        <v>0</v>
      </c>
      <c r="F315" s="12">
        <v>0</v>
      </c>
      <c r="G315" s="65"/>
      <c r="H315" s="65"/>
      <c r="I315" s="89"/>
      <c r="J315" s="65"/>
      <c r="K315" s="37"/>
      <c r="L315" s="37"/>
      <c r="M315" s="37"/>
      <c r="N315" s="37"/>
      <c r="O315" s="37"/>
      <c r="P315" s="37"/>
      <c r="Q315" s="37"/>
      <c r="R315" s="37"/>
      <c r="S315" s="37"/>
      <c r="T315" s="37"/>
      <c r="U315" s="3"/>
      <c r="W315" s="3"/>
      <c r="X315" s="3"/>
      <c r="Y315" s="3"/>
      <c r="Z315" s="3"/>
    </row>
    <row r="316" spans="1:26" ht="14.4" hidden="1" outlineLevel="1" x14ac:dyDescent="0.3">
      <c r="A316" s="3"/>
      <c r="B316" s="10" t="s">
        <v>370</v>
      </c>
      <c r="C316" s="62"/>
      <c r="D316" s="62"/>
      <c r="E316" s="12">
        <v>0</v>
      </c>
      <c r="F316" s="12">
        <v>0</v>
      </c>
      <c r="G316" s="65"/>
      <c r="H316" s="65"/>
      <c r="I316" s="89"/>
      <c r="J316" s="65"/>
      <c r="K316" s="37"/>
      <c r="L316" s="37"/>
      <c r="M316" s="37"/>
      <c r="N316" s="37"/>
      <c r="O316" s="37"/>
      <c r="P316" s="37"/>
      <c r="Q316" s="37"/>
      <c r="R316" s="37"/>
      <c r="S316" s="37"/>
      <c r="T316" s="37"/>
      <c r="U316" s="3"/>
      <c r="W316" s="3"/>
      <c r="X316" s="3"/>
      <c r="Y316" s="3"/>
      <c r="Z316" s="3"/>
    </row>
    <row r="317" spans="1:26" ht="14.4" hidden="1" outlineLevel="1" x14ac:dyDescent="0.3">
      <c r="A317" s="3"/>
      <c r="B317" s="10" t="s">
        <v>371</v>
      </c>
      <c r="C317" s="62"/>
      <c r="D317" s="62"/>
      <c r="E317" s="12">
        <v>0</v>
      </c>
      <c r="F317" s="12">
        <v>0</v>
      </c>
      <c r="G317" s="65"/>
      <c r="H317" s="65"/>
      <c r="I317" s="89"/>
      <c r="J317" s="65"/>
      <c r="K317" s="37"/>
      <c r="L317" s="37"/>
      <c r="M317" s="37"/>
      <c r="N317" s="37"/>
      <c r="O317" s="37"/>
      <c r="P317" s="37"/>
      <c r="Q317" s="37"/>
      <c r="R317" s="37"/>
      <c r="S317" s="37"/>
      <c r="T317" s="37"/>
      <c r="U317" s="3"/>
      <c r="W317" s="3"/>
      <c r="X317" s="3"/>
      <c r="Y317" s="3"/>
      <c r="Z317" s="3"/>
    </row>
    <row r="318" spans="1:26" ht="14.4" hidden="1" outlineLevel="1" x14ac:dyDescent="0.3">
      <c r="A318" s="3"/>
      <c r="B318" s="10" t="s">
        <v>372</v>
      </c>
      <c r="C318" s="62"/>
      <c r="D318" s="62"/>
      <c r="E318" s="12">
        <v>0</v>
      </c>
      <c r="F318" s="12">
        <v>0</v>
      </c>
      <c r="G318" s="65"/>
      <c r="H318" s="65"/>
      <c r="I318" s="89"/>
      <c r="J318" s="65"/>
      <c r="K318" s="37"/>
      <c r="L318" s="37"/>
      <c r="M318" s="37"/>
      <c r="N318" s="37"/>
      <c r="O318" s="37"/>
      <c r="P318" s="37"/>
      <c r="Q318" s="37"/>
      <c r="R318" s="37"/>
      <c r="S318" s="37"/>
      <c r="T318" s="37"/>
      <c r="U318" s="3"/>
      <c r="W318" s="3"/>
      <c r="X318" s="3"/>
      <c r="Y318" s="3"/>
      <c r="Z318" s="3"/>
    </row>
    <row r="319" spans="1:26" ht="20.399999999999999" collapsed="1" x14ac:dyDescent="0.3">
      <c r="A319" s="3"/>
      <c r="B319" s="84" t="s">
        <v>411</v>
      </c>
      <c r="C319" s="85" t="s">
        <v>43</v>
      </c>
      <c r="D319" s="85" t="s">
        <v>43</v>
      </c>
      <c r="E319" s="86">
        <f>SUM(E320:E334)</f>
        <v>0</v>
      </c>
      <c r="F319" s="86">
        <f>SUMIF(D320:D334,"OK",F320:F334)</f>
        <v>104</v>
      </c>
      <c r="G319" s="87"/>
      <c r="H319" s="87"/>
      <c r="I319" s="88"/>
      <c r="J319" s="87"/>
      <c r="K319" s="37"/>
      <c r="L319" s="37"/>
      <c r="M319" s="37"/>
      <c r="N319" s="37"/>
      <c r="O319" s="37"/>
      <c r="P319" s="37"/>
      <c r="Q319" s="37"/>
      <c r="R319" s="37"/>
      <c r="S319" s="37"/>
      <c r="T319" s="37"/>
      <c r="U319" s="3"/>
      <c r="W319" s="3"/>
      <c r="X319" s="3"/>
      <c r="Y319" s="3"/>
      <c r="Z319" s="3"/>
    </row>
    <row r="320" spans="1:26" ht="14.4" hidden="1" outlineLevel="1" x14ac:dyDescent="0.3">
      <c r="A320" s="3"/>
      <c r="B320" s="10" t="s">
        <v>412</v>
      </c>
      <c r="C320" s="62"/>
      <c r="D320" s="62"/>
      <c r="E320" s="12">
        <v>0</v>
      </c>
      <c r="F320" s="12">
        <v>0</v>
      </c>
      <c r="G320" s="65"/>
      <c r="H320" s="65"/>
      <c r="I320" s="89"/>
      <c r="J320" s="65"/>
      <c r="K320" s="37"/>
      <c r="L320" s="37"/>
      <c r="M320" s="37"/>
      <c r="N320" s="37"/>
      <c r="O320" s="37"/>
      <c r="P320" s="37"/>
      <c r="Q320" s="37"/>
      <c r="R320" s="37"/>
      <c r="S320" s="37"/>
      <c r="T320" s="37"/>
      <c r="U320" s="3"/>
      <c r="W320" s="3"/>
      <c r="X320" s="3"/>
      <c r="Y320" s="3"/>
      <c r="Z320" s="3"/>
    </row>
    <row r="321" spans="1:26" ht="14.4" hidden="1" outlineLevel="1" x14ac:dyDescent="0.3">
      <c r="A321" s="3"/>
      <c r="B321" s="10" t="s">
        <v>413</v>
      </c>
      <c r="C321" s="62"/>
      <c r="D321" s="62"/>
      <c r="E321" s="12">
        <v>0</v>
      </c>
      <c r="F321" s="12">
        <v>0</v>
      </c>
      <c r="G321" s="89"/>
      <c r="H321" s="65"/>
      <c r="I321" s="112"/>
      <c r="J321" s="65"/>
      <c r="K321" s="37"/>
      <c r="L321" s="37"/>
      <c r="M321" s="37"/>
      <c r="N321" s="37"/>
      <c r="O321" s="37"/>
      <c r="P321" s="37"/>
      <c r="Q321" s="37"/>
      <c r="R321" s="37"/>
      <c r="S321" s="37"/>
      <c r="T321" s="37"/>
      <c r="U321" s="3"/>
      <c r="W321" s="3"/>
      <c r="X321" s="3"/>
      <c r="Y321" s="3"/>
      <c r="Z321" s="3"/>
    </row>
    <row r="322" spans="1:26" ht="14.4" hidden="1" outlineLevel="1" x14ac:dyDescent="0.3">
      <c r="A322" s="3"/>
      <c r="B322" s="10" t="s">
        <v>413</v>
      </c>
      <c r="C322" s="62"/>
      <c r="D322" s="62"/>
      <c r="E322" s="12">
        <v>0</v>
      </c>
      <c r="F322" s="12">
        <v>0</v>
      </c>
      <c r="G322" s="65"/>
      <c r="H322" s="65"/>
      <c r="I322" s="112"/>
      <c r="J322" s="65"/>
      <c r="K322" s="37"/>
      <c r="L322" s="37"/>
      <c r="M322" s="37"/>
      <c r="N322" s="37"/>
      <c r="O322" s="37"/>
      <c r="P322" s="37"/>
      <c r="Q322" s="37"/>
      <c r="R322" s="37"/>
      <c r="S322" s="37"/>
      <c r="T322" s="37"/>
      <c r="U322" s="3"/>
      <c r="W322" s="3"/>
      <c r="X322" s="3"/>
      <c r="Y322" s="3"/>
      <c r="Z322" s="3"/>
    </row>
    <row r="323" spans="1:26" ht="14.4" hidden="1" outlineLevel="1" x14ac:dyDescent="0.3">
      <c r="A323" s="3"/>
      <c r="B323" s="10" t="s">
        <v>414</v>
      </c>
      <c r="C323" s="62"/>
      <c r="D323" s="62"/>
      <c r="E323" s="12">
        <v>0</v>
      </c>
      <c r="F323" s="12">
        <v>0</v>
      </c>
      <c r="G323" s="65"/>
      <c r="H323" s="65"/>
      <c r="I323" s="89"/>
      <c r="J323" s="65"/>
      <c r="K323" s="37"/>
      <c r="L323" s="37"/>
      <c r="M323" s="37"/>
      <c r="N323" s="37"/>
      <c r="O323" s="37"/>
      <c r="P323" s="37"/>
      <c r="Q323" s="37"/>
      <c r="R323" s="37"/>
      <c r="S323" s="37"/>
      <c r="T323" s="37"/>
      <c r="U323" s="3"/>
      <c r="W323" s="3"/>
      <c r="X323" s="3"/>
      <c r="Y323" s="3"/>
      <c r="Z323" s="3"/>
    </row>
    <row r="324" spans="1:26" ht="14.4" hidden="1" outlineLevel="1" x14ac:dyDescent="0.3">
      <c r="A324" s="3"/>
      <c r="B324" s="10" t="s">
        <v>414</v>
      </c>
      <c r="C324" s="62"/>
      <c r="D324" s="62"/>
      <c r="E324" s="12">
        <v>0</v>
      </c>
      <c r="F324" s="12">
        <v>0</v>
      </c>
      <c r="G324" s="65"/>
      <c r="H324" s="65"/>
      <c r="I324" s="89"/>
      <c r="J324" s="65"/>
      <c r="K324" s="37"/>
      <c r="L324" s="37"/>
      <c r="M324" s="37"/>
      <c r="N324" s="37"/>
      <c r="O324" s="37"/>
      <c r="P324" s="37"/>
      <c r="Q324" s="37"/>
      <c r="R324" s="37"/>
      <c r="S324" s="37"/>
      <c r="T324" s="37"/>
      <c r="U324" s="3"/>
      <c r="W324" s="3"/>
      <c r="X324" s="3"/>
      <c r="Y324" s="3"/>
      <c r="Z324" s="3"/>
    </row>
    <row r="325" spans="1:26" ht="14.4" hidden="1" outlineLevel="1" x14ac:dyDescent="0.3">
      <c r="A325" s="3"/>
      <c r="B325" s="10" t="s">
        <v>414</v>
      </c>
      <c r="C325" s="62"/>
      <c r="D325" s="62"/>
      <c r="E325" s="12">
        <v>0</v>
      </c>
      <c r="F325" s="12">
        <v>0</v>
      </c>
      <c r="G325" s="65"/>
      <c r="H325" s="65"/>
      <c r="I325" s="89"/>
      <c r="J325" s="65"/>
      <c r="K325" s="37"/>
      <c r="L325" s="37"/>
      <c r="M325" s="37"/>
      <c r="N325" s="37"/>
      <c r="O325" s="37"/>
      <c r="P325" s="37"/>
      <c r="Q325" s="37"/>
      <c r="R325" s="37"/>
      <c r="S325" s="37"/>
      <c r="T325" s="37"/>
      <c r="U325" s="3"/>
      <c r="W325" s="3"/>
      <c r="X325" s="3"/>
      <c r="Y325" s="3"/>
      <c r="Z325" s="3"/>
    </row>
    <row r="326" spans="1:26" ht="14.4" hidden="1" outlineLevel="1" x14ac:dyDescent="0.3">
      <c r="A326" s="3"/>
      <c r="B326" s="10" t="s">
        <v>415</v>
      </c>
      <c r="C326" s="62">
        <v>1</v>
      </c>
      <c r="D326" s="62" t="s">
        <v>94</v>
      </c>
      <c r="E326" s="12">
        <v>0</v>
      </c>
      <c r="F326" s="12">
        <v>104</v>
      </c>
      <c r="G326" s="65"/>
      <c r="H326" s="65" t="s">
        <v>37</v>
      </c>
      <c r="I326" s="112" t="s">
        <v>1267</v>
      </c>
      <c r="J326" s="65"/>
      <c r="K326" s="37"/>
      <c r="L326" s="37"/>
      <c r="M326" s="37"/>
      <c r="N326" s="37"/>
      <c r="O326" s="37"/>
      <c r="P326" s="37"/>
      <c r="Q326" s="37"/>
      <c r="R326" s="37"/>
      <c r="S326" s="37"/>
      <c r="T326" s="37"/>
      <c r="U326" s="3"/>
      <c r="W326" s="3"/>
      <c r="X326" s="3"/>
      <c r="Y326" s="3"/>
      <c r="Z326" s="3"/>
    </row>
    <row r="327" spans="1:26" ht="14.4" hidden="1" outlineLevel="1" x14ac:dyDescent="0.3">
      <c r="A327" s="3"/>
      <c r="B327" s="10" t="s">
        <v>415</v>
      </c>
      <c r="C327" s="62"/>
      <c r="D327" s="62"/>
      <c r="E327" s="12">
        <v>0</v>
      </c>
      <c r="F327" s="12">
        <v>0</v>
      </c>
      <c r="G327" s="65"/>
      <c r="H327" s="65"/>
      <c r="I327" s="112"/>
      <c r="J327" s="65"/>
      <c r="K327" s="37"/>
      <c r="L327" s="37"/>
      <c r="M327" s="37"/>
      <c r="N327" s="37"/>
      <c r="O327" s="37"/>
      <c r="P327" s="37"/>
      <c r="Q327" s="37"/>
      <c r="R327" s="37"/>
      <c r="S327" s="37"/>
      <c r="T327" s="37"/>
      <c r="U327" s="3"/>
      <c r="W327" s="3"/>
      <c r="X327" s="3"/>
      <c r="Y327" s="3"/>
      <c r="Z327" s="3"/>
    </row>
    <row r="328" spans="1:26" ht="14.4" hidden="1" outlineLevel="1" x14ac:dyDescent="0.3">
      <c r="A328" s="3"/>
      <c r="B328" s="10" t="s">
        <v>415</v>
      </c>
      <c r="C328" s="62"/>
      <c r="D328" s="62"/>
      <c r="E328" s="12">
        <v>0</v>
      </c>
      <c r="F328" s="12">
        <v>0</v>
      </c>
      <c r="G328" s="65"/>
      <c r="H328" s="65"/>
      <c r="I328" s="112"/>
      <c r="J328" s="65"/>
      <c r="K328" s="37"/>
      <c r="L328" s="37"/>
      <c r="M328" s="37"/>
      <c r="N328" s="37"/>
      <c r="O328" s="37"/>
      <c r="P328" s="37"/>
      <c r="Q328" s="37"/>
      <c r="R328" s="37"/>
      <c r="S328" s="37"/>
      <c r="T328" s="37"/>
      <c r="U328" s="3"/>
      <c r="W328" s="3"/>
      <c r="X328" s="3"/>
      <c r="Y328" s="3"/>
      <c r="Z328" s="3"/>
    </row>
    <row r="329" spans="1:26" ht="14.4" hidden="1" outlineLevel="1" x14ac:dyDescent="0.3">
      <c r="A329" s="3"/>
      <c r="B329" s="10" t="s">
        <v>416</v>
      </c>
      <c r="C329" s="62"/>
      <c r="D329" s="62"/>
      <c r="E329" s="12">
        <v>0</v>
      </c>
      <c r="F329" s="12">
        <v>0</v>
      </c>
      <c r="G329" s="65"/>
      <c r="H329" s="65"/>
      <c r="I329" s="89"/>
      <c r="J329" s="65"/>
      <c r="K329" s="37"/>
      <c r="L329" s="37"/>
      <c r="M329" s="37"/>
      <c r="N329" s="37"/>
      <c r="O329" s="37"/>
      <c r="P329" s="37"/>
      <c r="Q329" s="37"/>
      <c r="R329" s="37"/>
      <c r="S329" s="37"/>
      <c r="T329" s="37"/>
      <c r="U329" s="3"/>
      <c r="W329" s="3"/>
      <c r="X329" s="3"/>
      <c r="Y329" s="3"/>
      <c r="Z329" s="3"/>
    </row>
    <row r="330" spans="1:26" ht="14.4" hidden="1" outlineLevel="1" x14ac:dyDescent="0.3">
      <c r="A330" s="3"/>
      <c r="B330" s="10" t="s">
        <v>417</v>
      </c>
      <c r="C330" s="62"/>
      <c r="D330" s="62"/>
      <c r="E330" s="12">
        <v>0</v>
      </c>
      <c r="F330" s="12">
        <v>0</v>
      </c>
      <c r="G330" s="65"/>
      <c r="H330" s="65"/>
      <c r="I330" s="89"/>
      <c r="J330" s="65"/>
      <c r="K330" s="37"/>
      <c r="L330" s="37"/>
      <c r="M330" s="37"/>
      <c r="N330" s="37"/>
      <c r="O330" s="37"/>
      <c r="P330" s="37"/>
      <c r="Q330" s="37"/>
      <c r="R330" s="37"/>
      <c r="S330" s="37"/>
      <c r="T330" s="37"/>
      <c r="U330" s="3"/>
      <c r="W330" s="3"/>
      <c r="X330" s="3"/>
      <c r="Y330" s="3"/>
      <c r="Z330" s="3"/>
    </row>
    <row r="331" spans="1:26" ht="14.4" hidden="1" outlineLevel="1" x14ac:dyDescent="0.3">
      <c r="A331" s="3"/>
      <c r="B331" s="10" t="s">
        <v>418</v>
      </c>
      <c r="C331" s="62"/>
      <c r="D331" s="62"/>
      <c r="E331" s="12">
        <v>0</v>
      </c>
      <c r="F331" s="12">
        <v>0</v>
      </c>
      <c r="G331" s="65"/>
      <c r="H331" s="65"/>
      <c r="I331" s="89"/>
      <c r="J331" s="65"/>
      <c r="K331" s="37"/>
      <c r="L331" s="37"/>
      <c r="M331" s="37"/>
      <c r="N331" s="37"/>
      <c r="O331" s="37"/>
      <c r="P331" s="37"/>
      <c r="Q331" s="37"/>
      <c r="R331" s="37"/>
      <c r="S331" s="37"/>
      <c r="T331" s="37"/>
      <c r="U331" s="3"/>
      <c r="W331" s="3"/>
      <c r="X331" s="3"/>
      <c r="Y331" s="3"/>
      <c r="Z331" s="3"/>
    </row>
    <row r="332" spans="1:26" ht="14.4" hidden="1" outlineLevel="1" x14ac:dyDescent="0.3">
      <c r="A332" s="3"/>
      <c r="B332" s="10" t="s">
        <v>419</v>
      </c>
      <c r="C332" s="62"/>
      <c r="D332" s="62"/>
      <c r="E332" s="12">
        <v>0</v>
      </c>
      <c r="F332" s="12">
        <v>0</v>
      </c>
      <c r="G332" s="65"/>
      <c r="H332" s="65"/>
      <c r="I332" s="89"/>
      <c r="J332" s="65"/>
      <c r="K332" s="37"/>
      <c r="L332" s="37"/>
      <c r="M332" s="37"/>
      <c r="N332" s="37"/>
      <c r="O332" s="37"/>
      <c r="P332" s="37"/>
      <c r="Q332" s="37"/>
      <c r="R332" s="37"/>
      <c r="S332" s="37"/>
      <c r="T332" s="37"/>
      <c r="U332" s="3"/>
      <c r="W332" s="3"/>
      <c r="X332" s="3"/>
      <c r="Y332" s="3"/>
      <c r="Z332" s="3"/>
    </row>
    <row r="333" spans="1:26" ht="14.4" hidden="1" outlineLevel="1" x14ac:dyDescent="0.3">
      <c r="A333" s="3"/>
      <c r="B333" s="10" t="s">
        <v>420</v>
      </c>
      <c r="C333" s="62"/>
      <c r="D333" s="62"/>
      <c r="E333" s="12">
        <v>0</v>
      </c>
      <c r="F333" s="12">
        <v>0</v>
      </c>
      <c r="G333" s="65"/>
      <c r="H333" s="65"/>
      <c r="I333" s="89"/>
      <c r="J333" s="65"/>
      <c r="K333" s="37"/>
      <c r="L333" s="37"/>
      <c r="M333" s="37"/>
      <c r="N333" s="37"/>
      <c r="O333" s="37"/>
      <c r="P333" s="37"/>
      <c r="Q333" s="37"/>
      <c r="R333" s="37"/>
      <c r="S333" s="37"/>
      <c r="T333" s="37"/>
      <c r="U333" s="3"/>
      <c r="W333" s="3"/>
      <c r="X333" s="3"/>
      <c r="Y333" s="3"/>
      <c r="Z333" s="3"/>
    </row>
    <row r="334" spans="1:26" ht="14.4" hidden="1" outlineLevel="1" x14ac:dyDescent="0.3">
      <c r="A334" s="3"/>
      <c r="B334" s="10" t="s">
        <v>65</v>
      </c>
      <c r="C334" s="62"/>
      <c r="D334" s="62"/>
      <c r="E334" s="12">
        <v>0</v>
      </c>
      <c r="F334" s="12">
        <v>0</v>
      </c>
      <c r="G334" s="65"/>
      <c r="H334" s="65"/>
      <c r="I334" s="89"/>
      <c r="J334" s="65"/>
      <c r="K334" s="37"/>
      <c r="L334" s="37"/>
      <c r="M334" s="37"/>
      <c r="N334" s="37"/>
      <c r="O334" s="37"/>
      <c r="P334" s="37"/>
      <c r="Q334" s="37"/>
      <c r="R334" s="37"/>
      <c r="S334" s="37"/>
      <c r="T334" s="37"/>
      <c r="U334" s="3"/>
      <c r="W334" s="3"/>
      <c r="X334" s="3"/>
      <c r="Y334" s="3"/>
      <c r="Z334" s="3"/>
    </row>
    <row r="335" spans="1:26" ht="14.4" collapsed="1" x14ac:dyDescent="0.3">
      <c r="A335" s="3"/>
      <c r="B335" s="3"/>
      <c r="C335" s="37"/>
      <c r="D335" s="37"/>
      <c r="E335" s="37"/>
      <c r="F335" s="37"/>
      <c r="G335" s="98"/>
      <c r="H335" s="98"/>
      <c r="I335" s="99"/>
      <c r="J335" s="98"/>
      <c r="K335" s="37"/>
      <c r="L335" s="37"/>
      <c r="M335" s="37"/>
      <c r="N335" s="37"/>
      <c r="O335" s="37"/>
      <c r="P335" s="37"/>
      <c r="Q335" s="37"/>
      <c r="R335" s="37"/>
      <c r="S335" s="37"/>
      <c r="T335" s="37"/>
      <c r="U335" s="3"/>
    </row>
    <row r="336" spans="1:26" ht="15.75" customHeight="1" x14ac:dyDescent="0.3">
      <c r="A336" s="3"/>
      <c r="B336" s="3"/>
      <c r="C336" s="37"/>
      <c r="D336" s="37"/>
      <c r="E336" s="37"/>
      <c r="F336" s="37"/>
      <c r="G336" s="98"/>
      <c r="H336" s="98"/>
      <c r="I336" s="99"/>
      <c r="J336" s="98"/>
      <c r="K336" s="37"/>
      <c r="L336" s="37"/>
      <c r="M336" s="37"/>
      <c r="N336" s="37"/>
      <c r="O336" s="37"/>
      <c r="P336" s="37"/>
      <c r="Q336" s="37"/>
      <c r="R336" s="37"/>
      <c r="S336" s="37"/>
      <c r="T336" s="37"/>
      <c r="U336" s="3"/>
    </row>
    <row r="337" spans="1:21" ht="15.75" customHeight="1" x14ac:dyDescent="0.3">
      <c r="A337" s="3"/>
      <c r="B337" s="3"/>
      <c r="C337" s="37"/>
      <c r="D337" s="37"/>
      <c r="E337" s="37"/>
      <c r="F337" s="37"/>
      <c r="G337" s="98"/>
      <c r="H337" s="98"/>
      <c r="I337" s="99"/>
      <c r="J337" s="98"/>
      <c r="K337" s="37"/>
      <c r="L337" s="37"/>
      <c r="M337" s="37"/>
      <c r="N337" s="37"/>
      <c r="O337" s="37"/>
      <c r="P337" s="37"/>
      <c r="Q337" s="37"/>
      <c r="R337" s="37"/>
      <c r="S337" s="37"/>
      <c r="T337" s="37"/>
      <c r="U337" s="3"/>
    </row>
    <row r="338" spans="1:21" ht="15.75" customHeight="1" x14ac:dyDescent="0.3">
      <c r="A338" s="3"/>
      <c r="B338" s="3"/>
      <c r="C338" s="37"/>
      <c r="D338" s="37"/>
      <c r="E338" s="37"/>
      <c r="F338" s="37"/>
      <c r="G338" s="98"/>
      <c r="H338" s="98"/>
      <c r="I338" s="99"/>
      <c r="J338" s="98"/>
      <c r="K338" s="37"/>
      <c r="L338" s="37"/>
      <c r="M338" s="37"/>
      <c r="N338" s="37"/>
      <c r="O338" s="37"/>
      <c r="P338" s="37"/>
      <c r="Q338" s="37"/>
      <c r="R338" s="37"/>
      <c r="S338" s="37"/>
      <c r="T338" s="37"/>
      <c r="U338" s="3"/>
    </row>
    <row r="339" spans="1:21" ht="15.75" customHeight="1" x14ac:dyDescent="0.3">
      <c r="A339" s="3"/>
      <c r="B339" s="3"/>
      <c r="C339" s="37"/>
      <c r="D339" s="37"/>
      <c r="E339" s="37"/>
      <c r="F339" s="37"/>
      <c r="G339" s="98"/>
      <c r="H339" s="98"/>
      <c r="I339" s="99"/>
      <c r="J339" s="98"/>
      <c r="K339" s="37"/>
      <c r="L339" s="37"/>
      <c r="M339" s="37"/>
      <c r="N339" s="37"/>
      <c r="O339" s="37"/>
      <c r="P339" s="37"/>
      <c r="Q339" s="37"/>
      <c r="R339" s="37"/>
      <c r="S339" s="37"/>
      <c r="T339" s="37"/>
      <c r="U339" s="3"/>
    </row>
    <row r="340" spans="1:21" ht="15.75" customHeight="1" x14ac:dyDescent="0.3">
      <c r="A340" s="3"/>
      <c r="B340" s="3"/>
      <c r="C340" s="37"/>
      <c r="D340" s="37"/>
      <c r="E340" s="37"/>
      <c r="F340" s="37"/>
      <c r="G340" s="98"/>
      <c r="H340" s="98"/>
      <c r="I340" s="99"/>
      <c r="J340" s="98"/>
      <c r="K340" s="37"/>
      <c r="L340" s="37"/>
      <c r="M340" s="37"/>
      <c r="N340" s="37"/>
      <c r="O340" s="37"/>
      <c r="P340" s="37"/>
      <c r="Q340" s="37"/>
      <c r="R340" s="37"/>
      <c r="S340" s="37"/>
      <c r="T340" s="37"/>
      <c r="U340" s="3"/>
    </row>
    <row r="341" spans="1:21" ht="15.75" customHeight="1" x14ac:dyDescent="0.3">
      <c r="A341" s="3"/>
      <c r="B341" s="3"/>
      <c r="C341" s="37"/>
      <c r="D341" s="37"/>
      <c r="E341" s="37"/>
      <c r="F341" s="37"/>
      <c r="G341" s="98"/>
      <c r="H341" s="98"/>
      <c r="I341" s="99"/>
      <c r="J341" s="98"/>
      <c r="K341" s="37"/>
      <c r="L341" s="37"/>
      <c r="M341" s="37"/>
      <c r="N341" s="37"/>
      <c r="O341" s="37"/>
      <c r="P341" s="37"/>
      <c r="Q341" s="37"/>
      <c r="R341" s="37"/>
      <c r="S341" s="37"/>
      <c r="T341" s="37"/>
      <c r="U341" s="3"/>
    </row>
    <row r="342" spans="1:21" ht="15.75" customHeight="1" x14ac:dyDescent="0.3">
      <c r="A342" s="3"/>
      <c r="B342" s="3"/>
      <c r="C342" s="37"/>
      <c r="D342" s="37"/>
      <c r="E342" s="37"/>
      <c r="F342" s="37"/>
      <c r="G342" s="98"/>
      <c r="H342" s="98"/>
      <c r="I342" s="99"/>
      <c r="J342" s="98"/>
      <c r="K342" s="37"/>
      <c r="L342" s="37"/>
      <c r="M342" s="37"/>
      <c r="N342" s="37"/>
      <c r="O342" s="37"/>
      <c r="P342" s="37"/>
      <c r="Q342" s="37"/>
      <c r="R342" s="37"/>
      <c r="S342" s="37"/>
      <c r="T342" s="37"/>
      <c r="U342" s="3"/>
    </row>
    <row r="343" spans="1:21" ht="15.75" customHeight="1" x14ac:dyDescent="0.3">
      <c r="A343" s="3"/>
      <c r="B343" s="3"/>
      <c r="C343" s="37"/>
      <c r="D343" s="37"/>
      <c r="E343" s="37"/>
      <c r="F343" s="37"/>
      <c r="G343" s="98"/>
      <c r="H343" s="98"/>
      <c r="I343" s="99"/>
      <c r="J343" s="98"/>
      <c r="K343" s="37"/>
      <c r="L343" s="37"/>
      <c r="M343" s="37"/>
      <c r="N343" s="37"/>
      <c r="O343" s="37"/>
      <c r="P343" s="37"/>
      <c r="Q343" s="37"/>
      <c r="R343" s="37"/>
      <c r="S343" s="37"/>
      <c r="T343" s="37"/>
      <c r="U343" s="3"/>
    </row>
    <row r="344" spans="1:21" ht="15.75" customHeight="1" x14ac:dyDescent="0.3">
      <c r="A344" s="3"/>
      <c r="B344" s="3"/>
      <c r="C344" s="37"/>
      <c r="D344" s="37"/>
      <c r="E344" s="37"/>
      <c r="F344" s="37"/>
      <c r="G344" s="98"/>
      <c r="H344" s="98"/>
      <c r="I344" s="99"/>
      <c r="J344" s="98"/>
      <c r="K344" s="37"/>
      <c r="L344" s="37"/>
      <c r="M344" s="37"/>
      <c r="N344" s="37"/>
      <c r="O344" s="37"/>
      <c r="P344" s="37"/>
      <c r="Q344" s="37"/>
      <c r="R344" s="37"/>
      <c r="S344" s="37"/>
      <c r="T344" s="37"/>
      <c r="U344" s="3"/>
    </row>
    <row r="345" spans="1:21" ht="15.75" customHeight="1" x14ac:dyDescent="0.3">
      <c r="A345" s="3"/>
      <c r="B345" s="3"/>
      <c r="C345" s="37"/>
      <c r="D345" s="37"/>
      <c r="E345" s="37"/>
      <c r="F345" s="37"/>
      <c r="G345" s="98"/>
      <c r="H345" s="98"/>
      <c r="I345" s="99"/>
      <c r="J345" s="98"/>
      <c r="K345" s="37"/>
      <c r="L345" s="37"/>
      <c r="M345" s="37"/>
      <c r="N345" s="37"/>
      <c r="O345" s="37"/>
      <c r="P345" s="37"/>
      <c r="Q345" s="37"/>
      <c r="R345" s="37"/>
      <c r="S345" s="37"/>
      <c r="T345" s="37"/>
      <c r="U345" s="3"/>
    </row>
    <row r="346" spans="1:21" ht="15.75" customHeight="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1" ht="15.7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1" ht="15.7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1" ht="15.7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1" ht="15.7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1" ht="15.7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1" ht="15.7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5.7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5.7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5.7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5.7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5.7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5.7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5.7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5.7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5.7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5.7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5.7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5.7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5.7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5.7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5.7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5.7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5.7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5.7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5.7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5.7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5.7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5.7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5.7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5.7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5.7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5.7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5.7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5.7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5.7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5.7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5.7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5.7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5.7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5.7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5.7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5.7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5.7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5.7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5.7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5.7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5.7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5.7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5.7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5.7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5.7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5.7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5.7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5.7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5.7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5.7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5.7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5.7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5.7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5.7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5.7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5.7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5.7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5.7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5.7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5.7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5.7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5.7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5.7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5.7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5.7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5.7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5.7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5.7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5.7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5.7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5.7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5.7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5.7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5.7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5.7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5.7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5.7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5.7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5.7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5.7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5.7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5.7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5.7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5.7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5.7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5.7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5.7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5.7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5.7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5.7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5.7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5.7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5.7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5.7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5.7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5.7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5.7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5.7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5.7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5.7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5.7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5.7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5.7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5.7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5.7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5.7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5.7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5.7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5.7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5.7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5.7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5.7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5.7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5.7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5.7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5.7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5.7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5.7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5.7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5.7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5.7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5.7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5.7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5.7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5.7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5.7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5.7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5.7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5.7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5.7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5.7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5.7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5.7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5.7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5.7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5.7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5.7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5.7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5.7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5.7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5.7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5.7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5.7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5.7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5.7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5.7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5.7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5.7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5.7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5.7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5.7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5.7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5.7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5.7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5.7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5.7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5.7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5.7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5.7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5.7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5.7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5.7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5.7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5.7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5.7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5.7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5.7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5.7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5.75" customHeight="1" x14ac:dyDescent="0.3">
      <c r="A521" s="3"/>
      <c r="B521" s="3"/>
      <c r="C521" s="37"/>
      <c r="D521" s="37"/>
      <c r="E521" s="37"/>
      <c r="F521" s="37"/>
      <c r="G521" s="98"/>
      <c r="H521" s="98"/>
      <c r="I521" s="99"/>
      <c r="J521" s="98"/>
      <c r="K521" s="37"/>
      <c r="L521" s="37"/>
      <c r="M521" s="37"/>
      <c r="N521" s="37"/>
      <c r="O521" s="37"/>
      <c r="P521" s="37"/>
      <c r="Q521" s="37"/>
      <c r="R521" s="37"/>
      <c r="S521" s="37"/>
      <c r="T521" s="37"/>
      <c r="U521" s="3"/>
    </row>
    <row r="522" spans="1:21" ht="15.75" customHeight="1" x14ac:dyDescent="0.3">
      <c r="A522" s="3"/>
      <c r="B522" s="3"/>
      <c r="C522" s="37"/>
      <c r="D522" s="37"/>
      <c r="E522" s="37"/>
      <c r="F522" s="37"/>
      <c r="G522" s="98"/>
      <c r="H522" s="98"/>
      <c r="I522" s="99"/>
      <c r="J522" s="98"/>
      <c r="K522" s="37"/>
      <c r="L522" s="37"/>
      <c r="M522" s="37"/>
      <c r="N522" s="37"/>
      <c r="O522" s="37"/>
      <c r="P522" s="37"/>
      <c r="Q522" s="37"/>
      <c r="R522" s="37"/>
      <c r="S522" s="37"/>
      <c r="T522" s="37"/>
      <c r="U522" s="3"/>
    </row>
    <row r="523" spans="1:21" ht="15.75" customHeight="1" x14ac:dyDescent="0.3">
      <c r="A523" s="3"/>
      <c r="B523" s="3"/>
      <c r="C523" s="37"/>
      <c r="D523" s="37"/>
      <c r="E523" s="37"/>
      <c r="F523" s="37"/>
      <c r="G523" s="98"/>
      <c r="H523" s="98"/>
      <c r="I523" s="99"/>
      <c r="J523" s="98"/>
      <c r="K523" s="37"/>
      <c r="L523" s="37"/>
      <c r="M523" s="37"/>
      <c r="N523" s="37"/>
      <c r="O523" s="37"/>
      <c r="P523" s="37"/>
      <c r="Q523" s="37"/>
      <c r="R523" s="37"/>
      <c r="S523" s="37"/>
      <c r="T523" s="37"/>
      <c r="U523" s="3"/>
    </row>
    <row r="524" spans="1:21" ht="15.75" customHeight="1" x14ac:dyDescent="0.3">
      <c r="A524" s="3"/>
      <c r="B524" s="3"/>
      <c r="C524" s="37"/>
      <c r="D524" s="37"/>
      <c r="E524" s="37"/>
      <c r="F524" s="37"/>
      <c r="G524" s="98"/>
      <c r="H524" s="98"/>
      <c r="I524" s="99"/>
      <c r="J524" s="98"/>
      <c r="K524" s="37"/>
      <c r="L524" s="37"/>
      <c r="M524" s="37"/>
      <c r="N524" s="37"/>
      <c r="O524" s="37"/>
      <c r="P524" s="37"/>
      <c r="Q524" s="37"/>
      <c r="R524" s="37"/>
      <c r="S524" s="37"/>
      <c r="T524" s="37"/>
      <c r="U524" s="3"/>
    </row>
    <row r="525" spans="1:21" ht="15.75" customHeight="1" x14ac:dyDescent="0.3">
      <c r="A525" s="3"/>
      <c r="B525" s="3"/>
      <c r="C525" s="37"/>
      <c r="D525" s="37"/>
      <c r="E525" s="37"/>
      <c r="F525" s="37"/>
      <c r="G525" s="98"/>
      <c r="H525" s="98"/>
      <c r="I525" s="99"/>
      <c r="J525" s="98"/>
      <c r="K525" s="37"/>
      <c r="L525" s="37"/>
      <c r="M525" s="37"/>
      <c r="N525" s="37"/>
      <c r="O525" s="37"/>
      <c r="P525" s="37"/>
      <c r="Q525" s="37"/>
      <c r="R525" s="37"/>
      <c r="S525" s="37"/>
      <c r="T525" s="37"/>
      <c r="U525" s="3"/>
    </row>
    <row r="526" spans="1:21" ht="15.75" customHeight="1" x14ac:dyDescent="0.3">
      <c r="A526" s="3"/>
      <c r="B526" s="3"/>
      <c r="C526" s="37"/>
      <c r="D526" s="37"/>
      <c r="E526" s="37"/>
      <c r="F526" s="37"/>
      <c r="G526" s="98"/>
      <c r="H526" s="98"/>
      <c r="I526" s="99"/>
      <c r="J526" s="98"/>
      <c r="K526" s="37"/>
      <c r="L526" s="37"/>
      <c r="M526" s="37"/>
      <c r="N526" s="37"/>
      <c r="O526" s="37"/>
      <c r="P526" s="37"/>
      <c r="Q526" s="37"/>
      <c r="R526" s="37"/>
      <c r="S526" s="37"/>
      <c r="T526" s="37"/>
      <c r="U526" s="3"/>
    </row>
    <row r="527" spans="1:21" ht="15.75" customHeight="1" x14ac:dyDescent="0.3">
      <c r="A527" s="3"/>
      <c r="B527" s="3"/>
      <c r="C527" s="37"/>
      <c r="D527" s="37"/>
      <c r="E527" s="37"/>
      <c r="F527" s="37"/>
      <c r="G527" s="98"/>
      <c r="H527" s="98"/>
      <c r="I527" s="99"/>
      <c r="J527" s="98"/>
      <c r="K527" s="37"/>
      <c r="L527" s="37"/>
      <c r="M527" s="37"/>
      <c r="N527" s="37"/>
      <c r="O527" s="37"/>
      <c r="P527" s="37"/>
      <c r="Q527" s="37"/>
      <c r="R527" s="37"/>
      <c r="S527" s="37"/>
      <c r="T527" s="37"/>
      <c r="U527" s="3"/>
    </row>
    <row r="528" spans="1:21" ht="15.75" customHeight="1" x14ac:dyDescent="0.3">
      <c r="A528" s="3"/>
      <c r="B528" s="3"/>
      <c r="C528" s="37"/>
      <c r="D528" s="37"/>
      <c r="E528" s="37"/>
      <c r="F528" s="37"/>
      <c r="G528" s="98"/>
      <c r="H528" s="98"/>
      <c r="I528" s="99"/>
      <c r="J528" s="98"/>
      <c r="K528" s="37"/>
      <c r="L528" s="37"/>
      <c r="M528" s="37"/>
      <c r="N528" s="37"/>
      <c r="O528" s="37"/>
      <c r="P528" s="37"/>
      <c r="Q528" s="37"/>
      <c r="R528" s="37"/>
      <c r="S528" s="37"/>
      <c r="T528" s="37"/>
      <c r="U528" s="3"/>
    </row>
    <row r="529" spans="1:21" ht="15.75" customHeight="1" x14ac:dyDescent="0.3">
      <c r="A529" s="3"/>
      <c r="B529" s="3"/>
      <c r="C529" s="37"/>
      <c r="D529" s="37"/>
      <c r="E529" s="37"/>
      <c r="F529" s="37"/>
      <c r="G529" s="98"/>
      <c r="H529" s="98"/>
      <c r="I529" s="99"/>
      <c r="J529" s="98"/>
      <c r="K529" s="37"/>
      <c r="L529" s="37"/>
      <c r="M529" s="37"/>
      <c r="N529" s="37"/>
      <c r="O529" s="37"/>
      <c r="P529" s="37"/>
      <c r="Q529" s="37"/>
      <c r="R529" s="37"/>
      <c r="S529" s="37"/>
      <c r="T529" s="37"/>
      <c r="U529" s="3"/>
    </row>
    <row r="530" spans="1:21" ht="15.75" customHeight="1" x14ac:dyDescent="0.3">
      <c r="A530" s="3"/>
      <c r="B530" s="3"/>
      <c r="C530" s="37"/>
      <c r="D530" s="37"/>
      <c r="E530" s="37"/>
      <c r="F530" s="37"/>
      <c r="G530" s="98"/>
      <c r="H530" s="98"/>
      <c r="I530" s="99"/>
      <c r="J530" s="98"/>
      <c r="K530" s="37"/>
      <c r="L530" s="37"/>
      <c r="M530" s="37"/>
      <c r="N530" s="37"/>
      <c r="O530" s="37"/>
      <c r="P530" s="37"/>
      <c r="Q530" s="37"/>
      <c r="R530" s="37"/>
      <c r="S530" s="37"/>
      <c r="T530" s="37"/>
      <c r="U530" s="3"/>
    </row>
    <row r="531" spans="1:21" ht="15.75" customHeight="1" x14ac:dyDescent="0.3">
      <c r="A531" s="3"/>
      <c r="B531" s="3"/>
      <c r="C531" s="37"/>
      <c r="D531" s="37"/>
      <c r="E531" s="37"/>
      <c r="F531" s="37"/>
      <c r="G531" s="98"/>
      <c r="H531" s="98"/>
      <c r="I531" s="99"/>
      <c r="J531" s="98"/>
      <c r="K531" s="37"/>
      <c r="L531" s="37"/>
      <c r="M531" s="37"/>
      <c r="N531" s="37"/>
      <c r="O531" s="37"/>
      <c r="P531" s="37"/>
      <c r="Q531" s="37"/>
      <c r="R531" s="37"/>
      <c r="S531" s="37"/>
      <c r="T531" s="37"/>
      <c r="U531" s="3"/>
    </row>
    <row r="532" spans="1:21" ht="15.75" customHeight="1" x14ac:dyDescent="0.3">
      <c r="A532" s="3"/>
      <c r="B532" s="3"/>
      <c r="C532" s="37"/>
      <c r="D532" s="37"/>
      <c r="E532" s="37"/>
      <c r="F532" s="37"/>
      <c r="G532" s="98"/>
      <c r="H532" s="98"/>
      <c r="I532" s="99"/>
      <c r="J532" s="98"/>
      <c r="K532" s="37"/>
      <c r="L532" s="37"/>
      <c r="M532" s="37"/>
      <c r="N532" s="37"/>
      <c r="O532" s="37"/>
      <c r="P532" s="37"/>
      <c r="Q532" s="37"/>
      <c r="R532" s="37"/>
      <c r="S532" s="37"/>
      <c r="T532" s="37"/>
      <c r="U532" s="3"/>
    </row>
    <row r="533" spans="1:21" ht="15.75" customHeight="1" x14ac:dyDescent="0.3">
      <c r="A533" s="3"/>
      <c r="B533" s="3"/>
      <c r="C533" s="37"/>
      <c r="D533" s="37"/>
      <c r="E533" s="37"/>
      <c r="F533" s="37"/>
      <c r="G533" s="98"/>
      <c r="H533" s="98"/>
      <c r="I533" s="99"/>
      <c r="J533" s="98"/>
      <c r="K533" s="37"/>
      <c r="L533" s="37"/>
      <c r="M533" s="37"/>
      <c r="N533" s="37"/>
      <c r="O533" s="37"/>
      <c r="P533" s="37"/>
      <c r="Q533" s="37"/>
      <c r="R533" s="37"/>
      <c r="S533" s="37"/>
      <c r="T533" s="37"/>
      <c r="U533" s="3"/>
    </row>
    <row r="534" spans="1:21" ht="15.75" customHeight="1" x14ac:dyDescent="0.3">
      <c r="A534" s="3"/>
      <c r="B534" s="3"/>
      <c r="C534" s="37"/>
      <c r="D534" s="37"/>
      <c r="E534" s="37"/>
      <c r="F534" s="37"/>
      <c r="G534" s="98"/>
      <c r="H534" s="98"/>
      <c r="I534" s="99"/>
      <c r="J534" s="98"/>
      <c r="K534" s="37"/>
      <c r="L534" s="37"/>
      <c r="M534" s="37"/>
      <c r="N534" s="37"/>
      <c r="O534" s="37"/>
      <c r="P534" s="37"/>
      <c r="Q534" s="37"/>
      <c r="R534" s="37"/>
      <c r="S534" s="37"/>
      <c r="T534" s="37"/>
      <c r="U534" s="3"/>
    </row>
    <row r="535" spans="1:21" ht="15.75" customHeight="1" x14ac:dyDescent="0.3"/>
    <row r="536" spans="1:21" ht="15.75" customHeight="1" x14ac:dyDescent="0.3"/>
    <row r="537" spans="1:21" ht="15.75" customHeight="1" x14ac:dyDescent="0.3"/>
    <row r="538" spans="1:21" ht="15.75" customHeight="1" x14ac:dyDescent="0.3"/>
    <row r="539" spans="1:21" ht="15.75" customHeight="1" x14ac:dyDescent="0.3"/>
    <row r="540" spans="1:21" ht="15.75" customHeight="1" x14ac:dyDescent="0.3"/>
    <row r="541" spans="1:21" ht="15.75" customHeight="1" x14ac:dyDescent="0.3"/>
    <row r="542" spans="1:21" ht="15.75" customHeight="1" x14ac:dyDescent="0.3"/>
    <row r="543" spans="1:21" ht="15.75" customHeight="1" x14ac:dyDescent="0.3"/>
    <row r="544" spans="1:21"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sheetData>
  <autoFilter ref="C5:F334" xr:uid="{00000000-0009-0000-0000-000010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47 D149:D157 D160:D164 D166:D170 D172:D176 D178:D182 D184:D188 D190:D267 D270:D278 D280:D288 D290:D298 D300:D308 D310:D318 D320:D334" xr:uid="{00000000-0002-0000-1000-000001000000}">
      <formula1>"OK,Parcial,Pendente"</formula1>
    </dataValidation>
  </dataValidations>
  <hyperlinks>
    <hyperlink ref="I7" r:id="rId1" xr:uid="{00000000-0004-0000-1000-000000000000}"/>
    <hyperlink ref="I10" r:id="rId2" xr:uid="{00000000-0004-0000-1000-000001000000}"/>
    <hyperlink ref="I11" r:id="rId3" xr:uid="{00000000-0004-0000-1000-000002000000}"/>
    <hyperlink ref="I12" r:id="rId4" xr:uid="{00000000-0004-0000-1000-000003000000}"/>
    <hyperlink ref="I14" r:id="rId5" xr:uid="{00000000-0004-0000-1000-000004000000}"/>
    <hyperlink ref="I15" r:id="rId6" xr:uid="{00000000-0004-0000-1000-000005000000}"/>
    <hyperlink ref="I17" r:id="rId7" xr:uid="{00000000-0004-0000-1000-000006000000}"/>
    <hyperlink ref="I22" r:id="rId8" xr:uid="{00000000-0004-0000-1000-000007000000}"/>
    <hyperlink ref="I29" r:id="rId9" xr:uid="{00000000-0004-0000-1000-000008000000}"/>
    <hyperlink ref="I30" r:id="rId10" xr:uid="{00000000-0004-0000-1000-000009000000}"/>
    <hyperlink ref="I32" r:id="rId11" xr:uid="{00000000-0004-0000-1000-00000A000000}"/>
    <hyperlink ref="I35" r:id="rId12" xr:uid="{00000000-0004-0000-1000-00000B000000}"/>
    <hyperlink ref="I40" r:id="rId13" xr:uid="{00000000-0004-0000-1000-00000C000000}"/>
    <hyperlink ref="I43" r:id="rId14" xr:uid="{00000000-0004-0000-1000-00000D000000}"/>
    <hyperlink ref="I44" r:id="rId15" xr:uid="{00000000-0004-0000-1000-00000E000000}"/>
    <hyperlink ref="I45" r:id="rId16" xr:uid="{00000000-0004-0000-1000-00000F000000}"/>
    <hyperlink ref="I46" r:id="rId17" xr:uid="{00000000-0004-0000-1000-000010000000}"/>
    <hyperlink ref="I69" r:id="rId18" xr:uid="{00000000-0004-0000-1000-000011000000}"/>
    <hyperlink ref="I70" r:id="rId19" xr:uid="{00000000-0004-0000-1000-000012000000}"/>
    <hyperlink ref="I77" r:id="rId20" xr:uid="{00000000-0004-0000-1000-000013000000}"/>
    <hyperlink ref="I82" r:id="rId21" xr:uid="{00000000-0004-0000-1000-000014000000}"/>
    <hyperlink ref="I83" r:id="rId22" xr:uid="{00000000-0004-0000-1000-000015000000}"/>
    <hyperlink ref="I115" r:id="rId23" xr:uid="{00000000-0004-0000-1000-000016000000}"/>
    <hyperlink ref="I116" r:id="rId24" xr:uid="{00000000-0004-0000-1000-000017000000}"/>
    <hyperlink ref="I117" r:id="rId25" xr:uid="{00000000-0004-0000-1000-000018000000}"/>
    <hyperlink ref="I118" r:id="rId26" xr:uid="{00000000-0004-0000-1000-000019000000}"/>
    <hyperlink ref="I119" r:id="rId27" xr:uid="{00000000-0004-0000-1000-00001A000000}"/>
    <hyperlink ref="I120" r:id="rId28" xr:uid="{00000000-0004-0000-1000-00001B000000}"/>
    <hyperlink ref="I122" r:id="rId29" xr:uid="{00000000-0004-0000-1000-00001C000000}"/>
    <hyperlink ref="I123" r:id="rId30" xr:uid="{00000000-0004-0000-1000-00001D000000}"/>
    <hyperlink ref="I124" r:id="rId31" xr:uid="{00000000-0004-0000-1000-00001E000000}"/>
    <hyperlink ref="I125" r:id="rId32" xr:uid="{00000000-0004-0000-1000-00001F000000}"/>
    <hyperlink ref="I126" r:id="rId33" xr:uid="{00000000-0004-0000-1000-000020000000}"/>
    <hyperlink ref="I127" r:id="rId34" xr:uid="{00000000-0004-0000-1000-000021000000}"/>
    <hyperlink ref="I130" r:id="rId35" xr:uid="{00000000-0004-0000-1000-000022000000}"/>
    <hyperlink ref="I131" r:id="rId36" xr:uid="{00000000-0004-0000-1000-000023000000}"/>
    <hyperlink ref="I132" r:id="rId37" xr:uid="{00000000-0004-0000-1000-000024000000}"/>
    <hyperlink ref="I133" r:id="rId38" xr:uid="{00000000-0004-0000-1000-000025000000}"/>
    <hyperlink ref="I134" r:id="rId39" xr:uid="{00000000-0004-0000-1000-000026000000}"/>
    <hyperlink ref="I135" r:id="rId40" xr:uid="{00000000-0004-0000-1000-000027000000}"/>
    <hyperlink ref="I136" r:id="rId41" xr:uid="{00000000-0004-0000-1000-000028000000}"/>
    <hyperlink ref="I137" r:id="rId42" xr:uid="{00000000-0004-0000-1000-000029000000}"/>
    <hyperlink ref="I138" r:id="rId43" xr:uid="{00000000-0004-0000-1000-00002A000000}"/>
    <hyperlink ref="I139" r:id="rId44" xr:uid="{00000000-0004-0000-1000-00002B000000}"/>
    <hyperlink ref="I140" r:id="rId45" xr:uid="{00000000-0004-0000-1000-00002C000000}"/>
    <hyperlink ref="I141" r:id="rId46" xr:uid="{00000000-0004-0000-1000-00002D000000}"/>
    <hyperlink ref="I142" r:id="rId47" xr:uid="{00000000-0004-0000-1000-00002E000000}"/>
    <hyperlink ref="I143" r:id="rId48" xr:uid="{00000000-0004-0000-1000-00002F000000}"/>
    <hyperlink ref="I144" r:id="rId49" xr:uid="{00000000-0004-0000-1000-000030000000}"/>
    <hyperlink ref="I145" r:id="rId50" xr:uid="{00000000-0004-0000-1000-000031000000}"/>
    <hyperlink ref="I146" r:id="rId51" xr:uid="{00000000-0004-0000-1000-000032000000}"/>
    <hyperlink ref="I147" r:id="rId52" xr:uid="{00000000-0004-0000-1000-000033000000}"/>
    <hyperlink ref="I149" r:id="rId53" xr:uid="{00000000-0004-0000-1000-000034000000}"/>
    <hyperlink ref="I160" r:id="rId54" xr:uid="{00000000-0004-0000-1000-000035000000}"/>
    <hyperlink ref="I161" r:id="rId55" xr:uid="{00000000-0004-0000-1000-000036000000}"/>
    <hyperlink ref="I190" r:id="rId56" xr:uid="{00000000-0004-0000-1000-000037000000}"/>
    <hyperlink ref="I219" r:id="rId57" xr:uid="{00000000-0004-0000-1000-000038000000}"/>
    <hyperlink ref="I249" r:id="rId58" xr:uid="{00000000-0004-0000-1000-000039000000}"/>
    <hyperlink ref="I270" r:id="rId59" xr:uid="{00000000-0004-0000-1000-00003A000000}"/>
    <hyperlink ref="I326" r:id="rId60" xr:uid="{00000000-0004-0000-1000-00003B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000-000000000000}">
          <x14:formula1>
            <xm:f>Caixa!$B$5:$B$8</xm:f>
          </x14:formula1>
          <xm:sqref>H7:H15 H17:H33 H35:H37 H39:H62 H64:H86 H89:H103 H105:H108 H110:H112 H115:H120 H122:H147 H149:H157 H160:H164 H166:H170 H172:H176 H178:H182 H184:H188 H190:H217 H219:H227 H229:H237 H239:H247 H249:H257 H259:H267 H270:H278 H280:H288 H290:H298 H300:H308 H310:H318 H320:H334</xm:sqref>
        </x14:dataValidation>
        <x14:dataValidation type="list" allowBlank="1" showErrorMessage="1" xr:uid="{00000000-0002-0000-1000-000002000000}">
          <x14:formula1>
            <xm:f>'Plano de contas DG'!$C$43:$C$145</xm:f>
          </x14:formula1>
          <xm:sqref>J250</xm:sqref>
        </x14:dataValidation>
        <x14:dataValidation type="list" allowBlank="1" showErrorMessage="1" xr:uid="{00000000-0002-0000-1000-000003000000}">
          <x14:formula1>
            <xm:f>'Plano de contas DG'!$C$5:$C$145</xm:f>
          </x14:formula1>
          <xm:sqref>J6:J249 J251:J334</xm:sqref>
        </x14:dataValidation>
        <x14:dataValidation type="list" allowBlank="1" showErrorMessage="1" xr:uid="{00000000-0002-0000-1000-000004000000}">
          <x14:formula1>
            <xm:f>Caixa!$B$5:$B$7</xm:f>
          </x14:formula1>
          <xm:sqref>H16 H34 H87:H88 H104 H109 H113:H114 H121 H218 H228 H238 H248 H258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sheetPr>
  <dimension ref="A1:Z1000"/>
  <sheetViews>
    <sheetView showGridLines="0" workbookViewId="0">
      <pane xSplit="2" topLeftCell="C1" activePane="topRight" state="frozen"/>
      <selection pane="topRight" activeCell="D2" sqref="D2"/>
    </sheetView>
  </sheetViews>
  <sheetFormatPr defaultColWidth="14.44140625" defaultRowHeight="15" customHeight="1" outlineLevelRow="1" x14ac:dyDescent="0.3"/>
  <cols>
    <col min="1" max="1" width="0.44140625" customWidth="1"/>
    <col min="2" max="2" width="36.33203125" customWidth="1"/>
    <col min="3" max="3" width="15.5546875" customWidth="1"/>
    <col min="4" max="15" width="14.109375" customWidth="1"/>
    <col min="16" max="16" width="2.5546875" customWidth="1"/>
    <col min="17" max="17" width="12.6640625" customWidth="1"/>
    <col min="18" max="26" width="8.6640625" customWidth="1"/>
  </cols>
  <sheetData>
    <row r="1" spans="1:26" ht="2.25" customHeight="1" x14ac:dyDescent="0.3">
      <c r="A1" s="38"/>
      <c r="B1" s="38"/>
      <c r="C1" s="39"/>
      <c r="D1" s="39"/>
      <c r="E1" s="39"/>
      <c r="F1" s="39"/>
      <c r="G1" s="38"/>
      <c r="H1" s="38"/>
      <c r="I1" s="38"/>
      <c r="J1" s="38"/>
      <c r="K1" s="38"/>
      <c r="L1" s="38"/>
      <c r="M1" s="38"/>
      <c r="N1" s="38"/>
      <c r="O1" s="38"/>
      <c r="P1" s="38"/>
      <c r="Q1" s="38"/>
      <c r="R1" s="38"/>
      <c r="S1" s="38"/>
      <c r="T1" s="38"/>
      <c r="U1" s="38"/>
      <c r="V1" s="38"/>
      <c r="W1" s="38"/>
      <c r="X1" s="38"/>
      <c r="Y1" s="38"/>
      <c r="Z1" s="38"/>
    </row>
    <row r="2" spans="1:26" ht="14.4" x14ac:dyDescent="0.3">
      <c r="A2" s="38"/>
      <c r="B2" s="260" t="s">
        <v>1268</v>
      </c>
      <c r="C2" s="262">
        <v>2024</v>
      </c>
      <c r="D2" s="263"/>
      <c r="E2" s="263"/>
      <c r="F2" s="264"/>
      <c r="G2" s="38"/>
      <c r="H2" s="38"/>
      <c r="I2" s="132"/>
      <c r="J2" s="38"/>
      <c r="K2" s="38"/>
      <c r="L2" s="38"/>
      <c r="M2" s="38"/>
      <c r="N2" s="38"/>
      <c r="O2" s="38"/>
      <c r="P2" s="38"/>
      <c r="Q2" s="38"/>
      <c r="R2" s="38"/>
      <c r="S2" s="38"/>
      <c r="T2" s="38"/>
      <c r="U2" s="38"/>
      <c r="V2" s="38"/>
      <c r="W2" s="38"/>
      <c r="X2" s="38"/>
      <c r="Y2" s="38"/>
      <c r="Z2" s="38"/>
    </row>
    <row r="3" spans="1:26" ht="28.8" x14ac:dyDescent="0.3">
      <c r="A3" s="38"/>
      <c r="B3" s="261"/>
      <c r="C3" s="133" t="s">
        <v>1269</v>
      </c>
      <c r="D3" s="133" t="s">
        <v>1270</v>
      </c>
      <c r="E3" s="133" t="s">
        <v>1271</v>
      </c>
      <c r="F3" s="133" t="s">
        <v>1272</v>
      </c>
      <c r="G3" s="38"/>
      <c r="H3" s="38"/>
      <c r="I3" s="38"/>
      <c r="J3" s="38"/>
      <c r="K3" s="38"/>
      <c r="L3" s="38"/>
      <c r="M3" s="38"/>
      <c r="N3" s="38"/>
      <c r="O3" s="38"/>
      <c r="P3" s="38"/>
      <c r="Q3" s="38"/>
      <c r="R3" s="38"/>
      <c r="S3" s="38"/>
      <c r="T3" s="38"/>
      <c r="U3" s="38"/>
      <c r="V3" s="38"/>
      <c r="W3" s="38"/>
      <c r="X3" s="38"/>
      <c r="Y3" s="38"/>
      <c r="Z3" s="38"/>
    </row>
    <row r="4" spans="1:26" ht="14.4" x14ac:dyDescent="0.3">
      <c r="A4" s="38"/>
      <c r="B4" s="134" t="s">
        <v>1273</v>
      </c>
      <c r="C4" s="265" t="e">
        <f>Caixa!#REF!</f>
        <v>#REF!</v>
      </c>
      <c r="D4" s="266"/>
      <c r="E4" s="266"/>
      <c r="F4" s="267"/>
      <c r="G4" s="38"/>
      <c r="H4" s="38"/>
      <c r="I4" s="38"/>
      <c r="J4" s="38"/>
      <c r="K4" s="38"/>
      <c r="L4" s="38"/>
      <c r="M4" s="38"/>
      <c r="N4" s="38"/>
      <c r="O4" s="38"/>
      <c r="P4" s="38"/>
      <c r="Q4" s="38"/>
      <c r="R4" s="38"/>
      <c r="S4" s="38"/>
      <c r="T4" s="38"/>
      <c r="U4" s="38"/>
      <c r="V4" s="38"/>
      <c r="W4" s="38"/>
      <c r="X4" s="38"/>
      <c r="Y4" s="38"/>
      <c r="Z4" s="38"/>
    </row>
    <row r="5" spans="1:26" ht="14.4" x14ac:dyDescent="0.3">
      <c r="A5" s="38"/>
      <c r="B5" s="135" t="s">
        <v>1274</v>
      </c>
      <c r="C5" s="136">
        <f>D46</f>
        <v>0</v>
      </c>
      <c r="D5" s="136">
        <f>D22</f>
        <v>0</v>
      </c>
      <c r="E5" s="136">
        <f t="shared" ref="E5:E16" si="0">D5-C5</f>
        <v>0</v>
      </c>
      <c r="F5" s="137" t="e">
        <f>C4+E5</f>
        <v>#REF!</v>
      </c>
      <c r="G5" s="38"/>
      <c r="H5" s="38"/>
      <c r="I5" s="138"/>
      <c r="J5" s="38"/>
      <c r="K5" s="38"/>
      <c r="L5" s="38"/>
      <c r="M5" s="38"/>
      <c r="N5" s="38"/>
      <c r="O5" s="38"/>
      <c r="P5" s="38"/>
      <c r="Q5" s="38"/>
      <c r="R5" s="38"/>
      <c r="S5" s="38"/>
      <c r="T5" s="38"/>
      <c r="U5" s="38"/>
      <c r="V5" s="38"/>
      <c r="W5" s="38"/>
      <c r="X5" s="38"/>
      <c r="Y5" s="38"/>
      <c r="Z5" s="38"/>
    </row>
    <row r="6" spans="1:26" ht="14.4" x14ac:dyDescent="0.3">
      <c r="A6" s="38"/>
      <c r="B6" s="135" t="s">
        <v>1275</v>
      </c>
      <c r="C6" s="139">
        <f>E46</f>
        <v>0</v>
      </c>
      <c r="D6" s="139">
        <f>E22</f>
        <v>0</v>
      </c>
      <c r="E6" s="139">
        <f t="shared" si="0"/>
        <v>0</v>
      </c>
      <c r="F6" s="140" t="str">
        <f t="shared" ref="F6:F16" si="1">IF(E6=0,"",F5+E6)</f>
        <v/>
      </c>
      <c r="G6" s="38"/>
      <c r="H6" s="38"/>
      <c r="I6" s="138"/>
      <c r="J6" s="38"/>
      <c r="K6" s="38"/>
      <c r="L6" s="38"/>
      <c r="M6" s="38"/>
      <c r="N6" s="38"/>
      <c r="O6" s="38"/>
      <c r="P6" s="38"/>
      <c r="Q6" s="38"/>
      <c r="R6" s="38"/>
      <c r="S6" s="38"/>
      <c r="T6" s="38"/>
      <c r="U6" s="38"/>
      <c r="V6" s="38"/>
      <c r="W6" s="38"/>
      <c r="X6" s="38"/>
      <c r="Y6" s="38"/>
      <c r="Z6" s="38"/>
    </row>
    <row r="7" spans="1:26" ht="14.4" x14ac:dyDescent="0.3">
      <c r="A7" s="38"/>
      <c r="B7" s="135" t="s">
        <v>1276</v>
      </c>
      <c r="C7" s="139">
        <f>F46</f>
        <v>0</v>
      </c>
      <c r="D7" s="139">
        <f>F22</f>
        <v>0</v>
      </c>
      <c r="E7" s="139">
        <f t="shared" si="0"/>
        <v>0</v>
      </c>
      <c r="F7" s="140" t="str">
        <f t="shared" si="1"/>
        <v/>
      </c>
      <c r="G7" s="38"/>
      <c r="H7" s="38"/>
      <c r="I7" s="138"/>
      <c r="J7" s="38"/>
      <c r="K7" s="38"/>
      <c r="L7" s="38"/>
      <c r="M7" s="38"/>
      <c r="N7" s="38"/>
      <c r="O7" s="38"/>
      <c r="P7" s="38"/>
      <c r="Q7" s="38"/>
      <c r="R7" s="38"/>
      <c r="S7" s="38"/>
      <c r="T7" s="38"/>
      <c r="U7" s="38"/>
      <c r="V7" s="38"/>
      <c r="W7" s="38"/>
      <c r="X7" s="38"/>
      <c r="Y7" s="38"/>
      <c r="Z7" s="38"/>
    </row>
    <row r="8" spans="1:26" ht="14.4" x14ac:dyDescent="0.3">
      <c r="A8" s="38"/>
      <c r="B8" s="135" t="s">
        <v>1277</v>
      </c>
      <c r="C8" s="139">
        <f>G46</f>
        <v>0</v>
      </c>
      <c r="D8" s="139">
        <f>G22</f>
        <v>0</v>
      </c>
      <c r="E8" s="139">
        <f t="shared" si="0"/>
        <v>0</v>
      </c>
      <c r="F8" s="140" t="str">
        <f t="shared" si="1"/>
        <v/>
      </c>
      <c r="G8" s="38"/>
      <c r="H8" s="38"/>
      <c r="I8" s="138"/>
      <c r="J8" s="38"/>
      <c r="K8" s="38"/>
      <c r="L8" s="38"/>
      <c r="M8" s="38"/>
      <c r="N8" s="38"/>
      <c r="O8" s="38"/>
      <c r="P8" s="38"/>
      <c r="Q8" s="38"/>
      <c r="R8" s="38"/>
      <c r="S8" s="38"/>
      <c r="T8" s="38"/>
      <c r="U8" s="38"/>
      <c r="V8" s="38"/>
      <c r="W8" s="38"/>
      <c r="X8" s="38"/>
      <c r="Y8" s="38"/>
      <c r="Z8" s="38"/>
    </row>
    <row r="9" spans="1:26" ht="14.4" x14ac:dyDescent="0.3">
      <c r="A9" s="38"/>
      <c r="B9" s="135" t="s">
        <v>1278</v>
      </c>
      <c r="C9" s="139">
        <f>H46</f>
        <v>0</v>
      </c>
      <c r="D9" s="139">
        <f>H22</f>
        <v>0</v>
      </c>
      <c r="E9" s="139">
        <f t="shared" si="0"/>
        <v>0</v>
      </c>
      <c r="F9" s="140" t="str">
        <f t="shared" si="1"/>
        <v/>
      </c>
      <c r="G9" s="38"/>
      <c r="H9" s="38"/>
      <c r="I9" s="138"/>
      <c r="J9" s="38"/>
      <c r="K9" s="38"/>
      <c r="L9" s="38"/>
      <c r="M9" s="38"/>
      <c r="N9" s="38"/>
      <c r="O9" s="38"/>
      <c r="P9" s="38"/>
      <c r="Q9" s="38"/>
      <c r="R9" s="38"/>
      <c r="S9" s="38"/>
      <c r="T9" s="38"/>
      <c r="U9" s="38"/>
      <c r="V9" s="38"/>
      <c r="W9" s="38"/>
      <c r="X9" s="38"/>
      <c r="Y9" s="38"/>
      <c r="Z9" s="38"/>
    </row>
    <row r="10" spans="1:26" ht="14.4" x14ac:dyDescent="0.3">
      <c r="A10" s="38"/>
      <c r="B10" s="135" t="s">
        <v>1279</v>
      </c>
      <c r="C10" s="139">
        <f>I46</f>
        <v>0</v>
      </c>
      <c r="D10" s="139">
        <f>I22</f>
        <v>0</v>
      </c>
      <c r="E10" s="139">
        <f t="shared" si="0"/>
        <v>0</v>
      </c>
      <c r="F10" s="140" t="str">
        <f t="shared" si="1"/>
        <v/>
      </c>
      <c r="G10" s="38"/>
      <c r="H10" s="38"/>
      <c r="I10" s="138"/>
      <c r="J10" s="138"/>
      <c r="K10" s="38"/>
      <c r="L10" s="141"/>
      <c r="M10" s="141"/>
      <c r="N10" s="141"/>
      <c r="O10" s="38"/>
      <c r="P10" s="38"/>
      <c r="Q10" s="38"/>
      <c r="R10" s="38"/>
      <c r="S10" s="38"/>
      <c r="T10" s="38"/>
      <c r="U10" s="38"/>
      <c r="V10" s="38"/>
      <c r="W10" s="38"/>
      <c r="X10" s="38"/>
      <c r="Y10" s="38"/>
      <c r="Z10" s="38"/>
    </row>
    <row r="11" spans="1:26" ht="14.4" x14ac:dyDescent="0.3">
      <c r="A11" s="38"/>
      <c r="B11" s="135" t="s">
        <v>1280</v>
      </c>
      <c r="C11" s="139">
        <f>J46</f>
        <v>0</v>
      </c>
      <c r="D11" s="139">
        <f>J22</f>
        <v>0</v>
      </c>
      <c r="E11" s="139">
        <f t="shared" si="0"/>
        <v>0</v>
      </c>
      <c r="F11" s="140" t="str">
        <f t="shared" si="1"/>
        <v/>
      </c>
      <c r="G11" s="38"/>
      <c r="H11" s="38"/>
      <c r="I11" s="138"/>
      <c r="J11" s="38"/>
      <c r="K11" s="38"/>
      <c r="L11" s="141"/>
      <c r="M11" s="141"/>
      <c r="N11" s="141"/>
      <c r="O11" s="38"/>
      <c r="P11" s="38"/>
      <c r="Q11" s="38"/>
      <c r="R11" s="38"/>
      <c r="S11" s="38"/>
      <c r="T11" s="38"/>
      <c r="U11" s="38"/>
      <c r="V11" s="38"/>
      <c r="W11" s="38"/>
      <c r="X11" s="38"/>
      <c r="Y11" s="38"/>
      <c r="Z11" s="38"/>
    </row>
    <row r="12" spans="1:26" ht="14.4" x14ac:dyDescent="0.3">
      <c r="A12" s="38"/>
      <c r="B12" s="135" t="s">
        <v>1281</v>
      </c>
      <c r="C12" s="139">
        <f>K46</f>
        <v>0</v>
      </c>
      <c r="D12" s="139">
        <f>K22</f>
        <v>0</v>
      </c>
      <c r="E12" s="139">
        <f t="shared" si="0"/>
        <v>0</v>
      </c>
      <c r="F12" s="140" t="str">
        <f t="shared" si="1"/>
        <v/>
      </c>
      <c r="G12" s="38"/>
      <c r="H12" s="38"/>
      <c r="I12" s="138"/>
      <c r="J12" s="138"/>
      <c r="K12" s="38"/>
      <c r="L12" s="141"/>
      <c r="M12" s="141"/>
      <c r="N12" s="141"/>
      <c r="O12" s="38"/>
      <c r="P12" s="38"/>
      <c r="Q12" s="38"/>
      <c r="R12" s="38"/>
      <c r="S12" s="38"/>
      <c r="T12" s="38"/>
      <c r="U12" s="38"/>
      <c r="V12" s="38"/>
      <c r="W12" s="38"/>
      <c r="X12" s="38"/>
      <c r="Y12" s="38"/>
      <c r="Z12" s="38"/>
    </row>
    <row r="13" spans="1:26" ht="14.4" x14ac:dyDescent="0.3">
      <c r="A13" s="38"/>
      <c r="B13" s="135" t="s">
        <v>1282</v>
      </c>
      <c r="C13" s="139">
        <f>L46</f>
        <v>0</v>
      </c>
      <c r="D13" s="139">
        <f>L22</f>
        <v>0</v>
      </c>
      <c r="E13" s="139">
        <f t="shared" si="0"/>
        <v>0</v>
      </c>
      <c r="F13" s="140" t="str">
        <f t="shared" si="1"/>
        <v/>
      </c>
      <c r="G13" s="38"/>
      <c r="H13" s="38"/>
      <c r="I13" s="138"/>
      <c r="J13" s="38"/>
      <c r="K13" s="38"/>
      <c r="L13" s="141"/>
      <c r="M13" s="141"/>
      <c r="N13" s="141"/>
      <c r="O13" s="38"/>
      <c r="P13" s="38"/>
      <c r="Q13" s="38"/>
      <c r="R13" s="38"/>
      <c r="S13" s="38"/>
      <c r="T13" s="38"/>
      <c r="U13" s="38"/>
      <c r="V13" s="38"/>
      <c r="W13" s="38"/>
      <c r="X13" s="38"/>
      <c r="Y13" s="38"/>
      <c r="Z13" s="38"/>
    </row>
    <row r="14" spans="1:26" ht="14.4" x14ac:dyDescent="0.3">
      <c r="A14" s="38"/>
      <c r="B14" s="135" t="s">
        <v>1283</v>
      </c>
      <c r="C14" s="139">
        <f>M46</f>
        <v>0</v>
      </c>
      <c r="D14" s="139">
        <f>M22</f>
        <v>0</v>
      </c>
      <c r="E14" s="139">
        <f t="shared" si="0"/>
        <v>0</v>
      </c>
      <c r="F14" s="140" t="str">
        <f t="shared" si="1"/>
        <v/>
      </c>
      <c r="G14" s="38"/>
      <c r="H14" s="38"/>
      <c r="I14" s="138"/>
      <c r="J14" s="38"/>
      <c r="K14" s="38"/>
      <c r="L14" s="141"/>
      <c r="M14" s="141"/>
      <c r="N14" s="141"/>
      <c r="O14" s="38"/>
      <c r="P14" s="38"/>
      <c r="Q14" s="38"/>
      <c r="R14" s="38"/>
      <c r="S14" s="38"/>
      <c r="T14" s="38"/>
      <c r="U14" s="38"/>
      <c r="V14" s="38"/>
      <c r="W14" s="38"/>
      <c r="X14" s="38"/>
      <c r="Y14" s="38"/>
      <c r="Z14" s="38"/>
    </row>
    <row r="15" spans="1:26" ht="14.4" x14ac:dyDescent="0.3">
      <c r="A15" s="38"/>
      <c r="B15" s="135" t="s">
        <v>1284</v>
      </c>
      <c r="C15" s="139">
        <f>N46</f>
        <v>0</v>
      </c>
      <c r="D15" s="139">
        <f>N22</f>
        <v>0</v>
      </c>
      <c r="E15" s="139">
        <f t="shared" si="0"/>
        <v>0</v>
      </c>
      <c r="F15" s="140" t="str">
        <f t="shared" si="1"/>
        <v/>
      </c>
      <c r="G15" s="38"/>
      <c r="H15" s="38"/>
      <c r="I15" s="138"/>
      <c r="J15" s="138"/>
      <c r="K15" s="38"/>
      <c r="L15" s="38"/>
      <c r="M15" s="38"/>
      <c r="N15" s="38"/>
      <c r="O15" s="38"/>
      <c r="P15" s="38"/>
      <c r="Q15" s="38"/>
      <c r="R15" s="38"/>
      <c r="S15" s="38"/>
      <c r="T15" s="38"/>
      <c r="U15" s="38"/>
      <c r="V15" s="38"/>
      <c r="W15" s="38"/>
      <c r="X15" s="38"/>
      <c r="Y15" s="38"/>
      <c r="Z15" s="38"/>
    </row>
    <row r="16" spans="1:26" ht="14.4" x14ac:dyDescent="0.3">
      <c r="A16" s="38"/>
      <c r="B16" s="135" t="s">
        <v>1285</v>
      </c>
      <c r="C16" s="139">
        <f>O46</f>
        <v>0</v>
      </c>
      <c r="D16" s="139">
        <f>O22</f>
        <v>0</v>
      </c>
      <c r="E16" s="139">
        <f t="shared" si="0"/>
        <v>0</v>
      </c>
      <c r="F16" s="140" t="str">
        <f t="shared" si="1"/>
        <v/>
      </c>
      <c r="G16" s="38"/>
      <c r="H16" s="38"/>
      <c r="I16" s="138"/>
      <c r="J16" s="38"/>
      <c r="K16" s="38"/>
      <c r="L16" s="38"/>
      <c r="M16" s="38"/>
      <c r="N16" s="38"/>
      <c r="O16" s="38"/>
      <c r="P16" s="38"/>
      <c r="Q16" s="38"/>
      <c r="R16" s="38"/>
      <c r="S16" s="38"/>
      <c r="T16" s="38"/>
      <c r="U16" s="38"/>
      <c r="V16" s="38"/>
      <c r="W16" s="38"/>
      <c r="X16" s="38"/>
      <c r="Y16" s="38"/>
      <c r="Z16" s="38"/>
    </row>
    <row r="17" spans="1:26" ht="5.25" customHeight="1" x14ac:dyDescent="0.3">
      <c r="A17" s="38"/>
      <c r="B17" s="38"/>
      <c r="C17" s="39"/>
      <c r="D17" s="39"/>
      <c r="E17" s="39"/>
      <c r="F17" s="39"/>
      <c r="G17" s="38"/>
      <c r="H17" s="38"/>
      <c r="I17" s="38"/>
      <c r="J17" s="38"/>
      <c r="K17" s="38"/>
      <c r="L17" s="38"/>
      <c r="M17" s="38"/>
      <c r="N17" s="38"/>
      <c r="O17" s="38"/>
      <c r="P17" s="38"/>
      <c r="Q17" s="38"/>
      <c r="R17" s="38"/>
      <c r="S17" s="38"/>
      <c r="T17" s="38"/>
      <c r="U17" s="38"/>
      <c r="V17" s="38"/>
      <c r="W17" s="38"/>
      <c r="X17" s="38"/>
      <c r="Y17" s="38"/>
      <c r="Z17" s="38"/>
    </row>
    <row r="18" spans="1:26" ht="14.4" x14ac:dyDescent="0.3">
      <c r="A18" s="142"/>
      <c r="B18" s="143" t="s">
        <v>73</v>
      </c>
      <c r="C18" s="144">
        <f t="shared" ref="C18:D18" si="2">SUM(C5:C16)</f>
        <v>0</v>
      </c>
      <c r="D18" s="144">
        <f t="shared" si="2"/>
        <v>0</v>
      </c>
      <c r="E18" s="145"/>
      <c r="F18" s="145"/>
      <c r="G18" s="142"/>
      <c r="H18" s="142"/>
      <c r="I18" s="142"/>
      <c r="J18" s="142"/>
      <c r="K18" s="142"/>
      <c r="L18" s="142"/>
      <c r="M18" s="142"/>
      <c r="N18" s="142"/>
      <c r="O18" s="142"/>
      <c r="P18" s="142"/>
      <c r="Q18" s="142"/>
      <c r="R18" s="142"/>
      <c r="S18" s="142"/>
      <c r="T18" s="142"/>
      <c r="U18" s="142"/>
      <c r="V18" s="142"/>
      <c r="W18" s="142"/>
      <c r="X18" s="142"/>
      <c r="Y18" s="142"/>
      <c r="Z18" s="142"/>
    </row>
    <row r="19" spans="1:26" ht="15.75" customHeight="1" x14ac:dyDescent="0.3">
      <c r="A19" s="3"/>
      <c r="B19" s="3"/>
      <c r="C19" s="37"/>
      <c r="D19" s="37"/>
      <c r="E19" s="37"/>
      <c r="F19" s="37"/>
      <c r="G19" s="37"/>
      <c r="H19" s="37"/>
      <c r="I19" s="37"/>
      <c r="J19" s="37"/>
      <c r="K19" s="37"/>
      <c r="L19" s="37"/>
      <c r="M19" s="37"/>
      <c r="N19" s="37"/>
      <c r="O19" s="111"/>
      <c r="P19" s="3"/>
      <c r="Q19" s="3"/>
      <c r="R19" s="3"/>
      <c r="S19" s="3"/>
      <c r="T19" s="3"/>
      <c r="U19" s="3"/>
      <c r="V19" s="3"/>
      <c r="W19" s="3"/>
      <c r="X19" s="3"/>
      <c r="Y19" s="3"/>
      <c r="Z19" s="3"/>
    </row>
    <row r="20" spans="1:26" ht="15" customHeight="1" x14ac:dyDescent="0.3">
      <c r="A20" s="3"/>
      <c r="B20" s="226" t="s">
        <v>72</v>
      </c>
      <c r="C20" s="255" t="s">
        <v>1286</v>
      </c>
      <c r="D20" s="268">
        <v>2024</v>
      </c>
      <c r="E20" s="269"/>
      <c r="F20" s="269"/>
      <c r="G20" s="269"/>
      <c r="H20" s="269"/>
      <c r="I20" s="269"/>
      <c r="J20" s="269"/>
      <c r="K20" s="269"/>
      <c r="L20" s="269"/>
      <c r="M20" s="269"/>
      <c r="N20" s="269"/>
      <c r="O20" s="270"/>
      <c r="P20" s="3"/>
      <c r="Q20" s="3"/>
      <c r="R20" s="3"/>
      <c r="S20" s="3"/>
      <c r="T20" s="3"/>
      <c r="U20" s="3"/>
      <c r="V20" s="3"/>
      <c r="W20" s="3"/>
      <c r="X20" s="3"/>
      <c r="Y20" s="3"/>
      <c r="Z20" s="3"/>
    </row>
    <row r="21" spans="1:26" ht="15" customHeight="1" x14ac:dyDescent="0.3">
      <c r="A21" s="3"/>
      <c r="B21" s="206"/>
      <c r="C21" s="256"/>
      <c r="D21" s="6" t="s">
        <v>23</v>
      </c>
      <c r="E21" s="4" t="s">
        <v>24</v>
      </c>
      <c r="F21" s="5" t="s">
        <v>25</v>
      </c>
      <c r="G21" s="6" t="s">
        <v>26</v>
      </c>
      <c r="H21" s="6" t="s">
        <v>27</v>
      </c>
      <c r="I21" s="6" t="s">
        <v>28</v>
      </c>
      <c r="J21" s="6" t="s">
        <v>29</v>
      </c>
      <c r="K21" s="6" t="s">
        <v>30</v>
      </c>
      <c r="L21" s="6" t="s">
        <v>31</v>
      </c>
      <c r="M21" s="5" t="s">
        <v>32</v>
      </c>
      <c r="N21" s="6" t="s">
        <v>33</v>
      </c>
      <c r="O21" s="36" t="s">
        <v>34</v>
      </c>
      <c r="P21" s="3"/>
      <c r="Q21" s="3"/>
      <c r="R21" s="3"/>
      <c r="S21" s="3"/>
      <c r="T21" s="3"/>
      <c r="U21" s="3"/>
      <c r="V21" s="3"/>
      <c r="W21" s="3"/>
      <c r="X21" s="3"/>
      <c r="Y21" s="3"/>
      <c r="Z21" s="3"/>
    </row>
    <row r="22" spans="1:26" ht="15.75" customHeight="1" x14ac:dyDescent="0.3">
      <c r="A22" s="3"/>
      <c r="B22" s="146" t="s">
        <v>73</v>
      </c>
      <c r="C22" s="147">
        <f t="shared" ref="C22:O22" si="3">SUM(C23,C30,C36,C41,C42)</f>
        <v>0</v>
      </c>
      <c r="D22" s="147">
        <f t="shared" si="3"/>
        <v>0</v>
      </c>
      <c r="E22" s="147">
        <f t="shared" si="3"/>
        <v>0</v>
      </c>
      <c r="F22" s="147">
        <f t="shared" si="3"/>
        <v>0</v>
      </c>
      <c r="G22" s="147">
        <f t="shared" si="3"/>
        <v>0</v>
      </c>
      <c r="H22" s="147">
        <f t="shared" si="3"/>
        <v>0</v>
      </c>
      <c r="I22" s="147">
        <f t="shared" si="3"/>
        <v>0</v>
      </c>
      <c r="J22" s="147">
        <f t="shared" si="3"/>
        <v>0</v>
      </c>
      <c r="K22" s="147">
        <f t="shared" si="3"/>
        <v>0</v>
      </c>
      <c r="L22" s="147">
        <f t="shared" si="3"/>
        <v>0</v>
      </c>
      <c r="M22" s="147">
        <f t="shared" si="3"/>
        <v>0</v>
      </c>
      <c r="N22" s="147">
        <f t="shared" si="3"/>
        <v>0</v>
      </c>
      <c r="O22" s="147">
        <f t="shared" si="3"/>
        <v>0</v>
      </c>
      <c r="P22" s="3"/>
    </row>
    <row r="23" spans="1:26" ht="15.75" customHeight="1" x14ac:dyDescent="0.3">
      <c r="A23" s="3"/>
      <c r="B23" s="73" t="s">
        <v>92</v>
      </c>
      <c r="C23" s="57">
        <f t="shared" ref="C23:O23" si="4">SUM(C24:C29)</f>
        <v>0</v>
      </c>
      <c r="D23" s="57">
        <f t="shared" si="4"/>
        <v>0</v>
      </c>
      <c r="E23" s="57">
        <f t="shared" si="4"/>
        <v>0</v>
      </c>
      <c r="F23" s="57">
        <f t="shared" si="4"/>
        <v>0</v>
      </c>
      <c r="G23" s="57">
        <f t="shared" si="4"/>
        <v>0</v>
      </c>
      <c r="H23" s="57">
        <f t="shared" si="4"/>
        <v>0</v>
      </c>
      <c r="I23" s="57">
        <f t="shared" si="4"/>
        <v>0</v>
      </c>
      <c r="J23" s="57">
        <f t="shared" si="4"/>
        <v>0</v>
      </c>
      <c r="K23" s="57">
        <f t="shared" si="4"/>
        <v>0</v>
      </c>
      <c r="L23" s="57">
        <f t="shared" si="4"/>
        <v>0</v>
      </c>
      <c r="M23" s="57">
        <f t="shared" si="4"/>
        <v>0</v>
      </c>
      <c r="N23" s="57">
        <f t="shared" si="4"/>
        <v>0</v>
      </c>
      <c r="O23" s="57">
        <f t="shared" si="4"/>
        <v>0</v>
      </c>
      <c r="P23" s="3"/>
    </row>
    <row r="24" spans="1:26" ht="15" customHeight="1" outlineLevel="1" x14ac:dyDescent="0.3">
      <c r="A24" s="3"/>
      <c r="B24" s="10" t="s">
        <v>44</v>
      </c>
      <c r="C24" s="11">
        <f t="shared" ref="C24:C29" si="5">SUM(D24:O24)</f>
        <v>0</v>
      </c>
      <c r="D24" s="12">
        <v>0</v>
      </c>
      <c r="E24" s="12">
        <v>0</v>
      </c>
      <c r="F24" s="12">
        <v>0</v>
      </c>
      <c r="G24" s="12">
        <v>0</v>
      </c>
      <c r="H24" s="12">
        <v>0</v>
      </c>
      <c r="I24" s="12">
        <v>0</v>
      </c>
      <c r="J24" s="12">
        <v>0</v>
      </c>
      <c r="K24" s="12">
        <v>0</v>
      </c>
      <c r="L24" s="12">
        <v>0</v>
      </c>
      <c r="M24" s="12">
        <v>0</v>
      </c>
      <c r="N24" s="12">
        <v>0</v>
      </c>
      <c r="O24" s="12">
        <v>0</v>
      </c>
      <c r="P24" s="3"/>
      <c r="Q24" s="3"/>
      <c r="R24" s="3"/>
      <c r="S24" s="3"/>
      <c r="T24" s="3"/>
      <c r="U24" s="3"/>
      <c r="V24" s="3"/>
      <c r="W24" s="3"/>
      <c r="X24" s="3"/>
      <c r="Y24" s="3"/>
      <c r="Z24" s="3"/>
    </row>
    <row r="25" spans="1:26" ht="15" customHeight="1" outlineLevel="1" x14ac:dyDescent="0.3">
      <c r="A25" s="3"/>
      <c r="B25" s="10" t="s">
        <v>45</v>
      </c>
      <c r="C25" s="11">
        <f t="shared" si="5"/>
        <v>0</v>
      </c>
      <c r="D25" s="12">
        <v>0</v>
      </c>
      <c r="E25" s="12">
        <v>0</v>
      </c>
      <c r="F25" s="12">
        <v>0</v>
      </c>
      <c r="G25" s="12">
        <v>0</v>
      </c>
      <c r="H25" s="12">
        <v>0</v>
      </c>
      <c r="I25" s="12">
        <v>0</v>
      </c>
      <c r="J25" s="12">
        <v>0</v>
      </c>
      <c r="K25" s="12">
        <v>0</v>
      </c>
      <c r="L25" s="12">
        <v>0</v>
      </c>
      <c r="M25" s="12">
        <v>0</v>
      </c>
      <c r="N25" s="12">
        <v>0</v>
      </c>
      <c r="O25" s="12">
        <v>0</v>
      </c>
      <c r="P25" s="3"/>
      <c r="Q25" s="3"/>
      <c r="R25" s="3"/>
      <c r="S25" s="3"/>
      <c r="T25" s="3"/>
      <c r="U25" s="3"/>
      <c r="V25" s="3"/>
      <c r="W25" s="3"/>
      <c r="X25" s="3"/>
      <c r="Y25" s="3"/>
      <c r="Z25" s="3"/>
    </row>
    <row r="26" spans="1:26" ht="15" customHeight="1" outlineLevel="1" x14ac:dyDescent="0.3">
      <c r="A26" s="3"/>
      <c r="B26" s="10" t="s">
        <v>46</v>
      </c>
      <c r="C26" s="11">
        <f t="shared" si="5"/>
        <v>0</v>
      </c>
      <c r="D26" s="12">
        <v>0</v>
      </c>
      <c r="E26" s="12">
        <v>0</v>
      </c>
      <c r="F26" s="12">
        <v>0</v>
      </c>
      <c r="G26" s="12">
        <v>0</v>
      </c>
      <c r="H26" s="12">
        <v>0</v>
      </c>
      <c r="I26" s="12">
        <v>0</v>
      </c>
      <c r="J26" s="12">
        <v>0</v>
      </c>
      <c r="K26" s="12">
        <v>0</v>
      </c>
      <c r="L26" s="12">
        <v>0</v>
      </c>
      <c r="M26" s="12">
        <v>0</v>
      </c>
      <c r="N26" s="12">
        <v>0</v>
      </c>
      <c r="O26" s="12">
        <v>0</v>
      </c>
      <c r="P26" s="3"/>
      <c r="Q26" s="3"/>
      <c r="R26" s="3"/>
      <c r="S26" s="3"/>
      <c r="T26" s="3"/>
      <c r="U26" s="3"/>
      <c r="V26" s="3"/>
      <c r="W26" s="3"/>
      <c r="X26" s="3"/>
      <c r="Y26" s="3"/>
      <c r="Z26" s="3"/>
    </row>
    <row r="27" spans="1:26" ht="15" customHeight="1" outlineLevel="1" x14ac:dyDescent="0.3">
      <c r="A27" s="3"/>
      <c r="B27" s="10" t="s">
        <v>47</v>
      </c>
      <c r="C27" s="11">
        <f t="shared" si="5"/>
        <v>0</v>
      </c>
      <c r="D27" s="12">
        <v>0</v>
      </c>
      <c r="E27" s="12">
        <v>0</v>
      </c>
      <c r="F27" s="12">
        <v>0</v>
      </c>
      <c r="G27" s="12">
        <v>0</v>
      </c>
      <c r="H27" s="12">
        <v>0</v>
      </c>
      <c r="I27" s="12">
        <v>0</v>
      </c>
      <c r="J27" s="12">
        <v>0</v>
      </c>
      <c r="K27" s="12">
        <v>0</v>
      </c>
      <c r="L27" s="12">
        <v>0</v>
      </c>
      <c r="M27" s="12">
        <v>0</v>
      </c>
      <c r="N27" s="12">
        <v>0</v>
      </c>
      <c r="O27" s="12">
        <v>0</v>
      </c>
      <c r="P27" s="3"/>
      <c r="Q27" s="3"/>
      <c r="R27" s="3"/>
      <c r="S27" s="3"/>
      <c r="T27" s="3"/>
      <c r="U27" s="3"/>
      <c r="V27" s="3"/>
      <c r="W27" s="3"/>
      <c r="X27" s="3"/>
      <c r="Y27" s="3"/>
      <c r="Z27" s="3"/>
    </row>
    <row r="28" spans="1:26" ht="15" customHeight="1" outlineLevel="1" x14ac:dyDescent="0.3">
      <c r="A28" s="3"/>
      <c r="B28" s="10" t="s">
        <v>48</v>
      </c>
      <c r="C28" s="11">
        <f t="shared" si="5"/>
        <v>0</v>
      </c>
      <c r="D28" s="12">
        <v>0</v>
      </c>
      <c r="E28" s="12">
        <v>0</v>
      </c>
      <c r="F28" s="12">
        <v>0</v>
      </c>
      <c r="G28" s="12">
        <v>0</v>
      </c>
      <c r="H28" s="12">
        <v>0</v>
      </c>
      <c r="I28" s="12">
        <v>0</v>
      </c>
      <c r="J28" s="12">
        <v>0</v>
      </c>
      <c r="K28" s="12">
        <v>0</v>
      </c>
      <c r="L28" s="12">
        <v>0</v>
      </c>
      <c r="M28" s="12">
        <v>0</v>
      </c>
      <c r="N28" s="12">
        <v>0</v>
      </c>
      <c r="O28" s="12">
        <v>0</v>
      </c>
      <c r="P28" s="3"/>
      <c r="Q28" s="3"/>
      <c r="R28" s="3"/>
      <c r="S28" s="3"/>
      <c r="T28" s="3"/>
      <c r="U28" s="3"/>
      <c r="V28" s="3"/>
      <c r="W28" s="3"/>
      <c r="X28" s="3"/>
      <c r="Y28" s="3"/>
      <c r="Z28" s="3"/>
    </row>
    <row r="29" spans="1:26" ht="15" customHeight="1" outlineLevel="1" x14ac:dyDescent="0.3">
      <c r="A29" s="3"/>
      <c r="B29" s="10" t="s">
        <v>49</v>
      </c>
      <c r="C29" s="11">
        <f t="shared" si="5"/>
        <v>0</v>
      </c>
      <c r="D29" s="12">
        <v>0</v>
      </c>
      <c r="E29" s="12">
        <v>0</v>
      </c>
      <c r="F29" s="12">
        <v>0</v>
      </c>
      <c r="G29" s="12">
        <v>0</v>
      </c>
      <c r="H29" s="12">
        <v>0</v>
      </c>
      <c r="I29" s="12">
        <v>0</v>
      </c>
      <c r="J29" s="12">
        <v>0</v>
      </c>
      <c r="K29" s="12">
        <v>0</v>
      </c>
      <c r="L29" s="12">
        <v>0</v>
      </c>
      <c r="M29" s="12">
        <v>0</v>
      </c>
      <c r="N29" s="12">
        <v>0</v>
      </c>
      <c r="O29" s="12">
        <v>0</v>
      </c>
      <c r="P29" s="3"/>
      <c r="Q29" s="3"/>
      <c r="R29" s="3"/>
      <c r="S29" s="3"/>
      <c r="T29" s="3"/>
      <c r="U29" s="3"/>
      <c r="V29" s="3"/>
      <c r="W29" s="3"/>
      <c r="X29" s="3"/>
      <c r="Y29" s="3"/>
      <c r="Z29" s="3"/>
    </row>
    <row r="30" spans="1:26" ht="15.75" customHeight="1" x14ac:dyDescent="0.3">
      <c r="A30" s="3"/>
      <c r="B30" s="73" t="s">
        <v>62</v>
      </c>
      <c r="C30" s="57">
        <f t="shared" ref="C30:O30" si="6">SUM(C31,C32,,C33,C34,C35)</f>
        <v>0</v>
      </c>
      <c r="D30" s="57">
        <f t="shared" si="6"/>
        <v>0</v>
      </c>
      <c r="E30" s="57">
        <f t="shared" si="6"/>
        <v>0</v>
      </c>
      <c r="F30" s="57">
        <f t="shared" si="6"/>
        <v>0</v>
      </c>
      <c r="G30" s="57">
        <f t="shared" si="6"/>
        <v>0</v>
      </c>
      <c r="H30" s="57">
        <f t="shared" si="6"/>
        <v>0</v>
      </c>
      <c r="I30" s="57">
        <f t="shared" si="6"/>
        <v>0</v>
      </c>
      <c r="J30" s="57">
        <f t="shared" si="6"/>
        <v>0</v>
      </c>
      <c r="K30" s="57">
        <f t="shared" si="6"/>
        <v>0</v>
      </c>
      <c r="L30" s="57">
        <f t="shared" si="6"/>
        <v>0</v>
      </c>
      <c r="M30" s="57">
        <f t="shared" si="6"/>
        <v>0</v>
      </c>
      <c r="N30" s="57">
        <f t="shared" si="6"/>
        <v>0</v>
      </c>
      <c r="O30" s="57">
        <f t="shared" si="6"/>
        <v>0</v>
      </c>
      <c r="P30" s="3"/>
    </row>
    <row r="31" spans="1:26" ht="15.75" customHeight="1" outlineLevel="1" x14ac:dyDescent="0.3">
      <c r="A31" s="3"/>
      <c r="B31" s="75" t="s">
        <v>230</v>
      </c>
      <c r="C31" s="77">
        <f t="shared" ref="C31:C35" si="7">SUM(D31:O31)</f>
        <v>0</v>
      </c>
      <c r="D31" s="77">
        <v>0</v>
      </c>
      <c r="E31" s="77">
        <v>0</v>
      </c>
      <c r="F31" s="77">
        <v>0</v>
      </c>
      <c r="G31" s="77">
        <v>0</v>
      </c>
      <c r="H31" s="77">
        <v>0</v>
      </c>
      <c r="I31" s="77">
        <v>0</v>
      </c>
      <c r="J31" s="77">
        <v>0</v>
      </c>
      <c r="K31" s="77">
        <v>0</v>
      </c>
      <c r="L31" s="77">
        <v>0</v>
      </c>
      <c r="M31" s="77">
        <v>0</v>
      </c>
      <c r="N31" s="77">
        <v>0</v>
      </c>
      <c r="O31" s="77">
        <v>0</v>
      </c>
      <c r="P31" s="3"/>
    </row>
    <row r="32" spans="1:26" ht="15.75" customHeight="1" outlineLevel="1" x14ac:dyDescent="0.3">
      <c r="A32" s="3"/>
      <c r="B32" s="75" t="s">
        <v>232</v>
      </c>
      <c r="C32" s="77">
        <f t="shared" si="7"/>
        <v>0</v>
      </c>
      <c r="D32" s="77">
        <v>0</v>
      </c>
      <c r="E32" s="77">
        <v>0</v>
      </c>
      <c r="F32" s="77">
        <v>0</v>
      </c>
      <c r="G32" s="77">
        <v>0</v>
      </c>
      <c r="H32" s="77">
        <v>0</v>
      </c>
      <c r="I32" s="77">
        <v>0</v>
      </c>
      <c r="J32" s="77">
        <v>0</v>
      </c>
      <c r="K32" s="77">
        <v>0</v>
      </c>
      <c r="L32" s="77">
        <v>0</v>
      </c>
      <c r="M32" s="77">
        <v>0</v>
      </c>
      <c r="N32" s="77">
        <v>0</v>
      </c>
      <c r="O32" s="77">
        <v>0</v>
      </c>
      <c r="P32" s="3"/>
    </row>
    <row r="33" spans="1:16" ht="15.75" customHeight="1" outlineLevel="1" x14ac:dyDescent="0.3">
      <c r="A33" s="3"/>
      <c r="B33" s="75" t="s">
        <v>1287</v>
      </c>
      <c r="C33" s="77">
        <f t="shared" si="7"/>
        <v>0</v>
      </c>
      <c r="D33" s="77">
        <v>0</v>
      </c>
      <c r="E33" s="77">
        <v>0</v>
      </c>
      <c r="F33" s="77">
        <v>0</v>
      </c>
      <c r="G33" s="77">
        <v>0</v>
      </c>
      <c r="H33" s="77">
        <v>0</v>
      </c>
      <c r="I33" s="77">
        <v>0</v>
      </c>
      <c r="J33" s="77">
        <v>0</v>
      </c>
      <c r="K33" s="77">
        <v>0</v>
      </c>
      <c r="L33" s="77">
        <v>0</v>
      </c>
      <c r="M33" s="77">
        <v>0</v>
      </c>
      <c r="N33" s="77">
        <v>0</v>
      </c>
      <c r="O33" s="77">
        <v>0</v>
      </c>
      <c r="P33" s="3"/>
    </row>
    <row r="34" spans="1:16" ht="15.75" customHeight="1" outlineLevel="1" x14ac:dyDescent="0.3">
      <c r="A34" s="3"/>
      <c r="B34" s="75" t="s">
        <v>237</v>
      </c>
      <c r="C34" s="77">
        <f t="shared" si="7"/>
        <v>0</v>
      </c>
      <c r="D34" s="77">
        <v>0</v>
      </c>
      <c r="E34" s="77">
        <v>0</v>
      </c>
      <c r="F34" s="77">
        <v>0</v>
      </c>
      <c r="G34" s="77">
        <v>0</v>
      </c>
      <c r="H34" s="77">
        <v>0</v>
      </c>
      <c r="I34" s="77">
        <v>0</v>
      </c>
      <c r="J34" s="77">
        <v>0</v>
      </c>
      <c r="K34" s="77">
        <v>0</v>
      </c>
      <c r="L34" s="77">
        <v>0</v>
      </c>
      <c r="M34" s="77">
        <v>0</v>
      </c>
      <c r="N34" s="77">
        <v>0</v>
      </c>
      <c r="O34" s="77">
        <v>0</v>
      </c>
      <c r="P34" s="3"/>
    </row>
    <row r="35" spans="1:16" ht="15.75" customHeight="1" outlineLevel="1" x14ac:dyDescent="0.3">
      <c r="A35" s="3"/>
      <c r="B35" s="75" t="s">
        <v>238</v>
      </c>
      <c r="C35" s="77">
        <f t="shared" si="7"/>
        <v>0</v>
      </c>
      <c r="D35" s="77">
        <v>0</v>
      </c>
      <c r="E35" s="77">
        <v>0</v>
      </c>
      <c r="F35" s="77">
        <v>0</v>
      </c>
      <c r="G35" s="77">
        <v>0</v>
      </c>
      <c r="H35" s="77">
        <v>0</v>
      </c>
      <c r="I35" s="77">
        <v>0</v>
      </c>
      <c r="J35" s="77">
        <v>0</v>
      </c>
      <c r="K35" s="77">
        <v>0</v>
      </c>
      <c r="L35" s="77">
        <v>0</v>
      </c>
      <c r="M35" s="77">
        <v>0</v>
      </c>
      <c r="N35" s="77">
        <v>0</v>
      </c>
      <c r="O35" s="77">
        <v>0</v>
      </c>
      <c r="P35" s="3"/>
    </row>
    <row r="36" spans="1:16" ht="15.75" customHeight="1" x14ac:dyDescent="0.3">
      <c r="A36" s="3"/>
      <c r="B36" s="73" t="s">
        <v>239</v>
      </c>
      <c r="C36" s="57">
        <f>SUM(C37,C38,C39,C40)</f>
        <v>0</v>
      </c>
      <c r="D36" s="57">
        <f t="shared" ref="D36:O36" si="8">SUM(D37,D38,D39)</f>
        <v>0</v>
      </c>
      <c r="E36" s="57">
        <f t="shared" si="8"/>
        <v>0</v>
      </c>
      <c r="F36" s="57">
        <f t="shared" si="8"/>
        <v>0</v>
      </c>
      <c r="G36" s="57">
        <f t="shared" si="8"/>
        <v>0</v>
      </c>
      <c r="H36" s="57">
        <f t="shared" si="8"/>
        <v>0</v>
      </c>
      <c r="I36" s="57">
        <f t="shared" si="8"/>
        <v>0</v>
      </c>
      <c r="J36" s="57">
        <f t="shared" si="8"/>
        <v>0</v>
      </c>
      <c r="K36" s="57">
        <f t="shared" si="8"/>
        <v>0</v>
      </c>
      <c r="L36" s="57">
        <f t="shared" si="8"/>
        <v>0</v>
      </c>
      <c r="M36" s="57">
        <f t="shared" si="8"/>
        <v>0</v>
      </c>
      <c r="N36" s="57">
        <f t="shared" si="8"/>
        <v>0</v>
      </c>
      <c r="O36" s="57">
        <f t="shared" si="8"/>
        <v>0</v>
      </c>
      <c r="P36" s="3"/>
    </row>
    <row r="37" spans="1:16" ht="15.75" customHeight="1" outlineLevel="1" x14ac:dyDescent="0.3">
      <c r="A37" s="3"/>
      <c r="B37" s="75" t="s">
        <v>240</v>
      </c>
      <c r="C37" s="77">
        <f t="shared" ref="C37:C42" si="9">SUM(D37:O37)</f>
        <v>0</v>
      </c>
      <c r="D37" s="77">
        <v>0</v>
      </c>
      <c r="E37" s="77">
        <v>0</v>
      </c>
      <c r="F37" s="77">
        <v>0</v>
      </c>
      <c r="G37" s="77">
        <v>0</v>
      </c>
      <c r="H37" s="77">
        <v>0</v>
      </c>
      <c r="I37" s="77">
        <v>0</v>
      </c>
      <c r="J37" s="77">
        <v>0</v>
      </c>
      <c r="K37" s="77">
        <v>0</v>
      </c>
      <c r="L37" s="77">
        <v>0</v>
      </c>
      <c r="M37" s="77">
        <v>0</v>
      </c>
      <c r="N37" s="77">
        <v>0</v>
      </c>
      <c r="O37" s="77">
        <v>0</v>
      </c>
      <c r="P37" s="3"/>
    </row>
    <row r="38" spans="1:16" ht="15.75" customHeight="1" outlineLevel="1" x14ac:dyDescent="0.3">
      <c r="A38" s="3"/>
      <c r="B38" s="75" t="s">
        <v>245</v>
      </c>
      <c r="C38" s="77">
        <f t="shared" si="9"/>
        <v>0</v>
      </c>
      <c r="D38" s="77">
        <v>0</v>
      </c>
      <c r="E38" s="77">
        <v>0</v>
      </c>
      <c r="F38" s="77">
        <v>0</v>
      </c>
      <c r="G38" s="77">
        <v>0</v>
      </c>
      <c r="H38" s="77">
        <v>0</v>
      </c>
      <c r="I38" s="77">
        <v>0</v>
      </c>
      <c r="J38" s="77">
        <v>0</v>
      </c>
      <c r="K38" s="77">
        <v>0</v>
      </c>
      <c r="L38" s="77">
        <v>0</v>
      </c>
      <c r="M38" s="77">
        <v>0</v>
      </c>
      <c r="N38" s="77">
        <v>0</v>
      </c>
      <c r="O38" s="77">
        <v>0</v>
      </c>
      <c r="P38" s="3"/>
    </row>
    <row r="39" spans="1:16" ht="15.75" customHeight="1" outlineLevel="1" x14ac:dyDescent="0.3">
      <c r="A39" s="3"/>
      <c r="B39" s="75" t="s">
        <v>246</v>
      </c>
      <c r="C39" s="77">
        <f t="shared" si="9"/>
        <v>0</v>
      </c>
      <c r="D39" s="77">
        <v>0</v>
      </c>
      <c r="E39" s="77">
        <v>0</v>
      </c>
      <c r="F39" s="77">
        <v>0</v>
      </c>
      <c r="G39" s="77">
        <v>0</v>
      </c>
      <c r="H39" s="77">
        <v>0</v>
      </c>
      <c r="I39" s="77">
        <v>0</v>
      </c>
      <c r="J39" s="77">
        <v>0</v>
      </c>
      <c r="K39" s="77">
        <v>0</v>
      </c>
      <c r="L39" s="77">
        <v>0</v>
      </c>
      <c r="M39" s="77">
        <v>0</v>
      </c>
      <c r="N39" s="77">
        <v>0</v>
      </c>
      <c r="O39" s="77">
        <v>0</v>
      </c>
      <c r="P39" s="3"/>
    </row>
    <row r="40" spans="1:16" ht="15.75" customHeight="1" outlineLevel="1" x14ac:dyDescent="0.3">
      <c r="A40" s="3"/>
      <c r="B40" s="75" t="s">
        <v>61</v>
      </c>
      <c r="C40" s="77">
        <f t="shared" si="9"/>
        <v>0</v>
      </c>
      <c r="D40" s="77">
        <v>0</v>
      </c>
      <c r="E40" s="77">
        <v>0</v>
      </c>
      <c r="F40" s="77">
        <v>0</v>
      </c>
      <c r="G40" s="77">
        <v>0</v>
      </c>
      <c r="H40" s="77">
        <v>0</v>
      </c>
      <c r="I40" s="77">
        <v>0</v>
      </c>
      <c r="J40" s="77">
        <v>0</v>
      </c>
      <c r="K40" s="77">
        <v>0</v>
      </c>
      <c r="L40" s="77">
        <v>0</v>
      </c>
      <c r="M40" s="77">
        <v>0</v>
      </c>
      <c r="N40" s="77">
        <v>0</v>
      </c>
      <c r="O40" s="77">
        <v>0</v>
      </c>
      <c r="P40" s="3"/>
    </row>
    <row r="41" spans="1:16" ht="15.75" customHeight="1" x14ac:dyDescent="0.3">
      <c r="A41" s="3"/>
      <c r="B41" s="73" t="s">
        <v>63</v>
      </c>
      <c r="C41" s="57">
        <f t="shared" si="9"/>
        <v>0</v>
      </c>
      <c r="D41" s="57">
        <v>0</v>
      </c>
      <c r="E41" s="57">
        <v>0</v>
      </c>
      <c r="F41" s="57">
        <v>0</v>
      </c>
      <c r="G41" s="57">
        <v>0</v>
      </c>
      <c r="H41" s="57">
        <v>0</v>
      </c>
      <c r="I41" s="57">
        <v>0</v>
      </c>
      <c r="J41" s="57">
        <v>0</v>
      </c>
      <c r="K41" s="57">
        <v>0</v>
      </c>
      <c r="L41" s="57">
        <v>0</v>
      </c>
      <c r="M41" s="57">
        <v>0</v>
      </c>
      <c r="N41" s="57">
        <v>0</v>
      </c>
      <c r="O41" s="57">
        <v>0</v>
      </c>
      <c r="P41" s="3"/>
    </row>
    <row r="42" spans="1:16" ht="15.75" customHeight="1" x14ac:dyDescent="0.3">
      <c r="A42" s="3"/>
      <c r="B42" s="73" t="s">
        <v>259</v>
      </c>
      <c r="C42" s="57">
        <f t="shared" si="9"/>
        <v>0</v>
      </c>
      <c r="D42" s="57">
        <v>0</v>
      </c>
      <c r="E42" s="57">
        <v>0</v>
      </c>
      <c r="F42" s="57">
        <v>0</v>
      </c>
      <c r="G42" s="57">
        <v>0</v>
      </c>
      <c r="H42" s="57">
        <v>0</v>
      </c>
      <c r="I42" s="57">
        <v>0</v>
      </c>
      <c r="J42" s="57">
        <v>0</v>
      </c>
      <c r="K42" s="57">
        <v>0</v>
      </c>
      <c r="L42" s="57">
        <v>0</v>
      </c>
      <c r="M42" s="57">
        <v>0</v>
      </c>
      <c r="N42" s="57">
        <v>0</v>
      </c>
      <c r="O42" s="57">
        <v>0</v>
      </c>
      <c r="P42" s="3"/>
    </row>
    <row r="43" spans="1:16" ht="15.75" customHeight="1" x14ac:dyDescent="0.3">
      <c r="A43" s="3"/>
      <c r="B43" s="3"/>
      <c r="C43" s="148"/>
      <c r="D43" s="37"/>
      <c r="E43" s="37"/>
      <c r="F43" s="111"/>
      <c r="G43" s="37"/>
      <c r="H43" s="37"/>
      <c r="I43" s="37"/>
      <c r="J43" s="37"/>
      <c r="K43" s="37"/>
      <c r="L43" s="111"/>
      <c r="M43" s="37"/>
      <c r="N43" s="37"/>
      <c r="O43" s="37"/>
      <c r="P43" s="3"/>
    </row>
    <row r="44" spans="1:16" ht="15.75" customHeight="1" x14ac:dyDescent="0.3">
      <c r="A44" s="3"/>
      <c r="B44" s="271" t="s">
        <v>269</v>
      </c>
      <c r="C44" s="255" t="s">
        <v>1286</v>
      </c>
      <c r="D44" s="257">
        <v>2024</v>
      </c>
      <c r="E44" s="258"/>
      <c r="F44" s="258"/>
      <c r="G44" s="258"/>
      <c r="H44" s="258"/>
      <c r="I44" s="258"/>
      <c r="J44" s="258"/>
      <c r="K44" s="258"/>
      <c r="L44" s="258"/>
      <c r="M44" s="258"/>
      <c r="N44" s="258"/>
      <c r="O44" s="259"/>
      <c r="P44" s="3"/>
    </row>
    <row r="45" spans="1:16" ht="15.75" customHeight="1" x14ac:dyDescent="0.3">
      <c r="A45" s="3"/>
      <c r="B45" s="206"/>
      <c r="C45" s="256"/>
      <c r="D45" s="6" t="s">
        <v>23</v>
      </c>
      <c r="E45" s="4" t="s">
        <v>24</v>
      </c>
      <c r="F45" s="5" t="s">
        <v>25</v>
      </c>
      <c r="G45" s="6" t="s">
        <v>26</v>
      </c>
      <c r="H45" s="6" t="s">
        <v>27</v>
      </c>
      <c r="I45" s="6" t="s">
        <v>28</v>
      </c>
      <c r="J45" s="6" t="s">
        <v>29</v>
      </c>
      <c r="K45" s="6" t="s">
        <v>30</v>
      </c>
      <c r="L45" s="6" t="s">
        <v>31</v>
      </c>
      <c r="M45" s="5" t="s">
        <v>32</v>
      </c>
      <c r="N45" s="6" t="s">
        <v>33</v>
      </c>
      <c r="O45" s="36" t="s">
        <v>34</v>
      </c>
      <c r="P45" s="3"/>
    </row>
    <row r="46" spans="1:16" ht="15.75" customHeight="1" x14ac:dyDescent="0.3">
      <c r="A46" s="3"/>
      <c r="B46" s="146" t="s">
        <v>73</v>
      </c>
      <c r="C46" s="147">
        <f t="shared" ref="C46:O46" si="10">SUM(C53,C79,C65,C137,C147,C172,C178,C85,C47,C61,C234,C275,C184,C194,C204,C214,C224,C100)</f>
        <v>0</v>
      </c>
      <c r="D46" s="147">
        <f t="shared" si="10"/>
        <v>0</v>
      </c>
      <c r="E46" s="147">
        <f t="shared" si="10"/>
        <v>0</v>
      </c>
      <c r="F46" s="147">
        <f t="shared" si="10"/>
        <v>0</v>
      </c>
      <c r="G46" s="147">
        <f t="shared" si="10"/>
        <v>0</v>
      </c>
      <c r="H46" s="147">
        <f t="shared" si="10"/>
        <v>0</v>
      </c>
      <c r="I46" s="147">
        <f t="shared" si="10"/>
        <v>0</v>
      </c>
      <c r="J46" s="147">
        <f t="shared" si="10"/>
        <v>0</v>
      </c>
      <c r="K46" s="147">
        <f t="shared" si="10"/>
        <v>0</v>
      </c>
      <c r="L46" s="147">
        <f t="shared" si="10"/>
        <v>0</v>
      </c>
      <c r="M46" s="147">
        <f t="shared" si="10"/>
        <v>0</v>
      </c>
      <c r="N46" s="147">
        <f t="shared" si="10"/>
        <v>0</v>
      </c>
      <c r="O46" s="147">
        <f t="shared" si="10"/>
        <v>0</v>
      </c>
      <c r="P46" s="3"/>
    </row>
    <row r="47" spans="1:16" ht="15.75" customHeight="1" x14ac:dyDescent="0.3">
      <c r="A47" s="3"/>
      <c r="B47" s="84" t="s">
        <v>272</v>
      </c>
      <c r="C47" s="86">
        <f t="shared" ref="C47:O47" si="11">SUM(C48:C52)</f>
        <v>0</v>
      </c>
      <c r="D47" s="86">
        <f t="shared" si="11"/>
        <v>0</v>
      </c>
      <c r="E47" s="86">
        <f t="shared" si="11"/>
        <v>0</v>
      </c>
      <c r="F47" s="86">
        <f t="shared" si="11"/>
        <v>0</v>
      </c>
      <c r="G47" s="86">
        <f t="shared" si="11"/>
        <v>0</v>
      </c>
      <c r="H47" s="86">
        <f t="shared" si="11"/>
        <v>0</v>
      </c>
      <c r="I47" s="86">
        <f t="shared" si="11"/>
        <v>0</v>
      </c>
      <c r="J47" s="86">
        <f t="shared" si="11"/>
        <v>0</v>
      </c>
      <c r="K47" s="86">
        <f t="shared" si="11"/>
        <v>0</v>
      </c>
      <c r="L47" s="86">
        <f t="shared" si="11"/>
        <v>0</v>
      </c>
      <c r="M47" s="86">
        <f t="shared" si="11"/>
        <v>0</v>
      </c>
      <c r="N47" s="86">
        <f t="shared" si="11"/>
        <v>0</v>
      </c>
      <c r="O47" s="86">
        <f t="shared" si="11"/>
        <v>0</v>
      </c>
      <c r="P47" s="3"/>
    </row>
    <row r="48" spans="1:16" ht="15.75" customHeight="1" outlineLevel="1" x14ac:dyDescent="0.3">
      <c r="A48" s="3"/>
      <c r="B48" s="149" t="s">
        <v>273</v>
      </c>
      <c r="C48" s="11">
        <f t="shared" ref="C48:C52" si="12">SUM(D48:O48)</f>
        <v>0</v>
      </c>
      <c r="D48" s="12">
        <v>0</v>
      </c>
      <c r="E48" s="12">
        <v>0</v>
      </c>
      <c r="F48" s="12">
        <v>0</v>
      </c>
      <c r="G48" s="12">
        <v>0</v>
      </c>
      <c r="H48" s="12">
        <v>0</v>
      </c>
      <c r="I48" s="12">
        <v>0</v>
      </c>
      <c r="J48" s="12">
        <v>0</v>
      </c>
      <c r="K48" s="12">
        <v>0</v>
      </c>
      <c r="L48" s="12">
        <v>0</v>
      </c>
      <c r="M48" s="12">
        <v>0</v>
      </c>
      <c r="N48" s="12">
        <v>0</v>
      </c>
      <c r="O48" s="12">
        <v>0</v>
      </c>
      <c r="P48" s="3"/>
    </row>
    <row r="49" spans="1:17" ht="15.75" customHeight="1" outlineLevel="1" x14ac:dyDescent="0.3">
      <c r="A49" s="3"/>
      <c r="B49" s="149" t="s">
        <v>277</v>
      </c>
      <c r="C49" s="11">
        <f t="shared" si="12"/>
        <v>0</v>
      </c>
      <c r="D49" s="12">
        <v>0</v>
      </c>
      <c r="E49" s="12">
        <v>0</v>
      </c>
      <c r="F49" s="12">
        <v>0</v>
      </c>
      <c r="G49" s="12">
        <v>0</v>
      </c>
      <c r="H49" s="12">
        <v>0</v>
      </c>
      <c r="I49" s="12">
        <v>0</v>
      </c>
      <c r="J49" s="12">
        <v>0</v>
      </c>
      <c r="K49" s="12">
        <v>0</v>
      </c>
      <c r="L49" s="12">
        <v>0</v>
      </c>
      <c r="M49" s="12">
        <v>0</v>
      </c>
      <c r="N49" s="12">
        <v>0</v>
      </c>
      <c r="O49" s="12">
        <v>0</v>
      </c>
      <c r="P49" s="3"/>
    </row>
    <row r="50" spans="1:17" ht="15.75" customHeight="1" outlineLevel="1" x14ac:dyDescent="0.3">
      <c r="A50" s="3"/>
      <c r="B50" s="149" t="s">
        <v>280</v>
      </c>
      <c r="C50" s="11">
        <f t="shared" si="12"/>
        <v>0</v>
      </c>
      <c r="D50" s="12">
        <v>0</v>
      </c>
      <c r="E50" s="12">
        <v>0</v>
      </c>
      <c r="F50" s="12">
        <v>0</v>
      </c>
      <c r="G50" s="12">
        <v>0</v>
      </c>
      <c r="H50" s="12">
        <v>0</v>
      </c>
      <c r="I50" s="12">
        <v>0</v>
      </c>
      <c r="J50" s="12">
        <v>0</v>
      </c>
      <c r="K50" s="12">
        <v>0</v>
      </c>
      <c r="L50" s="12">
        <v>0</v>
      </c>
      <c r="M50" s="12">
        <v>0</v>
      </c>
      <c r="N50" s="12">
        <v>0</v>
      </c>
      <c r="O50" s="12">
        <v>0</v>
      </c>
      <c r="P50" s="3"/>
    </row>
    <row r="51" spans="1:17" ht="15.75" customHeight="1" outlineLevel="1" x14ac:dyDescent="0.3">
      <c r="A51" s="3"/>
      <c r="B51" s="149" t="s">
        <v>281</v>
      </c>
      <c r="C51" s="11">
        <f t="shared" si="12"/>
        <v>0</v>
      </c>
      <c r="D51" s="12">
        <v>0</v>
      </c>
      <c r="E51" s="12">
        <v>0</v>
      </c>
      <c r="F51" s="12">
        <v>0</v>
      </c>
      <c r="G51" s="12">
        <v>0</v>
      </c>
      <c r="H51" s="12">
        <v>0</v>
      </c>
      <c r="I51" s="12">
        <v>0</v>
      </c>
      <c r="J51" s="12">
        <v>0</v>
      </c>
      <c r="K51" s="12">
        <v>0</v>
      </c>
      <c r="L51" s="12">
        <v>0</v>
      </c>
      <c r="M51" s="12">
        <v>0</v>
      </c>
      <c r="N51" s="12">
        <v>0</v>
      </c>
      <c r="O51" s="12">
        <v>0</v>
      </c>
      <c r="P51" s="3"/>
    </row>
    <row r="52" spans="1:17" ht="15.75" customHeight="1" outlineLevel="1" x14ac:dyDescent="0.3">
      <c r="A52" s="3"/>
      <c r="B52" s="149" t="s">
        <v>65</v>
      </c>
      <c r="C52" s="11">
        <f t="shared" si="12"/>
        <v>0</v>
      </c>
      <c r="D52" s="12">
        <v>0</v>
      </c>
      <c r="E52" s="12">
        <v>0</v>
      </c>
      <c r="F52" s="12">
        <v>0</v>
      </c>
      <c r="G52" s="12">
        <v>0</v>
      </c>
      <c r="H52" s="12">
        <v>0</v>
      </c>
      <c r="I52" s="12">
        <v>0</v>
      </c>
      <c r="J52" s="12">
        <v>0</v>
      </c>
      <c r="K52" s="12">
        <v>0</v>
      </c>
      <c r="L52" s="12">
        <v>0</v>
      </c>
      <c r="M52" s="12">
        <v>0</v>
      </c>
      <c r="N52" s="12">
        <v>0</v>
      </c>
      <c r="O52" s="12">
        <v>0</v>
      </c>
      <c r="P52" s="3"/>
    </row>
    <row r="53" spans="1:17" ht="15.75" customHeight="1" x14ac:dyDescent="0.3">
      <c r="A53" s="3"/>
      <c r="B53" s="84" t="s">
        <v>287</v>
      </c>
      <c r="C53" s="86">
        <f t="shared" ref="C53:O53" si="13">SUM(C54:C60)</f>
        <v>0</v>
      </c>
      <c r="D53" s="86">
        <f t="shared" si="13"/>
        <v>0</v>
      </c>
      <c r="E53" s="86">
        <f t="shared" si="13"/>
        <v>0</v>
      </c>
      <c r="F53" s="86">
        <f t="shared" si="13"/>
        <v>0</v>
      </c>
      <c r="G53" s="86">
        <f t="shared" si="13"/>
        <v>0</v>
      </c>
      <c r="H53" s="86">
        <f t="shared" si="13"/>
        <v>0</v>
      </c>
      <c r="I53" s="86">
        <f t="shared" si="13"/>
        <v>0</v>
      </c>
      <c r="J53" s="86">
        <f t="shared" si="13"/>
        <v>0</v>
      </c>
      <c r="K53" s="86">
        <f t="shared" si="13"/>
        <v>0</v>
      </c>
      <c r="L53" s="86">
        <f t="shared" si="13"/>
        <v>0</v>
      </c>
      <c r="M53" s="86">
        <f t="shared" si="13"/>
        <v>0</v>
      </c>
      <c r="N53" s="86">
        <f t="shared" si="13"/>
        <v>0</v>
      </c>
      <c r="O53" s="86">
        <f t="shared" si="13"/>
        <v>0</v>
      </c>
      <c r="P53" s="3"/>
    </row>
    <row r="54" spans="1:17" ht="15.75" customHeight="1" outlineLevel="1" x14ac:dyDescent="0.3">
      <c r="A54" s="3"/>
      <c r="B54" s="149" t="s">
        <v>288</v>
      </c>
      <c r="C54" s="11">
        <f t="shared" ref="C54:C60" si="14">SUM(D54:O54)</f>
        <v>0</v>
      </c>
      <c r="D54" s="12">
        <v>0</v>
      </c>
      <c r="E54" s="12">
        <v>0</v>
      </c>
      <c r="F54" s="12">
        <v>0</v>
      </c>
      <c r="G54" s="12">
        <v>0</v>
      </c>
      <c r="H54" s="12">
        <v>0</v>
      </c>
      <c r="I54" s="12">
        <v>0</v>
      </c>
      <c r="J54" s="12">
        <v>0</v>
      </c>
      <c r="K54" s="12">
        <v>0</v>
      </c>
      <c r="L54" s="12">
        <v>0</v>
      </c>
      <c r="M54" s="12">
        <v>0</v>
      </c>
      <c r="N54" s="12">
        <v>0</v>
      </c>
      <c r="O54" s="12">
        <v>0</v>
      </c>
      <c r="P54" s="3"/>
    </row>
    <row r="55" spans="1:17" ht="15.75" customHeight="1" outlineLevel="1" x14ac:dyDescent="0.3">
      <c r="A55" s="3"/>
      <c r="B55" s="149" t="s">
        <v>290</v>
      </c>
      <c r="C55" s="11">
        <f t="shared" si="14"/>
        <v>0</v>
      </c>
      <c r="D55" s="12">
        <v>0</v>
      </c>
      <c r="E55" s="12">
        <v>0</v>
      </c>
      <c r="F55" s="12">
        <v>0</v>
      </c>
      <c r="G55" s="12">
        <v>0</v>
      </c>
      <c r="H55" s="12">
        <v>0</v>
      </c>
      <c r="I55" s="12">
        <v>0</v>
      </c>
      <c r="J55" s="12">
        <v>0</v>
      </c>
      <c r="K55" s="12">
        <v>0</v>
      </c>
      <c r="L55" s="12">
        <v>0</v>
      </c>
      <c r="M55" s="12">
        <v>0</v>
      </c>
      <c r="N55" s="12">
        <v>0</v>
      </c>
      <c r="O55" s="12">
        <v>0</v>
      </c>
      <c r="P55" s="3"/>
      <c r="Q55" s="18"/>
    </row>
    <row r="56" spans="1:17" ht="15.75" customHeight="1" outlineLevel="1" x14ac:dyDescent="0.3">
      <c r="A56" s="3"/>
      <c r="B56" s="149" t="s">
        <v>292</v>
      </c>
      <c r="C56" s="11">
        <f t="shared" si="14"/>
        <v>0</v>
      </c>
      <c r="D56" s="12">
        <v>0</v>
      </c>
      <c r="E56" s="12">
        <v>0</v>
      </c>
      <c r="F56" s="12">
        <v>0</v>
      </c>
      <c r="G56" s="12">
        <v>0</v>
      </c>
      <c r="H56" s="12">
        <v>0</v>
      </c>
      <c r="I56" s="12">
        <v>0</v>
      </c>
      <c r="J56" s="12">
        <v>0</v>
      </c>
      <c r="K56" s="12">
        <v>0</v>
      </c>
      <c r="L56" s="12">
        <v>0</v>
      </c>
      <c r="M56" s="12">
        <v>0</v>
      </c>
      <c r="N56" s="12">
        <v>0</v>
      </c>
      <c r="O56" s="12">
        <v>0</v>
      </c>
      <c r="P56" s="3"/>
      <c r="Q56" s="18"/>
    </row>
    <row r="57" spans="1:17" ht="15.75" customHeight="1" outlineLevel="1" x14ac:dyDescent="0.3">
      <c r="A57" s="3"/>
      <c r="B57" s="149" t="s">
        <v>294</v>
      </c>
      <c r="C57" s="11">
        <f t="shared" si="14"/>
        <v>0</v>
      </c>
      <c r="D57" s="12">
        <v>0</v>
      </c>
      <c r="E57" s="12">
        <v>0</v>
      </c>
      <c r="F57" s="12">
        <v>0</v>
      </c>
      <c r="G57" s="12">
        <v>0</v>
      </c>
      <c r="H57" s="12">
        <v>0</v>
      </c>
      <c r="I57" s="12">
        <v>0</v>
      </c>
      <c r="J57" s="12">
        <v>0</v>
      </c>
      <c r="K57" s="12">
        <v>0</v>
      </c>
      <c r="L57" s="12">
        <v>0</v>
      </c>
      <c r="M57" s="12">
        <v>0</v>
      </c>
      <c r="N57" s="12">
        <v>0</v>
      </c>
      <c r="O57" s="12">
        <v>0</v>
      </c>
      <c r="P57" s="3"/>
    </row>
    <row r="58" spans="1:17" ht="15.75" customHeight="1" outlineLevel="1" x14ac:dyDescent="0.3">
      <c r="A58" s="3"/>
      <c r="B58" s="149" t="s">
        <v>297</v>
      </c>
      <c r="C58" s="11">
        <f t="shared" si="14"/>
        <v>0</v>
      </c>
      <c r="D58" s="12">
        <v>0</v>
      </c>
      <c r="E58" s="12">
        <v>0</v>
      </c>
      <c r="F58" s="12">
        <v>0</v>
      </c>
      <c r="G58" s="12">
        <v>0</v>
      </c>
      <c r="H58" s="12">
        <v>0</v>
      </c>
      <c r="I58" s="12">
        <v>0</v>
      </c>
      <c r="J58" s="12">
        <v>0</v>
      </c>
      <c r="K58" s="12">
        <v>0</v>
      </c>
      <c r="L58" s="12">
        <v>0</v>
      </c>
      <c r="M58" s="12">
        <v>0</v>
      </c>
      <c r="N58" s="12">
        <v>0</v>
      </c>
      <c r="O58" s="12">
        <v>0</v>
      </c>
      <c r="P58" s="3"/>
    </row>
    <row r="59" spans="1:17" ht="15.75" customHeight="1" outlineLevel="1" x14ac:dyDescent="0.3">
      <c r="A59" s="3"/>
      <c r="B59" s="149" t="s">
        <v>298</v>
      </c>
      <c r="C59" s="11">
        <f t="shared" si="14"/>
        <v>0</v>
      </c>
      <c r="D59" s="12">
        <v>0</v>
      </c>
      <c r="E59" s="12">
        <v>0</v>
      </c>
      <c r="F59" s="12">
        <v>0</v>
      </c>
      <c r="G59" s="12">
        <v>0</v>
      </c>
      <c r="H59" s="12">
        <v>0</v>
      </c>
      <c r="I59" s="12">
        <v>0</v>
      </c>
      <c r="J59" s="12">
        <v>0</v>
      </c>
      <c r="K59" s="12">
        <v>0</v>
      </c>
      <c r="L59" s="12">
        <v>0</v>
      </c>
      <c r="M59" s="12">
        <v>0</v>
      </c>
      <c r="N59" s="12">
        <v>0</v>
      </c>
      <c r="O59" s="12">
        <v>0</v>
      </c>
      <c r="P59" s="3"/>
    </row>
    <row r="60" spans="1:17" ht="15.75" customHeight="1" outlineLevel="1" x14ac:dyDescent="0.3">
      <c r="A60" s="3"/>
      <c r="B60" s="149" t="s">
        <v>299</v>
      </c>
      <c r="C60" s="11">
        <f t="shared" si="14"/>
        <v>0</v>
      </c>
      <c r="D60" s="12">
        <v>0</v>
      </c>
      <c r="E60" s="12">
        <v>0</v>
      </c>
      <c r="F60" s="12">
        <v>0</v>
      </c>
      <c r="G60" s="12">
        <v>0</v>
      </c>
      <c r="H60" s="12">
        <v>0</v>
      </c>
      <c r="I60" s="12">
        <v>0</v>
      </c>
      <c r="J60" s="12">
        <v>0</v>
      </c>
      <c r="K60" s="12">
        <v>0</v>
      </c>
      <c r="L60" s="12">
        <v>0</v>
      </c>
      <c r="M60" s="12">
        <v>0</v>
      </c>
      <c r="N60" s="12">
        <v>0</v>
      </c>
      <c r="O60" s="12">
        <v>0</v>
      </c>
      <c r="P60" s="3"/>
    </row>
    <row r="61" spans="1:17" ht="15.75" customHeight="1" x14ac:dyDescent="0.3">
      <c r="A61" s="3"/>
      <c r="B61" s="84" t="s">
        <v>300</v>
      </c>
      <c r="C61" s="86">
        <f t="shared" ref="C61:O61" si="15">SUM(C62:C64)</f>
        <v>0</v>
      </c>
      <c r="D61" s="86">
        <f t="shared" si="15"/>
        <v>0</v>
      </c>
      <c r="E61" s="86">
        <f t="shared" si="15"/>
        <v>0</v>
      </c>
      <c r="F61" s="86">
        <f t="shared" si="15"/>
        <v>0</v>
      </c>
      <c r="G61" s="86">
        <f t="shared" si="15"/>
        <v>0</v>
      </c>
      <c r="H61" s="86">
        <f t="shared" si="15"/>
        <v>0</v>
      </c>
      <c r="I61" s="86">
        <f t="shared" si="15"/>
        <v>0</v>
      </c>
      <c r="J61" s="86">
        <f t="shared" si="15"/>
        <v>0</v>
      </c>
      <c r="K61" s="86">
        <f t="shared" si="15"/>
        <v>0</v>
      </c>
      <c r="L61" s="86">
        <f t="shared" si="15"/>
        <v>0</v>
      </c>
      <c r="M61" s="86">
        <f t="shared" si="15"/>
        <v>0</v>
      </c>
      <c r="N61" s="86">
        <f t="shared" si="15"/>
        <v>0</v>
      </c>
      <c r="O61" s="86">
        <f t="shared" si="15"/>
        <v>0</v>
      </c>
      <c r="P61" s="3"/>
    </row>
    <row r="62" spans="1:17" ht="15.75" customHeight="1" outlineLevel="1" x14ac:dyDescent="0.3">
      <c r="A62" s="3"/>
      <c r="B62" s="149" t="s">
        <v>1288</v>
      </c>
      <c r="C62" s="11">
        <f t="shared" ref="C62:C64" si="16">SUM(D62:O62)</f>
        <v>0</v>
      </c>
      <c r="D62" s="12">
        <v>0</v>
      </c>
      <c r="E62" s="12">
        <v>0</v>
      </c>
      <c r="F62" s="12">
        <v>0</v>
      </c>
      <c r="G62" s="12">
        <v>0</v>
      </c>
      <c r="H62" s="12">
        <v>0</v>
      </c>
      <c r="I62" s="12">
        <v>0</v>
      </c>
      <c r="J62" s="12">
        <v>0</v>
      </c>
      <c r="K62" s="12">
        <v>0</v>
      </c>
      <c r="L62" s="12">
        <v>0</v>
      </c>
      <c r="M62" s="12">
        <v>0</v>
      </c>
      <c r="N62" s="12">
        <v>0</v>
      </c>
      <c r="O62" s="12">
        <v>0</v>
      </c>
      <c r="P62" s="3"/>
    </row>
    <row r="63" spans="1:17" ht="15.75" customHeight="1" outlineLevel="1" x14ac:dyDescent="0.3">
      <c r="A63" s="3"/>
      <c r="B63" s="149" t="s">
        <v>753</v>
      </c>
      <c r="C63" s="11">
        <f t="shared" si="16"/>
        <v>0</v>
      </c>
      <c r="D63" s="12">
        <v>0</v>
      </c>
      <c r="E63" s="12">
        <v>0</v>
      </c>
      <c r="F63" s="12">
        <v>0</v>
      </c>
      <c r="G63" s="12">
        <v>0</v>
      </c>
      <c r="H63" s="12">
        <v>0</v>
      </c>
      <c r="I63" s="12">
        <v>0</v>
      </c>
      <c r="J63" s="12">
        <v>0</v>
      </c>
      <c r="K63" s="12">
        <v>0</v>
      </c>
      <c r="L63" s="12">
        <v>0</v>
      </c>
      <c r="M63" s="12">
        <v>0</v>
      </c>
      <c r="N63" s="12">
        <v>0</v>
      </c>
      <c r="O63" s="12">
        <v>0</v>
      </c>
      <c r="P63" s="3"/>
    </row>
    <row r="64" spans="1:17" ht="15.75" customHeight="1" outlineLevel="1" x14ac:dyDescent="0.3">
      <c r="A64" s="3"/>
      <c r="B64" s="149" t="s">
        <v>305</v>
      </c>
      <c r="C64" s="11">
        <f t="shared" si="16"/>
        <v>0</v>
      </c>
      <c r="D64" s="12">
        <v>0</v>
      </c>
      <c r="E64" s="12">
        <v>0</v>
      </c>
      <c r="F64" s="12">
        <v>0</v>
      </c>
      <c r="G64" s="12">
        <v>0</v>
      </c>
      <c r="H64" s="12">
        <v>0</v>
      </c>
      <c r="I64" s="12">
        <v>0</v>
      </c>
      <c r="J64" s="12">
        <v>0</v>
      </c>
      <c r="K64" s="12">
        <v>0</v>
      </c>
      <c r="L64" s="12">
        <v>0</v>
      </c>
      <c r="M64" s="12">
        <v>0</v>
      </c>
      <c r="N64" s="12">
        <v>0</v>
      </c>
      <c r="O64" s="12">
        <v>0</v>
      </c>
      <c r="P64" s="3"/>
    </row>
    <row r="65" spans="1:17" ht="15.75" customHeight="1" x14ac:dyDescent="0.3">
      <c r="A65" s="3"/>
      <c r="B65" s="84" t="s">
        <v>306</v>
      </c>
      <c r="C65" s="86">
        <f t="shared" ref="C65:O65" si="17">SUM(C66:C78)</f>
        <v>0</v>
      </c>
      <c r="D65" s="86">
        <f t="shared" si="17"/>
        <v>0</v>
      </c>
      <c r="E65" s="86">
        <f t="shared" si="17"/>
        <v>0</v>
      </c>
      <c r="F65" s="86">
        <f t="shared" si="17"/>
        <v>0</v>
      </c>
      <c r="G65" s="86">
        <f t="shared" si="17"/>
        <v>0</v>
      </c>
      <c r="H65" s="86">
        <f t="shared" si="17"/>
        <v>0</v>
      </c>
      <c r="I65" s="86">
        <f t="shared" si="17"/>
        <v>0</v>
      </c>
      <c r="J65" s="86">
        <f t="shared" si="17"/>
        <v>0</v>
      </c>
      <c r="K65" s="86">
        <f t="shared" si="17"/>
        <v>0</v>
      </c>
      <c r="L65" s="86">
        <f t="shared" si="17"/>
        <v>0</v>
      </c>
      <c r="M65" s="86">
        <f t="shared" si="17"/>
        <v>0</v>
      </c>
      <c r="N65" s="86">
        <f t="shared" si="17"/>
        <v>0</v>
      </c>
      <c r="O65" s="86">
        <f t="shared" si="17"/>
        <v>0</v>
      </c>
      <c r="P65" s="3"/>
    </row>
    <row r="66" spans="1:17" ht="15.75" customHeight="1" outlineLevel="1" x14ac:dyDescent="0.3">
      <c r="A66" s="3"/>
      <c r="B66" s="149" t="s">
        <v>307</v>
      </c>
      <c r="C66" s="11">
        <f t="shared" ref="C66:C78" si="18">SUM(D66:O66)</f>
        <v>0</v>
      </c>
      <c r="D66" s="12">
        <v>0</v>
      </c>
      <c r="E66" s="12">
        <v>0</v>
      </c>
      <c r="F66" s="12">
        <v>0</v>
      </c>
      <c r="G66" s="12">
        <v>0</v>
      </c>
      <c r="H66" s="12">
        <v>0</v>
      </c>
      <c r="I66" s="12">
        <v>0</v>
      </c>
      <c r="J66" s="12">
        <v>0</v>
      </c>
      <c r="K66" s="12">
        <v>0</v>
      </c>
      <c r="L66" s="12">
        <v>0</v>
      </c>
      <c r="M66" s="12">
        <v>0</v>
      </c>
      <c r="N66" s="12">
        <v>0</v>
      </c>
      <c r="O66" s="12">
        <v>0</v>
      </c>
      <c r="P66" s="3"/>
    </row>
    <row r="67" spans="1:17" ht="15.75" customHeight="1" outlineLevel="1" x14ac:dyDescent="0.3">
      <c r="A67" s="3"/>
      <c r="B67" s="149" t="s">
        <v>1289</v>
      </c>
      <c r="C67" s="11">
        <f t="shared" si="18"/>
        <v>0</v>
      </c>
      <c r="D67" s="12">
        <v>0</v>
      </c>
      <c r="E67" s="12">
        <v>0</v>
      </c>
      <c r="F67" s="12">
        <v>0</v>
      </c>
      <c r="G67" s="12">
        <v>0</v>
      </c>
      <c r="H67" s="12">
        <v>0</v>
      </c>
      <c r="I67" s="12">
        <v>0</v>
      </c>
      <c r="J67" s="12">
        <v>0</v>
      </c>
      <c r="K67" s="12">
        <v>0</v>
      </c>
      <c r="L67" s="12">
        <v>0</v>
      </c>
      <c r="M67" s="12">
        <v>0</v>
      </c>
      <c r="N67" s="12">
        <v>0</v>
      </c>
      <c r="O67" s="12">
        <v>0</v>
      </c>
      <c r="P67" s="3"/>
    </row>
    <row r="68" spans="1:17" ht="15.75" customHeight="1" outlineLevel="1" x14ac:dyDescent="0.3">
      <c r="A68" s="3"/>
      <c r="B68" s="149" t="s">
        <v>312</v>
      </c>
      <c r="C68" s="11">
        <f t="shared" si="18"/>
        <v>0</v>
      </c>
      <c r="D68" s="12">
        <v>0</v>
      </c>
      <c r="E68" s="12">
        <v>0</v>
      </c>
      <c r="F68" s="12">
        <v>0</v>
      </c>
      <c r="G68" s="12">
        <v>0</v>
      </c>
      <c r="H68" s="12">
        <v>0</v>
      </c>
      <c r="I68" s="12">
        <v>0</v>
      </c>
      <c r="J68" s="12">
        <v>0</v>
      </c>
      <c r="K68" s="12">
        <v>0</v>
      </c>
      <c r="L68" s="12">
        <v>0</v>
      </c>
      <c r="M68" s="12">
        <v>0</v>
      </c>
      <c r="N68" s="12">
        <v>0</v>
      </c>
      <c r="O68" s="12">
        <v>0</v>
      </c>
      <c r="P68" s="3"/>
    </row>
    <row r="69" spans="1:17" ht="15.75" customHeight="1" outlineLevel="1" x14ac:dyDescent="0.3">
      <c r="A69" s="3"/>
      <c r="B69" s="149" t="s">
        <v>314</v>
      </c>
      <c r="C69" s="11">
        <f t="shared" si="18"/>
        <v>0</v>
      </c>
      <c r="D69" s="12">
        <v>0</v>
      </c>
      <c r="E69" s="12">
        <v>0</v>
      </c>
      <c r="F69" s="12">
        <v>0</v>
      </c>
      <c r="G69" s="12">
        <v>0</v>
      </c>
      <c r="H69" s="12">
        <v>0</v>
      </c>
      <c r="I69" s="12">
        <v>0</v>
      </c>
      <c r="J69" s="12">
        <v>0</v>
      </c>
      <c r="K69" s="12">
        <v>0</v>
      </c>
      <c r="L69" s="12">
        <v>0</v>
      </c>
      <c r="M69" s="12">
        <v>0</v>
      </c>
      <c r="N69" s="12">
        <v>0</v>
      </c>
      <c r="O69" s="12">
        <v>0</v>
      </c>
      <c r="P69" s="3"/>
    </row>
    <row r="70" spans="1:17" ht="15.75" customHeight="1" outlineLevel="1" x14ac:dyDescent="0.3">
      <c r="A70" s="3"/>
      <c r="B70" s="149" t="s">
        <v>316</v>
      </c>
      <c r="C70" s="11">
        <f t="shared" si="18"/>
        <v>0</v>
      </c>
      <c r="D70" s="12">
        <v>0</v>
      </c>
      <c r="E70" s="12">
        <v>0</v>
      </c>
      <c r="F70" s="12">
        <v>0</v>
      </c>
      <c r="G70" s="12">
        <v>0</v>
      </c>
      <c r="H70" s="12">
        <v>0</v>
      </c>
      <c r="I70" s="12">
        <v>0</v>
      </c>
      <c r="J70" s="12">
        <v>0</v>
      </c>
      <c r="K70" s="12">
        <v>0</v>
      </c>
      <c r="L70" s="12">
        <v>0</v>
      </c>
      <c r="M70" s="12">
        <v>0</v>
      </c>
      <c r="N70" s="12">
        <v>0</v>
      </c>
      <c r="O70" s="12">
        <v>0</v>
      </c>
      <c r="P70" s="3"/>
    </row>
    <row r="71" spans="1:17" ht="15.75" customHeight="1" outlineLevel="1" x14ac:dyDescent="0.3">
      <c r="A71" s="3"/>
      <c r="B71" s="149" t="s">
        <v>1290</v>
      </c>
      <c r="C71" s="11">
        <f t="shared" si="18"/>
        <v>0</v>
      </c>
      <c r="D71" s="12">
        <v>0</v>
      </c>
      <c r="E71" s="12">
        <v>0</v>
      </c>
      <c r="F71" s="12">
        <v>0</v>
      </c>
      <c r="G71" s="12">
        <v>0</v>
      </c>
      <c r="H71" s="12">
        <v>0</v>
      </c>
      <c r="I71" s="12">
        <v>0</v>
      </c>
      <c r="J71" s="12">
        <v>0</v>
      </c>
      <c r="K71" s="12">
        <v>0</v>
      </c>
      <c r="L71" s="12">
        <v>0</v>
      </c>
      <c r="M71" s="12">
        <v>0</v>
      </c>
      <c r="N71" s="12">
        <v>0</v>
      </c>
      <c r="O71" s="12">
        <v>0</v>
      </c>
      <c r="P71" s="3"/>
    </row>
    <row r="72" spans="1:17" ht="15.75" customHeight="1" outlineLevel="1" x14ac:dyDescent="0.3">
      <c r="A72" s="3"/>
      <c r="B72" s="149" t="s">
        <v>317</v>
      </c>
      <c r="C72" s="11">
        <f t="shared" si="18"/>
        <v>0</v>
      </c>
      <c r="D72" s="12">
        <v>0</v>
      </c>
      <c r="E72" s="12">
        <v>0</v>
      </c>
      <c r="F72" s="12">
        <v>0</v>
      </c>
      <c r="G72" s="12">
        <v>0</v>
      </c>
      <c r="H72" s="12">
        <v>0</v>
      </c>
      <c r="I72" s="12">
        <v>0</v>
      </c>
      <c r="J72" s="12">
        <v>0</v>
      </c>
      <c r="K72" s="12">
        <v>0</v>
      </c>
      <c r="L72" s="12">
        <v>0</v>
      </c>
      <c r="M72" s="12">
        <v>0</v>
      </c>
      <c r="N72" s="12">
        <v>0</v>
      </c>
      <c r="O72" s="12">
        <v>0</v>
      </c>
      <c r="P72" s="3"/>
    </row>
    <row r="73" spans="1:17" ht="15.75" customHeight="1" outlineLevel="1" x14ac:dyDescent="0.3">
      <c r="A73" s="3"/>
      <c r="B73" s="149" t="s">
        <v>350</v>
      </c>
      <c r="C73" s="11">
        <f t="shared" si="18"/>
        <v>0</v>
      </c>
      <c r="D73" s="12">
        <v>0</v>
      </c>
      <c r="E73" s="12">
        <v>0</v>
      </c>
      <c r="F73" s="12">
        <v>0</v>
      </c>
      <c r="G73" s="12">
        <v>0</v>
      </c>
      <c r="H73" s="12">
        <v>0</v>
      </c>
      <c r="I73" s="12">
        <v>0</v>
      </c>
      <c r="J73" s="12">
        <v>0</v>
      </c>
      <c r="K73" s="12">
        <v>0</v>
      </c>
      <c r="L73" s="12">
        <v>0</v>
      </c>
      <c r="M73" s="12">
        <v>0</v>
      </c>
      <c r="N73" s="12">
        <v>0</v>
      </c>
      <c r="O73" s="12">
        <v>0</v>
      </c>
      <c r="P73" s="3"/>
    </row>
    <row r="74" spans="1:17" ht="15.75" customHeight="1" outlineLevel="1" x14ac:dyDescent="0.3">
      <c r="A74" s="3"/>
      <c r="B74" s="149" t="s">
        <v>351</v>
      </c>
      <c r="C74" s="11">
        <f t="shared" si="18"/>
        <v>0</v>
      </c>
      <c r="D74" s="12">
        <v>0</v>
      </c>
      <c r="E74" s="12">
        <v>0</v>
      </c>
      <c r="F74" s="12">
        <v>0</v>
      </c>
      <c r="G74" s="12">
        <v>0</v>
      </c>
      <c r="H74" s="12">
        <v>0</v>
      </c>
      <c r="I74" s="12">
        <v>0</v>
      </c>
      <c r="J74" s="12">
        <v>0</v>
      </c>
      <c r="K74" s="12">
        <v>0</v>
      </c>
      <c r="L74" s="12">
        <v>0</v>
      </c>
      <c r="M74" s="12">
        <v>0</v>
      </c>
      <c r="N74" s="12">
        <v>0</v>
      </c>
      <c r="O74" s="12">
        <v>0</v>
      </c>
      <c r="P74" s="3"/>
    </row>
    <row r="75" spans="1:17" ht="15.75" customHeight="1" outlineLevel="1" x14ac:dyDescent="0.3">
      <c r="A75" s="3"/>
      <c r="B75" s="149" t="s">
        <v>345</v>
      </c>
      <c r="C75" s="11">
        <f t="shared" si="18"/>
        <v>0</v>
      </c>
      <c r="D75" s="12">
        <v>0</v>
      </c>
      <c r="E75" s="12">
        <v>0</v>
      </c>
      <c r="F75" s="12">
        <v>0</v>
      </c>
      <c r="G75" s="12">
        <v>0</v>
      </c>
      <c r="H75" s="12">
        <v>0</v>
      </c>
      <c r="I75" s="12">
        <v>0</v>
      </c>
      <c r="J75" s="12">
        <v>0</v>
      </c>
      <c r="K75" s="12">
        <v>0</v>
      </c>
      <c r="L75" s="12">
        <v>0</v>
      </c>
      <c r="M75" s="12">
        <v>0</v>
      </c>
      <c r="N75" s="12">
        <v>0</v>
      </c>
      <c r="O75" s="12">
        <v>0</v>
      </c>
      <c r="P75" s="3"/>
    </row>
    <row r="76" spans="1:17" ht="15.75" customHeight="1" outlineLevel="1" x14ac:dyDescent="0.3">
      <c r="A76" s="3"/>
      <c r="B76" s="149" t="s">
        <v>1291</v>
      </c>
      <c r="C76" s="11">
        <f t="shared" si="18"/>
        <v>0</v>
      </c>
      <c r="D76" s="12">
        <v>0</v>
      </c>
      <c r="E76" s="12">
        <v>0</v>
      </c>
      <c r="F76" s="12">
        <v>0</v>
      </c>
      <c r="G76" s="12">
        <v>0</v>
      </c>
      <c r="H76" s="12">
        <v>0</v>
      </c>
      <c r="I76" s="12">
        <v>0</v>
      </c>
      <c r="J76" s="12">
        <v>0</v>
      </c>
      <c r="K76" s="12">
        <v>0</v>
      </c>
      <c r="L76" s="12">
        <v>0</v>
      </c>
      <c r="M76" s="12">
        <v>0</v>
      </c>
      <c r="N76" s="12">
        <v>0</v>
      </c>
      <c r="O76" s="12">
        <v>0</v>
      </c>
      <c r="P76" s="3"/>
    </row>
    <row r="77" spans="1:17" ht="15.75" customHeight="1" outlineLevel="1" x14ac:dyDescent="0.3">
      <c r="A77" s="3"/>
      <c r="B77" s="149" t="s">
        <v>1292</v>
      </c>
      <c r="C77" s="11">
        <f t="shared" si="18"/>
        <v>0</v>
      </c>
      <c r="D77" s="12">
        <v>0</v>
      </c>
      <c r="E77" s="12">
        <v>0</v>
      </c>
      <c r="F77" s="12">
        <v>0</v>
      </c>
      <c r="G77" s="12">
        <v>0</v>
      </c>
      <c r="H77" s="12">
        <v>0</v>
      </c>
      <c r="I77" s="12">
        <v>0</v>
      </c>
      <c r="J77" s="12">
        <v>0</v>
      </c>
      <c r="K77" s="12">
        <v>0</v>
      </c>
      <c r="L77" s="12">
        <v>0</v>
      </c>
      <c r="M77" s="12">
        <v>0</v>
      </c>
      <c r="N77" s="12">
        <v>0</v>
      </c>
      <c r="O77" s="12">
        <v>0</v>
      </c>
      <c r="P77" s="3"/>
    </row>
    <row r="78" spans="1:17" ht="15.75" customHeight="1" outlineLevel="1" x14ac:dyDescent="0.3">
      <c r="A78" s="3"/>
      <c r="B78" s="149" t="s">
        <v>1293</v>
      </c>
      <c r="C78" s="11">
        <f t="shared" si="18"/>
        <v>0</v>
      </c>
      <c r="D78" s="12">
        <v>0</v>
      </c>
      <c r="E78" s="12">
        <v>0</v>
      </c>
      <c r="F78" s="12">
        <v>0</v>
      </c>
      <c r="G78" s="12">
        <v>0</v>
      </c>
      <c r="H78" s="12">
        <v>0</v>
      </c>
      <c r="I78" s="12">
        <v>0</v>
      </c>
      <c r="J78" s="12">
        <v>0</v>
      </c>
      <c r="K78" s="12">
        <v>0</v>
      </c>
      <c r="L78" s="12">
        <v>0</v>
      </c>
      <c r="M78" s="12">
        <v>0</v>
      </c>
      <c r="N78" s="12">
        <v>0</v>
      </c>
      <c r="O78" s="12">
        <v>0</v>
      </c>
      <c r="P78" s="3"/>
    </row>
    <row r="79" spans="1:17" ht="15.75" customHeight="1" x14ac:dyDescent="0.3">
      <c r="A79" s="3"/>
      <c r="B79" s="84" t="s">
        <v>329</v>
      </c>
      <c r="C79" s="86">
        <f t="shared" ref="C79:O79" si="19">SUM(C80:C84)</f>
        <v>0</v>
      </c>
      <c r="D79" s="86">
        <f t="shared" si="19"/>
        <v>0</v>
      </c>
      <c r="E79" s="86">
        <f t="shared" si="19"/>
        <v>0</v>
      </c>
      <c r="F79" s="86">
        <f t="shared" si="19"/>
        <v>0</v>
      </c>
      <c r="G79" s="86">
        <f t="shared" si="19"/>
        <v>0</v>
      </c>
      <c r="H79" s="86">
        <f t="shared" si="19"/>
        <v>0</v>
      </c>
      <c r="I79" s="86">
        <f t="shared" si="19"/>
        <v>0</v>
      </c>
      <c r="J79" s="86">
        <f t="shared" si="19"/>
        <v>0</v>
      </c>
      <c r="K79" s="86">
        <f t="shared" si="19"/>
        <v>0</v>
      </c>
      <c r="L79" s="86">
        <f t="shared" si="19"/>
        <v>0</v>
      </c>
      <c r="M79" s="86">
        <f t="shared" si="19"/>
        <v>0</v>
      </c>
      <c r="N79" s="86">
        <f t="shared" si="19"/>
        <v>0</v>
      </c>
      <c r="O79" s="86">
        <f t="shared" si="19"/>
        <v>0</v>
      </c>
      <c r="P79" s="3"/>
    </row>
    <row r="80" spans="1:17" ht="15.75" customHeight="1" outlineLevel="1" x14ac:dyDescent="0.3">
      <c r="A80" s="3"/>
      <c r="B80" s="149" t="s">
        <v>330</v>
      </c>
      <c r="C80" s="11">
        <f t="shared" ref="C80:C84" si="20">SUM(D80:O80)</f>
        <v>0</v>
      </c>
      <c r="D80" s="12">
        <v>0</v>
      </c>
      <c r="E80" s="12">
        <v>0</v>
      </c>
      <c r="F80" s="12">
        <v>0</v>
      </c>
      <c r="G80" s="12">
        <v>0</v>
      </c>
      <c r="H80" s="12">
        <v>0</v>
      </c>
      <c r="I80" s="12">
        <v>0</v>
      </c>
      <c r="J80" s="12">
        <v>0</v>
      </c>
      <c r="K80" s="12">
        <v>0</v>
      </c>
      <c r="L80" s="12">
        <v>0</v>
      </c>
      <c r="M80" s="12">
        <v>0</v>
      </c>
      <c r="N80" s="12">
        <v>0</v>
      </c>
      <c r="O80" s="12">
        <v>0</v>
      </c>
      <c r="P80" s="3"/>
      <c r="Q80" s="18"/>
    </row>
    <row r="81" spans="1:16" ht="15.75" customHeight="1" outlineLevel="1" x14ac:dyDescent="0.3">
      <c r="A81" s="3"/>
      <c r="B81" s="149" t="s">
        <v>334</v>
      </c>
      <c r="C81" s="11">
        <f t="shared" si="20"/>
        <v>0</v>
      </c>
      <c r="D81" s="12">
        <v>0</v>
      </c>
      <c r="E81" s="12">
        <v>0</v>
      </c>
      <c r="F81" s="12">
        <v>0</v>
      </c>
      <c r="G81" s="12">
        <v>0</v>
      </c>
      <c r="H81" s="12">
        <v>0</v>
      </c>
      <c r="I81" s="12">
        <v>0</v>
      </c>
      <c r="J81" s="12">
        <v>0</v>
      </c>
      <c r="K81" s="12">
        <v>0</v>
      </c>
      <c r="L81" s="12">
        <v>0</v>
      </c>
      <c r="M81" s="12">
        <v>0</v>
      </c>
      <c r="N81" s="12">
        <v>0</v>
      </c>
      <c r="O81" s="12">
        <v>0</v>
      </c>
      <c r="P81" s="3"/>
    </row>
    <row r="82" spans="1:16" ht="15.75" customHeight="1" outlineLevel="1" x14ac:dyDescent="0.3">
      <c r="A82" s="3"/>
      <c r="B82" s="149" t="s">
        <v>350</v>
      </c>
      <c r="C82" s="11">
        <f t="shared" si="20"/>
        <v>0</v>
      </c>
      <c r="D82" s="12">
        <v>0</v>
      </c>
      <c r="E82" s="12">
        <v>0</v>
      </c>
      <c r="F82" s="12">
        <v>0</v>
      </c>
      <c r="G82" s="12">
        <v>0</v>
      </c>
      <c r="H82" s="12">
        <v>0</v>
      </c>
      <c r="I82" s="12">
        <v>0</v>
      </c>
      <c r="J82" s="12">
        <v>0</v>
      </c>
      <c r="K82" s="12">
        <v>0</v>
      </c>
      <c r="L82" s="12">
        <v>0</v>
      </c>
      <c r="M82" s="12">
        <v>0</v>
      </c>
      <c r="N82" s="12">
        <v>0</v>
      </c>
      <c r="O82" s="12">
        <v>0</v>
      </c>
      <c r="P82" s="3"/>
    </row>
    <row r="83" spans="1:16" ht="15.75" customHeight="1" outlineLevel="1" x14ac:dyDescent="0.3">
      <c r="A83" s="3"/>
      <c r="B83" s="149" t="s">
        <v>351</v>
      </c>
      <c r="C83" s="11">
        <f t="shared" si="20"/>
        <v>0</v>
      </c>
      <c r="D83" s="12">
        <v>0</v>
      </c>
      <c r="E83" s="12">
        <v>0</v>
      </c>
      <c r="F83" s="12">
        <v>0</v>
      </c>
      <c r="G83" s="12">
        <v>0</v>
      </c>
      <c r="H83" s="12">
        <v>0</v>
      </c>
      <c r="I83" s="12">
        <v>0</v>
      </c>
      <c r="J83" s="12">
        <v>0</v>
      </c>
      <c r="K83" s="12">
        <v>0</v>
      </c>
      <c r="L83" s="12">
        <v>0</v>
      </c>
      <c r="M83" s="12">
        <v>0</v>
      </c>
      <c r="N83" s="12">
        <v>0</v>
      </c>
      <c r="O83" s="12">
        <v>0</v>
      </c>
      <c r="P83" s="3"/>
    </row>
    <row r="84" spans="1:16" ht="15.75" customHeight="1" outlineLevel="1" x14ac:dyDescent="0.3">
      <c r="A84" s="3"/>
      <c r="B84" s="149" t="s">
        <v>345</v>
      </c>
      <c r="C84" s="11">
        <f t="shared" si="20"/>
        <v>0</v>
      </c>
      <c r="D84" s="12">
        <v>0</v>
      </c>
      <c r="E84" s="12">
        <v>0</v>
      </c>
      <c r="F84" s="12">
        <v>0</v>
      </c>
      <c r="G84" s="12">
        <v>0</v>
      </c>
      <c r="H84" s="12">
        <v>0</v>
      </c>
      <c r="I84" s="12">
        <v>0</v>
      </c>
      <c r="J84" s="12">
        <v>0</v>
      </c>
      <c r="K84" s="12">
        <v>0</v>
      </c>
      <c r="L84" s="12">
        <v>0</v>
      </c>
      <c r="M84" s="12">
        <v>0</v>
      </c>
      <c r="N84" s="12">
        <v>0</v>
      </c>
      <c r="O84" s="12">
        <v>0</v>
      </c>
      <c r="P84" s="3"/>
    </row>
    <row r="85" spans="1:16" ht="15.75" customHeight="1" x14ac:dyDescent="0.3">
      <c r="A85" s="3"/>
      <c r="B85" s="84" t="s">
        <v>348</v>
      </c>
      <c r="C85" s="86">
        <f t="shared" ref="C85:O85" si="21">SUM(C86,C92,C96)</f>
        <v>0</v>
      </c>
      <c r="D85" s="86">
        <f t="shared" si="21"/>
        <v>0</v>
      </c>
      <c r="E85" s="86">
        <f t="shared" si="21"/>
        <v>0</v>
      </c>
      <c r="F85" s="86">
        <f t="shared" si="21"/>
        <v>0</v>
      </c>
      <c r="G85" s="86">
        <f t="shared" si="21"/>
        <v>0</v>
      </c>
      <c r="H85" s="86">
        <f t="shared" si="21"/>
        <v>0</v>
      </c>
      <c r="I85" s="86">
        <f t="shared" si="21"/>
        <v>0</v>
      </c>
      <c r="J85" s="86">
        <f t="shared" si="21"/>
        <v>0</v>
      </c>
      <c r="K85" s="86">
        <f t="shared" si="21"/>
        <v>0</v>
      </c>
      <c r="L85" s="86">
        <f t="shared" si="21"/>
        <v>0</v>
      </c>
      <c r="M85" s="86">
        <f t="shared" si="21"/>
        <v>0</v>
      </c>
      <c r="N85" s="86">
        <f t="shared" si="21"/>
        <v>0</v>
      </c>
      <c r="O85" s="86">
        <f t="shared" si="21"/>
        <v>0</v>
      </c>
      <c r="P85" s="3"/>
    </row>
    <row r="86" spans="1:16" ht="15.75" customHeight="1" outlineLevel="1" x14ac:dyDescent="0.3">
      <c r="A86" s="3"/>
      <c r="B86" s="91" t="s">
        <v>349</v>
      </c>
      <c r="C86" s="93">
        <f t="shared" ref="C86:O86" si="22">SUM(C87:C91)</f>
        <v>0</v>
      </c>
      <c r="D86" s="93">
        <f t="shared" si="22"/>
        <v>0</v>
      </c>
      <c r="E86" s="93">
        <f t="shared" si="22"/>
        <v>0</v>
      </c>
      <c r="F86" s="93">
        <f t="shared" si="22"/>
        <v>0</v>
      </c>
      <c r="G86" s="93">
        <f t="shared" si="22"/>
        <v>0</v>
      </c>
      <c r="H86" s="93">
        <f t="shared" si="22"/>
        <v>0</v>
      </c>
      <c r="I86" s="93">
        <f t="shared" si="22"/>
        <v>0</v>
      </c>
      <c r="J86" s="93">
        <f t="shared" si="22"/>
        <v>0</v>
      </c>
      <c r="K86" s="93">
        <f t="shared" si="22"/>
        <v>0</v>
      </c>
      <c r="L86" s="93">
        <f t="shared" si="22"/>
        <v>0</v>
      </c>
      <c r="M86" s="93">
        <f t="shared" si="22"/>
        <v>0</v>
      </c>
      <c r="N86" s="93">
        <f t="shared" si="22"/>
        <v>0</v>
      </c>
      <c r="O86" s="93">
        <f t="shared" si="22"/>
        <v>0</v>
      </c>
      <c r="P86" s="3"/>
    </row>
    <row r="87" spans="1:16" ht="15.75" customHeight="1" outlineLevel="1" x14ac:dyDescent="0.3">
      <c r="A87" s="3"/>
      <c r="B87" s="149" t="s">
        <v>330</v>
      </c>
      <c r="C87" s="11">
        <f t="shared" ref="C87:C91" si="23">SUM(D87:O87)</f>
        <v>0</v>
      </c>
      <c r="D87" s="12">
        <v>0</v>
      </c>
      <c r="E87" s="12">
        <v>0</v>
      </c>
      <c r="F87" s="12">
        <v>0</v>
      </c>
      <c r="G87" s="12">
        <v>0</v>
      </c>
      <c r="H87" s="12">
        <v>0</v>
      </c>
      <c r="I87" s="12">
        <v>0</v>
      </c>
      <c r="J87" s="12">
        <v>0</v>
      </c>
      <c r="K87" s="12">
        <v>0</v>
      </c>
      <c r="L87" s="12">
        <v>0</v>
      </c>
      <c r="M87" s="12">
        <v>0</v>
      </c>
      <c r="N87" s="12">
        <v>0</v>
      </c>
      <c r="O87" s="12">
        <v>0</v>
      </c>
      <c r="P87" s="3"/>
    </row>
    <row r="88" spans="1:16" ht="15.75" customHeight="1" outlineLevel="1" x14ac:dyDescent="0.3">
      <c r="A88" s="3"/>
      <c r="B88" s="149" t="s">
        <v>334</v>
      </c>
      <c r="C88" s="11">
        <f t="shared" si="23"/>
        <v>0</v>
      </c>
      <c r="D88" s="12">
        <v>0</v>
      </c>
      <c r="E88" s="12">
        <v>0</v>
      </c>
      <c r="F88" s="12">
        <v>0</v>
      </c>
      <c r="G88" s="12">
        <v>0</v>
      </c>
      <c r="H88" s="12">
        <v>0</v>
      </c>
      <c r="I88" s="12">
        <v>0</v>
      </c>
      <c r="J88" s="12">
        <v>0</v>
      </c>
      <c r="K88" s="12">
        <v>0</v>
      </c>
      <c r="L88" s="12">
        <v>0</v>
      </c>
      <c r="M88" s="12">
        <v>0</v>
      </c>
      <c r="N88" s="12">
        <v>0</v>
      </c>
      <c r="O88" s="12">
        <v>0</v>
      </c>
      <c r="P88" s="3"/>
    </row>
    <row r="89" spans="1:16" ht="15.75" customHeight="1" outlineLevel="1" x14ac:dyDescent="0.3">
      <c r="A89" s="3"/>
      <c r="B89" s="149" t="s">
        <v>350</v>
      </c>
      <c r="C89" s="11">
        <f t="shared" si="23"/>
        <v>0</v>
      </c>
      <c r="D89" s="12">
        <v>0</v>
      </c>
      <c r="E89" s="12">
        <v>0</v>
      </c>
      <c r="F89" s="12">
        <v>0</v>
      </c>
      <c r="G89" s="12">
        <v>0</v>
      </c>
      <c r="H89" s="12">
        <v>0</v>
      </c>
      <c r="I89" s="12">
        <v>0</v>
      </c>
      <c r="J89" s="12">
        <v>0</v>
      </c>
      <c r="K89" s="12">
        <v>0</v>
      </c>
      <c r="L89" s="12">
        <v>0</v>
      </c>
      <c r="M89" s="12">
        <v>0</v>
      </c>
      <c r="N89" s="12">
        <v>0</v>
      </c>
      <c r="O89" s="12">
        <v>0</v>
      </c>
      <c r="P89" s="3"/>
    </row>
    <row r="90" spans="1:16" ht="15.75" customHeight="1" outlineLevel="1" x14ac:dyDescent="0.3">
      <c r="A90" s="3"/>
      <c r="B90" s="149" t="s">
        <v>351</v>
      </c>
      <c r="C90" s="11">
        <f t="shared" si="23"/>
        <v>0</v>
      </c>
      <c r="D90" s="12">
        <v>0</v>
      </c>
      <c r="E90" s="12">
        <v>0</v>
      </c>
      <c r="F90" s="12">
        <v>0</v>
      </c>
      <c r="G90" s="12">
        <v>0</v>
      </c>
      <c r="H90" s="12">
        <v>0</v>
      </c>
      <c r="I90" s="12">
        <v>0</v>
      </c>
      <c r="J90" s="12">
        <v>0</v>
      </c>
      <c r="K90" s="12">
        <v>0</v>
      </c>
      <c r="L90" s="12">
        <v>0</v>
      </c>
      <c r="M90" s="12">
        <v>0</v>
      </c>
      <c r="N90" s="12">
        <v>0</v>
      </c>
      <c r="O90" s="12">
        <v>0</v>
      </c>
      <c r="P90" s="3"/>
    </row>
    <row r="91" spans="1:16" ht="15.75" customHeight="1" outlineLevel="1" x14ac:dyDescent="0.3">
      <c r="A91" s="3"/>
      <c r="B91" s="149" t="s">
        <v>345</v>
      </c>
      <c r="C91" s="11">
        <f t="shared" si="23"/>
        <v>0</v>
      </c>
      <c r="D91" s="12">
        <v>0</v>
      </c>
      <c r="E91" s="12">
        <v>0</v>
      </c>
      <c r="F91" s="12">
        <v>0</v>
      </c>
      <c r="G91" s="12">
        <v>0</v>
      </c>
      <c r="H91" s="12">
        <v>0</v>
      </c>
      <c r="I91" s="12">
        <v>0</v>
      </c>
      <c r="J91" s="12">
        <v>0</v>
      </c>
      <c r="K91" s="12">
        <v>0</v>
      </c>
      <c r="L91" s="12">
        <v>0</v>
      </c>
      <c r="M91" s="12">
        <v>0</v>
      </c>
      <c r="N91" s="12">
        <v>0</v>
      </c>
      <c r="O91" s="12">
        <v>0</v>
      </c>
      <c r="P91" s="3"/>
    </row>
    <row r="92" spans="1:16" ht="15.75" customHeight="1" outlineLevel="1" x14ac:dyDescent="0.3">
      <c r="A92" s="3"/>
      <c r="B92" s="91" t="s">
        <v>352</v>
      </c>
      <c r="C92" s="93">
        <f t="shared" ref="C92:O92" si="24">SUM(C93:C95)</f>
        <v>0</v>
      </c>
      <c r="D92" s="93">
        <f t="shared" si="24"/>
        <v>0</v>
      </c>
      <c r="E92" s="93">
        <f t="shared" si="24"/>
        <v>0</v>
      </c>
      <c r="F92" s="93">
        <f t="shared" si="24"/>
        <v>0</v>
      </c>
      <c r="G92" s="93">
        <f t="shared" si="24"/>
        <v>0</v>
      </c>
      <c r="H92" s="93">
        <f t="shared" si="24"/>
        <v>0</v>
      </c>
      <c r="I92" s="93">
        <f t="shared" si="24"/>
        <v>0</v>
      </c>
      <c r="J92" s="93">
        <f t="shared" si="24"/>
        <v>0</v>
      </c>
      <c r="K92" s="93">
        <f t="shared" si="24"/>
        <v>0</v>
      </c>
      <c r="L92" s="93">
        <f t="shared" si="24"/>
        <v>0</v>
      </c>
      <c r="M92" s="93">
        <f t="shared" si="24"/>
        <v>0</v>
      </c>
      <c r="N92" s="93">
        <f t="shared" si="24"/>
        <v>0</v>
      </c>
      <c r="O92" s="93">
        <f t="shared" si="24"/>
        <v>0</v>
      </c>
      <c r="P92" s="3"/>
    </row>
    <row r="93" spans="1:16" ht="15.75" customHeight="1" outlineLevel="1" x14ac:dyDescent="0.3">
      <c r="A93" s="3"/>
      <c r="B93" s="149" t="s">
        <v>353</v>
      </c>
      <c r="C93" s="11">
        <f t="shared" ref="C93:C95" si="25">SUM(D93:O93)</f>
        <v>0</v>
      </c>
      <c r="D93" s="12">
        <v>0</v>
      </c>
      <c r="E93" s="12">
        <v>0</v>
      </c>
      <c r="F93" s="12">
        <v>0</v>
      </c>
      <c r="G93" s="12">
        <v>0</v>
      </c>
      <c r="H93" s="12">
        <v>0</v>
      </c>
      <c r="I93" s="12">
        <v>0</v>
      </c>
      <c r="J93" s="12">
        <v>0</v>
      </c>
      <c r="K93" s="12">
        <v>0</v>
      </c>
      <c r="L93" s="12">
        <v>0</v>
      </c>
      <c r="M93" s="12">
        <v>0</v>
      </c>
      <c r="N93" s="12">
        <v>0</v>
      </c>
      <c r="O93" s="12">
        <v>0</v>
      </c>
      <c r="P93" s="3"/>
    </row>
    <row r="94" spans="1:16" ht="15.75" customHeight="1" outlineLevel="1" x14ac:dyDescent="0.3">
      <c r="A94" s="3"/>
      <c r="B94" s="149" t="s">
        <v>354</v>
      </c>
      <c r="C94" s="11">
        <f t="shared" si="25"/>
        <v>0</v>
      </c>
      <c r="D94" s="12">
        <v>0</v>
      </c>
      <c r="E94" s="12">
        <v>0</v>
      </c>
      <c r="F94" s="12">
        <v>0</v>
      </c>
      <c r="G94" s="12">
        <v>0</v>
      </c>
      <c r="H94" s="12">
        <v>0</v>
      </c>
      <c r="I94" s="12">
        <v>0</v>
      </c>
      <c r="J94" s="12">
        <v>0</v>
      </c>
      <c r="K94" s="12">
        <v>0</v>
      </c>
      <c r="L94" s="12">
        <v>0</v>
      </c>
      <c r="M94" s="12">
        <v>0</v>
      </c>
      <c r="N94" s="12">
        <v>0</v>
      </c>
      <c r="O94" s="12">
        <v>0</v>
      </c>
      <c r="P94" s="3"/>
    </row>
    <row r="95" spans="1:16" ht="15.75" customHeight="1" outlineLevel="1" x14ac:dyDescent="0.3">
      <c r="A95" s="3"/>
      <c r="B95" s="149" t="s">
        <v>355</v>
      </c>
      <c r="C95" s="11">
        <f t="shared" si="25"/>
        <v>0</v>
      </c>
      <c r="D95" s="12">
        <v>0</v>
      </c>
      <c r="E95" s="12">
        <v>0</v>
      </c>
      <c r="F95" s="12">
        <v>0</v>
      </c>
      <c r="G95" s="12">
        <v>0</v>
      </c>
      <c r="H95" s="12">
        <v>0</v>
      </c>
      <c r="I95" s="12">
        <v>0</v>
      </c>
      <c r="J95" s="12">
        <v>0</v>
      </c>
      <c r="K95" s="12">
        <v>0</v>
      </c>
      <c r="L95" s="12">
        <v>0</v>
      </c>
      <c r="M95" s="12">
        <v>0</v>
      </c>
      <c r="N95" s="12">
        <v>0</v>
      </c>
      <c r="O95" s="12">
        <v>0</v>
      </c>
      <c r="P95" s="3"/>
    </row>
    <row r="96" spans="1:16" ht="15.75" customHeight="1" outlineLevel="1" x14ac:dyDescent="0.3">
      <c r="A96" s="3"/>
      <c r="B96" s="91" t="s">
        <v>356</v>
      </c>
      <c r="C96" s="93">
        <f t="shared" ref="C96:O96" si="26">SUM(C97:C99)</f>
        <v>0</v>
      </c>
      <c r="D96" s="93">
        <f t="shared" si="26"/>
        <v>0</v>
      </c>
      <c r="E96" s="93">
        <f t="shared" si="26"/>
        <v>0</v>
      </c>
      <c r="F96" s="93">
        <f t="shared" si="26"/>
        <v>0</v>
      </c>
      <c r="G96" s="93">
        <f t="shared" si="26"/>
        <v>0</v>
      </c>
      <c r="H96" s="93">
        <f t="shared" si="26"/>
        <v>0</v>
      </c>
      <c r="I96" s="93">
        <f t="shared" si="26"/>
        <v>0</v>
      </c>
      <c r="J96" s="93">
        <f t="shared" si="26"/>
        <v>0</v>
      </c>
      <c r="K96" s="93">
        <f t="shared" si="26"/>
        <v>0</v>
      </c>
      <c r="L96" s="93">
        <f t="shared" si="26"/>
        <v>0</v>
      </c>
      <c r="M96" s="93">
        <f t="shared" si="26"/>
        <v>0</v>
      </c>
      <c r="N96" s="93">
        <f t="shared" si="26"/>
        <v>0</v>
      </c>
      <c r="O96" s="93">
        <f t="shared" si="26"/>
        <v>0</v>
      </c>
      <c r="P96" s="3"/>
    </row>
    <row r="97" spans="1:16" ht="15.75" customHeight="1" outlineLevel="1" x14ac:dyDescent="0.3">
      <c r="A97" s="3"/>
      <c r="B97" s="149" t="s">
        <v>353</v>
      </c>
      <c r="C97" s="11">
        <f t="shared" ref="C97:C99" si="27">SUM(D97:O97)</f>
        <v>0</v>
      </c>
      <c r="D97" s="12">
        <v>0</v>
      </c>
      <c r="E97" s="12">
        <v>0</v>
      </c>
      <c r="F97" s="12">
        <v>0</v>
      </c>
      <c r="G97" s="12">
        <v>0</v>
      </c>
      <c r="H97" s="12">
        <v>0</v>
      </c>
      <c r="I97" s="12">
        <v>0</v>
      </c>
      <c r="J97" s="12">
        <v>0</v>
      </c>
      <c r="K97" s="12">
        <v>0</v>
      </c>
      <c r="L97" s="12">
        <v>0</v>
      </c>
      <c r="M97" s="12">
        <v>0</v>
      </c>
      <c r="N97" s="12">
        <v>0</v>
      </c>
      <c r="O97" s="12">
        <v>0</v>
      </c>
      <c r="P97" s="3"/>
    </row>
    <row r="98" spans="1:16" ht="15.75" customHeight="1" outlineLevel="1" x14ac:dyDescent="0.3">
      <c r="A98" s="3"/>
      <c r="B98" s="149" t="s">
        <v>354</v>
      </c>
      <c r="C98" s="11">
        <f t="shared" si="27"/>
        <v>0</v>
      </c>
      <c r="D98" s="12">
        <v>0</v>
      </c>
      <c r="E98" s="12">
        <v>0</v>
      </c>
      <c r="F98" s="12">
        <v>0</v>
      </c>
      <c r="G98" s="12">
        <v>0</v>
      </c>
      <c r="H98" s="12">
        <v>0</v>
      </c>
      <c r="I98" s="12">
        <v>0</v>
      </c>
      <c r="J98" s="12">
        <v>0</v>
      </c>
      <c r="K98" s="12">
        <v>0</v>
      </c>
      <c r="L98" s="12">
        <v>0</v>
      </c>
      <c r="M98" s="12">
        <v>0</v>
      </c>
      <c r="N98" s="12">
        <v>0</v>
      </c>
      <c r="O98" s="12">
        <v>0</v>
      </c>
      <c r="P98" s="3"/>
    </row>
    <row r="99" spans="1:16" ht="15.75" customHeight="1" outlineLevel="1" x14ac:dyDescent="0.3">
      <c r="A99" s="3"/>
      <c r="B99" s="149" t="s">
        <v>355</v>
      </c>
      <c r="C99" s="11">
        <f t="shared" si="27"/>
        <v>0</v>
      </c>
      <c r="D99" s="12">
        <v>0</v>
      </c>
      <c r="E99" s="12">
        <v>0</v>
      </c>
      <c r="F99" s="12">
        <v>0</v>
      </c>
      <c r="G99" s="12">
        <v>0</v>
      </c>
      <c r="H99" s="12">
        <v>0</v>
      </c>
      <c r="I99" s="12">
        <v>0</v>
      </c>
      <c r="J99" s="12">
        <v>0</v>
      </c>
      <c r="K99" s="12">
        <v>0</v>
      </c>
      <c r="L99" s="12">
        <v>0</v>
      </c>
      <c r="M99" s="12">
        <v>0</v>
      </c>
      <c r="N99" s="12">
        <v>0</v>
      </c>
      <c r="O99" s="12">
        <v>0</v>
      </c>
      <c r="P99" s="3"/>
    </row>
    <row r="100" spans="1:16" ht="15.75" customHeight="1" x14ac:dyDescent="0.3">
      <c r="A100" s="3"/>
      <c r="B100" s="84" t="s">
        <v>357</v>
      </c>
      <c r="C100" s="86">
        <f t="shared" ref="C100:O100" si="28">SUM(C101,C107,C117,C127)</f>
        <v>0</v>
      </c>
      <c r="D100" s="86">
        <f t="shared" si="28"/>
        <v>0</v>
      </c>
      <c r="E100" s="86">
        <f t="shared" si="28"/>
        <v>0</v>
      </c>
      <c r="F100" s="86">
        <f t="shared" si="28"/>
        <v>0</v>
      </c>
      <c r="G100" s="86">
        <f t="shared" si="28"/>
        <v>0</v>
      </c>
      <c r="H100" s="86">
        <f t="shared" si="28"/>
        <v>0</v>
      </c>
      <c r="I100" s="86">
        <f t="shared" si="28"/>
        <v>0</v>
      </c>
      <c r="J100" s="86">
        <f t="shared" si="28"/>
        <v>0</v>
      </c>
      <c r="K100" s="86">
        <f t="shared" si="28"/>
        <v>0</v>
      </c>
      <c r="L100" s="86">
        <f t="shared" si="28"/>
        <v>0</v>
      </c>
      <c r="M100" s="86">
        <f t="shared" si="28"/>
        <v>0</v>
      </c>
      <c r="N100" s="86">
        <f t="shared" si="28"/>
        <v>0</v>
      </c>
      <c r="O100" s="86">
        <f t="shared" si="28"/>
        <v>0</v>
      </c>
      <c r="P100" s="3"/>
    </row>
    <row r="101" spans="1:16" ht="15.75" customHeight="1" outlineLevel="1" x14ac:dyDescent="0.3">
      <c r="A101" s="3"/>
      <c r="B101" s="91" t="s">
        <v>358</v>
      </c>
      <c r="C101" s="93">
        <f t="shared" ref="C101:O101" si="29">SUM(C102:C106)</f>
        <v>0</v>
      </c>
      <c r="D101" s="93">
        <f t="shared" si="29"/>
        <v>0</v>
      </c>
      <c r="E101" s="93">
        <f t="shared" si="29"/>
        <v>0</v>
      </c>
      <c r="F101" s="93">
        <f t="shared" si="29"/>
        <v>0</v>
      </c>
      <c r="G101" s="93">
        <f t="shared" si="29"/>
        <v>0</v>
      </c>
      <c r="H101" s="93">
        <f t="shared" si="29"/>
        <v>0</v>
      </c>
      <c r="I101" s="93">
        <f t="shared" si="29"/>
        <v>0</v>
      </c>
      <c r="J101" s="93">
        <f t="shared" si="29"/>
        <v>0</v>
      </c>
      <c r="K101" s="93">
        <f t="shared" si="29"/>
        <v>0</v>
      </c>
      <c r="L101" s="93">
        <f t="shared" si="29"/>
        <v>0</v>
      </c>
      <c r="M101" s="93">
        <f t="shared" si="29"/>
        <v>0</v>
      </c>
      <c r="N101" s="93">
        <f t="shared" si="29"/>
        <v>0</v>
      </c>
      <c r="O101" s="93">
        <f t="shared" si="29"/>
        <v>0</v>
      </c>
      <c r="P101" s="3"/>
    </row>
    <row r="102" spans="1:16" ht="15.75" customHeight="1" outlineLevel="1" x14ac:dyDescent="0.3">
      <c r="A102" s="3"/>
      <c r="B102" s="149" t="s">
        <v>337</v>
      </c>
      <c r="C102" s="11">
        <f t="shared" ref="C102:C106" si="30">SUM(D102:O102)</f>
        <v>0</v>
      </c>
      <c r="D102" s="12">
        <v>0</v>
      </c>
      <c r="E102" s="12">
        <v>0</v>
      </c>
      <c r="F102" s="12">
        <v>0</v>
      </c>
      <c r="G102" s="12">
        <v>0</v>
      </c>
      <c r="H102" s="12">
        <v>0</v>
      </c>
      <c r="I102" s="12">
        <v>0</v>
      </c>
      <c r="J102" s="12">
        <v>0</v>
      </c>
      <c r="K102" s="12">
        <v>0</v>
      </c>
      <c r="L102" s="12">
        <v>0</v>
      </c>
      <c r="M102" s="12">
        <v>0</v>
      </c>
      <c r="N102" s="12">
        <v>0</v>
      </c>
      <c r="O102" s="12">
        <v>0</v>
      </c>
      <c r="P102" s="3"/>
    </row>
    <row r="103" spans="1:16" ht="15.75" customHeight="1" outlineLevel="1" x14ac:dyDescent="0.3">
      <c r="A103" s="3"/>
      <c r="B103" s="149" t="s">
        <v>359</v>
      </c>
      <c r="C103" s="11">
        <f t="shared" si="30"/>
        <v>0</v>
      </c>
      <c r="D103" s="12">
        <v>0</v>
      </c>
      <c r="E103" s="12">
        <v>0</v>
      </c>
      <c r="F103" s="12">
        <v>0</v>
      </c>
      <c r="G103" s="12">
        <v>0</v>
      </c>
      <c r="H103" s="12">
        <v>0</v>
      </c>
      <c r="I103" s="12">
        <v>0</v>
      </c>
      <c r="J103" s="12">
        <v>0</v>
      </c>
      <c r="K103" s="12">
        <v>0</v>
      </c>
      <c r="L103" s="12">
        <v>0</v>
      </c>
      <c r="M103" s="12">
        <v>0</v>
      </c>
      <c r="N103" s="12">
        <v>0</v>
      </c>
      <c r="O103" s="12">
        <v>0</v>
      </c>
      <c r="P103" s="3"/>
    </row>
    <row r="104" spans="1:16" ht="15.75" customHeight="1" outlineLevel="1" x14ac:dyDescent="0.3">
      <c r="A104" s="3"/>
      <c r="B104" s="149" t="s">
        <v>353</v>
      </c>
      <c r="C104" s="11">
        <f t="shared" si="30"/>
        <v>0</v>
      </c>
      <c r="D104" s="12">
        <v>0</v>
      </c>
      <c r="E104" s="12">
        <v>0</v>
      </c>
      <c r="F104" s="12">
        <v>0</v>
      </c>
      <c r="G104" s="12">
        <v>0</v>
      </c>
      <c r="H104" s="12">
        <v>0</v>
      </c>
      <c r="I104" s="12">
        <v>0</v>
      </c>
      <c r="J104" s="12">
        <v>0</v>
      </c>
      <c r="K104" s="12">
        <v>0</v>
      </c>
      <c r="L104" s="12">
        <v>0</v>
      </c>
      <c r="M104" s="12">
        <v>0</v>
      </c>
      <c r="N104" s="12">
        <v>0</v>
      </c>
      <c r="O104" s="12">
        <v>0</v>
      </c>
      <c r="P104" s="3"/>
    </row>
    <row r="105" spans="1:16" ht="15.75" customHeight="1" outlineLevel="1" x14ac:dyDescent="0.3">
      <c r="A105" s="3"/>
      <c r="B105" s="149" t="s">
        <v>354</v>
      </c>
      <c r="C105" s="11">
        <f t="shared" si="30"/>
        <v>0</v>
      </c>
      <c r="D105" s="12">
        <v>0</v>
      </c>
      <c r="E105" s="12">
        <v>0</v>
      </c>
      <c r="F105" s="12">
        <v>0</v>
      </c>
      <c r="G105" s="12">
        <v>0</v>
      </c>
      <c r="H105" s="12">
        <v>0</v>
      </c>
      <c r="I105" s="12">
        <v>0</v>
      </c>
      <c r="J105" s="12">
        <v>0</v>
      </c>
      <c r="K105" s="12">
        <v>0</v>
      </c>
      <c r="L105" s="12">
        <v>0</v>
      </c>
      <c r="M105" s="12">
        <v>0</v>
      </c>
      <c r="N105" s="12">
        <v>0</v>
      </c>
      <c r="O105" s="12">
        <v>0</v>
      </c>
      <c r="P105" s="3"/>
    </row>
    <row r="106" spans="1:16" ht="15.75" customHeight="1" outlineLevel="1" x14ac:dyDescent="0.3">
      <c r="A106" s="3"/>
      <c r="B106" s="149" t="s">
        <v>355</v>
      </c>
      <c r="C106" s="11">
        <f t="shared" si="30"/>
        <v>0</v>
      </c>
      <c r="D106" s="12">
        <v>0</v>
      </c>
      <c r="E106" s="12">
        <v>0</v>
      </c>
      <c r="F106" s="12">
        <v>0</v>
      </c>
      <c r="G106" s="12">
        <v>0</v>
      </c>
      <c r="H106" s="12">
        <v>0</v>
      </c>
      <c r="I106" s="12">
        <v>0</v>
      </c>
      <c r="J106" s="12">
        <v>0</v>
      </c>
      <c r="K106" s="12">
        <v>0</v>
      </c>
      <c r="L106" s="12">
        <v>0</v>
      </c>
      <c r="M106" s="12">
        <v>0</v>
      </c>
      <c r="N106" s="12">
        <v>0</v>
      </c>
      <c r="O106" s="12">
        <v>0</v>
      </c>
      <c r="P106" s="3"/>
    </row>
    <row r="107" spans="1:16" ht="15.75" customHeight="1" outlineLevel="1" x14ac:dyDescent="0.3">
      <c r="A107" s="3"/>
      <c r="B107" s="91" t="s">
        <v>1294</v>
      </c>
      <c r="C107" s="93">
        <f t="shared" ref="C107:O107" si="31">SUM(C108:C116)</f>
        <v>0</v>
      </c>
      <c r="D107" s="93">
        <f t="shared" si="31"/>
        <v>0</v>
      </c>
      <c r="E107" s="93">
        <f t="shared" si="31"/>
        <v>0</v>
      </c>
      <c r="F107" s="93">
        <f t="shared" si="31"/>
        <v>0</v>
      </c>
      <c r="G107" s="93">
        <f t="shared" si="31"/>
        <v>0</v>
      </c>
      <c r="H107" s="93">
        <f t="shared" si="31"/>
        <v>0</v>
      </c>
      <c r="I107" s="93">
        <f t="shared" si="31"/>
        <v>0</v>
      </c>
      <c r="J107" s="93">
        <f t="shared" si="31"/>
        <v>0</v>
      </c>
      <c r="K107" s="93">
        <f t="shared" si="31"/>
        <v>0</v>
      </c>
      <c r="L107" s="93">
        <f t="shared" si="31"/>
        <v>0</v>
      </c>
      <c r="M107" s="93">
        <f t="shared" si="31"/>
        <v>0</v>
      </c>
      <c r="N107" s="93">
        <f t="shared" si="31"/>
        <v>0</v>
      </c>
      <c r="O107" s="93">
        <f t="shared" si="31"/>
        <v>0</v>
      </c>
      <c r="P107" s="3"/>
    </row>
    <row r="108" spans="1:16" ht="15.75" customHeight="1" outlineLevel="1" x14ac:dyDescent="0.3">
      <c r="A108" s="3"/>
      <c r="B108" s="149" t="s">
        <v>353</v>
      </c>
      <c r="C108" s="11">
        <f t="shared" ref="C108:C116" si="32">SUM(D108:O108)</f>
        <v>0</v>
      </c>
      <c r="D108" s="12">
        <v>0</v>
      </c>
      <c r="E108" s="12">
        <v>0</v>
      </c>
      <c r="F108" s="12">
        <v>0</v>
      </c>
      <c r="G108" s="12">
        <v>0</v>
      </c>
      <c r="H108" s="12">
        <v>0</v>
      </c>
      <c r="I108" s="12">
        <v>0</v>
      </c>
      <c r="J108" s="12">
        <v>0</v>
      </c>
      <c r="K108" s="12">
        <v>0</v>
      </c>
      <c r="L108" s="12">
        <v>0</v>
      </c>
      <c r="M108" s="12">
        <v>0</v>
      </c>
      <c r="N108" s="12">
        <v>0</v>
      </c>
      <c r="O108" s="12">
        <v>0</v>
      </c>
      <c r="P108" s="3"/>
    </row>
    <row r="109" spans="1:16" ht="15.75" customHeight="1" outlineLevel="1" x14ac:dyDescent="0.3">
      <c r="A109" s="3"/>
      <c r="B109" s="149" t="s">
        <v>354</v>
      </c>
      <c r="C109" s="11">
        <f t="shared" si="32"/>
        <v>0</v>
      </c>
      <c r="D109" s="12">
        <v>0</v>
      </c>
      <c r="E109" s="12">
        <v>0</v>
      </c>
      <c r="F109" s="12">
        <v>0</v>
      </c>
      <c r="G109" s="12">
        <v>0</v>
      </c>
      <c r="H109" s="12">
        <v>0</v>
      </c>
      <c r="I109" s="12">
        <v>0</v>
      </c>
      <c r="J109" s="12">
        <v>0</v>
      </c>
      <c r="K109" s="12">
        <v>0</v>
      </c>
      <c r="L109" s="12">
        <v>0</v>
      </c>
      <c r="M109" s="12">
        <v>0</v>
      </c>
      <c r="N109" s="12">
        <v>0</v>
      </c>
      <c r="O109" s="12">
        <v>0</v>
      </c>
      <c r="P109" s="3"/>
    </row>
    <row r="110" spans="1:16" ht="15.75" customHeight="1" outlineLevel="1" x14ac:dyDescent="0.3">
      <c r="A110" s="3"/>
      <c r="B110" s="149" t="s">
        <v>355</v>
      </c>
      <c r="C110" s="11">
        <f t="shared" si="32"/>
        <v>0</v>
      </c>
      <c r="D110" s="12">
        <v>0</v>
      </c>
      <c r="E110" s="12">
        <v>0</v>
      </c>
      <c r="F110" s="12">
        <v>0</v>
      </c>
      <c r="G110" s="12">
        <v>0</v>
      </c>
      <c r="H110" s="12">
        <v>0</v>
      </c>
      <c r="I110" s="12">
        <v>0</v>
      </c>
      <c r="J110" s="12">
        <v>0</v>
      </c>
      <c r="K110" s="12">
        <v>0</v>
      </c>
      <c r="L110" s="12">
        <v>0</v>
      </c>
      <c r="M110" s="12">
        <v>0</v>
      </c>
      <c r="N110" s="12">
        <v>0</v>
      </c>
      <c r="O110" s="12">
        <v>0</v>
      </c>
      <c r="P110" s="3"/>
    </row>
    <row r="111" spans="1:16" ht="15.75" customHeight="1" outlineLevel="1" x14ac:dyDescent="0.3">
      <c r="A111" s="3"/>
      <c r="B111" s="149" t="s">
        <v>369</v>
      </c>
      <c r="C111" s="11">
        <f t="shared" si="32"/>
        <v>0</v>
      </c>
      <c r="D111" s="12">
        <v>0</v>
      </c>
      <c r="E111" s="12">
        <v>0</v>
      </c>
      <c r="F111" s="12">
        <v>0</v>
      </c>
      <c r="G111" s="12">
        <v>0</v>
      </c>
      <c r="H111" s="12">
        <v>0</v>
      </c>
      <c r="I111" s="12">
        <v>0</v>
      </c>
      <c r="J111" s="12">
        <v>0</v>
      </c>
      <c r="K111" s="12">
        <v>0</v>
      </c>
      <c r="L111" s="12">
        <v>0</v>
      </c>
      <c r="M111" s="12">
        <v>0</v>
      </c>
      <c r="N111" s="12">
        <v>0</v>
      </c>
      <c r="O111" s="12">
        <v>0</v>
      </c>
      <c r="P111" s="3"/>
    </row>
    <row r="112" spans="1:16" ht="15.75" customHeight="1" outlineLevel="1" x14ac:dyDescent="0.3">
      <c r="A112" s="3"/>
      <c r="B112" s="149" t="s">
        <v>327</v>
      </c>
      <c r="C112" s="11">
        <f t="shared" si="32"/>
        <v>0</v>
      </c>
      <c r="D112" s="12">
        <v>0</v>
      </c>
      <c r="E112" s="12">
        <v>0</v>
      </c>
      <c r="F112" s="12">
        <v>0</v>
      </c>
      <c r="G112" s="12">
        <v>0</v>
      </c>
      <c r="H112" s="12">
        <v>0</v>
      </c>
      <c r="I112" s="12">
        <v>0</v>
      </c>
      <c r="J112" s="12">
        <v>0</v>
      </c>
      <c r="K112" s="12">
        <v>0</v>
      </c>
      <c r="L112" s="12">
        <v>0</v>
      </c>
      <c r="M112" s="12">
        <v>0</v>
      </c>
      <c r="N112" s="12">
        <v>0</v>
      </c>
      <c r="O112" s="12">
        <v>0</v>
      </c>
      <c r="P112" s="3"/>
    </row>
    <row r="113" spans="1:16" ht="15.75" customHeight="1" outlineLevel="1" x14ac:dyDescent="0.3">
      <c r="A113" s="3"/>
      <c r="B113" s="149" t="s">
        <v>328</v>
      </c>
      <c r="C113" s="11">
        <f t="shared" si="32"/>
        <v>0</v>
      </c>
      <c r="D113" s="12">
        <v>0</v>
      </c>
      <c r="E113" s="12">
        <v>0</v>
      </c>
      <c r="F113" s="12">
        <v>0</v>
      </c>
      <c r="G113" s="12">
        <v>0</v>
      </c>
      <c r="H113" s="12">
        <v>0</v>
      </c>
      <c r="I113" s="12">
        <v>0</v>
      </c>
      <c r="J113" s="12">
        <v>0</v>
      </c>
      <c r="K113" s="12">
        <v>0</v>
      </c>
      <c r="L113" s="12">
        <v>0</v>
      </c>
      <c r="M113" s="12">
        <v>0</v>
      </c>
      <c r="N113" s="12">
        <v>0</v>
      </c>
      <c r="O113" s="12">
        <v>0</v>
      </c>
      <c r="P113" s="3"/>
    </row>
    <row r="114" spans="1:16" ht="15.75" customHeight="1" outlineLevel="1" x14ac:dyDescent="0.3">
      <c r="A114" s="3"/>
      <c r="B114" s="149" t="s">
        <v>370</v>
      </c>
      <c r="C114" s="11">
        <f t="shared" si="32"/>
        <v>0</v>
      </c>
      <c r="D114" s="12">
        <v>0</v>
      </c>
      <c r="E114" s="12">
        <v>0</v>
      </c>
      <c r="F114" s="12">
        <v>0</v>
      </c>
      <c r="G114" s="12">
        <v>0</v>
      </c>
      <c r="H114" s="12">
        <v>0</v>
      </c>
      <c r="I114" s="12">
        <v>0</v>
      </c>
      <c r="J114" s="12">
        <v>0</v>
      </c>
      <c r="K114" s="12">
        <v>0</v>
      </c>
      <c r="L114" s="12">
        <v>0</v>
      </c>
      <c r="M114" s="12">
        <v>0</v>
      </c>
      <c r="N114" s="12">
        <v>0</v>
      </c>
      <c r="O114" s="12">
        <v>0</v>
      </c>
      <c r="P114" s="3"/>
    </row>
    <row r="115" spans="1:16" ht="15.75" customHeight="1" outlineLevel="1" x14ac:dyDescent="0.3">
      <c r="A115" s="3"/>
      <c r="B115" s="149" t="s">
        <v>371</v>
      </c>
      <c r="C115" s="11">
        <f t="shared" si="32"/>
        <v>0</v>
      </c>
      <c r="D115" s="12">
        <v>0</v>
      </c>
      <c r="E115" s="12">
        <v>0</v>
      </c>
      <c r="F115" s="12">
        <v>0</v>
      </c>
      <c r="G115" s="12">
        <v>0</v>
      </c>
      <c r="H115" s="12">
        <v>0</v>
      </c>
      <c r="I115" s="12">
        <v>0</v>
      </c>
      <c r="J115" s="12">
        <v>0</v>
      </c>
      <c r="K115" s="12">
        <v>0</v>
      </c>
      <c r="L115" s="12">
        <v>0</v>
      </c>
      <c r="M115" s="12">
        <v>0</v>
      </c>
      <c r="N115" s="12">
        <v>0</v>
      </c>
      <c r="O115" s="12">
        <v>0</v>
      </c>
      <c r="P115" s="3"/>
    </row>
    <row r="116" spans="1:16" ht="15.75" customHeight="1" outlineLevel="1" x14ac:dyDescent="0.3">
      <c r="A116" s="3"/>
      <c r="B116" s="149" t="s">
        <v>372</v>
      </c>
      <c r="C116" s="11">
        <f t="shared" si="32"/>
        <v>0</v>
      </c>
      <c r="D116" s="12">
        <v>0</v>
      </c>
      <c r="E116" s="12">
        <v>0</v>
      </c>
      <c r="F116" s="12">
        <v>0</v>
      </c>
      <c r="G116" s="12">
        <v>0</v>
      </c>
      <c r="H116" s="12">
        <v>0</v>
      </c>
      <c r="I116" s="12">
        <v>0</v>
      </c>
      <c r="J116" s="12">
        <v>0</v>
      </c>
      <c r="K116" s="12">
        <v>0</v>
      </c>
      <c r="L116" s="12">
        <v>0</v>
      </c>
      <c r="M116" s="12">
        <v>0</v>
      </c>
      <c r="N116" s="12">
        <v>0</v>
      </c>
      <c r="O116" s="12">
        <v>0</v>
      </c>
      <c r="P116" s="3"/>
    </row>
    <row r="117" spans="1:16" ht="15.75" customHeight="1" outlineLevel="1" x14ac:dyDescent="0.3">
      <c r="A117" s="3"/>
      <c r="B117" s="91" t="s">
        <v>1295</v>
      </c>
      <c r="C117" s="93">
        <f t="shared" ref="C117:O117" si="33">SUM(C118:C126)</f>
        <v>0</v>
      </c>
      <c r="D117" s="93">
        <f t="shared" si="33"/>
        <v>0</v>
      </c>
      <c r="E117" s="93">
        <f t="shared" si="33"/>
        <v>0</v>
      </c>
      <c r="F117" s="93">
        <f t="shared" si="33"/>
        <v>0</v>
      </c>
      <c r="G117" s="93">
        <f t="shared" si="33"/>
        <v>0</v>
      </c>
      <c r="H117" s="93">
        <f t="shared" si="33"/>
        <v>0</v>
      </c>
      <c r="I117" s="93">
        <f t="shared" si="33"/>
        <v>0</v>
      </c>
      <c r="J117" s="93">
        <f t="shared" si="33"/>
        <v>0</v>
      </c>
      <c r="K117" s="93">
        <f t="shared" si="33"/>
        <v>0</v>
      </c>
      <c r="L117" s="93">
        <f t="shared" si="33"/>
        <v>0</v>
      </c>
      <c r="M117" s="93">
        <f t="shared" si="33"/>
        <v>0</v>
      </c>
      <c r="N117" s="93">
        <f t="shared" si="33"/>
        <v>0</v>
      </c>
      <c r="O117" s="93">
        <f t="shared" si="33"/>
        <v>0</v>
      </c>
      <c r="P117" s="3"/>
    </row>
    <row r="118" spans="1:16" ht="15.75" customHeight="1" outlineLevel="1" x14ac:dyDescent="0.3">
      <c r="A118" s="3"/>
      <c r="B118" s="149" t="s">
        <v>353</v>
      </c>
      <c r="C118" s="11">
        <f t="shared" ref="C118:C126" si="34">SUM(D118:O118)</f>
        <v>0</v>
      </c>
      <c r="D118" s="12">
        <v>0</v>
      </c>
      <c r="E118" s="12">
        <v>0</v>
      </c>
      <c r="F118" s="12">
        <v>0</v>
      </c>
      <c r="G118" s="12">
        <v>0</v>
      </c>
      <c r="H118" s="12">
        <v>0</v>
      </c>
      <c r="I118" s="12">
        <v>0</v>
      </c>
      <c r="J118" s="12">
        <v>0</v>
      </c>
      <c r="K118" s="12">
        <v>0</v>
      </c>
      <c r="L118" s="12">
        <v>0</v>
      </c>
      <c r="M118" s="12">
        <v>0</v>
      </c>
      <c r="N118" s="12">
        <v>0</v>
      </c>
      <c r="O118" s="12">
        <v>0</v>
      </c>
      <c r="P118" s="3"/>
    </row>
    <row r="119" spans="1:16" ht="15.75" customHeight="1" outlineLevel="1" x14ac:dyDescent="0.3">
      <c r="A119" s="3"/>
      <c r="B119" s="149" t="s">
        <v>354</v>
      </c>
      <c r="C119" s="11">
        <f t="shared" si="34"/>
        <v>0</v>
      </c>
      <c r="D119" s="12">
        <v>0</v>
      </c>
      <c r="E119" s="12">
        <v>0</v>
      </c>
      <c r="F119" s="12">
        <v>0</v>
      </c>
      <c r="G119" s="12">
        <v>0</v>
      </c>
      <c r="H119" s="12">
        <v>0</v>
      </c>
      <c r="I119" s="12">
        <v>0</v>
      </c>
      <c r="J119" s="12">
        <v>0</v>
      </c>
      <c r="K119" s="12">
        <v>0</v>
      </c>
      <c r="L119" s="12">
        <v>0</v>
      </c>
      <c r="M119" s="12">
        <v>0</v>
      </c>
      <c r="N119" s="12">
        <v>0</v>
      </c>
      <c r="O119" s="12">
        <v>0</v>
      </c>
      <c r="P119" s="3"/>
    </row>
    <row r="120" spans="1:16" ht="15.75" customHeight="1" outlineLevel="1" x14ac:dyDescent="0.3">
      <c r="A120" s="3"/>
      <c r="B120" s="149" t="s">
        <v>355</v>
      </c>
      <c r="C120" s="11">
        <f t="shared" si="34"/>
        <v>0</v>
      </c>
      <c r="D120" s="12">
        <v>0</v>
      </c>
      <c r="E120" s="12">
        <v>0</v>
      </c>
      <c r="F120" s="12">
        <v>0</v>
      </c>
      <c r="G120" s="12">
        <v>0</v>
      </c>
      <c r="H120" s="12">
        <v>0</v>
      </c>
      <c r="I120" s="12">
        <v>0</v>
      </c>
      <c r="J120" s="12">
        <v>0</v>
      </c>
      <c r="K120" s="12">
        <v>0</v>
      </c>
      <c r="L120" s="12">
        <v>0</v>
      </c>
      <c r="M120" s="12">
        <v>0</v>
      </c>
      <c r="N120" s="12">
        <v>0</v>
      </c>
      <c r="O120" s="12">
        <v>0</v>
      </c>
      <c r="P120" s="3"/>
    </row>
    <row r="121" spans="1:16" ht="15.75" customHeight="1" outlineLevel="1" x14ac:dyDescent="0.3">
      <c r="A121" s="3"/>
      <c r="B121" s="149" t="s">
        <v>369</v>
      </c>
      <c r="C121" s="11">
        <f t="shared" si="34"/>
        <v>0</v>
      </c>
      <c r="D121" s="12">
        <v>0</v>
      </c>
      <c r="E121" s="12">
        <v>0</v>
      </c>
      <c r="F121" s="12">
        <v>0</v>
      </c>
      <c r="G121" s="12">
        <v>0</v>
      </c>
      <c r="H121" s="12">
        <v>0</v>
      </c>
      <c r="I121" s="12">
        <v>0</v>
      </c>
      <c r="J121" s="12">
        <v>0</v>
      </c>
      <c r="K121" s="12">
        <v>0</v>
      </c>
      <c r="L121" s="12">
        <v>0</v>
      </c>
      <c r="M121" s="12">
        <v>0</v>
      </c>
      <c r="N121" s="12">
        <v>0</v>
      </c>
      <c r="O121" s="12">
        <v>0</v>
      </c>
      <c r="P121" s="3"/>
    </row>
    <row r="122" spans="1:16" ht="15.75" customHeight="1" outlineLevel="1" x14ac:dyDescent="0.3">
      <c r="A122" s="3"/>
      <c r="B122" s="149" t="s">
        <v>327</v>
      </c>
      <c r="C122" s="11">
        <f t="shared" si="34"/>
        <v>0</v>
      </c>
      <c r="D122" s="12">
        <v>0</v>
      </c>
      <c r="E122" s="12">
        <v>0</v>
      </c>
      <c r="F122" s="12">
        <v>0</v>
      </c>
      <c r="G122" s="12">
        <v>0</v>
      </c>
      <c r="H122" s="12">
        <v>0</v>
      </c>
      <c r="I122" s="12">
        <v>0</v>
      </c>
      <c r="J122" s="12">
        <v>0</v>
      </c>
      <c r="K122" s="12">
        <v>0</v>
      </c>
      <c r="L122" s="12">
        <v>0</v>
      </c>
      <c r="M122" s="12">
        <v>0</v>
      </c>
      <c r="N122" s="12">
        <v>0</v>
      </c>
      <c r="O122" s="12">
        <v>0</v>
      </c>
      <c r="P122" s="3"/>
    </row>
    <row r="123" spans="1:16" ht="15.75" customHeight="1" outlineLevel="1" x14ac:dyDescent="0.3">
      <c r="A123" s="3"/>
      <c r="B123" s="149" t="s">
        <v>328</v>
      </c>
      <c r="C123" s="11">
        <f t="shared" si="34"/>
        <v>0</v>
      </c>
      <c r="D123" s="12">
        <v>0</v>
      </c>
      <c r="E123" s="12">
        <v>0</v>
      </c>
      <c r="F123" s="12">
        <v>0</v>
      </c>
      <c r="G123" s="12">
        <v>0</v>
      </c>
      <c r="H123" s="12">
        <v>0</v>
      </c>
      <c r="I123" s="12">
        <v>0</v>
      </c>
      <c r="J123" s="12">
        <v>0</v>
      </c>
      <c r="K123" s="12">
        <v>0</v>
      </c>
      <c r="L123" s="12">
        <v>0</v>
      </c>
      <c r="M123" s="12">
        <v>0</v>
      </c>
      <c r="N123" s="12">
        <v>0</v>
      </c>
      <c r="O123" s="12">
        <v>0</v>
      </c>
      <c r="P123" s="3"/>
    </row>
    <row r="124" spans="1:16" ht="15.75" customHeight="1" outlineLevel="1" x14ac:dyDescent="0.3">
      <c r="A124" s="3"/>
      <c r="B124" s="149" t="s">
        <v>370</v>
      </c>
      <c r="C124" s="11">
        <f t="shared" si="34"/>
        <v>0</v>
      </c>
      <c r="D124" s="12">
        <v>0</v>
      </c>
      <c r="E124" s="12">
        <v>0</v>
      </c>
      <c r="F124" s="12">
        <v>0</v>
      </c>
      <c r="G124" s="12">
        <v>0</v>
      </c>
      <c r="H124" s="12">
        <v>0</v>
      </c>
      <c r="I124" s="12">
        <v>0</v>
      </c>
      <c r="J124" s="12">
        <v>0</v>
      </c>
      <c r="K124" s="12">
        <v>0</v>
      </c>
      <c r="L124" s="12">
        <v>0</v>
      </c>
      <c r="M124" s="12">
        <v>0</v>
      </c>
      <c r="N124" s="12">
        <v>0</v>
      </c>
      <c r="O124" s="12">
        <v>0</v>
      </c>
      <c r="P124" s="3"/>
    </row>
    <row r="125" spans="1:16" ht="15.75" customHeight="1" outlineLevel="1" x14ac:dyDescent="0.3">
      <c r="A125" s="3"/>
      <c r="B125" s="149" t="s">
        <v>371</v>
      </c>
      <c r="C125" s="11">
        <f t="shared" si="34"/>
        <v>0</v>
      </c>
      <c r="D125" s="12">
        <v>0</v>
      </c>
      <c r="E125" s="12">
        <v>0</v>
      </c>
      <c r="F125" s="12">
        <v>0</v>
      </c>
      <c r="G125" s="12">
        <v>0</v>
      </c>
      <c r="H125" s="12">
        <v>0</v>
      </c>
      <c r="I125" s="12">
        <v>0</v>
      </c>
      <c r="J125" s="12">
        <v>0</v>
      </c>
      <c r="K125" s="12">
        <v>0</v>
      </c>
      <c r="L125" s="12">
        <v>0</v>
      </c>
      <c r="M125" s="12">
        <v>0</v>
      </c>
      <c r="N125" s="12">
        <v>0</v>
      </c>
      <c r="O125" s="12">
        <v>0</v>
      </c>
      <c r="P125" s="3"/>
    </row>
    <row r="126" spans="1:16" ht="15.75" customHeight="1" outlineLevel="1" x14ac:dyDescent="0.3">
      <c r="A126" s="3"/>
      <c r="B126" s="149" t="s">
        <v>372</v>
      </c>
      <c r="C126" s="11">
        <f t="shared" si="34"/>
        <v>0</v>
      </c>
      <c r="D126" s="12">
        <v>0</v>
      </c>
      <c r="E126" s="12">
        <v>0</v>
      </c>
      <c r="F126" s="12">
        <v>0</v>
      </c>
      <c r="G126" s="12">
        <v>0</v>
      </c>
      <c r="H126" s="12">
        <v>0</v>
      </c>
      <c r="I126" s="12">
        <v>0</v>
      </c>
      <c r="J126" s="12">
        <v>0</v>
      </c>
      <c r="K126" s="12">
        <v>0</v>
      </c>
      <c r="L126" s="12">
        <v>0</v>
      </c>
      <c r="M126" s="12">
        <v>0</v>
      </c>
      <c r="N126" s="12">
        <v>0</v>
      </c>
      <c r="O126" s="12">
        <v>0</v>
      </c>
      <c r="P126" s="3"/>
    </row>
    <row r="127" spans="1:16" ht="15.75" customHeight="1" outlineLevel="1" x14ac:dyDescent="0.3">
      <c r="A127" s="3"/>
      <c r="B127" s="91" t="s">
        <v>377</v>
      </c>
      <c r="C127" s="93">
        <f t="shared" ref="C127:O127" si="35">SUM(C128:C136)</f>
        <v>0</v>
      </c>
      <c r="D127" s="93">
        <f t="shared" si="35"/>
        <v>0</v>
      </c>
      <c r="E127" s="93">
        <f t="shared" si="35"/>
        <v>0</v>
      </c>
      <c r="F127" s="93">
        <f t="shared" si="35"/>
        <v>0</v>
      </c>
      <c r="G127" s="93">
        <f t="shared" si="35"/>
        <v>0</v>
      </c>
      <c r="H127" s="93">
        <f t="shared" si="35"/>
        <v>0</v>
      </c>
      <c r="I127" s="93">
        <f t="shared" si="35"/>
        <v>0</v>
      </c>
      <c r="J127" s="93">
        <f t="shared" si="35"/>
        <v>0</v>
      </c>
      <c r="K127" s="93">
        <f t="shared" si="35"/>
        <v>0</v>
      </c>
      <c r="L127" s="93">
        <f t="shared" si="35"/>
        <v>0</v>
      </c>
      <c r="M127" s="93">
        <f t="shared" si="35"/>
        <v>0</v>
      </c>
      <c r="N127" s="93">
        <f t="shared" si="35"/>
        <v>0</v>
      </c>
      <c r="O127" s="93">
        <f t="shared" si="35"/>
        <v>0</v>
      </c>
      <c r="P127" s="3"/>
    </row>
    <row r="128" spans="1:16" ht="15.75" customHeight="1" outlineLevel="1" x14ac:dyDescent="0.3">
      <c r="A128" s="3"/>
      <c r="B128" s="149" t="s">
        <v>353</v>
      </c>
      <c r="C128" s="11">
        <f t="shared" ref="C128:C136" si="36">SUM(D128:O128)</f>
        <v>0</v>
      </c>
      <c r="D128" s="12">
        <v>0</v>
      </c>
      <c r="E128" s="12">
        <v>0</v>
      </c>
      <c r="F128" s="12">
        <v>0</v>
      </c>
      <c r="G128" s="12">
        <v>0</v>
      </c>
      <c r="H128" s="12">
        <v>0</v>
      </c>
      <c r="I128" s="12">
        <v>0</v>
      </c>
      <c r="J128" s="12">
        <v>0</v>
      </c>
      <c r="K128" s="12">
        <v>0</v>
      </c>
      <c r="L128" s="12">
        <v>0</v>
      </c>
      <c r="M128" s="12">
        <v>0</v>
      </c>
      <c r="N128" s="12">
        <v>0</v>
      </c>
      <c r="O128" s="12">
        <v>0</v>
      </c>
      <c r="P128" s="3"/>
    </row>
    <row r="129" spans="1:16" ht="15.75" customHeight="1" outlineLevel="1" x14ac:dyDescent="0.3">
      <c r="A129" s="3"/>
      <c r="B129" s="149" t="s">
        <v>354</v>
      </c>
      <c r="C129" s="11">
        <f t="shared" si="36"/>
        <v>0</v>
      </c>
      <c r="D129" s="12">
        <v>0</v>
      </c>
      <c r="E129" s="12">
        <v>0</v>
      </c>
      <c r="F129" s="12">
        <v>0</v>
      </c>
      <c r="G129" s="12">
        <v>0</v>
      </c>
      <c r="H129" s="12">
        <v>0</v>
      </c>
      <c r="I129" s="12">
        <v>0</v>
      </c>
      <c r="J129" s="12">
        <v>0</v>
      </c>
      <c r="K129" s="12">
        <v>0</v>
      </c>
      <c r="L129" s="12">
        <v>0</v>
      </c>
      <c r="M129" s="12">
        <v>0</v>
      </c>
      <c r="N129" s="12">
        <v>0</v>
      </c>
      <c r="O129" s="12">
        <v>0</v>
      </c>
      <c r="P129" s="3"/>
    </row>
    <row r="130" spans="1:16" ht="15.75" customHeight="1" outlineLevel="1" x14ac:dyDescent="0.3">
      <c r="A130" s="3"/>
      <c r="B130" s="149" t="s">
        <v>355</v>
      </c>
      <c r="C130" s="11">
        <f t="shared" si="36"/>
        <v>0</v>
      </c>
      <c r="D130" s="12">
        <v>0</v>
      </c>
      <c r="E130" s="12">
        <v>0</v>
      </c>
      <c r="F130" s="12">
        <v>0</v>
      </c>
      <c r="G130" s="12">
        <v>0</v>
      </c>
      <c r="H130" s="12">
        <v>0</v>
      </c>
      <c r="I130" s="12">
        <v>0</v>
      </c>
      <c r="J130" s="12">
        <v>0</v>
      </c>
      <c r="K130" s="12">
        <v>0</v>
      </c>
      <c r="L130" s="12">
        <v>0</v>
      </c>
      <c r="M130" s="12">
        <v>0</v>
      </c>
      <c r="N130" s="12">
        <v>0</v>
      </c>
      <c r="O130" s="12">
        <v>0</v>
      </c>
      <c r="P130" s="3"/>
    </row>
    <row r="131" spans="1:16" ht="15.75" customHeight="1" outlineLevel="1" x14ac:dyDescent="0.3">
      <c r="A131" s="3"/>
      <c r="B131" s="149" t="s">
        <v>369</v>
      </c>
      <c r="C131" s="11">
        <f t="shared" si="36"/>
        <v>0</v>
      </c>
      <c r="D131" s="12">
        <v>0</v>
      </c>
      <c r="E131" s="12">
        <v>0</v>
      </c>
      <c r="F131" s="12">
        <v>0</v>
      </c>
      <c r="G131" s="12">
        <v>0</v>
      </c>
      <c r="H131" s="12">
        <v>0</v>
      </c>
      <c r="I131" s="12">
        <v>0</v>
      </c>
      <c r="J131" s="12">
        <v>0</v>
      </c>
      <c r="K131" s="12">
        <v>0</v>
      </c>
      <c r="L131" s="12">
        <v>0</v>
      </c>
      <c r="M131" s="12">
        <v>0</v>
      </c>
      <c r="N131" s="12">
        <v>0</v>
      </c>
      <c r="O131" s="12">
        <v>0</v>
      </c>
      <c r="P131" s="3"/>
    </row>
    <row r="132" spans="1:16" ht="15.75" customHeight="1" outlineLevel="1" x14ac:dyDescent="0.3">
      <c r="A132" s="3"/>
      <c r="B132" s="149" t="s">
        <v>327</v>
      </c>
      <c r="C132" s="11">
        <f t="shared" si="36"/>
        <v>0</v>
      </c>
      <c r="D132" s="12">
        <v>0</v>
      </c>
      <c r="E132" s="12">
        <v>0</v>
      </c>
      <c r="F132" s="12">
        <v>0</v>
      </c>
      <c r="G132" s="12">
        <v>0</v>
      </c>
      <c r="H132" s="12">
        <v>0</v>
      </c>
      <c r="I132" s="12">
        <v>0</v>
      </c>
      <c r="J132" s="12">
        <v>0</v>
      </c>
      <c r="K132" s="12">
        <v>0</v>
      </c>
      <c r="L132" s="12">
        <v>0</v>
      </c>
      <c r="M132" s="12">
        <v>0</v>
      </c>
      <c r="N132" s="12">
        <v>0</v>
      </c>
      <c r="O132" s="12">
        <v>0</v>
      </c>
      <c r="P132" s="3"/>
    </row>
    <row r="133" spans="1:16" ht="15.75" customHeight="1" outlineLevel="1" x14ac:dyDescent="0.3">
      <c r="A133" s="3"/>
      <c r="B133" s="149" t="s">
        <v>328</v>
      </c>
      <c r="C133" s="11">
        <f t="shared" si="36"/>
        <v>0</v>
      </c>
      <c r="D133" s="12">
        <v>0</v>
      </c>
      <c r="E133" s="12">
        <v>0</v>
      </c>
      <c r="F133" s="12">
        <v>0</v>
      </c>
      <c r="G133" s="12">
        <v>0</v>
      </c>
      <c r="H133" s="12">
        <v>0</v>
      </c>
      <c r="I133" s="12">
        <v>0</v>
      </c>
      <c r="J133" s="12">
        <v>0</v>
      </c>
      <c r="K133" s="12">
        <v>0</v>
      </c>
      <c r="L133" s="12">
        <v>0</v>
      </c>
      <c r="M133" s="12">
        <v>0</v>
      </c>
      <c r="N133" s="12">
        <v>0</v>
      </c>
      <c r="O133" s="12">
        <v>0</v>
      </c>
      <c r="P133" s="3"/>
    </row>
    <row r="134" spans="1:16" ht="15.75" customHeight="1" outlineLevel="1" x14ac:dyDescent="0.3">
      <c r="A134" s="3"/>
      <c r="B134" s="149" t="s">
        <v>370</v>
      </c>
      <c r="C134" s="11">
        <f t="shared" si="36"/>
        <v>0</v>
      </c>
      <c r="D134" s="12">
        <v>0</v>
      </c>
      <c r="E134" s="12">
        <v>0</v>
      </c>
      <c r="F134" s="12">
        <v>0</v>
      </c>
      <c r="G134" s="12">
        <v>0</v>
      </c>
      <c r="H134" s="12">
        <v>0</v>
      </c>
      <c r="I134" s="12">
        <v>0</v>
      </c>
      <c r="J134" s="12">
        <v>0</v>
      </c>
      <c r="K134" s="12">
        <v>0</v>
      </c>
      <c r="L134" s="12">
        <v>0</v>
      </c>
      <c r="M134" s="12">
        <v>0</v>
      </c>
      <c r="N134" s="12">
        <v>0</v>
      </c>
      <c r="O134" s="12">
        <v>0</v>
      </c>
      <c r="P134" s="3"/>
    </row>
    <row r="135" spans="1:16" ht="15.75" customHeight="1" outlineLevel="1" x14ac:dyDescent="0.3">
      <c r="A135" s="3"/>
      <c r="B135" s="149" t="s">
        <v>371</v>
      </c>
      <c r="C135" s="11">
        <f t="shared" si="36"/>
        <v>0</v>
      </c>
      <c r="D135" s="12">
        <v>0</v>
      </c>
      <c r="E135" s="12">
        <v>0</v>
      </c>
      <c r="F135" s="12">
        <v>0</v>
      </c>
      <c r="G135" s="12">
        <v>0</v>
      </c>
      <c r="H135" s="12">
        <v>0</v>
      </c>
      <c r="I135" s="12">
        <v>0</v>
      </c>
      <c r="J135" s="12">
        <v>0</v>
      </c>
      <c r="K135" s="12">
        <v>0</v>
      </c>
      <c r="L135" s="12">
        <v>0</v>
      </c>
      <c r="M135" s="12">
        <v>0</v>
      </c>
      <c r="N135" s="12">
        <v>0</v>
      </c>
      <c r="O135" s="12">
        <v>0</v>
      </c>
      <c r="P135" s="3"/>
    </row>
    <row r="136" spans="1:16" ht="15.75" customHeight="1" outlineLevel="1" x14ac:dyDescent="0.3">
      <c r="A136" s="3"/>
      <c r="B136" s="149" t="s">
        <v>372</v>
      </c>
      <c r="C136" s="11">
        <f t="shared" si="36"/>
        <v>0</v>
      </c>
      <c r="D136" s="12">
        <v>0</v>
      </c>
      <c r="E136" s="12">
        <v>0</v>
      </c>
      <c r="F136" s="12">
        <v>0</v>
      </c>
      <c r="G136" s="12">
        <v>0</v>
      </c>
      <c r="H136" s="12">
        <v>0</v>
      </c>
      <c r="I136" s="12">
        <v>0</v>
      </c>
      <c r="J136" s="12">
        <v>0</v>
      </c>
      <c r="K136" s="12">
        <v>0</v>
      </c>
      <c r="L136" s="12">
        <v>0</v>
      </c>
      <c r="M136" s="12">
        <v>0</v>
      </c>
      <c r="N136" s="12">
        <v>0</v>
      </c>
      <c r="O136" s="12">
        <v>0</v>
      </c>
      <c r="P136" s="3"/>
    </row>
    <row r="137" spans="1:16" ht="15.75" customHeight="1" x14ac:dyDescent="0.3">
      <c r="A137" s="3"/>
      <c r="B137" s="84" t="s">
        <v>87</v>
      </c>
      <c r="C137" s="86">
        <f t="shared" ref="C137:O137" si="37">SUM(C138:C146)</f>
        <v>0</v>
      </c>
      <c r="D137" s="86">
        <f t="shared" si="37"/>
        <v>0</v>
      </c>
      <c r="E137" s="86">
        <f t="shared" si="37"/>
        <v>0</v>
      </c>
      <c r="F137" s="86">
        <f t="shared" si="37"/>
        <v>0</v>
      </c>
      <c r="G137" s="86">
        <f t="shared" si="37"/>
        <v>0</v>
      </c>
      <c r="H137" s="86">
        <f t="shared" si="37"/>
        <v>0</v>
      </c>
      <c r="I137" s="86">
        <f t="shared" si="37"/>
        <v>0</v>
      </c>
      <c r="J137" s="86">
        <f t="shared" si="37"/>
        <v>0</v>
      </c>
      <c r="K137" s="86">
        <f t="shared" si="37"/>
        <v>0</v>
      </c>
      <c r="L137" s="86">
        <f t="shared" si="37"/>
        <v>0</v>
      </c>
      <c r="M137" s="86">
        <f t="shared" si="37"/>
        <v>0</v>
      </c>
      <c r="N137" s="86">
        <f t="shared" si="37"/>
        <v>0</v>
      </c>
      <c r="O137" s="86">
        <f t="shared" si="37"/>
        <v>0</v>
      </c>
      <c r="P137" s="3"/>
    </row>
    <row r="138" spans="1:16" ht="15.75" customHeight="1" outlineLevel="1" x14ac:dyDescent="0.3">
      <c r="A138" s="3"/>
      <c r="B138" s="10" t="s">
        <v>353</v>
      </c>
      <c r="C138" s="11">
        <f t="shared" ref="C138:C146" si="38">SUM(D138:O138)</f>
        <v>0</v>
      </c>
      <c r="D138" s="12">
        <v>0</v>
      </c>
      <c r="E138" s="12">
        <v>0</v>
      </c>
      <c r="F138" s="12">
        <v>0</v>
      </c>
      <c r="G138" s="12">
        <v>0</v>
      </c>
      <c r="H138" s="12">
        <v>0</v>
      </c>
      <c r="I138" s="12">
        <v>0</v>
      </c>
      <c r="J138" s="12">
        <v>0</v>
      </c>
      <c r="K138" s="12">
        <v>0</v>
      </c>
      <c r="L138" s="12">
        <v>0</v>
      </c>
      <c r="M138" s="12">
        <v>0</v>
      </c>
      <c r="N138" s="12">
        <v>0</v>
      </c>
      <c r="O138" s="12">
        <v>0</v>
      </c>
      <c r="P138" s="3"/>
    </row>
    <row r="139" spans="1:16" ht="15.75" customHeight="1" outlineLevel="1" x14ac:dyDescent="0.3">
      <c r="A139" s="3"/>
      <c r="B139" s="10" t="s">
        <v>354</v>
      </c>
      <c r="C139" s="11">
        <f t="shared" si="38"/>
        <v>0</v>
      </c>
      <c r="D139" s="12">
        <v>0</v>
      </c>
      <c r="E139" s="12">
        <v>0</v>
      </c>
      <c r="F139" s="12">
        <v>0</v>
      </c>
      <c r="G139" s="12">
        <v>0</v>
      </c>
      <c r="H139" s="12">
        <v>0</v>
      </c>
      <c r="I139" s="12">
        <v>0</v>
      </c>
      <c r="J139" s="12">
        <v>0</v>
      </c>
      <c r="K139" s="12">
        <v>0</v>
      </c>
      <c r="L139" s="12">
        <v>0</v>
      </c>
      <c r="M139" s="12">
        <v>0</v>
      </c>
      <c r="N139" s="12">
        <v>0</v>
      </c>
      <c r="O139" s="12">
        <v>0</v>
      </c>
      <c r="P139" s="3"/>
    </row>
    <row r="140" spans="1:16" ht="15.75" customHeight="1" outlineLevel="1" x14ac:dyDescent="0.3">
      <c r="A140" s="3"/>
      <c r="B140" s="10" t="s">
        <v>355</v>
      </c>
      <c r="C140" s="11">
        <f t="shared" si="38"/>
        <v>0</v>
      </c>
      <c r="D140" s="12">
        <v>0</v>
      </c>
      <c r="E140" s="12">
        <v>0</v>
      </c>
      <c r="F140" s="12">
        <v>0</v>
      </c>
      <c r="G140" s="12">
        <v>0</v>
      </c>
      <c r="H140" s="12">
        <v>0</v>
      </c>
      <c r="I140" s="12">
        <v>0</v>
      </c>
      <c r="J140" s="12">
        <v>0</v>
      </c>
      <c r="K140" s="12">
        <v>0</v>
      </c>
      <c r="L140" s="12">
        <v>0</v>
      </c>
      <c r="M140" s="12">
        <v>0</v>
      </c>
      <c r="N140" s="12">
        <v>0</v>
      </c>
      <c r="O140" s="12">
        <v>0</v>
      </c>
      <c r="P140" s="3"/>
    </row>
    <row r="141" spans="1:16" ht="15.75" customHeight="1" outlineLevel="1" x14ac:dyDescent="0.3">
      <c r="A141" s="3"/>
      <c r="B141" s="10" t="s">
        <v>369</v>
      </c>
      <c r="C141" s="11">
        <f t="shared" si="38"/>
        <v>0</v>
      </c>
      <c r="D141" s="12">
        <v>0</v>
      </c>
      <c r="E141" s="12">
        <v>0</v>
      </c>
      <c r="F141" s="12">
        <v>0</v>
      </c>
      <c r="G141" s="12">
        <v>0</v>
      </c>
      <c r="H141" s="12">
        <v>0</v>
      </c>
      <c r="I141" s="12">
        <v>0</v>
      </c>
      <c r="J141" s="12">
        <v>0</v>
      </c>
      <c r="K141" s="12">
        <v>0</v>
      </c>
      <c r="L141" s="12">
        <v>0</v>
      </c>
      <c r="M141" s="12">
        <v>0</v>
      </c>
      <c r="N141" s="12">
        <v>0</v>
      </c>
      <c r="O141" s="12">
        <v>0</v>
      </c>
      <c r="P141" s="3"/>
    </row>
    <row r="142" spans="1:16" ht="15.75" customHeight="1" outlineLevel="1" x14ac:dyDescent="0.3">
      <c r="A142" s="3"/>
      <c r="B142" s="10" t="s">
        <v>327</v>
      </c>
      <c r="C142" s="11">
        <f t="shared" si="38"/>
        <v>0</v>
      </c>
      <c r="D142" s="12">
        <v>0</v>
      </c>
      <c r="E142" s="12">
        <v>0</v>
      </c>
      <c r="F142" s="12">
        <v>0</v>
      </c>
      <c r="G142" s="12">
        <v>0</v>
      </c>
      <c r="H142" s="12">
        <v>0</v>
      </c>
      <c r="I142" s="12">
        <v>0</v>
      </c>
      <c r="J142" s="12">
        <v>0</v>
      </c>
      <c r="K142" s="12">
        <v>0</v>
      </c>
      <c r="L142" s="12">
        <v>0</v>
      </c>
      <c r="M142" s="12">
        <v>0</v>
      </c>
      <c r="N142" s="12">
        <v>0</v>
      </c>
      <c r="O142" s="12">
        <v>0</v>
      </c>
      <c r="P142" s="3"/>
    </row>
    <row r="143" spans="1:16" ht="15.75" customHeight="1" outlineLevel="1" x14ac:dyDescent="0.3">
      <c r="A143" s="3"/>
      <c r="B143" s="10" t="s">
        <v>328</v>
      </c>
      <c r="C143" s="11">
        <f t="shared" si="38"/>
        <v>0</v>
      </c>
      <c r="D143" s="12">
        <v>0</v>
      </c>
      <c r="E143" s="12">
        <v>0</v>
      </c>
      <c r="F143" s="12">
        <v>0</v>
      </c>
      <c r="G143" s="12">
        <v>0</v>
      </c>
      <c r="H143" s="12">
        <v>0</v>
      </c>
      <c r="I143" s="12">
        <v>0</v>
      </c>
      <c r="J143" s="12">
        <v>0</v>
      </c>
      <c r="K143" s="12">
        <v>0</v>
      </c>
      <c r="L143" s="12">
        <v>0</v>
      </c>
      <c r="M143" s="12">
        <v>0</v>
      </c>
      <c r="N143" s="12">
        <v>0</v>
      </c>
      <c r="O143" s="12">
        <v>0</v>
      </c>
      <c r="P143" s="3"/>
    </row>
    <row r="144" spans="1:16" ht="15.75" customHeight="1" outlineLevel="1" x14ac:dyDescent="0.3">
      <c r="A144" s="3"/>
      <c r="B144" s="10" t="s">
        <v>370</v>
      </c>
      <c r="C144" s="11">
        <f t="shared" si="38"/>
        <v>0</v>
      </c>
      <c r="D144" s="12">
        <v>0</v>
      </c>
      <c r="E144" s="12">
        <v>0</v>
      </c>
      <c r="F144" s="12">
        <v>0</v>
      </c>
      <c r="G144" s="12">
        <v>0</v>
      </c>
      <c r="H144" s="12">
        <v>0</v>
      </c>
      <c r="I144" s="12">
        <v>0</v>
      </c>
      <c r="J144" s="12">
        <v>0</v>
      </c>
      <c r="K144" s="12">
        <v>0</v>
      </c>
      <c r="L144" s="12">
        <v>0</v>
      </c>
      <c r="M144" s="12">
        <v>0</v>
      </c>
      <c r="N144" s="12">
        <v>0</v>
      </c>
      <c r="O144" s="12">
        <v>0</v>
      </c>
      <c r="P144" s="3"/>
    </row>
    <row r="145" spans="1:16" ht="15.75" customHeight="1" outlineLevel="1" x14ac:dyDescent="0.3">
      <c r="A145" s="3"/>
      <c r="B145" s="10" t="s">
        <v>371</v>
      </c>
      <c r="C145" s="11">
        <f t="shared" si="38"/>
        <v>0</v>
      </c>
      <c r="D145" s="12">
        <v>0</v>
      </c>
      <c r="E145" s="12">
        <v>0</v>
      </c>
      <c r="F145" s="12">
        <v>0</v>
      </c>
      <c r="G145" s="12">
        <v>0</v>
      </c>
      <c r="H145" s="12">
        <v>0</v>
      </c>
      <c r="I145" s="12">
        <v>0</v>
      </c>
      <c r="J145" s="12">
        <v>0</v>
      </c>
      <c r="K145" s="12">
        <v>0</v>
      </c>
      <c r="L145" s="12">
        <v>0</v>
      </c>
      <c r="M145" s="12">
        <v>0</v>
      </c>
      <c r="N145" s="12">
        <v>0</v>
      </c>
      <c r="O145" s="12">
        <v>0</v>
      </c>
      <c r="P145" s="3"/>
    </row>
    <row r="146" spans="1:16" ht="15.75" customHeight="1" outlineLevel="1" x14ac:dyDescent="0.3">
      <c r="A146" s="3"/>
      <c r="B146" s="10" t="s">
        <v>372</v>
      </c>
      <c r="C146" s="11">
        <f t="shared" si="38"/>
        <v>0</v>
      </c>
      <c r="D146" s="12">
        <v>0</v>
      </c>
      <c r="E146" s="12">
        <v>0</v>
      </c>
      <c r="F146" s="12">
        <v>0</v>
      </c>
      <c r="G146" s="12">
        <v>0</v>
      </c>
      <c r="H146" s="12">
        <v>0</v>
      </c>
      <c r="I146" s="12">
        <v>0</v>
      </c>
      <c r="J146" s="12">
        <v>0</v>
      </c>
      <c r="K146" s="12">
        <v>0</v>
      </c>
      <c r="L146" s="12">
        <v>0</v>
      </c>
      <c r="M146" s="12">
        <v>0</v>
      </c>
      <c r="N146" s="12">
        <v>0</v>
      </c>
      <c r="O146" s="12">
        <v>0</v>
      </c>
      <c r="P146" s="3"/>
    </row>
    <row r="147" spans="1:16" ht="15.75" customHeight="1" x14ac:dyDescent="0.3">
      <c r="A147" s="3"/>
      <c r="B147" s="84" t="s">
        <v>88</v>
      </c>
      <c r="C147" s="86">
        <f t="shared" ref="C147:O147" si="39">SUM(C148,C154,C160,C166)</f>
        <v>0</v>
      </c>
      <c r="D147" s="86">
        <f t="shared" si="39"/>
        <v>0</v>
      </c>
      <c r="E147" s="86">
        <f t="shared" si="39"/>
        <v>0</v>
      </c>
      <c r="F147" s="86">
        <f t="shared" si="39"/>
        <v>0</v>
      </c>
      <c r="G147" s="86">
        <f t="shared" si="39"/>
        <v>0</v>
      </c>
      <c r="H147" s="86">
        <f t="shared" si="39"/>
        <v>0</v>
      </c>
      <c r="I147" s="86">
        <f t="shared" si="39"/>
        <v>0</v>
      </c>
      <c r="J147" s="86">
        <f t="shared" si="39"/>
        <v>0</v>
      </c>
      <c r="K147" s="86">
        <f t="shared" si="39"/>
        <v>0</v>
      </c>
      <c r="L147" s="86">
        <f t="shared" si="39"/>
        <v>0</v>
      </c>
      <c r="M147" s="86">
        <f t="shared" si="39"/>
        <v>0</v>
      </c>
      <c r="N147" s="86">
        <f t="shared" si="39"/>
        <v>0</v>
      </c>
      <c r="O147" s="86">
        <f t="shared" si="39"/>
        <v>0</v>
      </c>
      <c r="P147" s="3"/>
    </row>
    <row r="148" spans="1:16" ht="15.75" customHeight="1" outlineLevel="1" x14ac:dyDescent="0.3">
      <c r="A148" s="3"/>
      <c r="B148" s="91" t="s">
        <v>379</v>
      </c>
      <c r="C148" s="93">
        <f t="shared" ref="C148:O148" si="40">SUM(C149:C153)</f>
        <v>0</v>
      </c>
      <c r="D148" s="93">
        <f t="shared" si="40"/>
        <v>0</v>
      </c>
      <c r="E148" s="93">
        <f t="shared" si="40"/>
        <v>0</v>
      </c>
      <c r="F148" s="93">
        <f t="shared" si="40"/>
        <v>0</v>
      </c>
      <c r="G148" s="93">
        <f t="shared" si="40"/>
        <v>0</v>
      </c>
      <c r="H148" s="93">
        <f t="shared" si="40"/>
        <v>0</v>
      </c>
      <c r="I148" s="93">
        <f t="shared" si="40"/>
        <v>0</v>
      </c>
      <c r="J148" s="93">
        <f t="shared" si="40"/>
        <v>0</v>
      </c>
      <c r="K148" s="93">
        <f t="shared" si="40"/>
        <v>0</v>
      </c>
      <c r="L148" s="93">
        <f t="shared" si="40"/>
        <v>0</v>
      </c>
      <c r="M148" s="93">
        <f t="shared" si="40"/>
        <v>0</v>
      </c>
      <c r="N148" s="93">
        <f t="shared" si="40"/>
        <v>0</v>
      </c>
      <c r="O148" s="93">
        <f t="shared" si="40"/>
        <v>0</v>
      </c>
      <c r="P148" s="3"/>
    </row>
    <row r="149" spans="1:16" ht="15.75" customHeight="1" outlineLevel="1" x14ac:dyDescent="0.3">
      <c r="A149" s="3"/>
      <c r="B149" s="149" t="s">
        <v>353</v>
      </c>
      <c r="C149" s="11">
        <f t="shared" ref="C149:C153" si="41">SUM(D149:O149)</f>
        <v>0</v>
      </c>
      <c r="D149" s="12">
        <v>0</v>
      </c>
      <c r="E149" s="12">
        <v>0</v>
      </c>
      <c r="F149" s="12">
        <v>0</v>
      </c>
      <c r="G149" s="12">
        <v>0</v>
      </c>
      <c r="H149" s="12">
        <v>0</v>
      </c>
      <c r="I149" s="12">
        <v>0</v>
      </c>
      <c r="J149" s="12">
        <v>0</v>
      </c>
      <c r="K149" s="12">
        <v>0</v>
      </c>
      <c r="L149" s="12">
        <v>0</v>
      </c>
      <c r="M149" s="12">
        <v>0</v>
      </c>
      <c r="N149" s="12">
        <v>0</v>
      </c>
      <c r="O149" s="12">
        <v>0</v>
      </c>
      <c r="P149" s="3"/>
    </row>
    <row r="150" spans="1:16" ht="15.75" customHeight="1" outlineLevel="1" x14ac:dyDescent="0.3">
      <c r="A150" s="3"/>
      <c r="B150" s="149" t="s">
        <v>354</v>
      </c>
      <c r="C150" s="11">
        <f t="shared" si="41"/>
        <v>0</v>
      </c>
      <c r="D150" s="12">
        <v>0</v>
      </c>
      <c r="E150" s="12">
        <v>0</v>
      </c>
      <c r="F150" s="12">
        <v>0</v>
      </c>
      <c r="G150" s="12">
        <v>0</v>
      </c>
      <c r="H150" s="12">
        <v>0</v>
      </c>
      <c r="I150" s="12">
        <v>0</v>
      </c>
      <c r="J150" s="12">
        <v>0</v>
      </c>
      <c r="K150" s="12">
        <v>0</v>
      </c>
      <c r="L150" s="12">
        <v>0</v>
      </c>
      <c r="M150" s="12">
        <v>0</v>
      </c>
      <c r="N150" s="12">
        <v>0</v>
      </c>
      <c r="O150" s="12">
        <v>0</v>
      </c>
      <c r="P150" s="3"/>
    </row>
    <row r="151" spans="1:16" ht="15.75" customHeight="1" outlineLevel="1" x14ac:dyDescent="0.3">
      <c r="A151" s="3"/>
      <c r="B151" s="149" t="s">
        <v>355</v>
      </c>
      <c r="C151" s="11">
        <f t="shared" si="41"/>
        <v>0</v>
      </c>
      <c r="D151" s="12">
        <v>0</v>
      </c>
      <c r="E151" s="12">
        <v>0</v>
      </c>
      <c r="F151" s="12">
        <v>0</v>
      </c>
      <c r="G151" s="12">
        <v>0</v>
      </c>
      <c r="H151" s="12">
        <v>0</v>
      </c>
      <c r="I151" s="12">
        <v>0</v>
      </c>
      <c r="J151" s="12">
        <v>0</v>
      </c>
      <c r="K151" s="12">
        <v>0</v>
      </c>
      <c r="L151" s="12">
        <v>0</v>
      </c>
      <c r="M151" s="12">
        <v>0</v>
      </c>
      <c r="N151" s="12">
        <v>0</v>
      </c>
      <c r="O151" s="12">
        <v>0</v>
      </c>
      <c r="P151" s="3"/>
    </row>
    <row r="152" spans="1:16" ht="15.75" customHeight="1" outlineLevel="1" x14ac:dyDescent="0.3">
      <c r="A152" s="3"/>
      <c r="B152" s="149" t="s">
        <v>369</v>
      </c>
      <c r="C152" s="11">
        <f t="shared" si="41"/>
        <v>0</v>
      </c>
      <c r="D152" s="12">
        <v>0</v>
      </c>
      <c r="E152" s="12">
        <v>0</v>
      </c>
      <c r="F152" s="12">
        <v>0</v>
      </c>
      <c r="G152" s="12">
        <v>0</v>
      </c>
      <c r="H152" s="12">
        <v>0</v>
      </c>
      <c r="I152" s="12">
        <v>0</v>
      </c>
      <c r="J152" s="12">
        <v>0</v>
      </c>
      <c r="K152" s="12">
        <v>0</v>
      </c>
      <c r="L152" s="12">
        <v>0</v>
      </c>
      <c r="M152" s="12">
        <v>0</v>
      </c>
      <c r="N152" s="12">
        <v>0</v>
      </c>
      <c r="O152" s="12">
        <v>0</v>
      </c>
      <c r="P152" s="3"/>
    </row>
    <row r="153" spans="1:16" ht="15.75" customHeight="1" outlineLevel="1" x14ac:dyDescent="0.3">
      <c r="A153" s="3"/>
      <c r="B153" s="149" t="s">
        <v>327</v>
      </c>
      <c r="C153" s="11">
        <f t="shared" si="41"/>
        <v>0</v>
      </c>
      <c r="D153" s="12">
        <v>0</v>
      </c>
      <c r="E153" s="12">
        <v>0</v>
      </c>
      <c r="F153" s="12">
        <v>0</v>
      </c>
      <c r="G153" s="12">
        <v>0</v>
      </c>
      <c r="H153" s="12">
        <v>0</v>
      </c>
      <c r="I153" s="12">
        <v>0</v>
      </c>
      <c r="J153" s="12">
        <v>0</v>
      </c>
      <c r="K153" s="12">
        <v>0</v>
      </c>
      <c r="L153" s="12">
        <v>0</v>
      </c>
      <c r="M153" s="12">
        <v>0</v>
      </c>
      <c r="N153" s="12">
        <v>0</v>
      </c>
      <c r="O153" s="12">
        <v>0</v>
      </c>
      <c r="P153" s="3"/>
    </row>
    <row r="154" spans="1:16" ht="15.75" customHeight="1" outlineLevel="1" x14ac:dyDescent="0.3">
      <c r="A154" s="3"/>
      <c r="B154" s="91" t="s">
        <v>380</v>
      </c>
      <c r="C154" s="93">
        <f t="shared" ref="C154:O154" si="42">SUM(C155:C159)</f>
        <v>0</v>
      </c>
      <c r="D154" s="93">
        <f t="shared" si="42"/>
        <v>0</v>
      </c>
      <c r="E154" s="93">
        <f t="shared" si="42"/>
        <v>0</v>
      </c>
      <c r="F154" s="93">
        <f t="shared" si="42"/>
        <v>0</v>
      </c>
      <c r="G154" s="93">
        <f t="shared" si="42"/>
        <v>0</v>
      </c>
      <c r="H154" s="93">
        <f t="shared" si="42"/>
        <v>0</v>
      </c>
      <c r="I154" s="93">
        <f t="shared" si="42"/>
        <v>0</v>
      </c>
      <c r="J154" s="93">
        <f t="shared" si="42"/>
        <v>0</v>
      </c>
      <c r="K154" s="93">
        <f t="shared" si="42"/>
        <v>0</v>
      </c>
      <c r="L154" s="93">
        <f t="shared" si="42"/>
        <v>0</v>
      </c>
      <c r="M154" s="93">
        <f t="shared" si="42"/>
        <v>0</v>
      </c>
      <c r="N154" s="93">
        <f t="shared" si="42"/>
        <v>0</v>
      </c>
      <c r="O154" s="93">
        <f t="shared" si="42"/>
        <v>0</v>
      </c>
      <c r="P154" s="3"/>
    </row>
    <row r="155" spans="1:16" ht="15.75" customHeight="1" outlineLevel="1" x14ac:dyDescent="0.3">
      <c r="A155" s="3"/>
      <c r="B155" s="149" t="s">
        <v>353</v>
      </c>
      <c r="C155" s="11">
        <f t="shared" ref="C155:C159" si="43">SUM(D155:O155)</f>
        <v>0</v>
      </c>
      <c r="D155" s="12">
        <v>0</v>
      </c>
      <c r="E155" s="12">
        <v>0</v>
      </c>
      <c r="F155" s="12">
        <v>0</v>
      </c>
      <c r="G155" s="12">
        <v>0</v>
      </c>
      <c r="H155" s="12">
        <v>0</v>
      </c>
      <c r="I155" s="12">
        <v>0</v>
      </c>
      <c r="J155" s="12">
        <v>0</v>
      </c>
      <c r="K155" s="12">
        <v>0</v>
      </c>
      <c r="L155" s="12">
        <v>0</v>
      </c>
      <c r="M155" s="12">
        <v>0</v>
      </c>
      <c r="N155" s="12">
        <v>0</v>
      </c>
      <c r="O155" s="12">
        <v>0</v>
      </c>
      <c r="P155" s="3"/>
    </row>
    <row r="156" spans="1:16" ht="15.75" customHeight="1" outlineLevel="1" x14ac:dyDescent="0.3">
      <c r="A156" s="3"/>
      <c r="B156" s="149" t="s">
        <v>354</v>
      </c>
      <c r="C156" s="11">
        <f t="shared" si="43"/>
        <v>0</v>
      </c>
      <c r="D156" s="12">
        <v>0</v>
      </c>
      <c r="E156" s="12">
        <v>0</v>
      </c>
      <c r="F156" s="12">
        <v>0</v>
      </c>
      <c r="G156" s="12">
        <v>0</v>
      </c>
      <c r="H156" s="12">
        <v>0</v>
      </c>
      <c r="I156" s="12">
        <v>0</v>
      </c>
      <c r="J156" s="12">
        <v>0</v>
      </c>
      <c r="K156" s="12">
        <v>0</v>
      </c>
      <c r="L156" s="12">
        <v>0</v>
      </c>
      <c r="M156" s="12">
        <v>0</v>
      </c>
      <c r="N156" s="12">
        <v>0</v>
      </c>
      <c r="O156" s="12">
        <v>0</v>
      </c>
      <c r="P156" s="3"/>
    </row>
    <row r="157" spans="1:16" ht="15.75" customHeight="1" outlineLevel="1" x14ac:dyDescent="0.3">
      <c r="A157" s="3"/>
      <c r="B157" s="149" t="s">
        <v>355</v>
      </c>
      <c r="C157" s="11">
        <f t="shared" si="43"/>
        <v>0</v>
      </c>
      <c r="D157" s="12">
        <v>0</v>
      </c>
      <c r="E157" s="12">
        <v>0</v>
      </c>
      <c r="F157" s="12">
        <v>0</v>
      </c>
      <c r="G157" s="12">
        <v>0</v>
      </c>
      <c r="H157" s="12">
        <v>0</v>
      </c>
      <c r="I157" s="12">
        <v>0</v>
      </c>
      <c r="J157" s="12">
        <v>0</v>
      </c>
      <c r="K157" s="12">
        <v>0</v>
      </c>
      <c r="L157" s="12">
        <v>0</v>
      </c>
      <c r="M157" s="12">
        <v>0</v>
      </c>
      <c r="N157" s="12">
        <v>0</v>
      </c>
      <c r="O157" s="12">
        <v>0</v>
      </c>
      <c r="P157" s="3"/>
    </row>
    <row r="158" spans="1:16" ht="15.75" customHeight="1" outlineLevel="1" x14ac:dyDescent="0.3">
      <c r="A158" s="3"/>
      <c r="B158" s="149" t="s">
        <v>369</v>
      </c>
      <c r="C158" s="11">
        <f t="shared" si="43"/>
        <v>0</v>
      </c>
      <c r="D158" s="12">
        <v>0</v>
      </c>
      <c r="E158" s="12">
        <v>0</v>
      </c>
      <c r="F158" s="12">
        <v>0</v>
      </c>
      <c r="G158" s="12">
        <v>0</v>
      </c>
      <c r="H158" s="12">
        <v>0</v>
      </c>
      <c r="I158" s="12">
        <v>0</v>
      </c>
      <c r="J158" s="12">
        <v>0</v>
      </c>
      <c r="K158" s="12">
        <v>0</v>
      </c>
      <c r="L158" s="12">
        <v>0</v>
      </c>
      <c r="M158" s="12">
        <v>0</v>
      </c>
      <c r="N158" s="12">
        <v>0</v>
      </c>
      <c r="O158" s="12">
        <v>0</v>
      </c>
      <c r="P158" s="3"/>
    </row>
    <row r="159" spans="1:16" ht="15.75" customHeight="1" outlineLevel="1" x14ac:dyDescent="0.3">
      <c r="A159" s="3"/>
      <c r="B159" s="149" t="s">
        <v>327</v>
      </c>
      <c r="C159" s="11">
        <f t="shared" si="43"/>
        <v>0</v>
      </c>
      <c r="D159" s="12">
        <v>0</v>
      </c>
      <c r="E159" s="12">
        <v>0</v>
      </c>
      <c r="F159" s="12">
        <v>0</v>
      </c>
      <c r="G159" s="12">
        <v>0</v>
      </c>
      <c r="H159" s="12">
        <v>0</v>
      </c>
      <c r="I159" s="12">
        <v>0</v>
      </c>
      <c r="J159" s="12">
        <v>0</v>
      </c>
      <c r="K159" s="12">
        <v>0</v>
      </c>
      <c r="L159" s="12">
        <v>0</v>
      </c>
      <c r="M159" s="12">
        <v>0</v>
      </c>
      <c r="N159" s="12">
        <v>0</v>
      </c>
      <c r="O159" s="12">
        <v>0</v>
      </c>
      <c r="P159" s="3"/>
    </row>
    <row r="160" spans="1:16" ht="15.75" customHeight="1" outlineLevel="1" x14ac:dyDescent="0.3">
      <c r="A160" s="3"/>
      <c r="B160" s="91" t="s">
        <v>381</v>
      </c>
      <c r="C160" s="93">
        <f t="shared" ref="C160:O160" si="44">SUM(C161:C165)</f>
        <v>0</v>
      </c>
      <c r="D160" s="93">
        <f t="shared" si="44"/>
        <v>0</v>
      </c>
      <c r="E160" s="93">
        <f t="shared" si="44"/>
        <v>0</v>
      </c>
      <c r="F160" s="93">
        <f t="shared" si="44"/>
        <v>0</v>
      </c>
      <c r="G160" s="93">
        <f t="shared" si="44"/>
        <v>0</v>
      </c>
      <c r="H160" s="93">
        <f t="shared" si="44"/>
        <v>0</v>
      </c>
      <c r="I160" s="93">
        <f t="shared" si="44"/>
        <v>0</v>
      </c>
      <c r="J160" s="93">
        <f t="shared" si="44"/>
        <v>0</v>
      </c>
      <c r="K160" s="93">
        <f t="shared" si="44"/>
        <v>0</v>
      </c>
      <c r="L160" s="93">
        <f t="shared" si="44"/>
        <v>0</v>
      </c>
      <c r="M160" s="93">
        <f t="shared" si="44"/>
        <v>0</v>
      </c>
      <c r="N160" s="93">
        <f t="shared" si="44"/>
        <v>0</v>
      </c>
      <c r="O160" s="93">
        <f t="shared" si="44"/>
        <v>0</v>
      </c>
      <c r="P160" s="3"/>
    </row>
    <row r="161" spans="1:16" ht="15.75" customHeight="1" outlineLevel="1" x14ac:dyDescent="0.3">
      <c r="A161" s="3"/>
      <c r="B161" s="149" t="s">
        <v>353</v>
      </c>
      <c r="C161" s="11">
        <f t="shared" ref="C161:C165" si="45">SUM(D161:O161)</f>
        <v>0</v>
      </c>
      <c r="D161" s="12">
        <v>0</v>
      </c>
      <c r="E161" s="12">
        <v>0</v>
      </c>
      <c r="F161" s="12">
        <v>0</v>
      </c>
      <c r="G161" s="12">
        <v>0</v>
      </c>
      <c r="H161" s="12">
        <v>0</v>
      </c>
      <c r="I161" s="12">
        <v>0</v>
      </c>
      <c r="J161" s="12">
        <v>0</v>
      </c>
      <c r="K161" s="12">
        <v>0</v>
      </c>
      <c r="L161" s="12">
        <v>0</v>
      </c>
      <c r="M161" s="12">
        <v>0</v>
      </c>
      <c r="N161" s="12">
        <v>0</v>
      </c>
      <c r="O161" s="12">
        <v>0</v>
      </c>
      <c r="P161" s="3"/>
    </row>
    <row r="162" spans="1:16" ht="15.75" customHeight="1" outlineLevel="1" x14ac:dyDescent="0.3">
      <c r="A162" s="3"/>
      <c r="B162" s="149" t="s">
        <v>354</v>
      </c>
      <c r="C162" s="11">
        <f t="shared" si="45"/>
        <v>0</v>
      </c>
      <c r="D162" s="12">
        <v>0</v>
      </c>
      <c r="E162" s="12">
        <v>0</v>
      </c>
      <c r="F162" s="12">
        <v>0</v>
      </c>
      <c r="G162" s="12">
        <v>0</v>
      </c>
      <c r="H162" s="12">
        <v>0</v>
      </c>
      <c r="I162" s="12">
        <v>0</v>
      </c>
      <c r="J162" s="12">
        <v>0</v>
      </c>
      <c r="K162" s="12">
        <v>0</v>
      </c>
      <c r="L162" s="12">
        <v>0</v>
      </c>
      <c r="M162" s="12">
        <v>0</v>
      </c>
      <c r="N162" s="12">
        <v>0</v>
      </c>
      <c r="O162" s="12">
        <v>0</v>
      </c>
      <c r="P162" s="3"/>
    </row>
    <row r="163" spans="1:16" ht="15.75" customHeight="1" outlineLevel="1" x14ac:dyDescent="0.3">
      <c r="A163" s="3"/>
      <c r="B163" s="149" t="s">
        <v>355</v>
      </c>
      <c r="C163" s="11">
        <f t="shared" si="45"/>
        <v>0</v>
      </c>
      <c r="D163" s="12">
        <v>0</v>
      </c>
      <c r="E163" s="12">
        <v>0</v>
      </c>
      <c r="F163" s="12">
        <v>0</v>
      </c>
      <c r="G163" s="12">
        <v>0</v>
      </c>
      <c r="H163" s="12">
        <v>0</v>
      </c>
      <c r="I163" s="12">
        <v>0</v>
      </c>
      <c r="J163" s="12">
        <v>0</v>
      </c>
      <c r="K163" s="12">
        <v>0</v>
      </c>
      <c r="L163" s="12">
        <v>0</v>
      </c>
      <c r="M163" s="12">
        <v>0</v>
      </c>
      <c r="N163" s="12">
        <v>0</v>
      </c>
      <c r="O163" s="12">
        <v>0</v>
      </c>
      <c r="P163" s="3"/>
    </row>
    <row r="164" spans="1:16" ht="15.75" customHeight="1" outlineLevel="1" x14ac:dyDescent="0.3">
      <c r="A164" s="3"/>
      <c r="B164" s="149" t="s">
        <v>369</v>
      </c>
      <c r="C164" s="11">
        <f t="shared" si="45"/>
        <v>0</v>
      </c>
      <c r="D164" s="12">
        <v>0</v>
      </c>
      <c r="E164" s="12">
        <v>0</v>
      </c>
      <c r="F164" s="12">
        <v>0</v>
      </c>
      <c r="G164" s="12">
        <v>0</v>
      </c>
      <c r="H164" s="12">
        <v>0</v>
      </c>
      <c r="I164" s="12">
        <v>0</v>
      </c>
      <c r="J164" s="12">
        <v>0</v>
      </c>
      <c r="K164" s="12">
        <v>0</v>
      </c>
      <c r="L164" s="12">
        <v>0</v>
      </c>
      <c r="M164" s="12">
        <v>0</v>
      </c>
      <c r="N164" s="12">
        <v>0</v>
      </c>
      <c r="O164" s="12">
        <v>0</v>
      </c>
      <c r="P164" s="3"/>
    </row>
    <row r="165" spans="1:16" ht="15.75" customHeight="1" outlineLevel="1" x14ac:dyDescent="0.3">
      <c r="A165" s="3"/>
      <c r="B165" s="149" t="s">
        <v>327</v>
      </c>
      <c r="C165" s="11">
        <f t="shared" si="45"/>
        <v>0</v>
      </c>
      <c r="D165" s="12">
        <v>0</v>
      </c>
      <c r="E165" s="12">
        <v>0</v>
      </c>
      <c r="F165" s="12">
        <v>0</v>
      </c>
      <c r="G165" s="12">
        <v>0</v>
      </c>
      <c r="H165" s="12">
        <v>0</v>
      </c>
      <c r="I165" s="12">
        <v>0</v>
      </c>
      <c r="J165" s="12">
        <v>0</v>
      </c>
      <c r="K165" s="12">
        <v>0</v>
      </c>
      <c r="L165" s="12">
        <v>0</v>
      </c>
      <c r="M165" s="12">
        <v>0</v>
      </c>
      <c r="N165" s="12">
        <v>0</v>
      </c>
      <c r="O165" s="12">
        <v>0</v>
      </c>
      <c r="P165" s="3"/>
    </row>
    <row r="166" spans="1:16" ht="15.75" customHeight="1" outlineLevel="1" x14ac:dyDescent="0.3">
      <c r="A166" s="3"/>
      <c r="B166" s="91" t="s">
        <v>382</v>
      </c>
      <c r="C166" s="93">
        <f t="shared" ref="C166:O166" si="46">SUM(C167:C171)</f>
        <v>0</v>
      </c>
      <c r="D166" s="93">
        <f t="shared" si="46"/>
        <v>0</v>
      </c>
      <c r="E166" s="93">
        <f t="shared" si="46"/>
        <v>0</v>
      </c>
      <c r="F166" s="93">
        <f t="shared" si="46"/>
        <v>0</v>
      </c>
      <c r="G166" s="93">
        <f t="shared" si="46"/>
        <v>0</v>
      </c>
      <c r="H166" s="93">
        <f t="shared" si="46"/>
        <v>0</v>
      </c>
      <c r="I166" s="93">
        <f t="shared" si="46"/>
        <v>0</v>
      </c>
      <c r="J166" s="93">
        <f t="shared" si="46"/>
        <v>0</v>
      </c>
      <c r="K166" s="93">
        <f t="shared" si="46"/>
        <v>0</v>
      </c>
      <c r="L166" s="93">
        <f t="shared" si="46"/>
        <v>0</v>
      </c>
      <c r="M166" s="93">
        <f t="shared" si="46"/>
        <v>0</v>
      </c>
      <c r="N166" s="93">
        <f t="shared" si="46"/>
        <v>0</v>
      </c>
      <c r="O166" s="93">
        <f t="shared" si="46"/>
        <v>0</v>
      </c>
      <c r="P166" s="3"/>
    </row>
    <row r="167" spans="1:16" ht="15.75" customHeight="1" outlineLevel="1" x14ac:dyDescent="0.3">
      <c r="A167" s="3"/>
      <c r="B167" s="149" t="s">
        <v>353</v>
      </c>
      <c r="C167" s="11">
        <f t="shared" ref="C167:C171" si="47">SUM(D167:O167)</f>
        <v>0</v>
      </c>
      <c r="D167" s="12">
        <v>0</v>
      </c>
      <c r="E167" s="12">
        <v>0</v>
      </c>
      <c r="F167" s="12">
        <v>0</v>
      </c>
      <c r="G167" s="12">
        <v>0</v>
      </c>
      <c r="H167" s="12">
        <v>0</v>
      </c>
      <c r="I167" s="12">
        <v>0</v>
      </c>
      <c r="J167" s="12">
        <v>0</v>
      </c>
      <c r="K167" s="12">
        <v>0</v>
      </c>
      <c r="L167" s="12">
        <v>0</v>
      </c>
      <c r="M167" s="12">
        <v>0</v>
      </c>
      <c r="N167" s="12">
        <v>0</v>
      </c>
      <c r="O167" s="12">
        <v>0</v>
      </c>
      <c r="P167" s="3"/>
    </row>
    <row r="168" spans="1:16" ht="15.75" customHeight="1" outlineLevel="1" x14ac:dyDescent="0.3">
      <c r="A168" s="3"/>
      <c r="B168" s="149" t="s">
        <v>354</v>
      </c>
      <c r="C168" s="11">
        <f t="shared" si="47"/>
        <v>0</v>
      </c>
      <c r="D168" s="12">
        <v>0</v>
      </c>
      <c r="E168" s="12">
        <v>0</v>
      </c>
      <c r="F168" s="12">
        <v>0</v>
      </c>
      <c r="G168" s="12">
        <v>0</v>
      </c>
      <c r="H168" s="12">
        <v>0</v>
      </c>
      <c r="I168" s="12">
        <v>0</v>
      </c>
      <c r="J168" s="12">
        <v>0</v>
      </c>
      <c r="K168" s="12">
        <v>0</v>
      </c>
      <c r="L168" s="12">
        <v>0</v>
      </c>
      <c r="M168" s="12">
        <v>0</v>
      </c>
      <c r="N168" s="12">
        <v>0</v>
      </c>
      <c r="O168" s="12">
        <v>0</v>
      </c>
      <c r="P168" s="3"/>
    </row>
    <row r="169" spans="1:16" ht="15.75" customHeight="1" outlineLevel="1" x14ac:dyDescent="0.3">
      <c r="A169" s="3"/>
      <c r="B169" s="149" t="s">
        <v>355</v>
      </c>
      <c r="C169" s="11">
        <f t="shared" si="47"/>
        <v>0</v>
      </c>
      <c r="D169" s="12">
        <v>0</v>
      </c>
      <c r="E169" s="12">
        <v>0</v>
      </c>
      <c r="F169" s="12">
        <v>0</v>
      </c>
      <c r="G169" s="12">
        <v>0</v>
      </c>
      <c r="H169" s="12">
        <v>0</v>
      </c>
      <c r="I169" s="12">
        <v>0</v>
      </c>
      <c r="J169" s="12">
        <v>0</v>
      </c>
      <c r="K169" s="12">
        <v>0</v>
      </c>
      <c r="L169" s="12">
        <v>0</v>
      </c>
      <c r="M169" s="12">
        <v>0</v>
      </c>
      <c r="N169" s="12">
        <v>0</v>
      </c>
      <c r="O169" s="12">
        <v>0</v>
      </c>
      <c r="P169" s="3"/>
    </row>
    <row r="170" spans="1:16" ht="15.75" customHeight="1" outlineLevel="1" x14ac:dyDescent="0.3">
      <c r="A170" s="3"/>
      <c r="B170" s="149" t="s">
        <v>369</v>
      </c>
      <c r="C170" s="11">
        <f t="shared" si="47"/>
        <v>0</v>
      </c>
      <c r="D170" s="12">
        <v>0</v>
      </c>
      <c r="E170" s="12">
        <v>0</v>
      </c>
      <c r="F170" s="12">
        <v>0</v>
      </c>
      <c r="G170" s="12">
        <v>0</v>
      </c>
      <c r="H170" s="12">
        <v>0</v>
      </c>
      <c r="I170" s="12">
        <v>0</v>
      </c>
      <c r="J170" s="12">
        <v>0</v>
      </c>
      <c r="K170" s="12">
        <v>0</v>
      </c>
      <c r="L170" s="12">
        <v>0</v>
      </c>
      <c r="M170" s="12">
        <v>0</v>
      </c>
      <c r="N170" s="12">
        <v>0</v>
      </c>
      <c r="O170" s="12">
        <v>0</v>
      </c>
      <c r="P170" s="3"/>
    </row>
    <row r="171" spans="1:16" ht="15.75" customHeight="1" outlineLevel="1" x14ac:dyDescent="0.3">
      <c r="A171" s="3"/>
      <c r="B171" s="149" t="s">
        <v>327</v>
      </c>
      <c r="C171" s="11">
        <f t="shared" si="47"/>
        <v>0</v>
      </c>
      <c r="D171" s="12">
        <v>0</v>
      </c>
      <c r="E171" s="12">
        <v>0</v>
      </c>
      <c r="F171" s="12">
        <v>0</v>
      </c>
      <c r="G171" s="12">
        <v>0</v>
      </c>
      <c r="H171" s="12">
        <v>0</v>
      </c>
      <c r="I171" s="12">
        <v>0</v>
      </c>
      <c r="J171" s="12">
        <v>0</v>
      </c>
      <c r="K171" s="12">
        <v>0</v>
      </c>
      <c r="L171" s="12">
        <v>0</v>
      </c>
      <c r="M171" s="12">
        <v>0</v>
      </c>
      <c r="N171" s="12">
        <v>0</v>
      </c>
      <c r="O171" s="12">
        <v>0</v>
      </c>
      <c r="P171" s="3"/>
    </row>
    <row r="172" spans="1:16" ht="15.75" customHeight="1" x14ac:dyDescent="0.3">
      <c r="A172" s="3"/>
      <c r="B172" s="84" t="s">
        <v>383</v>
      </c>
      <c r="C172" s="86">
        <f t="shared" ref="C172:O172" si="48">SUM(C173:C177)</f>
        <v>0</v>
      </c>
      <c r="D172" s="86">
        <f t="shared" si="48"/>
        <v>0</v>
      </c>
      <c r="E172" s="86">
        <f t="shared" si="48"/>
        <v>0</v>
      </c>
      <c r="F172" s="86">
        <f t="shared" si="48"/>
        <v>0</v>
      </c>
      <c r="G172" s="86">
        <f t="shared" si="48"/>
        <v>0</v>
      </c>
      <c r="H172" s="86">
        <f t="shared" si="48"/>
        <v>0</v>
      </c>
      <c r="I172" s="86">
        <f t="shared" si="48"/>
        <v>0</v>
      </c>
      <c r="J172" s="86">
        <f t="shared" si="48"/>
        <v>0</v>
      </c>
      <c r="K172" s="86">
        <f t="shared" si="48"/>
        <v>0</v>
      </c>
      <c r="L172" s="86">
        <f t="shared" si="48"/>
        <v>0</v>
      </c>
      <c r="M172" s="86">
        <f t="shared" si="48"/>
        <v>0</v>
      </c>
      <c r="N172" s="86">
        <f t="shared" si="48"/>
        <v>0</v>
      </c>
      <c r="O172" s="86">
        <f t="shared" si="48"/>
        <v>0</v>
      </c>
      <c r="P172" s="3"/>
    </row>
    <row r="173" spans="1:16" ht="15.75" customHeight="1" outlineLevel="1" x14ac:dyDescent="0.3">
      <c r="A173" s="3"/>
      <c r="B173" s="149" t="s">
        <v>353</v>
      </c>
      <c r="C173" s="11">
        <f t="shared" ref="C173:C177" si="49">SUM(D173:O173)</f>
        <v>0</v>
      </c>
      <c r="D173" s="12">
        <v>0</v>
      </c>
      <c r="E173" s="12">
        <v>0</v>
      </c>
      <c r="F173" s="12">
        <v>0</v>
      </c>
      <c r="G173" s="12">
        <v>0</v>
      </c>
      <c r="H173" s="12">
        <v>0</v>
      </c>
      <c r="I173" s="12">
        <v>0</v>
      </c>
      <c r="J173" s="12">
        <v>0</v>
      </c>
      <c r="K173" s="12">
        <v>0</v>
      </c>
      <c r="L173" s="12">
        <v>0</v>
      </c>
      <c r="M173" s="12">
        <v>0</v>
      </c>
      <c r="N173" s="12">
        <v>0</v>
      </c>
      <c r="O173" s="12">
        <v>0</v>
      </c>
      <c r="P173" s="3"/>
    </row>
    <row r="174" spans="1:16" ht="15.75" customHeight="1" outlineLevel="1" x14ac:dyDescent="0.3">
      <c r="A174" s="3"/>
      <c r="B174" s="149" t="s">
        <v>354</v>
      </c>
      <c r="C174" s="11">
        <f t="shared" si="49"/>
        <v>0</v>
      </c>
      <c r="D174" s="12">
        <v>0</v>
      </c>
      <c r="E174" s="12">
        <v>0</v>
      </c>
      <c r="F174" s="12">
        <v>0</v>
      </c>
      <c r="G174" s="12">
        <v>0</v>
      </c>
      <c r="H174" s="12">
        <v>0</v>
      </c>
      <c r="I174" s="12">
        <v>0</v>
      </c>
      <c r="J174" s="12">
        <v>0</v>
      </c>
      <c r="K174" s="12">
        <v>0</v>
      </c>
      <c r="L174" s="12">
        <v>0</v>
      </c>
      <c r="M174" s="12">
        <v>0</v>
      </c>
      <c r="N174" s="12">
        <v>0</v>
      </c>
      <c r="O174" s="12">
        <v>0</v>
      </c>
      <c r="P174" s="3"/>
    </row>
    <row r="175" spans="1:16" ht="15.75" customHeight="1" outlineLevel="1" x14ac:dyDescent="0.3">
      <c r="A175" s="3"/>
      <c r="B175" s="149" t="s">
        <v>355</v>
      </c>
      <c r="C175" s="11">
        <f t="shared" si="49"/>
        <v>0</v>
      </c>
      <c r="D175" s="12">
        <v>0</v>
      </c>
      <c r="E175" s="12">
        <v>0</v>
      </c>
      <c r="F175" s="12">
        <v>0</v>
      </c>
      <c r="G175" s="12">
        <v>0</v>
      </c>
      <c r="H175" s="12">
        <v>0</v>
      </c>
      <c r="I175" s="12">
        <v>0</v>
      </c>
      <c r="J175" s="12">
        <v>0</v>
      </c>
      <c r="K175" s="12">
        <v>0</v>
      </c>
      <c r="L175" s="12">
        <v>0</v>
      </c>
      <c r="M175" s="12">
        <v>0</v>
      </c>
      <c r="N175" s="12">
        <v>0</v>
      </c>
      <c r="O175" s="12">
        <v>0</v>
      </c>
      <c r="P175" s="3"/>
    </row>
    <row r="176" spans="1:16" ht="15.75" customHeight="1" outlineLevel="1" x14ac:dyDescent="0.3">
      <c r="A176" s="3"/>
      <c r="B176" s="149" t="s">
        <v>369</v>
      </c>
      <c r="C176" s="11">
        <f t="shared" si="49"/>
        <v>0</v>
      </c>
      <c r="D176" s="12">
        <v>0</v>
      </c>
      <c r="E176" s="12">
        <v>0</v>
      </c>
      <c r="F176" s="12">
        <v>0</v>
      </c>
      <c r="G176" s="12">
        <v>0</v>
      </c>
      <c r="H176" s="12">
        <v>0</v>
      </c>
      <c r="I176" s="12">
        <v>0</v>
      </c>
      <c r="J176" s="12">
        <v>0</v>
      </c>
      <c r="K176" s="12">
        <v>0</v>
      </c>
      <c r="L176" s="12">
        <v>0</v>
      </c>
      <c r="M176" s="12">
        <v>0</v>
      </c>
      <c r="N176" s="12">
        <v>0</v>
      </c>
      <c r="O176" s="12">
        <v>0</v>
      </c>
      <c r="P176" s="3"/>
    </row>
    <row r="177" spans="1:16" ht="15.75" customHeight="1" outlineLevel="1" x14ac:dyDescent="0.3">
      <c r="A177" s="3"/>
      <c r="B177" s="149" t="s">
        <v>327</v>
      </c>
      <c r="C177" s="11">
        <f t="shared" si="49"/>
        <v>0</v>
      </c>
      <c r="D177" s="12">
        <v>0</v>
      </c>
      <c r="E177" s="12">
        <v>0</v>
      </c>
      <c r="F177" s="12">
        <v>0</v>
      </c>
      <c r="G177" s="12">
        <v>0</v>
      </c>
      <c r="H177" s="12">
        <v>0</v>
      </c>
      <c r="I177" s="12">
        <v>0</v>
      </c>
      <c r="J177" s="12">
        <v>0</v>
      </c>
      <c r="K177" s="12">
        <v>0</v>
      </c>
      <c r="L177" s="12">
        <v>0</v>
      </c>
      <c r="M177" s="12">
        <v>0</v>
      </c>
      <c r="N177" s="12">
        <v>0</v>
      </c>
      <c r="O177" s="12">
        <v>0</v>
      </c>
      <c r="P177" s="3"/>
    </row>
    <row r="178" spans="1:16" ht="15.75" customHeight="1" x14ac:dyDescent="0.3">
      <c r="A178" s="3"/>
      <c r="B178" s="84" t="s">
        <v>384</v>
      </c>
      <c r="C178" s="86">
        <f t="shared" ref="C178:O178" si="50">SUM(C179:C183)</f>
        <v>0</v>
      </c>
      <c r="D178" s="86">
        <f t="shared" si="50"/>
        <v>0</v>
      </c>
      <c r="E178" s="86">
        <f t="shared" si="50"/>
        <v>0</v>
      </c>
      <c r="F178" s="86">
        <f t="shared" si="50"/>
        <v>0</v>
      </c>
      <c r="G178" s="86">
        <f t="shared" si="50"/>
        <v>0</v>
      </c>
      <c r="H178" s="86">
        <f t="shared" si="50"/>
        <v>0</v>
      </c>
      <c r="I178" s="86">
        <f t="shared" si="50"/>
        <v>0</v>
      </c>
      <c r="J178" s="86">
        <f t="shared" si="50"/>
        <v>0</v>
      </c>
      <c r="K178" s="86">
        <f t="shared" si="50"/>
        <v>0</v>
      </c>
      <c r="L178" s="86">
        <f t="shared" si="50"/>
        <v>0</v>
      </c>
      <c r="M178" s="86">
        <f t="shared" si="50"/>
        <v>0</v>
      </c>
      <c r="N178" s="86">
        <f t="shared" si="50"/>
        <v>0</v>
      </c>
      <c r="O178" s="86">
        <f t="shared" si="50"/>
        <v>0</v>
      </c>
      <c r="P178" s="3"/>
    </row>
    <row r="179" spans="1:16" ht="15.75" customHeight="1" outlineLevel="1" x14ac:dyDescent="0.3">
      <c r="A179" s="3"/>
      <c r="B179" s="149" t="s">
        <v>353</v>
      </c>
      <c r="C179" s="11">
        <f t="shared" ref="C179:C183" si="51">SUM(D179:O179)</f>
        <v>0</v>
      </c>
      <c r="D179" s="12">
        <v>0</v>
      </c>
      <c r="E179" s="12">
        <v>0</v>
      </c>
      <c r="F179" s="12">
        <v>0</v>
      </c>
      <c r="G179" s="12">
        <v>0</v>
      </c>
      <c r="H179" s="12">
        <v>0</v>
      </c>
      <c r="I179" s="12">
        <v>0</v>
      </c>
      <c r="J179" s="12">
        <v>0</v>
      </c>
      <c r="K179" s="12">
        <v>0</v>
      </c>
      <c r="L179" s="12">
        <v>0</v>
      </c>
      <c r="M179" s="12">
        <v>0</v>
      </c>
      <c r="N179" s="12">
        <v>0</v>
      </c>
      <c r="O179" s="12">
        <v>0</v>
      </c>
      <c r="P179" s="3"/>
    </row>
    <row r="180" spans="1:16" ht="15.75" customHeight="1" outlineLevel="1" x14ac:dyDescent="0.3">
      <c r="A180" s="3"/>
      <c r="B180" s="149" t="s">
        <v>354</v>
      </c>
      <c r="C180" s="11">
        <f t="shared" si="51"/>
        <v>0</v>
      </c>
      <c r="D180" s="12">
        <v>0</v>
      </c>
      <c r="E180" s="12">
        <v>0</v>
      </c>
      <c r="F180" s="12">
        <v>0</v>
      </c>
      <c r="G180" s="12">
        <v>0</v>
      </c>
      <c r="H180" s="12">
        <v>0</v>
      </c>
      <c r="I180" s="12">
        <v>0</v>
      </c>
      <c r="J180" s="12">
        <v>0</v>
      </c>
      <c r="K180" s="12">
        <v>0</v>
      </c>
      <c r="L180" s="12">
        <v>0</v>
      </c>
      <c r="M180" s="12">
        <v>0</v>
      </c>
      <c r="N180" s="12">
        <v>0</v>
      </c>
      <c r="O180" s="12">
        <v>0</v>
      </c>
      <c r="P180" s="3"/>
    </row>
    <row r="181" spans="1:16" ht="15.75" customHeight="1" outlineLevel="1" x14ac:dyDescent="0.3">
      <c r="A181" s="3"/>
      <c r="B181" s="149" t="s">
        <v>355</v>
      </c>
      <c r="C181" s="11">
        <f t="shared" si="51"/>
        <v>0</v>
      </c>
      <c r="D181" s="12">
        <v>0</v>
      </c>
      <c r="E181" s="12">
        <v>0</v>
      </c>
      <c r="F181" s="12">
        <v>0</v>
      </c>
      <c r="G181" s="12">
        <v>0</v>
      </c>
      <c r="H181" s="12">
        <v>0</v>
      </c>
      <c r="I181" s="12">
        <v>0</v>
      </c>
      <c r="J181" s="12">
        <v>0</v>
      </c>
      <c r="K181" s="12">
        <v>0</v>
      </c>
      <c r="L181" s="12">
        <v>0</v>
      </c>
      <c r="M181" s="12">
        <v>0</v>
      </c>
      <c r="N181" s="12">
        <v>0</v>
      </c>
      <c r="O181" s="12">
        <v>0</v>
      </c>
      <c r="P181" s="3"/>
    </row>
    <row r="182" spans="1:16" ht="15.75" customHeight="1" outlineLevel="1" x14ac:dyDescent="0.3">
      <c r="A182" s="3"/>
      <c r="B182" s="149" t="s">
        <v>369</v>
      </c>
      <c r="C182" s="11">
        <f t="shared" si="51"/>
        <v>0</v>
      </c>
      <c r="D182" s="12">
        <v>0</v>
      </c>
      <c r="E182" s="12">
        <v>0</v>
      </c>
      <c r="F182" s="12">
        <v>0</v>
      </c>
      <c r="G182" s="12">
        <v>0</v>
      </c>
      <c r="H182" s="12">
        <v>0</v>
      </c>
      <c r="I182" s="12">
        <v>0</v>
      </c>
      <c r="J182" s="12">
        <v>0</v>
      </c>
      <c r="K182" s="12">
        <v>0</v>
      </c>
      <c r="L182" s="12">
        <v>0</v>
      </c>
      <c r="M182" s="12">
        <v>0</v>
      </c>
      <c r="N182" s="12">
        <v>0</v>
      </c>
      <c r="O182" s="12">
        <v>0</v>
      </c>
      <c r="P182" s="3"/>
    </row>
    <row r="183" spans="1:16" ht="15.75" customHeight="1" outlineLevel="1" x14ac:dyDescent="0.3">
      <c r="A183" s="3"/>
      <c r="B183" s="149" t="s">
        <v>327</v>
      </c>
      <c r="C183" s="11">
        <f t="shared" si="51"/>
        <v>0</v>
      </c>
      <c r="D183" s="12">
        <v>0</v>
      </c>
      <c r="E183" s="12">
        <v>0</v>
      </c>
      <c r="F183" s="12">
        <v>0</v>
      </c>
      <c r="G183" s="12">
        <v>0</v>
      </c>
      <c r="H183" s="12">
        <v>0</v>
      </c>
      <c r="I183" s="12">
        <v>0</v>
      </c>
      <c r="J183" s="12">
        <v>0</v>
      </c>
      <c r="K183" s="12">
        <v>0</v>
      </c>
      <c r="L183" s="12">
        <v>0</v>
      </c>
      <c r="M183" s="12">
        <v>0</v>
      </c>
      <c r="N183" s="12">
        <v>0</v>
      </c>
      <c r="O183" s="12">
        <v>0</v>
      </c>
      <c r="P183" s="3"/>
    </row>
    <row r="184" spans="1:16" ht="15.75" customHeight="1" x14ac:dyDescent="0.3">
      <c r="A184" s="3"/>
      <c r="B184" s="84" t="s">
        <v>394</v>
      </c>
      <c r="C184" s="86">
        <f t="shared" ref="C184:O184" si="52">SUM(C185:C193)</f>
        <v>0</v>
      </c>
      <c r="D184" s="86">
        <f t="shared" si="52"/>
        <v>0</v>
      </c>
      <c r="E184" s="86">
        <f t="shared" si="52"/>
        <v>0</v>
      </c>
      <c r="F184" s="86">
        <f t="shared" si="52"/>
        <v>0</v>
      </c>
      <c r="G184" s="86">
        <f t="shared" si="52"/>
        <v>0</v>
      </c>
      <c r="H184" s="86">
        <f t="shared" si="52"/>
        <v>0</v>
      </c>
      <c r="I184" s="86">
        <f t="shared" si="52"/>
        <v>0</v>
      </c>
      <c r="J184" s="86">
        <f t="shared" si="52"/>
        <v>0</v>
      </c>
      <c r="K184" s="86">
        <f t="shared" si="52"/>
        <v>0</v>
      </c>
      <c r="L184" s="86">
        <f t="shared" si="52"/>
        <v>0</v>
      </c>
      <c r="M184" s="86">
        <f t="shared" si="52"/>
        <v>0</v>
      </c>
      <c r="N184" s="86">
        <f t="shared" si="52"/>
        <v>0</v>
      </c>
      <c r="O184" s="86">
        <f t="shared" si="52"/>
        <v>0</v>
      </c>
      <c r="P184" s="3"/>
    </row>
    <row r="185" spans="1:16" ht="15.75" customHeight="1" outlineLevel="1" x14ac:dyDescent="0.3">
      <c r="A185" s="3"/>
      <c r="B185" s="149" t="s">
        <v>353</v>
      </c>
      <c r="C185" s="11">
        <f t="shared" ref="C185:C193" si="53">SUM(D185:O185)</f>
        <v>0</v>
      </c>
      <c r="D185" s="12">
        <v>0</v>
      </c>
      <c r="E185" s="12">
        <v>0</v>
      </c>
      <c r="F185" s="12">
        <v>0</v>
      </c>
      <c r="G185" s="12">
        <v>0</v>
      </c>
      <c r="H185" s="12">
        <v>0</v>
      </c>
      <c r="I185" s="12">
        <v>0</v>
      </c>
      <c r="J185" s="12">
        <v>0</v>
      </c>
      <c r="K185" s="12">
        <v>0</v>
      </c>
      <c r="L185" s="12">
        <v>0</v>
      </c>
      <c r="M185" s="12">
        <v>0</v>
      </c>
      <c r="N185" s="12">
        <v>0</v>
      </c>
      <c r="O185" s="12">
        <v>0</v>
      </c>
      <c r="P185" s="3"/>
    </row>
    <row r="186" spans="1:16" ht="15.75" customHeight="1" outlineLevel="1" x14ac:dyDescent="0.3">
      <c r="A186" s="3"/>
      <c r="B186" s="149" t="s">
        <v>354</v>
      </c>
      <c r="C186" s="11">
        <f t="shared" si="53"/>
        <v>0</v>
      </c>
      <c r="D186" s="12">
        <v>0</v>
      </c>
      <c r="E186" s="12">
        <v>0</v>
      </c>
      <c r="F186" s="12">
        <v>0</v>
      </c>
      <c r="G186" s="12">
        <v>0</v>
      </c>
      <c r="H186" s="12">
        <v>0</v>
      </c>
      <c r="I186" s="12">
        <v>0</v>
      </c>
      <c r="J186" s="12">
        <v>0</v>
      </c>
      <c r="K186" s="12">
        <v>0</v>
      </c>
      <c r="L186" s="12">
        <v>0</v>
      </c>
      <c r="M186" s="12">
        <v>0</v>
      </c>
      <c r="N186" s="12">
        <v>0</v>
      </c>
      <c r="O186" s="12">
        <v>0</v>
      </c>
      <c r="P186" s="3"/>
    </row>
    <row r="187" spans="1:16" ht="15.75" customHeight="1" outlineLevel="1" x14ac:dyDescent="0.3">
      <c r="A187" s="3"/>
      <c r="B187" s="149" t="s">
        <v>355</v>
      </c>
      <c r="C187" s="11">
        <f t="shared" si="53"/>
        <v>0</v>
      </c>
      <c r="D187" s="12">
        <v>0</v>
      </c>
      <c r="E187" s="12">
        <v>0</v>
      </c>
      <c r="F187" s="12">
        <v>0</v>
      </c>
      <c r="G187" s="12">
        <v>0</v>
      </c>
      <c r="H187" s="12">
        <v>0</v>
      </c>
      <c r="I187" s="12">
        <v>0</v>
      </c>
      <c r="J187" s="12">
        <v>0</v>
      </c>
      <c r="K187" s="12">
        <v>0</v>
      </c>
      <c r="L187" s="12">
        <v>0</v>
      </c>
      <c r="M187" s="12">
        <v>0</v>
      </c>
      <c r="N187" s="12">
        <v>0</v>
      </c>
      <c r="O187" s="12">
        <v>0</v>
      </c>
      <c r="P187" s="3"/>
    </row>
    <row r="188" spans="1:16" ht="15.75" customHeight="1" outlineLevel="1" x14ac:dyDescent="0.3">
      <c r="A188" s="3"/>
      <c r="B188" s="149" t="s">
        <v>369</v>
      </c>
      <c r="C188" s="11">
        <f t="shared" si="53"/>
        <v>0</v>
      </c>
      <c r="D188" s="12">
        <v>0</v>
      </c>
      <c r="E188" s="12">
        <v>0</v>
      </c>
      <c r="F188" s="12">
        <v>0</v>
      </c>
      <c r="G188" s="12">
        <v>0</v>
      </c>
      <c r="H188" s="12">
        <v>0</v>
      </c>
      <c r="I188" s="12">
        <v>0</v>
      </c>
      <c r="J188" s="12">
        <v>0</v>
      </c>
      <c r="K188" s="12">
        <v>0</v>
      </c>
      <c r="L188" s="12">
        <v>0</v>
      </c>
      <c r="M188" s="12">
        <v>0</v>
      </c>
      <c r="N188" s="12">
        <v>0</v>
      </c>
      <c r="O188" s="12">
        <v>0</v>
      </c>
      <c r="P188" s="3"/>
    </row>
    <row r="189" spans="1:16" ht="15.75" customHeight="1" outlineLevel="1" x14ac:dyDescent="0.3">
      <c r="A189" s="3"/>
      <c r="B189" s="149" t="s">
        <v>327</v>
      </c>
      <c r="C189" s="11">
        <f t="shared" si="53"/>
        <v>0</v>
      </c>
      <c r="D189" s="12">
        <v>0</v>
      </c>
      <c r="E189" s="12">
        <v>0</v>
      </c>
      <c r="F189" s="12">
        <v>0</v>
      </c>
      <c r="G189" s="12">
        <v>0</v>
      </c>
      <c r="H189" s="12">
        <v>0</v>
      </c>
      <c r="I189" s="12">
        <v>0</v>
      </c>
      <c r="J189" s="12">
        <v>0</v>
      </c>
      <c r="K189" s="12">
        <v>0</v>
      </c>
      <c r="L189" s="12">
        <v>0</v>
      </c>
      <c r="M189" s="12">
        <v>0</v>
      </c>
      <c r="N189" s="12">
        <v>0</v>
      </c>
      <c r="O189" s="12">
        <v>0</v>
      </c>
      <c r="P189" s="3"/>
    </row>
    <row r="190" spans="1:16" ht="15.75" customHeight="1" outlineLevel="1" x14ac:dyDescent="0.3">
      <c r="A190" s="3"/>
      <c r="B190" s="149" t="s">
        <v>328</v>
      </c>
      <c r="C190" s="11">
        <f t="shared" si="53"/>
        <v>0</v>
      </c>
      <c r="D190" s="12">
        <v>0</v>
      </c>
      <c r="E190" s="12">
        <v>0</v>
      </c>
      <c r="F190" s="12">
        <v>0</v>
      </c>
      <c r="G190" s="12">
        <v>0</v>
      </c>
      <c r="H190" s="12">
        <v>0</v>
      </c>
      <c r="I190" s="12">
        <v>0</v>
      </c>
      <c r="J190" s="12">
        <v>0</v>
      </c>
      <c r="K190" s="12">
        <v>0</v>
      </c>
      <c r="L190" s="12">
        <v>0</v>
      </c>
      <c r="M190" s="12">
        <v>0</v>
      </c>
      <c r="N190" s="12">
        <v>0</v>
      </c>
      <c r="O190" s="12">
        <v>0</v>
      </c>
      <c r="P190" s="3"/>
    </row>
    <row r="191" spans="1:16" ht="15.75" customHeight="1" outlineLevel="1" x14ac:dyDescent="0.3">
      <c r="A191" s="3"/>
      <c r="B191" s="149" t="s">
        <v>370</v>
      </c>
      <c r="C191" s="11">
        <f t="shared" si="53"/>
        <v>0</v>
      </c>
      <c r="D191" s="12">
        <v>0</v>
      </c>
      <c r="E191" s="12">
        <v>0</v>
      </c>
      <c r="F191" s="12">
        <v>0</v>
      </c>
      <c r="G191" s="12">
        <v>0</v>
      </c>
      <c r="H191" s="12">
        <v>0</v>
      </c>
      <c r="I191" s="12">
        <v>0</v>
      </c>
      <c r="J191" s="12">
        <v>0</v>
      </c>
      <c r="K191" s="12">
        <v>0</v>
      </c>
      <c r="L191" s="12">
        <v>0</v>
      </c>
      <c r="M191" s="12">
        <v>0</v>
      </c>
      <c r="N191" s="12">
        <v>0</v>
      </c>
      <c r="O191" s="12">
        <v>0</v>
      </c>
      <c r="P191" s="3"/>
    </row>
    <row r="192" spans="1:16" ht="15.75" customHeight="1" outlineLevel="1" x14ac:dyDescent="0.3">
      <c r="A192" s="3"/>
      <c r="B192" s="149" t="s">
        <v>371</v>
      </c>
      <c r="C192" s="11">
        <f t="shared" si="53"/>
        <v>0</v>
      </c>
      <c r="D192" s="12">
        <v>0</v>
      </c>
      <c r="E192" s="12">
        <v>0</v>
      </c>
      <c r="F192" s="12">
        <v>0</v>
      </c>
      <c r="G192" s="12">
        <v>0</v>
      </c>
      <c r="H192" s="12">
        <v>0</v>
      </c>
      <c r="I192" s="12">
        <v>0</v>
      </c>
      <c r="J192" s="12">
        <v>0</v>
      </c>
      <c r="K192" s="12">
        <v>0</v>
      </c>
      <c r="L192" s="12">
        <v>0</v>
      </c>
      <c r="M192" s="12">
        <v>0</v>
      </c>
      <c r="N192" s="12">
        <v>0</v>
      </c>
      <c r="O192" s="12">
        <v>0</v>
      </c>
      <c r="P192" s="3"/>
    </row>
    <row r="193" spans="1:16" ht="15.75" customHeight="1" outlineLevel="1" x14ac:dyDescent="0.3">
      <c r="A193" s="3"/>
      <c r="B193" s="149" t="s">
        <v>372</v>
      </c>
      <c r="C193" s="11">
        <f t="shared" si="53"/>
        <v>0</v>
      </c>
      <c r="D193" s="12">
        <v>0</v>
      </c>
      <c r="E193" s="12">
        <v>0</v>
      </c>
      <c r="F193" s="12">
        <v>0</v>
      </c>
      <c r="G193" s="12">
        <v>0</v>
      </c>
      <c r="H193" s="12">
        <v>0</v>
      </c>
      <c r="I193" s="12">
        <v>0</v>
      </c>
      <c r="J193" s="12">
        <v>0</v>
      </c>
      <c r="K193" s="12">
        <v>0</v>
      </c>
      <c r="L193" s="12">
        <v>0</v>
      </c>
      <c r="M193" s="12">
        <v>0</v>
      </c>
      <c r="N193" s="12">
        <v>0</v>
      </c>
      <c r="O193" s="12">
        <v>0</v>
      </c>
      <c r="P193" s="3"/>
    </row>
    <row r="194" spans="1:16" ht="15.75" customHeight="1" x14ac:dyDescent="0.3">
      <c r="A194" s="3"/>
      <c r="B194" s="84" t="s">
        <v>401</v>
      </c>
      <c r="C194" s="86">
        <f t="shared" ref="C194:O194" si="54">SUM(C195:C203)</f>
        <v>0</v>
      </c>
      <c r="D194" s="86">
        <f t="shared" si="54"/>
        <v>0</v>
      </c>
      <c r="E194" s="86">
        <f t="shared" si="54"/>
        <v>0</v>
      </c>
      <c r="F194" s="86">
        <f t="shared" si="54"/>
        <v>0</v>
      </c>
      <c r="G194" s="86">
        <f t="shared" si="54"/>
        <v>0</v>
      </c>
      <c r="H194" s="86">
        <f t="shared" si="54"/>
        <v>0</v>
      </c>
      <c r="I194" s="86">
        <f t="shared" si="54"/>
        <v>0</v>
      </c>
      <c r="J194" s="86">
        <f t="shared" si="54"/>
        <v>0</v>
      </c>
      <c r="K194" s="86">
        <f t="shared" si="54"/>
        <v>0</v>
      </c>
      <c r="L194" s="86">
        <f t="shared" si="54"/>
        <v>0</v>
      </c>
      <c r="M194" s="86">
        <f t="shared" si="54"/>
        <v>0</v>
      </c>
      <c r="N194" s="86">
        <f t="shared" si="54"/>
        <v>0</v>
      </c>
      <c r="O194" s="86">
        <f t="shared" si="54"/>
        <v>0</v>
      </c>
      <c r="P194" s="3"/>
    </row>
    <row r="195" spans="1:16" ht="15.75" customHeight="1" outlineLevel="1" x14ac:dyDescent="0.3">
      <c r="A195" s="3"/>
      <c r="B195" s="149" t="s">
        <v>353</v>
      </c>
      <c r="C195" s="11">
        <f t="shared" ref="C195:C203" si="55">SUM(D195:O195)</f>
        <v>0</v>
      </c>
      <c r="D195" s="12">
        <v>0</v>
      </c>
      <c r="E195" s="12">
        <v>0</v>
      </c>
      <c r="F195" s="12">
        <v>0</v>
      </c>
      <c r="G195" s="12">
        <v>0</v>
      </c>
      <c r="H195" s="12">
        <v>0</v>
      </c>
      <c r="I195" s="12">
        <v>0</v>
      </c>
      <c r="J195" s="12">
        <v>0</v>
      </c>
      <c r="K195" s="12">
        <v>0</v>
      </c>
      <c r="L195" s="12">
        <v>0</v>
      </c>
      <c r="M195" s="12">
        <v>0</v>
      </c>
      <c r="N195" s="12">
        <v>0</v>
      </c>
      <c r="O195" s="12">
        <v>0</v>
      </c>
      <c r="P195" s="3"/>
    </row>
    <row r="196" spans="1:16" ht="15.75" customHeight="1" outlineLevel="1" x14ac:dyDescent="0.3">
      <c r="A196" s="3"/>
      <c r="B196" s="149" t="s">
        <v>354</v>
      </c>
      <c r="C196" s="11">
        <f t="shared" si="55"/>
        <v>0</v>
      </c>
      <c r="D196" s="12">
        <v>0</v>
      </c>
      <c r="E196" s="12">
        <v>0</v>
      </c>
      <c r="F196" s="12">
        <v>0</v>
      </c>
      <c r="G196" s="12">
        <v>0</v>
      </c>
      <c r="H196" s="12">
        <v>0</v>
      </c>
      <c r="I196" s="12">
        <v>0</v>
      </c>
      <c r="J196" s="12">
        <v>0</v>
      </c>
      <c r="K196" s="12">
        <v>0</v>
      </c>
      <c r="L196" s="12">
        <v>0</v>
      </c>
      <c r="M196" s="12">
        <v>0</v>
      </c>
      <c r="N196" s="12">
        <v>0</v>
      </c>
      <c r="O196" s="12">
        <v>0</v>
      </c>
      <c r="P196" s="3"/>
    </row>
    <row r="197" spans="1:16" ht="15.75" customHeight="1" outlineLevel="1" x14ac:dyDescent="0.3">
      <c r="A197" s="3"/>
      <c r="B197" s="149" t="s">
        <v>355</v>
      </c>
      <c r="C197" s="11">
        <f t="shared" si="55"/>
        <v>0</v>
      </c>
      <c r="D197" s="12">
        <v>0</v>
      </c>
      <c r="E197" s="12">
        <v>0</v>
      </c>
      <c r="F197" s="12">
        <v>0</v>
      </c>
      <c r="G197" s="12">
        <v>0</v>
      </c>
      <c r="H197" s="12">
        <v>0</v>
      </c>
      <c r="I197" s="12">
        <v>0</v>
      </c>
      <c r="J197" s="12">
        <v>0</v>
      </c>
      <c r="K197" s="12">
        <v>0</v>
      </c>
      <c r="L197" s="12">
        <v>0</v>
      </c>
      <c r="M197" s="12">
        <v>0</v>
      </c>
      <c r="N197" s="12">
        <v>0</v>
      </c>
      <c r="O197" s="12">
        <v>0</v>
      </c>
      <c r="P197" s="3"/>
    </row>
    <row r="198" spans="1:16" ht="15.75" customHeight="1" outlineLevel="1" x14ac:dyDescent="0.3">
      <c r="A198" s="3"/>
      <c r="B198" s="149" t="s">
        <v>369</v>
      </c>
      <c r="C198" s="11">
        <f t="shared" si="55"/>
        <v>0</v>
      </c>
      <c r="D198" s="12">
        <v>0</v>
      </c>
      <c r="E198" s="12">
        <v>0</v>
      </c>
      <c r="F198" s="12">
        <v>0</v>
      </c>
      <c r="G198" s="12">
        <v>0</v>
      </c>
      <c r="H198" s="12">
        <v>0</v>
      </c>
      <c r="I198" s="12">
        <v>0</v>
      </c>
      <c r="J198" s="12">
        <v>0</v>
      </c>
      <c r="K198" s="12">
        <v>0</v>
      </c>
      <c r="L198" s="12">
        <v>0</v>
      </c>
      <c r="M198" s="12">
        <v>0</v>
      </c>
      <c r="N198" s="12">
        <v>0</v>
      </c>
      <c r="O198" s="12">
        <v>0</v>
      </c>
      <c r="P198" s="3"/>
    </row>
    <row r="199" spans="1:16" ht="15.75" customHeight="1" outlineLevel="1" x14ac:dyDescent="0.3">
      <c r="A199" s="3"/>
      <c r="B199" s="149" t="s">
        <v>327</v>
      </c>
      <c r="C199" s="11">
        <f t="shared" si="55"/>
        <v>0</v>
      </c>
      <c r="D199" s="12">
        <v>0</v>
      </c>
      <c r="E199" s="12">
        <v>0</v>
      </c>
      <c r="F199" s="12">
        <v>0</v>
      </c>
      <c r="G199" s="12">
        <v>0</v>
      </c>
      <c r="H199" s="12">
        <v>0</v>
      </c>
      <c r="I199" s="12">
        <v>0</v>
      </c>
      <c r="J199" s="12">
        <v>0</v>
      </c>
      <c r="K199" s="12">
        <v>0</v>
      </c>
      <c r="L199" s="12">
        <v>0</v>
      </c>
      <c r="M199" s="12">
        <v>0</v>
      </c>
      <c r="N199" s="12">
        <v>0</v>
      </c>
      <c r="O199" s="12">
        <v>0</v>
      </c>
      <c r="P199" s="3"/>
    </row>
    <row r="200" spans="1:16" ht="15.75" customHeight="1" outlineLevel="1" x14ac:dyDescent="0.3">
      <c r="A200" s="3"/>
      <c r="B200" s="149" t="s">
        <v>328</v>
      </c>
      <c r="C200" s="11">
        <f t="shared" si="55"/>
        <v>0</v>
      </c>
      <c r="D200" s="12">
        <v>0</v>
      </c>
      <c r="E200" s="12">
        <v>0</v>
      </c>
      <c r="F200" s="12">
        <v>0</v>
      </c>
      <c r="G200" s="12">
        <v>0</v>
      </c>
      <c r="H200" s="12">
        <v>0</v>
      </c>
      <c r="I200" s="12">
        <v>0</v>
      </c>
      <c r="J200" s="12">
        <v>0</v>
      </c>
      <c r="K200" s="12">
        <v>0</v>
      </c>
      <c r="L200" s="12">
        <v>0</v>
      </c>
      <c r="M200" s="12">
        <v>0</v>
      </c>
      <c r="N200" s="12">
        <v>0</v>
      </c>
      <c r="O200" s="12">
        <v>0</v>
      </c>
      <c r="P200" s="3"/>
    </row>
    <row r="201" spans="1:16" ht="15.75" customHeight="1" outlineLevel="1" x14ac:dyDescent="0.3">
      <c r="A201" s="3"/>
      <c r="B201" s="149" t="s">
        <v>370</v>
      </c>
      <c r="C201" s="11">
        <f t="shared" si="55"/>
        <v>0</v>
      </c>
      <c r="D201" s="12">
        <v>0</v>
      </c>
      <c r="E201" s="12">
        <v>0</v>
      </c>
      <c r="F201" s="12">
        <v>0</v>
      </c>
      <c r="G201" s="12">
        <v>0</v>
      </c>
      <c r="H201" s="12">
        <v>0</v>
      </c>
      <c r="I201" s="12">
        <v>0</v>
      </c>
      <c r="J201" s="12">
        <v>0</v>
      </c>
      <c r="K201" s="12">
        <v>0</v>
      </c>
      <c r="L201" s="12">
        <v>0</v>
      </c>
      <c r="M201" s="12">
        <v>0</v>
      </c>
      <c r="N201" s="12">
        <v>0</v>
      </c>
      <c r="O201" s="12">
        <v>0</v>
      </c>
      <c r="P201" s="3"/>
    </row>
    <row r="202" spans="1:16" ht="15.75" customHeight="1" outlineLevel="1" x14ac:dyDescent="0.3">
      <c r="A202" s="3"/>
      <c r="B202" s="149" t="s">
        <v>371</v>
      </c>
      <c r="C202" s="11">
        <f t="shared" si="55"/>
        <v>0</v>
      </c>
      <c r="D202" s="12">
        <v>0</v>
      </c>
      <c r="E202" s="12">
        <v>0</v>
      </c>
      <c r="F202" s="12">
        <v>0</v>
      </c>
      <c r="G202" s="12">
        <v>0</v>
      </c>
      <c r="H202" s="12">
        <v>0</v>
      </c>
      <c r="I202" s="12">
        <v>0</v>
      </c>
      <c r="J202" s="12">
        <v>0</v>
      </c>
      <c r="K202" s="12">
        <v>0</v>
      </c>
      <c r="L202" s="12">
        <v>0</v>
      </c>
      <c r="M202" s="12">
        <v>0</v>
      </c>
      <c r="N202" s="12">
        <v>0</v>
      </c>
      <c r="O202" s="12">
        <v>0</v>
      </c>
      <c r="P202" s="3"/>
    </row>
    <row r="203" spans="1:16" ht="15.75" customHeight="1" outlineLevel="1" x14ac:dyDescent="0.3">
      <c r="A203" s="3"/>
      <c r="B203" s="149" t="s">
        <v>372</v>
      </c>
      <c r="C203" s="11">
        <f t="shared" si="55"/>
        <v>0</v>
      </c>
      <c r="D203" s="12">
        <v>0</v>
      </c>
      <c r="E203" s="12">
        <v>0</v>
      </c>
      <c r="F203" s="12">
        <v>0</v>
      </c>
      <c r="G203" s="12">
        <v>0</v>
      </c>
      <c r="H203" s="12">
        <v>0</v>
      </c>
      <c r="I203" s="12">
        <v>0</v>
      </c>
      <c r="J203" s="12">
        <v>0</v>
      </c>
      <c r="K203" s="12">
        <v>0</v>
      </c>
      <c r="L203" s="12">
        <v>0</v>
      </c>
      <c r="M203" s="12">
        <v>0</v>
      </c>
      <c r="N203" s="12">
        <v>0</v>
      </c>
      <c r="O203" s="12">
        <v>0</v>
      </c>
      <c r="P203" s="3"/>
    </row>
    <row r="204" spans="1:16" ht="15.75" customHeight="1" x14ac:dyDescent="0.3">
      <c r="A204" s="3"/>
      <c r="B204" s="84" t="s">
        <v>402</v>
      </c>
      <c r="C204" s="86">
        <f t="shared" ref="C204:O204" si="56">SUM(C205:C213)</f>
        <v>0</v>
      </c>
      <c r="D204" s="86">
        <f t="shared" si="56"/>
        <v>0</v>
      </c>
      <c r="E204" s="86">
        <f t="shared" si="56"/>
        <v>0</v>
      </c>
      <c r="F204" s="86">
        <f t="shared" si="56"/>
        <v>0</v>
      </c>
      <c r="G204" s="86">
        <f t="shared" si="56"/>
        <v>0</v>
      </c>
      <c r="H204" s="86">
        <f t="shared" si="56"/>
        <v>0</v>
      </c>
      <c r="I204" s="86">
        <f t="shared" si="56"/>
        <v>0</v>
      </c>
      <c r="J204" s="86">
        <f t="shared" si="56"/>
        <v>0</v>
      </c>
      <c r="K204" s="86">
        <f t="shared" si="56"/>
        <v>0</v>
      </c>
      <c r="L204" s="86">
        <f t="shared" si="56"/>
        <v>0</v>
      </c>
      <c r="M204" s="86">
        <f t="shared" si="56"/>
        <v>0</v>
      </c>
      <c r="N204" s="86">
        <f t="shared" si="56"/>
        <v>0</v>
      </c>
      <c r="O204" s="86">
        <f t="shared" si="56"/>
        <v>0</v>
      </c>
      <c r="P204" s="3"/>
    </row>
    <row r="205" spans="1:16" ht="15.75" customHeight="1" outlineLevel="1" x14ac:dyDescent="0.3">
      <c r="A205" s="3"/>
      <c r="B205" s="149" t="s">
        <v>353</v>
      </c>
      <c r="C205" s="11">
        <f t="shared" ref="C205:C213" si="57">SUM(D205:O205)</f>
        <v>0</v>
      </c>
      <c r="D205" s="12">
        <v>0</v>
      </c>
      <c r="E205" s="12">
        <v>0</v>
      </c>
      <c r="F205" s="12">
        <v>0</v>
      </c>
      <c r="G205" s="12">
        <v>0</v>
      </c>
      <c r="H205" s="12">
        <v>0</v>
      </c>
      <c r="I205" s="12">
        <v>0</v>
      </c>
      <c r="J205" s="12">
        <v>0</v>
      </c>
      <c r="K205" s="12">
        <v>0</v>
      </c>
      <c r="L205" s="12">
        <v>0</v>
      </c>
      <c r="M205" s="12">
        <v>0</v>
      </c>
      <c r="N205" s="12">
        <v>0</v>
      </c>
      <c r="O205" s="12">
        <v>0</v>
      </c>
      <c r="P205" s="3"/>
    </row>
    <row r="206" spans="1:16" ht="15.75" customHeight="1" outlineLevel="1" x14ac:dyDescent="0.3">
      <c r="A206" s="3"/>
      <c r="B206" s="149" t="s">
        <v>354</v>
      </c>
      <c r="C206" s="11">
        <f t="shared" si="57"/>
        <v>0</v>
      </c>
      <c r="D206" s="12">
        <v>0</v>
      </c>
      <c r="E206" s="12">
        <v>0</v>
      </c>
      <c r="F206" s="12">
        <v>0</v>
      </c>
      <c r="G206" s="12">
        <v>0</v>
      </c>
      <c r="H206" s="12">
        <v>0</v>
      </c>
      <c r="I206" s="12">
        <v>0</v>
      </c>
      <c r="J206" s="12">
        <v>0</v>
      </c>
      <c r="K206" s="12">
        <v>0</v>
      </c>
      <c r="L206" s="12">
        <v>0</v>
      </c>
      <c r="M206" s="12">
        <v>0</v>
      </c>
      <c r="N206" s="12">
        <v>0</v>
      </c>
      <c r="O206" s="12">
        <v>0</v>
      </c>
      <c r="P206" s="3"/>
    </row>
    <row r="207" spans="1:16" ht="15.75" customHeight="1" outlineLevel="1" x14ac:dyDescent="0.3">
      <c r="A207" s="3"/>
      <c r="B207" s="149" t="s">
        <v>355</v>
      </c>
      <c r="C207" s="11">
        <f t="shared" si="57"/>
        <v>0</v>
      </c>
      <c r="D207" s="12">
        <v>0</v>
      </c>
      <c r="E207" s="12">
        <v>0</v>
      </c>
      <c r="F207" s="12">
        <v>0</v>
      </c>
      <c r="G207" s="12">
        <v>0</v>
      </c>
      <c r="H207" s="12">
        <v>0</v>
      </c>
      <c r="I207" s="12">
        <v>0</v>
      </c>
      <c r="J207" s="12">
        <v>0</v>
      </c>
      <c r="K207" s="12">
        <v>0</v>
      </c>
      <c r="L207" s="12">
        <v>0</v>
      </c>
      <c r="M207" s="12">
        <v>0</v>
      </c>
      <c r="N207" s="12">
        <v>0</v>
      </c>
      <c r="O207" s="12">
        <v>0</v>
      </c>
      <c r="P207" s="3"/>
    </row>
    <row r="208" spans="1:16" ht="15.75" customHeight="1" outlineLevel="1" x14ac:dyDescent="0.3">
      <c r="A208" s="3"/>
      <c r="B208" s="149" t="s">
        <v>369</v>
      </c>
      <c r="C208" s="11">
        <f t="shared" si="57"/>
        <v>0</v>
      </c>
      <c r="D208" s="12">
        <v>0</v>
      </c>
      <c r="E208" s="12">
        <v>0</v>
      </c>
      <c r="F208" s="12">
        <v>0</v>
      </c>
      <c r="G208" s="12">
        <v>0</v>
      </c>
      <c r="H208" s="12">
        <v>0</v>
      </c>
      <c r="I208" s="12">
        <v>0</v>
      </c>
      <c r="J208" s="12">
        <v>0</v>
      </c>
      <c r="K208" s="12">
        <v>0</v>
      </c>
      <c r="L208" s="12">
        <v>0</v>
      </c>
      <c r="M208" s="12">
        <v>0</v>
      </c>
      <c r="N208" s="12">
        <v>0</v>
      </c>
      <c r="O208" s="12">
        <v>0</v>
      </c>
      <c r="P208" s="3"/>
    </row>
    <row r="209" spans="1:16" ht="15.75" customHeight="1" outlineLevel="1" x14ac:dyDescent="0.3">
      <c r="A209" s="3"/>
      <c r="B209" s="149" t="s">
        <v>327</v>
      </c>
      <c r="C209" s="11">
        <f t="shared" si="57"/>
        <v>0</v>
      </c>
      <c r="D209" s="12">
        <v>0</v>
      </c>
      <c r="E209" s="12">
        <v>0</v>
      </c>
      <c r="F209" s="12">
        <v>0</v>
      </c>
      <c r="G209" s="12">
        <v>0</v>
      </c>
      <c r="H209" s="12">
        <v>0</v>
      </c>
      <c r="I209" s="12">
        <v>0</v>
      </c>
      <c r="J209" s="12">
        <v>0</v>
      </c>
      <c r="K209" s="12">
        <v>0</v>
      </c>
      <c r="L209" s="12">
        <v>0</v>
      </c>
      <c r="M209" s="12">
        <v>0</v>
      </c>
      <c r="N209" s="12">
        <v>0</v>
      </c>
      <c r="O209" s="12">
        <v>0</v>
      </c>
      <c r="P209" s="3"/>
    </row>
    <row r="210" spans="1:16" ht="15.75" customHeight="1" outlineLevel="1" x14ac:dyDescent="0.3">
      <c r="A210" s="3"/>
      <c r="B210" s="149" t="s">
        <v>328</v>
      </c>
      <c r="C210" s="11">
        <f t="shared" si="57"/>
        <v>0</v>
      </c>
      <c r="D210" s="12">
        <v>0</v>
      </c>
      <c r="E210" s="12">
        <v>0</v>
      </c>
      <c r="F210" s="12">
        <v>0</v>
      </c>
      <c r="G210" s="12">
        <v>0</v>
      </c>
      <c r="H210" s="12">
        <v>0</v>
      </c>
      <c r="I210" s="12">
        <v>0</v>
      </c>
      <c r="J210" s="12">
        <v>0</v>
      </c>
      <c r="K210" s="12">
        <v>0</v>
      </c>
      <c r="L210" s="12">
        <v>0</v>
      </c>
      <c r="M210" s="12">
        <v>0</v>
      </c>
      <c r="N210" s="12">
        <v>0</v>
      </c>
      <c r="O210" s="12">
        <v>0</v>
      </c>
      <c r="P210" s="3"/>
    </row>
    <row r="211" spans="1:16" ht="15.75" customHeight="1" outlineLevel="1" x14ac:dyDescent="0.3">
      <c r="A211" s="3"/>
      <c r="B211" s="149" t="s">
        <v>370</v>
      </c>
      <c r="C211" s="11">
        <f t="shared" si="57"/>
        <v>0</v>
      </c>
      <c r="D211" s="12">
        <v>0</v>
      </c>
      <c r="E211" s="12">
        <v>0</v>
      </c>
      <c r="F211" s="12">
        <v>0</v>
      </c>
      <c r="G211" s="12">
        <v>0</v>
      </c>
      <c r="H211" s="12">
        <v>0</v>
      </c>
      <c r="I211" s="12">
        <v>0</v>
      </c>
      <c r="J211" s="12">
        <v>0</v>
      </c>
      <c r="K211" s="12">
        <v>0</v>
      </c>
      <c r="L211" s="12">
        <v>0</v>
      </c>
      <c r="M211" s="12">
        <v>0</v>
      </c>
      <c r="N211" s="12">
        <v>0</v>
      </c>
      <c r="O211" s="12">
        <v>0</v>
      </c>
      <c r="P211" s="3"/>
    </row>
    <row r="212" spans="1:16" ht="15.75" customHeight="1" outlineLevel="1" x14ac:dyDescent="0.3">
      <c r="A212" s="3"/>
      <c r="B212" s="149" t="s">
        <v>371</v>
      </c>
      <c r="C212" s="11">
        <f t="shared" si="57"/>
        <v>0</v>
      </c>
      <c r="D212" s="12">
        <v>0</v>
      </c>
      <c r="E212" s="12">
        <v>0</v>
      </c>
      <c r="F212" s="12">
        <v>0</v>
      </c>
      <c r="G212" s="12">
        <v>0</v>
      </c>
      <c r="H212" s="12">
        <v>0</v>
      </c>
      <c r="I212" s="12">
        <v>0</v>
      </c>
      <c r="J212" s="12">
        <v>0</v>
      </c>
      <c r="K212" s="12">
        <v>0</v>
      </c>
      <c r="L212" s="12">
        <v>0</v>
      </c>
      <c r="M212" s="12">
        <v>0</v>
      </c>
      <c r="N212" s="12">
        <v>0</v>
      </c>
      <c r="O212" s="12">
        <v>0</v>
      </c>
      <c r="P212" s="3"/>
    </row>
    <row r="213" spans="1:16" ht="15.75" customHeight="1" outlineLevel="1" x14ac:dyDescent="0.3">
      <c r="A213" s="3"/>
      <c r="B213" s="149" t="s">
        <v>372</v>
      </c>
      <c r="C213" s="11">
        <f t="shared" si="57"/>
        <v>0</v>
      </c>
      <c r="D213" s="12">
        <v>0</v>
      </c>
      <c r="E213" s="12">
        <v>0</v>
      </c>
      <c r="F213" s="12">
        <v>0</v>
      </c>
      <c r="G213" s="12">
        <v>0</v>
      </c>
      <c r="H213" s="12">
        <v>0</v>
      </c>
      <c r="I213" s="12">
        <v>0</v>
      </c>
      <c r="J213" s="12">
        <v>0</v>
      </c>
      <c r="K213" s="12">
        <v>0</v>
      </c>
      <c r="L213" s="12">
        <v>0</v>
      </c>
      <c r="M213" s="12">
        <v>0</v>
      </c>
      <c r="N213" s="12">
        <v>0</v>
      </c>
      <c r="O213" s="12">
        <v>0</v>
      </c>
      <c r="P213" s="3"/>
    </row>
    <row r="214" spans="1:16" ht="15.75" customHeight="1" x14ac:dyDescent="0.3">
      <c r="A214" s="3"/>
      <c r="B214" s="84" t="s">
        <v>403</v>
      </c>
      <c r="C214" s="86">
        <f t="shared" ref="C214:O214" si="58">SUM(C215:C223)</f>
        <v>0</v>
      </c>
      <c r="D214" s="86">
        <f t="shared" si="58"/>
        <v>0</v>
      </c>
      <c r="E214" s="86">
        <f t="shared" si="58"/>
        <v>0</v>
      </c>
      <c r="F214" s="86">
        <f t="shared" si="58"/>
        <v>0</v>
      </c>
      <c r="G214" s="86">
        <f t="shared" si="58"/>
        <v>0</v>
      </c>
      <c r="H214" s="86">
        <f t="shared" si="58"/>
        <v>0</v>
      </c>
      <c r="I214" s="86">
        <f t="shared" si="58"/>
        <v>0</v>
      </c>
      <c r="J214" s="86">
        <f t="shared" si="58"/>
        <v>0</v>
      </c>
      <c r="K214" s="86">
        <f t="shared" si="58"/>
        <v>0</v>
      </c>
      <c r="L214" s="86">
        <f t="shared" si="58"/>
        <v>0</v>
      </c>
      <c r="M214" s="86">
        <f t="shared" si="58"/>
        <v>0</v>
      </c>
      <c r="N214" s="86">
        <f t="shared" si="58"/>
        <v>0</v>
      </c>
      <c r="O214" s="86">
        <f t="shared" si="58"/>
        <v>0</v>
      </c>
      <c r="P214" s="3"/>
    </row>
    <row r="215" spans="1:16" ht="15.75" customHeight="1" outlineLevel="1" x14ac:dyDescent="0.3">
      <c r="A215" s="3"/>
      <c r="B215" s="149" t="s">
        <v>353</v>
      </c>
      <c r="C215" s="11">
        <f t="shared" ref="C215:C223" si="59">SUM(D215:O215)</f>
        <v>0</v>
      </c>
      <c r="D215" s="12">
        <v>0</v>
      </c>
      <c r="E215" s="12">
        <v>0</v>
      </c>
      <c r="F215" s="12">
        <v>0</v>
      </c>
      <c r="G215" s="12">
        <v>0</v>
      </c>
      <c r="H215" s="12">
        <v>0</v>
      </c>
      <c r="I215" s="12">
        <v>0</v>
      </c>
      <c r="J215" s="12">
        <v>0</v>
      </c>
      <c r="K215" s="12">
        <v>0</v>
      </c>
      <c r="L215" s="12">
        <v>0</v>
      </c>
      <c r="M215" s="12">
        <v>0</v>
      </c>
      <c r="N215" s="12">
        <v>0</v>
      </c>
      <c r="O215" s="12">
        <v>0</v>
      </c>
      <c r="P215" s="3"/>
    </row>
    <row r="216" spans="1:16" ht="15.75" customHeight="1" outlineLevel="1" x14ac:dyDescent="0.3">
      <c r="A216" s="3"/>
      <c r="B216" s="149" t="s">
        <v>354</v>
      </c>
      <c r="C216" s="11">
        <f t="shared" si="59"/>
        <v>0</v>
      </c>
      <c r="D216" s="12">
        <v>0</v>
      </c>
      <c r="E216" s="12">
        <v>0</v>
      </c>
      <c r="F216" s="12">
        <v>0</v>
      </c>
      <c r="G216" s="12">
        <v>0</v>
      </c>
      <c r="H216" s="12">
        <v>0</v>
      </c>
      <c r="I216" s="12">
        <v>0</v>
      </c>
      <c r="J216" s="12">
        <v>0</v>
      </c>
      <c r="K216" s="12">
        <v>0</v>
      </c>
      <c r="L216" s="12">
        <v>0</v>
      </c>
      <c r="M216" s="12">
        <v>0</v>
      </c>
      <c r="N216" s="12">
        <v>0</v>
      </c>
      <c r="O216" s="12">
        <v>0</v>
      </c>
      <c r="P216" s="3"/>
    </row>
    <row r="217" spans="1:16" ht="15.75" customHeight="1" outlineLevel="1" x14ac:dyDescent="0.3">
      <c r="A217" s="3"/>
      <c r="B217" s="149" t="s">
        <v>355</v>
      </c>
      <c r="C217" s="11">
        <f t="shared" si="59"/>
        <v>0</v>
      </c>
      <c r="D217" s="12">
        <v>0</v>
      </c>
      <c r="E217" s="12">
        <v>0</v>
      </c>
      <c r="F217" s="12">
        <v>0</v>
      </c>
      <c r="G217" s="12">
        <v>0</v>
      </c>
      <c r="H217" s="12">
        <v>0</v>
      </c>
      <c r="I217" s="12">
        <v>0</v>
      </c>
      <c r="J217" s="12">
        <v>0</v>
      </c>
      <c r="K217" s="12">
        <v>0</v>
      </c>
      <c r="L217" s="12">
        <v>0</v>
      </c>
      <c r="M217" s="12">
        <v>0</v>
      </c>
      <c r="N217" s="12">
        <v>0</v>
      </c>
      <c r="O217" s="12">
        <v>0</v>
      </c>
      <c r="P217" s="3"/>
    </row>
    <row r="218" spans="1:16" ht="15.75" customHeight="1" outlineLevel="1" x14ac:dyDescent="0.3">
      <c r="A218" s="3"/>
      <c r="B218" s="149" t="s">
        <v>369</v>
      </c>
      <c r="C218" s="11">
        <f t="shared" si="59"/>
        <v>0</v>
      </c>
      <c r="D218" s="12">
        <v>0</v>
      </c>
      <c r="E218" s="12">
        <v>0</v>
      </c>
      <c r="F218" s="12">
        <v>0</v>
      </c>
      <c r="G218" s="12">
        <v>0</v>
      </c>
      <c r="H218" s="12">
        <v>0</v>
      </c>
      <c r="I218" s="12">
        <v>0</v>
      </c>
      <c r="J218" s="12">
        <v>0</v>
      </c>
      <c r="K218" s="12">
        <v>0</v>
      </c>
      <c r="L218" s="12">
        <v>0</v>
      </c>
      <c r="M218" s="12">
        <v>0</v>
      </c>
      <c r="N218" s="12">
        <v>0</v>
      </c>
      <c r="O218" s="12">
        <v>0</v>
      </c>
      <c r="P218" s="3"/>
    </row>
    <row r="219" spans="1:16" ht="15.75" customHeight="1" outlineLevel="1" x14ac:dyDescent="0.3">
      <c r="A219" s="3"/>
      <c r="B219" s="149" t="s">
        <v>327</v>
      </c>
      <c r="C219" s="11">
        <f t="shared" si="59"/>
        <v>0</v>
      </c>
      <c r="D219" s="12">
        <v>0</v>
      </c>
      <c r="E219" s="12">
        <v>0</v>
      </c>
      <c r="F219" s="12">
        <v>0</v>
      </c>
      <c r="G219" s="12">
        <v>0</v>
      </c>
      <c r="H219" s="12">
        <v>0</v>
      </c>
      <c r="I219" s="12">
        <v>0</v>
      </c>
      <c r="J219" s="12">
        <v>0</v>
      </c>
      <c r="K219" s="12">
        <v>0</v>
      </c>
      <c r="L219" s="12">
        <v>0</v>
      </c>
      <c r="M219" s="12">
        <v>0</v>
      </c>
      <c r="N219" s="12">
        <v>0</v>
      </c>
      <c r="O219" s="12">
        <v>0</v>
      </c>
      <c r="P219" s="3"/>
    </row>
    <row r="220" spans="1:16" ht="15.75" customHeight="1" outlineLevel="1" x14ac:dyDescent="0.3">
      <c r="A220" s="3"/>
      <c r="B220" s="149" t="s">
        <v>328</v>
      </c>
      <c r="C220" s="11">
        <f t="shared" si="59"/>
        <v>0</v>
      </c>
      <c r="D220" s="12">
        <v>0</v>
      </c>
      <c r="E220" s="12">
        <v>0</v>
      </c>
      <c r="F220" s="12">
        <v>0</v>
      </c>
      <c r="G220" s="12">
        <v>0</v>
      </c>
      <c r="H220" s="12">
        <v>0</v>
      </c>
      <c r="I220" s="12">
        <v>0</v>
      </c>
      <c r="J220" s="12">
        <v>0</v>
      </c>
      <c r="K220" s="12">
        <v>0</v>
      </c>
      <c r="L220" s="12">
        <v>0</v>
      </c>
      <c r="M220" s="12">
        <v>0</v>
      </c>
      <c r="N220" s="12">
        <v>0</v>
      </c>
      <c r="O220" s="12">
        <v>0</v>
      </c>
      <c r="P220" s="3"/>
    </row>
    <row r="221" spans="1:16" ht="15.75" customHeight="1" outlineLevel="1" x14ac:dyDescent="0.3">
      <c r="A221" s="3"/>
      <c r="B221" s="149" t="s">
        <v>370</v>
      </c>
      <c r="C221" s="11">
        <f t="shared" si="59"/>
        <v>0</v>
      </c>
      <c r="D221" s="12">
        <v>0</v>
      </c>
      <c r="E221" s="12">
        <v>0</v>
      </c>
      <c r="F221" s="12">
        <v>0</v>
      </c>
      <c r="G221" s="12">
        <v>0</v>
      </c>
      <c r="H221" s="12">
        <v>0</v>
      </c>
      <c r="I221" s="12">
        <v>0</v>
      </c>
      <c r="J221" s="12">
        <v>0</v>
      </c>
      <c r="K221" s="12">
        <v>0</v>
      </c>
      <c r="L221" s="12">
        <v>0</v>
      </c>
      <c r="M221" s="12">
        <v>0</v>
      </c>
      <c r="N221" s="12">
        <v>0</v>
      </c>
      <c r="O221" s="12">
        <v>0</v>
      </c>
      <c r="P221" s="3"/>
    </row>
    <row r="222" spans="1:16" ht="15.75" customHeight="1" outlineLevel="1" x14ac:dyDescent="0.3">
      <c r="A222" s="3"/>
      <c r="B222" s="149" t="s">
        <v>371</v>
      </c>
      <c r="C222" s="11">
        <f t="shared" si="59"/>
        <v>0</v>
      </c>
      <c r="D222" s="12">
        <v>0</v>
      </c>
      <c r="E222" s="12">
        <v>0</v>
      </c>
      <c r="F222" s="12">
        <v>0</v>
      </c>
      <c r="G222" s="12">
        <v>0</v>
      </c>
      <c r="H222" s="12">
        <v>0</v>
      </c>
      <c r="I222" s="12">
        <v>0</v>
      </c>
      <c r="J222" s="12">
        <v>0</v>
      </c>
      <c r="K222" s="12">
        <v>0</v>
      </c>
      <c r="L222" s="12">
        <v>0</v>
      </c>
      <c r="M222" s="12">
        <v>0</v>
      </c>
      <c r="N222" s="12">
        <v>0</v>
      </c>
      <c r="O222" s="12">
        <v>0</v>
      </c>
      <c r="P222" s="3"/>
    </row>
    <row r="223" spans="1:16" ht="15.75" customHeight="1" outlineLevel="1" x14ac:dyDescent="0.3">
      <c r="A223" s="3"/>
      <c r="B223" s="149" t="s">
        <v>372</v>
      </c>
      <c r="C223" s="11">
        <f t="shared" si="59"/>
        <v>0</v>
      </c>
      <c r="D223" s="12">
        <v>0</v>
      </c>
      <c r="E223" s="12">
        <v>0</v>
      </c>
      <c r="F223" s="12">
        <v>0</v>
      </c>
      <c r="G223" s="12">
        <v>0</v>
      </c>
      <c r="H223" s="12">
        <v>0</v>
      </c>
      <c r="I223" s="12">
        <v>0</v>
      </c>
      <c r="J223" s="12">
        <v>0</v>
      </c>
      <c r="K223" s="12">
        <v>0</v>
      </c>
      <c r="L223" s="12">
        <v>0</v>
      </c>
      <c r="M223" s="12">
        <v>0</v>
      </c>
      <c r="N223" s="12">
        <v>0</v>
      </c>
      <c r="O223" s="12">
        <v>0</v>
      </c>
      <c r="P223" s="3"/>
    </row>
    <row r="224" spans="1:16" ht="15.75" customHeight="1" x14ac:dyDescent="0.3">
      <c r="A224" s="3"/>
      <c r="B224" s="84" t="s">
        <v>405</v>
      </c>
      <c r="C224" s="86">
        <f t="shared" ref="C224:O224" si="60">SUM(C225:C233)</f>
        <v>0</v>
      </c>
      <c r="D224" s="86">
        <f t="shared" si="60"/>
        <v>0</v>
      </c>
      <c r="E224" s="86">
        <f t="shared" si="60"/>
        <v>0</v>
      </c>
      <c r="F224" s="86">
        <f t="shared" si="60"/>
        <v>0</v>
      </c>
      <c r="G224" s="86">
        <f t="shared" si="60"/>
        <v>0</v>
      </c>
      <c r="H224" s="86">
        <f t="shared" si="60"/>
        <v>0</v>
      </c>
      <c r="I224" s="86">
        <f t="shared" si="60"/>
        <v>0</v>
      </c>
      <c r="J224" s="86">
        <f t="shared" si="60"/>
        <v>0</v>
      </c>
      <c r="K224" s="86">
        <f t="shared" si="60"/>
        <v>0</v>
      </c>
      <c r="L224" s="86">
        <f t="shared" si="60"/>
        <v>0</v>
      </c>
      <c r="M224" s="86">
        <f t="shared" si="60"/>
        <v>0</v>
      </c>
      <c r="N224" s="86">
        <f t="shared" si="60"/>
        <v>0</v>
      </c>
      <c r="O224" s="86">
        <f t="shared" si="60"/>
        <v>0</v>
      </c>
      <c r="P224" s="3"/>
    </row>
    <row r="225" spans="1:16" ht="15.75" customHeight="1" outlineLevel="1" x14ac:dyDescent="0.3">
      <c r="A225" s="3"/>
      <c r="B225" s="149" t="s">
        <v>353</v>
      </c>
      <c r="C225" s="11">
        <f t="shared" ref="C225:C233" si="61">SUM(D225:O225)</f>
        <v>0</v>
      </c>
      <c r="D225" s="12">
        <v>0</v>
      </c>
      <c r="E225" s="12">
        <v>0</v>
      </c>
      <c r="F225" s="12">
        <v>0</v>
      </c>
      <c r="G225" s="12">
        <v>0</v>
      </c>
      <c r="H225" s="12">
        <v>0</v>
      </c>
      <c r="I225" s="12">
        <v>0</v>
      </c>
      <c r="J225" s="12">
        <v>0</v>
      </c>
      <c r="K225" s="12">
        <v>0</v>
      </c>
      <c r="L225" s="12">
        <v>0</v>
      </c>
      <c r="M225" s="12">
        <v>0</v>
      </c>
      <c r="N225" s="12">
        <v>0</v>
      </c>
      <c r="O225" s="12">
        <v>0</v>
      </c>
      <c r="P225" s="3"/>
    </row>
    <row r="226" spans="1:16" ht="15.75" customHeight="1" outlineLevel="1" x14ac:dyDescent="0.3">
      <c r="A226" s="3"/>
      <c r="B226" s="149" t="s">
        <v>354</v>
      </c>
      <c r="C226" s="11">
        <f t="shared" si="61"/>
        <v>0</v>
      </c>
      <c r="D226" s="12">
        <v>0</v>
      </c>
      <c r="E226" s="12">
        <v>0</v>
      </c>
      <c r="F226" s="12">
        <v>0</v>
      </c>
      <c r="G226" s="12">
        <v>0</v>
      </c>
      <c r="H226" s="12">
        <v>0</v>
      </c>
      <c r="I226" s="12">
        <v>0</v>
      </c>
      <c r="J226" s="12">
        <v>0</v>
      </c>
      <c r="K226" s="12">
        <v>0</v>
      </c>
      <c r="L226" s="12">
        <v>0</v>
      </c>
      <c r="M226" s="12">
        <v>0</v>
      </c>
      <c r="N226" s="12">
        <v>0</v>
      </c>
      <c r="O226" s="12">
        <v>0</v>
      </c>
      <c r="P226" s="3"/>
    </row>
    <row r="227" spans="1:16" ht="15.75" customHeight="1" outlineLevel="1" x14ac:dyDescent="0.3">
      <c r="A227" s="3"/>
      <c r="B227" s="149" t="s">
        <v>355</v>
      </c>
      <c r="C227" s="11">
        <f t="shared" si="61"/>
        <v>0</v>
      </c>
      <c r="D227" s="12">
        <v>0</v>
      </c>
      <c r="E227" s="12">
        <v>0</v>
      </c>
      <c r="F227" s="12">
        <v>0</v>
      </c>
      <c r="G227" s="12">
        <v>0</v>
      </c>
      <c r="H227" s="12">
        <v>0</v>
      </c>
      <c r="I227" s="12">
        <v>0</v>
      </c>
      <c r="J227" s="12">
        <v>0</v>
      </c>
      <c r="K227" s="12">
        <v>0</v>
      </c>
      <c r="L227" s="12">
        <v>0</v>
      </c>
      <c r="M227" s="12">
        <v>0</v>
      </c>
      <c r="N227" s="12">
        <v>0</v>
      </c>
      <c r="O227" s="12">
        <v>0</v>
      </c>
      <c r="P227" s="3"/>
    </row>
    <row r="228" spans="1:16" ht="15.75" customHeight="1" outlineLevel="1" x14ac:dyDescent="0.3">
      <c r="A228" s="3"/>
      <c r="B228" s="149" t="s">
        <v>369</v>
      </c>
      <c r="C228" s="11">
        <f t="shared" si="61"/>
        <v>0</v>
      </c>
      <c r="D228" s="12">
        <v>0</v>
      </c>
      <c r="E228" s="12">
        <v>0</v>
      </c>
      <c r="F228" s="12">
        <v>0</v>
      </c>
      <c r="G228" s="12">
        <v>0</v>
      </c>
      <c r="H228" s="12">
        <v>0</v>
      </c>
      <c r="I228" s="12">
        <v>0</v>
      </c>
      <c r="J228" s="12">
        <v>0</v>
      </c>
      <c r="K228" s="12">
        <v>0</v>
      </c>
      <c r="L228" s="12">
        <v>0</v>
      </c>
      <c r="M228" s="12">
        <v>0</v>
      </c>
      <c r="N228" s="12">
        <v>0</v>
      </c>
      <c r="O228" s="12">
        <v>0</v>
      </c>
      <c r="P228" s="3"/>
    </row>
    <row r="229" spans="1:16" ht="15.75" customHeight="1" outlineLevel="1" x14ac:dyDescent="0.3">
      <c r="A229" s="3"/>
      <c r="B229" s="149" t="s">
        <v>327</v>
      </c>
      <c r="C229" s="11">
        <f t="shared" si="61"/>
        <v>0</v>
      </c>
      <c r="D229" s="12">
        <v>0</v>
      </c>
      <c r="E229" s="12">
        <v>0</v>
      </c>
      <c r="F229" s="12">
        <v>0</v>
      </c>
      <c r="G229" s="12">
        <v>0</v>
      </c>
      <c r="H229" s="12">
        <v>0</v>
      </c>
      <c r="I229" s="12">
        <v>0</v>
      </c>
      <c r="J229" s="12">
        <v>0</v>
      </c>
      <c r="K229" s="12">
        <v>0</v>
      </c>
      <c r="L229" s="12">
        <v>0</v>
      </c>
      <c r="M229" s="12">
        <v>0</v>
      </c>
      <c r="N229" s="12">
        <v>0</v>
      </c>
      <c r="O229" s="12">
        <v>0</v>
      </c>
      <c r="P229" s="3"/>
    </row>
    <row r="230" spans="1:16" ht="15.75" customHeight="1" outlineLevel="1" x14ac:dyDescent="0.3">
      <c r="A230" s="3"/>
      <c r="B230" s="149" t="s">
        <v>328</v>
      </c>
      <c r="C230" s="11">
        <f t="shared" si="61"/>
        <v>0</v>
      </c>
      <c r="D230" s="12">
        <v>0</v>
      </c>
      <c r="E230" s="12">
        <v>0</v>
      </c>
      <c r="F230" s="12">
        <v>0</v>
      </c>
      <c r="G230" s="12">
        <v>0</v>
      </c>
      <c r="H230" s="12">
        <v>0</v>
      </c>
      <c r="I230" s="12">
        <v>0</v>
      </c>
      <c r="J230" s="12">
        <v>0</v>
      </c>
      <c r="K230" s="12">
        <v>0</v>
      </c>
      <c r="L230" s="12">
        <v>0</v>
      </c>
      <c r="M230" s="12">
        <v>0</v>
      </c>
      <c r="N230" s="12">
        <v>0</v>
      </c>
      <c r="O230" s="12">
        <v>0</v>
      </c>
      <c r="P230" s="3"/>
    </row>
    <row r="231" spans="1:16" ht="15.75" customHeight="1" outlineLevel="1" x14ac:dyDescent="0.3">
      <c r="A231" s="3"/>
      <c r="B231" s="149" t="s">
        <v>370</v>
      </c>
      <c r="C231" s="11">
        <f t="shared" si="61"/>
        <v>0</v>
      </c>
      <c r="D231" s="12">
        <v>0</v>
      </c>
      <c r="E231" s="12">
        <v>0</v>
      </c>
      <c r="F231" s="12">
        <v>0</v>
      </c>
      <c r="G231" s="12">
        <v>0</v>
      </c>
      <c r="H231" s="12">
        <v>0</v>
      </c>
      <c r="I231" s="12">
        <v>0</v>
      </c>
      <c r="J231" s="12">
        <v>0</v>
      </c>
      <c r="K231" s="12">
        <v>0</v>
      </c>
      <c r="L231" s="12">
        <v>0</v>
      </c>
      <c r="M231" s="12">
        <v>0</v>
      </c>
      <c r="N231" s="12">
        <v>0</v>
      </c>
      <c r="O231" s="12">
        <v>0</v>
      </c>
      <c r="P231" s="3"/>
    </row>
    <row r="232" spans="1:16" ht="15.75" customHeight="1" outlineLevel="1" x14ac:dyDescent="0.3">
      <c r="A232" s="3"/>
      <c r="B232" s="149" t="s">
        <v>371</v>
      </c>
      <c r="C232" s="11">
        <f t="shared" si="61"/>
        <v>0</v>
      </c>
      <c r="D232" s="12">
        <v>0</v>
      </c>
      <c r="E232" s="12">
        <v>0</v>
      </c>
      <c r="F232" s="12">
        <v>0</v>
      </c>
      <c r="G232" s="12">
        <v>0</v>
      </c>
      <c r="H232" s="12">
        <v>0</v>
      </c>
      <c r="I232" s="12">
        <v>0</v>
      </c>
      <c r="J232" s="12">
        <v>0</v>
      </c>
      <c r="K232" s="12">
        <v>0</v>
      </c>
      <c r="L232" s="12">
        <v>0</v>
      </c>
      <c r="M232" s="12">
        <v>0</v>
      </c>
      <c r="N232" s="12">
        <v>0</v>
      </c>
      <c r="O232" s="12">
        <v>0</v>
      </c>
      <c r="P232" s="3"/>
    </row>
    <row r="233" spans="1:16" ht="15.75" customHeight="1" outlineLevel="1" x14ac:dyDescent="0.3">
      <c r="A233" s="3"/>
      <c r="B233" s="149" t="s">
        <v>372</v>
      </c>
      <c r="C233" s="11">
        <f t="shared" si="61"/>
        <v>0</v>
      </c>
      <c r="D233" s="12">
        <v>0</v>
      </c>
      <c r="E233" s="12">
        <v>0</v>
      </c>
      <c r="F233" s="12">
        <v>0</v>
      </c>
      <c r="G233" s="12">
        <v>0</v>
      </c>
      <c r="H233" s="12">
        <v>0</v>
      </c>
      <c r="I233" s="12">
        <v>0</v>
      </c>
      <c r="J233" s="12">
        <v>0</v>
      </c>
      <c r="K233" s="12">
        <v>0</v>
      </c>
      <c r="L233" s="12">
        <v>0</v>
      </c>
      <c r="M233" s="12">
        <v>0</v>
      </c>
      <c r="N233" s="12">
        <v>0</v>
      </c>
      <c r="O233" s="12">
        <v>0</v>
      </c>
      <c r="P233" s="3"/>
    </row>
    <row r="234" spans="1:16" ht="15.75" customHeight="1" x14ac:dyDescent="0.3">
      <c r="A234" s="3"/>
      <c r="B234" s="84" t="s">
        <v>408</v>
      </c>
      <c r="C234" s="86">
        <f t="shared" ref="C234:O234" si="62">SUM(C235,C245,C255,C265)</f>
        <v>0</v>
      </c>
      <c r="D234" s="86">
        <f t="shared" si="62"/>
        <v>0</v>
      </c>
      <c r="E234" s="86">
        <f t="shared" si="62"/>
        <v>0</v>
      </c>
      <c r="F234" s="86">
        <f t="shared" si="62"/>
        <v>0</v>
      </c>
      <c r="G234" s="86">
        <f t="shared" si="62"/>
        <v>0</v>
      </c>
      <c r="H234" s="86">
        <f t="shared" si="62"/>
        <v>0</v>
      </c>
      <c r="I234" s="86">
        <f t="shared" si="62"/>
        <v>0</v>
      </c>
      <c r="J234" s="86">
        <f t="shared" si="62"/>
        <v>0</v>
      </c>
      <c r="K234" s="86">
        <f t="shared" si="62"/>
        <v>0</v>
      </c>
      <c r="L234" s="86">
        <f t="shared" si="62"/>
        <v>0</v>
      </c>
      <c r="M234" s="86">
        <f t="shared" si="62"/>
        <v>0</v>
      </c>
      <c r="N234" s="86">
        <f t="shared" si="62"/>
        <v>0</v>
      </c>
      <c r="O234" s="86">
        <f t="shared" si="62"/>
        <v>0</v>
      </c>
      <c r="P234" s="3"/>
    </row>
    <row r="235" spans="1:16" ht="15.75" customHeight="1" outlineLevel="1" x14ac:dyDescent="0.3">
      <c r="A235" s="3"/>
      <c r="B235" s="91" t="s">
        <v>232</v>
      </c>
      <c r="C235" s="93">
        <f t="shared" ref="C235:O235" si="63">SUM(C236:C244)</f>
        <v>0</v>
      </c>
      <c r="D235" s="93">
        <f t="shared" si="63"/>
        <v>0</v>
      </c>
      <c r="E235" s="93">
        <f t="shared" si="63"/>
        <v>0</v>
      </c>
      <c r="F235" s="93">
        <f t="shared" si="63"/>
        <v>0</v>
      </c>
      <c r="G235" s="93">
        <f t="shared" si="63"/>
        <v>0</v>
      </c>
      <c r="H235" s="93">
        <f t="shared" si="63"/>
        <v>0</v>
      </c>
      <c r="I235" s="93">
        <f t="shared" si="63"/>
        <v>0</v>
      </c>
      <c r="J235" s="93">
        <f t="shared" si="63"/>
        <v>0</v>
      </c>
      <c r="K235" s="93">
        <f t="shared" si="63"/>
        <v>0</v>
      </c>
      <c r="L235" s="93">
        <f t="shared" si="63"/>
        <v>0</v>
      </c>
      <c r="M235" s="93">
        <f t="shared" si="63"/>
        <v>0</v>
      </c>
      <c r="N235" s="93">
        <f t="shared" si="63"/>
        <v>0</v>
      </c>
      <c r="O235" s="93">
        <f t="shared" si="63"/>
        <v>0</v>
      </c>
      <c r="P235" s="3"/>
    </row>
    <row r="236" spans="1:16" ht="15.75" customHeight="1" outlineLevel="1" x14ac:dyDescent="0.3">
      <c r="A236" s="3"/>
      <c r="B236" s="149" t="s">
        <v>353</v>
      </c>
      <c r="C236" s="11">
        <f t="shared" ref="C236:C244" si="64">SUM(D236:O236)</f>
        <v>0</v>
      </c>
      <c r="D236" s="12">
        <v>0</v>
      </c>
      <c r="E236" s="12">
        <v>0</v>
      </c>
      <c r="F236" s="12">
        <v>0</v>
      </c>
      <c r="G236" s="12">
        <v>0</v>
      </c>
      <c r="H236" s="12">
        <v>0</v>
      </c>
      <c r="I236" s="12">
        <v>0</v>
      </c>
      <c r="J236" s="12">
        <v>0</v>
      </c>
      <c r="K236" s="12">
        <v>0</v>
      </c>
      <c r="L236" s="12">
        <v>0</v>
      </c>
      <c r="M236" s="12">
        <v>0</v>
      </c>
      <c r="N236" s="12">
        <v>0</v>
      </c>
      <c r="O236" s="12">
        <v>0</v>
      </c>
      <c r="P236" s="3"/>
    </row>
    <row r="237" spans="1:16" ht="15.75" customHeight="1" outlineLevel="1" x14ac:dyDescent="0.3">
      <c r="A237" s="3"/>
      <c r="B237" s="149" t="s">
        <v>354</v>
      </c>
      <c r="C237" s="11">
        <f t="shared" si="64"/>
        <v>0</v>
      </c>
      <c r="D237" s="12">
        <v>0</v>
      </c>
      <c r="E237" s="12">
        <v>0</v>
      </c>
      <c r="F237" s="12">
        <v>0</v>
      </c>
      <c r="G237" s="12">
        <v>0</v>
      </c>
      <c r="H237" s="12">
        <v>0</v>
      </c>
      <c r="I237" s="12">
        <v>0</v>
      </c>
      <c r="J237" s="12">
        <v>0</v>
      </c>
      <c r="K237" s="12">
        <v>0</v>
      </c>
      <c r="L237" s="12">
        <v>0</v>
      </c>
      <c r="M237" s="12">
        <v>0</v>
      </c>
      <c r="N237" s="12">
        <v>0</v>
      </c>
      <c r="O237" s="12">
        <v>0</v>
      </c>
      <c r="P237" s="3"/>
    </row>
    <row r="238" spans="1:16" ht="15.75" customHeight="1" outlineLevel="1" x14ac:dyDescent="0.3">
      <c r="A238" s="3"/>
      <c r="B238" s="149" t="s">
        <v>355</v>
      </c>
      <c r="C238" s="11">
        <f t="shared" si="64"/>
        <v>0</v>
      </c>
      <c r="D238" s="12">
        <v>0</v>
      </c>
      <c r="E238" s="12">
        <v>0</v>
      </c>
      <c r="F238" s="12">
        <v>0</v>
      </c>
      <c r="G238" s="12">
        <v>0</v>
      </c>
      <c r="H238" s="12">
        <v>0</v>
      </c>
      <c r="I238" s="12">
        <v>0</v>
      </c>
      <c r="J238" s="12">
        <v>0</v>
      </c>
      <c r="K238" s="12">
        <v>0</v>
      </c>
      <c r="L238" s="12">
        <v>0</v>
      </c>
      <c r="M238" s="12">
        <v>0</v>
      </c>
      <c r="N238" s="12">
        <v>0</v>
      </c>
      <c r="O238" s="12">
        <v>0</v>
      </c>
      <c r="P238" s="3"/>
    </row>
    <row r="239" spans="1:16" ht="15.75" customHeight="1" outlineLevel="1" x14ac:dyDescent="0.3">
      <c r="A239" s="3"/>
      <c r="B239" s="149" t="s">
        <v>369</v>
      </c>
      <c r="C239" s="11">
        <f t="shared" si="64"/>
        <v>0</v>
      </c>
      <c r="D239" s="12">
        <v>0</v>
      </c>
      <c r="E239" s="12">
        <v>0</v>
      </c>
      <c r="F239" s="12">
        <v>0</v>
      </c>
      <c r="G239" s="12">
        <v>0</v>
      </c>
      <c r="H239" s="12">
        <v>0</v>
      </c>
      <c r="I239" s="12">
        <v>0</v>
      </c>
      <c r="J239" s="12">
        <v>0</v>
      </c>
      <c r="K239" s="12">
        <v>0</v>
      </c>
      <c r="L239" s="12">
        <v>0</v>
      </c>
      <c r="M239" s="12">
        <v>0</v>
      </c>
      <c r="N239" s="12">
        <v>0</v>
      </c>
      <c r="O239" s="12">
        <v>0</v>
      </c>
      <c r="P239" s="3"/>
    </row>
    <row r="240" spans="1:16" ht="15.75" customHeight="1" outlineLevel="1" x14ac:dyDescent="0.3">
      <c r="A240" s="3"/>
      <c r="B240" s="149" t="s">
        <v>327</v>
      </c>
      <c r="C240" s="11">
        <f t="shared" si="64"/>
        <v>0</v>
      </c>
      <c r="D240" s="12">
        <v>0</v>
      </c>
      <c r="E240" s="12">
        <v>0</v>
      </c>
      <c r="F240" s="12">
        <v>0</v>
      </c>
      <c r="G240" s="12">
        <v>0</v>
      </c>
      <c r="H240" s="12">
        <v>0</v>
      </c>
      <c r="I240" s="12">
        <v>0</v>
      </c>
      <c r="J240" s="12">
        <v>0</v>
      </c>
      <c r="K240" s="12">
        <v>0</v>
      </c>
      <c r="L240" s="12">
        <v>0</v>
      </c>
      <c r="M240" s="12">
        <v>0</v>
      </c>
      <c r="N240" s="12">
        <v>0</v>
      </c>
      <c r="O240" s="12">
        <v>0</v>
      </c>
      <c r="P240" s="3"/>
    </row>
    <row r="241" spans="1:16" ht="15.75" customHeight="1" outlineLevel="1" x14ac:dyDescent="0.3">
      <c r="A241" s="3"/>
      <c r="B241" s="149" t="s">
        <v>328</v>
      </c>
      <c r="C241" s="11">
        <f t="shared" si="64"/>
        <v>0</v>
      </c>
      <c r="D241" s="12">
        <v>0</v>
      </c>
      <c r="E241" s="12">
        <v>0</v>
      </c>
      <c r="F241" s="12">
        <v>0</v>
      </c>
      <c r="G241" s="12">
        <v>0</v>
      </c>
      <c r="H241" s="12">
        <v>0</v>
      </c>
      <c r="I241" s="12">
        <v>0</v>
      </c>
      <c r="J241" s="12">
        <v>0</v>
      </c>
      <c r="K241" s="12">
        <v>0</v>
      </c>
      <c r="L241" s="12">
        <v>0</v>
      </c>
      <c r="M241" s="12">
        <v>0</v>
      </c>
      <c r="N241" s="12">
        <v>0</v>
      </c>
      <c r="O241" s="12">
        <v>0</v>
      </c>
      <c r="P241" s="3"/>
    </row>
    <row r="242" spans="1:16" ht="15.75" customHeight="1" outlineLevel="1" x14ac:dyDescent="0.3">
      <c r="A242" s="3"/>
      <c r="B242" s="149" t="s">
        <v>370</v>
      </c>
      <c r="C242" s="11">
        <f t="shared" si="64"/>
        <v>0</v>
      </c>
      <c r="D242" s="12">
        <v>0</v>
      </c>
      <c r="E242" s="12">
        <v>0</v>
      </c>
      <c r="F242" s="12">
        <v>0</v>
      </c>
      <c r="G242" s="12">
        <v>0</v>
      </c>
      <c r="H242" s="12">
        <v>0</v>
      </c>
      <c r="I242" s="12">
        <v>0</v>
      </c>
      <c r="J242" s="12">
        <v>0</v>
      </c>
      <c r="K242" s="12">
        <v>0</v>
      </c>
      <c r="L242" s="12">
        <v>0</v>
      </c>
      <c r="M242" s="12">
        <v>0</v>
      </c>
      <c r="N242" s="12">
        <v>0</v>
      </c>
      <c r="O242" s="12">
        <v>0</v>
      </c>
      <c r="P242" s="3"/>
    </row>
    <row r="243" spans="1:16" ht="15.75" customHeight="1" outlineLevel="1" x14ac:dyDescent="0.3">
      <c r="A243" s="3"/>
      <c r="B243" s="149" t="s">
        <v>371</v>
      </c>
      <c r="C243" s="11">
        <f t="shared" si="64"/>
        <v>0</v>
      </c>
      <c r="D243" s="12">
        <v>0</v>
      </c>
      <c r="E243" s="12">
        <v>0</v>
      </c>
      <c r="F243" s="12">
        <v>0</v>
      </c>
      <c r="G243" s="12">
        <v>0</v>
      </c>
      <c r="H243" s="12">
        <v>0</v>
      </c>
      <c r="I243" s="12">
        <v>0</v>
      </c>
      <c r="J243" s="12">
        <v>0</v>
      </c>
      <c r="K243" s="12">
        <v>0</v>
      </c>
      <c r="L243" s="12">
        <v>0</v>
      </c>
      <c r="M243" s="12">
        <v>0</v>
      </c>
      <c r="N243" s="12">
        <v>0</v>
      </c>
      <c r="O243" s="12">
        <v>0</v>
      </c>
      <c r="P243" s="3"/>
    </row>
    <row r="244" spans="1:16" ht="15.75" customHeight="1" outlineLevel="1" x14ac:dyDescent="0.3">
      <c r="A244" s="3"/>
      <c r="B244" s="149" t="s">
        <v>372</v>
      </c>
      <c r="C244" s="11">
        <f t="shared" si="64"/>
        <v>0</v>
      </c>
      <c r="D244" s="12">
        <v>0</v>
      </c>
      <c r="E244" s="12">
        <v>0</v>
      </c>
      <c r="F244" s="12">
        <v>0</v>
      </c>
      <c r="G244" s="12">
        <v>0</v>
      </c>
      <c r="H244" s="12">
        <v>0</v>
      </c>
      <c r="I244" s="12">
        <v>0</v>
      </c>
      <c r="J244" s="12">
        <v>0</v>
      </c>
      <c r="K244" s="12">
        <v>0</v>
      </c>
      <c r="L244" s="12">
        <v>0</v>
      </c>
      <c r="M244" s="12">
        <v>0</v>
      </c>
      <c r="N244" s="12">
        <v>0</v>
      </c>
      <c r="O244" s="12">
        <v>0</v>
      </c>
      <c r="P244" s="3"/>
    </row>
    <row r="245" spans="1:16" ht="15.75" customHeight="1" outlineLevel="1" x14ac:dyDescent="0.3">
      <c r="A245" s="3"/>
      <c r="B245" s="91" t="s">
        <v>1287</v>
      </c>
      <c r="C245" s="93">
        <f t="shared" ref="C245:O245" si="65">SUM(C246:C254)</f>
        <v>0</v>
      </c>
      <c r="D245" s="93">
        <f t="shared" si="65"/>
        <v>0</v>
      </c>
      <c r="E245" s="93">
        <f t="shared" si="65"/>
        <v>0</v>
      </c>
      <c r="F245" s="93">
        <f t="shared" si="65"/>
        <v>0</v>
      </c>
      <c r="G245" s="93">
        <f t="shared" si="65"/>
        <v>0</v>
      </c>
      <c r="H245" s="93">
        <f t="shared" si="65"/>
        <v>0</v>
      </c>
      <c r="I245" s="93">
        <f t="shared" si="65"/>
        <v>0</v>
      </c>
      <c r="J245" s="93">
        <f t="shared" si="65"/>
        <v>0</v>
      </c>
      <c r="K245" s="93">
        <f t="shared" si="65"/>
        <v>0</v>
      </c>
      <c r="L245" s="93">
        <f t="shared" si="65"/>
        <v>0</v>
      </c>
      <c r="M245" s="93">
        <f t="shared" si="65"/>
        <v>0</v>
      </c>
      <c r="N245" s="93">
        <f t="shared" si="65"/>
        <v>0</v>
      </c>
      <c r="O245" s="93">
        <f t="shared" si="65"/>
        <v>0</v>
      </c>
      <c r="P245" s="3"/>
    </row>
    <row r="246" spans="1:16" ht="15.75" customHeight="1" outlineLevel="1" x14ac:dyDescent="0.3">
      <c r="A246" s="3"/>
      <c r="B246" s="149" t="s">
        <v>353</v>
      </c>
      <c r="C246" s="11">
        <f t="shared" ref="C246:C254" si="66">SUM(D246:O246)</f>
        <v>0</v>
      </c>
      <c r="D246" s="12">
        <v>0</v>
      </c>
      <c r="E246" s="12">
        <v>0</v>
      </c>
      <c r="F246" s="12">
        <v>0</v>
      </c>
      <c r="G246" s="12">
        <v>0</v>
      </c>
      <c r="H246" s="12">
        <v>0</v>
      </c>
      <c r="I246" s="12">
        <v>0</v>
      </c>
      <c r="J246" s="12">
        <v>0</v>
      </c>
      <c r="K246" s="12">
        <v>0</v>
      </c>
      <c r="L246" s="12">
        <v>0</v>
      </c>
      <c r="M246" s="12">
        <v>0</v>
      </c>
      <c r="N246" s="12">
        <v>0</v>
      </c>
      <c r="O246" s="12">
        <v>0</v>
      </c>
      <c r="P246" s="3"/>
    </row>
    <row r="247" spans="1:16" ht="15.75" customHeight="1" outlineLevel="1" x14ac:dyDescent="0.3">
      <c r="A247" s="3"/>
      <c r="B247" s="149" t="s">
        <v>354</v>
      </c>
      <c r="C247" s="11">
        <f t="shared" si="66"/>
        <v>0</v>
      </c>
      <c r="D247" s="12">
        <v>0</v>
      </c>
      <c r="E247" s="12">
        <v>0</v>
      </c>
      <c r="F247" s="12">
        <v>0</v>
      </c>
      <c r="G247" s="12">
        <v>0</v>
      </c>
      <c r="H247" s="12">
        <v>0</v>
      </c>
      <c r="I247" s="12">
        <v>0</v>
      </c>
      <c r="J247" s="12">
        <v>0</v>
      </c>
      <c r="K247" s="12">
        <v>0</v>
      </c>
      <c r="L247" s="12">
        <v>0</v>
      </c>
      <c r="M247" s="12">
        <v>0</v>
      </c>
      <c r="N247" s="12">
        <v>0</v>
      </c>
      <c r="O247" s="12">
        <v>0</v>
      </c>
      <c r="P247" s="3"/>
    </row>
    <row r="248" spans="1:16" ht="15.75" customHeight="1" outlineLevel="1" x14ac:dyDescent="0.3">
      <c r="A248" s="3"/>
      <c r="B248" s="149" t="s">
        <v>355</v>
      </c>
      <c r="C248" s="11">
        <f t="shared" si="66"/>
        <v>0</v>
      </c>
      <c r="D248" s="12">
        <v>0</v>
      </c>
      <c r="E248" s="12">
        <v>0</v>
      </c>
      <c r="F248" s="12">
        <v>0</v>
      </c>
      <c r="G248" s="12">
        <v>0</v>
      </c>
      <c r="H248" s="12">
        <v>0</v>
      </c>
      <c r="I248" s="12">
        <v>0</v>
      </c>
      <c r="J248" s="12">
        <v>0</v>
      </c>
      <c r="K248" s="12">
        <v>0</v>
      </c>
      <c r="L248" s="12">
        <v>0</v>
      </c>
      <c r="M248" s="12">
        <v>0</v>
      </c>
      <c r="N248" s="12">
        <v>0</v>
      </c>
      <c r="O248" s="12">
        <v>0</v>
      </c>
      <c r="P248" s="3"/>
    </row>
    <row r="249" spans="1:16" ht="15.75" customHeight="1" outlineLevel="1" x14ac:dyDescent="0.3">
      <c r="A249" s="3"/>
      <c r="B249" s="149" t="s">
        <v>369</v>
      </c>
      <c r="C249" s="11">
        <f t="shared" si="66"/>
        <v>0</v>
      </c>
      <c r="D249" s="12">
        <v>0</v>
      </c>
      <c r="E249" s="12">
        <v>0</v>
      </c>
      <c r="F249" s="12">
        <v>0</v>
      </c>
      <c r="G249" s="12">
        <v>0</v>
      </c>
      <c r="H249" s="12">
        <v>0</v>
      </c>
      <c r="I249" s="12">
        <v>0</v>
      </c>
      <c r="J249" s="12">
        <v>0</v>
      </c>
      <c r="K249" s="12">
        <v>0</v>
      </c>
      <c r="L249" s="12">
        <v>0</v>
      </c>
      <c r="M249" s="12">
        <v>0</v>
      </c>
      <c r="N249" s="12">
        <v>0</v>
      </c>
      <c r="O249" s="12">
        <v>0</v>
      </c>
      <c r="P249" s="3"/>
    </row>
    <row r="250" spans="1:16" ht="15.75" customHeight="1" outlineLevel="1" x14ac:dyDescent="0.3">
      <c r="A250" s="3"/>
      <c r="B250" s="149" t="s">
        <v>327</v>
      </c>
      <c r="C250" s="11">
        <f t="shared" si="66"/>
        <v>0</v>
      </c>
      <c r="D250" s="12">
        <v>0</v>
      </c>
      <c r="E250" s="12">
        <v>0</v>
      </c>
      <c r="F250" s="12">
        <v>0</v>
      </c>
      <c r="G250" s="12">
        <v>0</v>
      </c>
      <c r="H250" s="12">
        <v>0</v>
      </c>
      <c r="I250" s="12">
        <v>0</v>
      </c>
      <c r="J250" s="12">
        <v>0</v>
      </c>
      <c r="K250" s="12">
        <v>0</v>
      </c>
      <c r="L250" s="12">
        <v>0</v>
      </c>
      <c r="M250" s="12">
        <v>0</v>
      </c>
      <c r="N250" s="12">
        <v>0</v>
      </c>
      <c r="O250" s="12">
        <v>0</v>
      </c>
      <c r="P250" s="3"/>
    </row>
    <row r="251" spans="1:16" ht="15.75" customHeight="1" outlineLevel="1" x14ac:dyDescent="0.3">
      <c r="A251" s="3"/>
      <c r="B251" s="149" t="s">
        <v>328</v>
      </c>
      <c r="C251" s="11">
        <f t="shared" si="66"/>
        <v>0</v>
      </c>
      <c r="D251" s="12">
        <v>0</v>
      </c>
      <c r="E251" s="12">
        <v>0</v>
      </c>
      <c r="F251" s="12">
        <v>0</v>
      </c>
      <c r="G251" s="12">
        <v>0</v>
      </c>
      <c r="H251" s="12">
        <v>0</v>
      </c>
      <c r="I251" s="12">
        <v>0</v>
      </c>
      <c r="J251" s="12">
        <v>0</v>
      </c>
      <c r="K251" s="12">
        <v>0</v>
      </c>
      <c r="L251" s="12">
        <v>0</v>
      </c>
      <c r="M251" s="12">
        <v>0</v>
      </c>
      <c r="N251" s="12">
        <v>0</v>
      </c>
      <c r="O251" s="12">
        <v>0</v>
      </c>
      <c r="P251" s="3"/>
    </row>
    <row r="252" spans="1:16" ht="15.75" customHeight="1" outlineLevel="1" x14ac:dyDescent="0.3">
      <c r="A252" s="3"/>
      <c r="B252" s="149" t="s">
        <v>370</v>
      </c>
      <c r="C252" s="11">
        <f t="shared" si="66"/>
        <v>0</v>
      </c>
      <c r="D252" s="12">
        <v>0</v>
      </c>
      <c r="E252" s="12">
        <v>0</v>
      </c>
      <c r="F252" s="12">
        <v>0</v>
      </c>
      <c r="G252" s="12">
        <v>0</v>
      </c>
      <c r="H252" s="12">
        <v>0</v>
      </c>
      <c r="I252" s="12">
        <v>0</v>
      </c>
      <c r="J252" s="12">
        <v>0</v>
      </c>
      <c r="K252" s="12">
        <v>0</v>
      </c>
      <c r="L252" s="12">
        <v>0</v>
      </c>
      <c r="M252" s="12">
        <v>0</v>
      </c>
      <c r="N252" s="12">
        <v>0</v>
      </c>
      <c r="O252" s="12">
        <v>0</v>
      </c>
      <c r="P252" s="3"/>
    </row>
    <row r="253" spans="1:16" ht="15.75" customHeight="1" outlineLevel="1" x14ac:dyDescent="0.3">
      <c r="A253" s="3"/>
      <c r="B253" s="149" t="s">
        <v>371</v>
      </c>
      <c r="C253" s="11">
        <f t="shared" si="66"/>
        <v>0</v>
      </c>
      <c r="D253" s="12">
        <v>0</v>
      </c>
      <c r="E253" s="12">
        <v>0</v>
      </c>
      <c r="F253" s="12">
        <v>0</v>
      </c>
      <c r="G253" s="12">
        <v>0</v>
      </c>
      <c r="H253" s="12">
        <v>0</v>
      </c>
      <c r="I253" s="12">
        <v>0</v>
      </c>
      <c r="J253" s="12">
        <v>0</v>
      </c>
      <c r="K253" s="12">
        <v>0</v>
      </c>
      <c r="L253" s="12">
        <v>0</v>
      </c>
      <c r="M253" s="12">
        <v>0</v>
      </c>
      <c r="N253" s="12">
        <v>0</v>
      </c>
      <c r="O253" s="12">
        <v>0</v>
      </c>
      <c r="P253" s="3"/>
    </row>
    <row r="254" spans="1:16" ht="15.75" customHeight="1" outlineLevel="1" x14ac:dyDescent="0.3">
      <c r="A254" s="3"/>
      <c r="B254" s="149" t="s">
        <v>372</v>
      </c>
      <c r="C254" s="11">
        <f t="shared" si="66"/>
        <v>0</v>
      </c>
      <c r="D254" s="12">
        <v>0</v>
      </c>
      <c r="E254" s="12">
        <v>0</v>
      </c>
      <c r="F254" s="12">
        <v>0</v>
      </c>
      <c r="G254" s="12">
        <v>0</v>
      </c>
      <c r="H254" s="12">
        <v>0</v>
      </c>
      <c r="I254" s="12">
        <v>0</v>
      </c>
      <c r="J254" s="12">
        <v>0</v>
      </c>
      <c r="K254" s="12">
        <v>0</v>
      </c>
      <c r="L254" s="12">
        <v>0</v>
      </c>
      <c r="M254" s="12">
        <v>0</v>
      </c>
      <c r="N254" s="12">
        <v>0</v>
      </c>
      <c r="O254" s="12">
        <v>0</v>
      </c>
      <c r="P254" s="3"/>
    </row>
    <row r="255" spans="1:16" ht="15.75" customHeight="1" outlineLevel="1" x14ac:dyDescent="0.3">
      <c r="A255" s="3"/>
      <c r="B255" s="91" t="s">
        <v>237</v>
      </c>
      <c r="C255" s="93">
        <f t="shared" ref="C255:O255" si="67">SUM(C256:C264)</f>
        <v>0</v>
      </c>
      <c r="D255" s="93">
        <f t="shared" si="67"/>
        <v>0</v>
      </c>
      <c r="E255" s="93">
        <f t="shared" si="67"/>
        <v>0</v>
      </c>
      <c r="F255" s="93">
        <f t="shared" si="67"/>
        <v>0</v>
      </c>
      <c r="G255" s="93">
        <f t="shared" si="67"/>
        <v>0</v>
      </c>
      <c r="H255" s="93">
        <f t="shared" si="67"/>
        <v>0</v>
      </c>
      <c r="I255" s="93">
        <f t="shared" si="67"/>
        <v>0</v>
      </c>
      <c r="J255" s="93">
        <f t="shared" si="67"/>
        <v>0</v>
      </c>
      <c r="K255" s="93">
        <f t="shared" si="67"/>
        <v>0</v>
      </c>
      <c r="L255" s="93">
        <f t="shared" si="67"/>
        <v>0</v>
      </c>
      <c r="M255" s="93">
        <f t="shared" si="67"/>
        <v>0</v>
      </c>
      <c r="N255" s="93">
        <f t="shared" si="67"/>
        <v>0</v>
      </c>
      <c r="O255" s="93">
        <f t="shared" si="67"/>
        <v>0</v>
      </c>
      <c r="P255" s="3"/>
    </row>
    <row r="256" spans="1:16" ht="15.75" customHeight="1" outlineLevel="1" x14ac:dyDescent="0.3">
      <c r="A256" s="3"/>
      <c r="B256" s="149" t="s">
        <v>353</v>
      </c>
      <c r="C256" s="11">
        <f t="shared" ref="C256:C264" si="68">SUM(D256:O256)</f>
        <v>0</v>
      </c>
      <c r="D256" s="12">
        <v>0</v>
      </c>
      <c r="E256" s="12">
        <v>0</v>
      </c>
      <c r="F256" s="12">
        <v>0</v>
      </c>
      <c r="G256" s="12">
        <v>0</v>
      </c>
      <c r="H256" s="12">
        <v>0</v>
      </c>
      <c r="I256" s="12">
        <v>0</v>
      </c>
      <c r="J256" s="12">
        <v>0</v>
      </c>
      <c r="K256" s="12">
        <v>0</v>
      </c>
      <c r="L256" s="12">
        <v>0</v>
      </c>
      <c r="M256" s="12">
        <v>0</v>
      </c>
      <c r="N256" s="12">
        <v>0</v>
      </c>
      <c r="O256" s="12">
        <v>0</v>
      </c>
      <c r="P256" s="3"/>
    </row>
    <row r="257" spans="1:16" ht="15.75" customHeight="1" outlineLevel="1" x14ac:dyDescent="0.3">
      <c r="A257" s="3"/>
      <c r="B257" s="149" t="s">
        <v>354</v>
      </c>
      <c r="C257" s="11">
        <f t="shared" si="68"/>
        <v>0</v>
      </c>
      <c r="D257" s="12">
        <v>0</v>
      </c>
      <c r="E257" s="12">
        <v>0</v>
      </c>
      <c r="F257" s="12">
        <v>0</v>
      </c>
      <c r="G257" s="12">
        <v>0</v>
      </c>
      <c r="H257" s="12">
        <v>0</v>
      </c>
      <c r="I257" s="12">
        <v>0</v>
      </c>
      <c r="J257" s="12">
        <v>0</v>
      </c>
      <c r="K257" s="12">
        <v>0</v>
      </c>
      <c r="L257" s="12">
        <v>0</v>
      </c>
      <c r="M257" s="12">
        <v>0</v>
      </c>
      <c r="N257" s="12">
        <v>0</v>
      </c>
      <c r="O257" s="12">
        <v>0</v>
      </c>
      <c r="P257" s="3"/>
    </row>
    <row r="258" spans="1:16" ht="15.75" customHeight="1" outlineLevel="1" x14ac:dyDescent="0.3">
      <c r="A258" s="3"/>
      <c r="B258" s="149" t="s">
        <v>355</v>
      </c>
      <c r="C258" s="11">
        <f t="shared" si="68"/>
        <v>0</v>
      </c>
      <c r="D258" s="12">
        <v>0</v>
      </c>
      <c r="E258" s="12">
        <v>0</v>
      </c>
      <c r="F258" s="12">
        <v>0</v>
      </c>
      <c r="G258" s="12">
        <v>0</v>
      </c>
      <c r="H258" s="12">
        <v>0</v>
      </c>
      <c r="I258" s="12">
        <v>0</v>
      </c>
      <c r="J258" s="12">
        <v>0</v>
      </c>
      <c r="K258" s="12">
        <v>0</v>
      </c>
      <c r="L258" s="12">
        <v>0</v>
      </c>
      <c r="M258" s="12">
        <v>0</v>
      </c>
      <c r="N258" s="12">
        <v>0</v>
      </c>
      <c r="O258" s="12">
        <v>0</v>
      </c>
      <c r="P258" s="3"/>
    </row>
    <row r="259" spans="1:16" ht="15.75" customHeight="1" outlineLevel="1" x14ac:dyDescent="0.3">
      <c r="A259" s="3"/>
      <c r="B259" s="149" t="s">
        <v>369</v>
      </c>
      <c r="C259" s="11">
        <f t="shared" si="68"/>
        <v>0</v>
      </c>
      <c r="D259" s="12">
        <v>0</v>
      </c>
      <c r="E259" s="12">
        <v>0</v>
      </c>
      <c r="F259" s="12">
        <v>0</v>
      </c>
      <c r="G259" s="12">
        <v>0</v>
      </c>
      <c r="H259" s="12">
        <v>0</v>
      </c>
      <c r="I259" s="12">
        <v>0</v>
      </c>
      <c r="J259" s="12">
        <v>0</v>
      </c>
      <c r="K259" s="12">
        <v>0</v>
      </c>
      <c r="L259" s="12">
        <v>0</v>
      </c>
      <c r="M259" s="12">
        <v>0</v>
      </c>
      <c r="N259" s="12">
        <v>0</v>
      </c>
      <c r="O259" s="12">
        <v>0</v>
      </c>
      <c r="P259" s="3"/>
    </row>
    <row r="260" spans="1:16" ht="15.75" customHeight="1" outlineLevel="1" x14ac:dyDescent="0.3">
      <c r="A260" s="3"/>
      <c r="B260" s="149" t="s">
        <v>327</v>
      </c>
      <c r="C260" s="11">
        <f t="shared" si="68"/>
        <v>0</v>
      </c>
      <c r="D260" s="12">
        <v>0</v>
      </c>
      <c r="E260" s="12">
        <v>0</v>
      </c>
      <c r="F260" s="12">
        <v>0</v>
      </c>
      <c r="G260" s="12">
        <v>0</v>
      </c>
      <c r="H260" s="12">
        <v>0</v>
      </c>
      <c r="I260" s="12">
        <v>0</v>
      </c>
      <c r="J260" s="12">
        <v>0</v>
      </c>
      <c r="K260" s="12">
        <v>0</v>
      </c>
      <c r="L260" s="12">
        <v>0</v>
      </c>
      <c r="M260" s="12">
        <v>0</v>
      </c>
      <c r="N260" s="12">
        <v>0</v>
      </c>
      <c r="O260" s="12">
        <v>0</v>
      </c>
      <c r="P260" s="3"/>
    </row>
    <row r="261" spans="1:16" ht="15.75" customHeight="1" outlineLevel="1" x14ac:dyDescent="0.3">
      <c r="A261" s="3"/>
      <c r="B261" s="149" t="s">
        <v>328</v>
      </c>
      <c r="C261" s="11">
        <f t="shared" si="68"/>
        <v>0</v>
      </c>
      <c r="D261" s="12">
        <v>0</v>
      </c>
      <c r="E261" s="12">
        <v>0</v>
      </c>
      <c r="F261" s="12">
        <v>0</v>
      </c>
      <c r="G261" s="12">
        <v>0</v>
      </c>
      <c r="H261" s="12">
        <v>0</v>
      </c>
      <c r="I261" s="12">
        <v>0</v>
      </c>
      <c r="J261" s="12">
        <v>0</v>
      </c>
      <c r="K261" s="12">
        <v>0</v>
      </c>
      <c r="L261" s="12">
        <v>0</v>
      </c>
      <c r="M261" s="12">
        <v>0</v>
      </c>
      <c r="N261" s="12">
        <v>0</v>
      </c>
      <c r="O261" s="12">
        <v>0</v>
      </c>
      <c r="P261" s="3"/>
    </row>
    <row r="262" spans="1:16" ht="15.75" customHeight="1" outlineLevel="1" x14ac:dyDescent="0.3">
      <c r="A262" s="3"/>
      <c r="B262" s="149" t="s">
        <v>370</v>
      </c>
      <c r="C262" s="11">
        <f t="shared" si="68"/>
        <v>0</v>
      </c>
      <c r="D262" s="12">
        <v>0</v>
      </c>
      <c r="E262" s="12">
        <v>0</v>
      </c>
      <c r="F262" s="12">
        <v>0</v>
      </c>
      <c r="G262" s="12">
        <v>0</v>
      </c>
      <c r="H262" s="12">
        <v>0</v>
      </c>
      <c r="I262" s="12">
        <v>0</v>
      </c>
      <c r="J262" s="12">
        <v>0</v>
      </c>
      <c r="K262" s="12">
        <v>0</v>
      </c>
      <c r="L262" s="12">
        <v>0</v>
      </c>
      <c r="M262" s="12">
        <v>0</v>
      </c>
      <c r="N262" s="12">
        <v>0</v>
      </c>
      <c r="O262" s="12">
        <v>0</v>
      </c>
      <c r="P262" s="3"/>
    </row>
    <row r="263" spans="1:16" ht="15.75" customHeight="1" outlineLevel="1" x14ac:dyDescent="0.3">
      <c r="A263" s="3"/>
      <c r="B263" s="149" t="s">
        <v>371</v>
      </c>
      <c r="C263" s="11">
        <f t="shared" si="68"/>
        <v>0</v>
      </c>
      <c r="D263" s="12">
        <v>0</v>
      </c>
      <c r="E263" s="12">
        <v>0</v>
      </c>
      <c r="F263" s="12">
        <v>0</v>
      </c>
      <c r="G263" s="12">
        <v>0</v>
      </c>
      <c r="H263" s="12">
        <v>0</v>
      </c>
      <c r="I263" s="12">
        <v>0</v>
      </c>
      <c r="J263" s="12">
        <v>0</v>
      </c>
      <c r="K263" s="12">
        <v>0</v>
      </c>
      <c r="L263" s="12">
        <v>0</v>
      </c>
      <c r="M263" s="12">
        <v>0</v>
      </c>
      <c r="N263" s="12">
        <v>0</v>
      </c>
      <c r="O263" s="12">
        <v>0</v>
      </c>
      <c r="P263" s="3"/>
    </row>
    <row r="264" spans="1:16" ht="15.75" customHeight="1" outlineLevel="1" x14ac:dyDescent="0.3">
      <c r="A264" s="3"/>
      <c r="B264" s="149" t="s">
        <v>372</v>
      </c>
      <c r="C264" s="11">
        <f t="shared" si="68"/>
        <v>0</v>
      </c>
      <c r="D264" s="12">
        <v>0</v>
      </c>
      <c r="E264" s="12">
        <v>0</v>
      </c>
      <c r="F264" s="12">
        <v>0</v>
      </c>
      <c r="G264" s="12">
        <v>0</v>
      </c>
      <c r="H264" s="12">
        <v>0</v>
      </c>
      <c r="I264" s="12">
        <v>0</v>
      </c>
      <c r="J264" s="12">
        <v>0</v>
      </c>
      <c r="K264" s="12">
        <v>0</v>
      </c>
      <c r="L264" s="12">
        <v>0</v>
      </c>
      <c r="M264" s="12">
        <v>0</v>
      </c>
      <c r="N264" s="12">
        <v>0</v>
      </c>
      <c r="O264" s="12">
        <v>0</v>
      </c>
      <c r="P264" s="3"/>
    </row>
    <row r="265" spans="1:16" ht="15.75" customHeight="1" outlineLevel="1" x14ac:dyDescent="0.3">
      <c r="A265" s="3"/>
      <c r="B265" s="91" t="s">
        <v>238</v>
      </c>
      <c r="C265" s="93">
        <f t="shared" ref="C265:O265" si="69">SUM(C266:C274)</f>
        <v>0</v>
      </c>
      <c r="D265" s="93">
        <f t="shared" si="69"/>
        <v>0</v>
      </c>
      <c r="E265" s="93">
        <f t="shared" si="69"/>
        <v>0</v>
      </c>
      <c r="F265" s="93">
        <f t="shared" si="69"/>
        <v>0</v>
      </c>
      <c r="G265" s="93">
        <f t="shared" si="69"/>
        <v>0</v>
      </c>
      <c r="H265" s="93">
        <f t="shared" si="69"/>
        <v>0</v>
      </c>
      <c r="I265" s="93">
        <f t="shared" si="69"/>
        <v>0</v>
      </c>
      <c r="J265" s="93">
        <f t="shared" si="69"/>
        <v>0</v>
      </c>
      <c r="K265" s="93">
        <f t="shared" si="69"/>
        <v>0</v>
      </c>
      <c r="L265" s="93">
        <f t="shared" si="69"/>
        <v>0</v>
      </c>
      <c r="M265" s="93">
        <f t="shared" si="69"/>
        <v>0</v>
      </c>
      <c r="N265" s="93">
        <f t="shared" si="69"/>
        <v>0</v>
      </c>
      <c r="O265" s="93">
        <f t="shared" si="69"/>
        <v>0</v>
      </c>
      <c r="P265" s="3"/>
    </row>
    <row r="266" spans="1:16" ht="15.75" customHeight="1" outlineLevel="1" x14ac:dyDescent="0.3">
      <c r="A266" s="3"/>
      <c r="B266" s="149" t="s">
        <v>353</v>
      </c>
      <c r="C266" s="11">
        <f t="shared" ref="C266:C274" si="70">SUM(D266:O266)</f>
        <v>0</v>
      </c>
      <c r="D266" s="12">
        <v>0</v>
      </c>
      <c r="E266" s="12">
        <v>0</v>
      </c>
      <c r="F266" s="12">
        <v>0</v>
      </c>
      <c r="G266" s="12">
        <v>0</v>
      </c>
      <c r="H266" s="12">
        <v>0</v>
      </c>
      <c r="I266" s="12">
        <v>0</v>
      </c>
      <c r="J266" s="12">
        <v>0</v>
      </c>
      <c r="K266" s="12">
        <v>0</v>
      </c>
      <c r="L266" s="12">
        <v>0</v>
      </c>
      <c r="M266" s="12">
        <v>0</v>
      </c>
      <c r="N266" s="12">
        <v>0</v>
      </c>
      <c r="O266" s="12">
        <v>0</v>
      </c>
      <c r="P266" s="3"/>
    </row>
    <row r="267" spans="1:16" ht="15.75" customHeight="1" outlineLevel="1" x14ac:dyDescent="0.3">
      <c r="A267" s="3"/>
      <c r="B267" s="149" t="s">
        <v>354</v>
      </c>
      <c r="C267" s="11">
        <f t="shared" si="70"/>
        <v>0</v>
      </c>
      <c r="D267" s="12">
        <v>0</v>
      </c>
      <c r="E267" s="12">
        <v>0</v>
      </c>
      <c r="F267" s="12">
        <v>0</v>
      </c>
      <c r="G267" s="12">
        <v>0</v>
      </c>
      <c r="H267" s="12">
        <v>0</v>
      </c>
      <c r="I267" s="12">
        <v>0</v>
      </c>
      <c r="J267" s="12">
        <v>0</v>
      </c>
      <c r="K267" s="12">
        <v>0</v>
      </c>
      <c r="L267" s="12">
        <v>0</v>
      </c>
      <c r="M267" s="12">
        <v>0</v>
      </c>
      <c r="N267" s="12">
        <v>0</v>
      </c>
      <c r="O267" s="12">
        <v>0</v>
      </c>
      <c r="P267" s="3"/>
    </row>
    <row r="268" spans="1:16" ht="15.75" customHeight="1" outlineLevel="1" x14ac:dyDescent="0.3">
      <c r="A268" s="3"/>
      <c r="B268" s="149" t="s">
        <v>355</v>
      </c>
      <c r="C268" s="11">
        <f t="shared" si="70"/>
        <v>0</v>
      </c>
      <c r="D268" s="12">
        <v>0</v>
      </c>
      <c r="E268" s="12">
        <v>0</v>
      </c>
      <c r="F268" s="12">
        <v>0</v>
      </c>
      <c r="G268" s="12">
        <v>0</v>
      </c>
      <c r="H268" s="12">
        <v>0</v>
      </c>
      <c r="I268" s="12">
        <v>0</v>
      </c>
      <c r="J268" s="12">
        <v>0</v>
      </c>
      <c r="K268" s="12">
        <v>0</v>
      </c>
      <c r="L268" s="12">
        <v>0</v>
      </c>
      <c r="M268" s="12">
        <v>0</v>
      </c>
      <c r="N268" s="12">
        <v>0</v>
      </c>
      <c r="O268" s="12">
        <v>0</v>
      </c>
      <c r="P268" s="3"/>
    </row>
    <row r="269" spans="1:16" ht="15.75" customHeight="1" outlineLevel="1" x14ac:dyDescent="0.3">
      <c r="A269" s="3"/>
      <c r="B269" s="149" t="s">
        <v>369</v>
      </c>
      <c r="C269" s="11">
        <f t="shared" si="70"/>
        <v>0</v>
      </c>
      <c r="D269" s="12">
        <v>0</v>
      </c>
      <c r="E269" s="12">
        <v>0</v>
      </c>
      <c r="F269" s="12">
        <v>0</v>
      </c>
      <c r="G269" s="12">
        <v>0</v>
      </c>
      <c r="H269" s="12">
        <v>0</v>
      </c>
      <c r="I269" s="12">
        <v>0</v>
      </c>
      <c r="J269" s="12">
        <v>0</v>
      </c>
      <c r="K269" s="12">
        <v>0</v>
      </c>
      <c r="L269" s="12">
        <v>0</v>
      </c>
      <c r="M269" s="12">
        <v>0</v>
      </c>
      <c r="N269" s="12">
        <v>0</v>
      </c>
      <c r="O269" s="12">
        <v>0</v>
      </c>
      <c r="P269" s="3"/>
    </row>
    <row r="270" spans="1:16" ht="15.75" customHeight="1" outlineLevel="1" x14ac:dyDescent="0.3">
      <c r="A270" s="3"/>
      <c r="B270" s="149" t="s">
        <v>327</v>
      </c>
      <c r="C270" s="11">
        <f t="shared" si="70"/>
        <v>0</v>
      </c>
      <c r="D270" s="12">
        <v>0</v>
      </c>
      <c r="E270" s="12">
        <v>0</v>
      </c>
      <c r="F270" s="12">
        <v>0</v>
      </c>
      <c r="G270" s="12">
        <v>0</v>
      </c>
      <c r="H270" s="12">
        <v>0</v>
      </c>
      <c r="I270" s="12">
        <v>0</v>
      </c>
      <c r="J270" s="12">
        <v>0</v>
      </c>
      <c r="K270" s="12">
        <v>0</v>
      </c>
      <c r="L270" s="12">
        <v>0</v>
      </c>
      <c r="M270" s="12">
        <v>0</v>
      </c>
      <c r="N270" s="12">
        <v>0</v>
      </c>
      <c r="O270" s="12">
        <v>0</v>
      </c>
      <c r="P270" s="3"/>
    </row>
    <row r="271" spans="1:16" ht="15.75" customHeight="1" outlineLevel="1" x14ac:dyDescent="0.3">
      <c r="A271" s="3"/>
      <c r="B271" s="149" t="s">
        <v>328</v>
      </c>
      <c r="C271" s="11">
        <f t="shared" si="70"/>
        <v>0</v>
      </c>
      <c r="D271" s="12">
        <v>0</v>
      </c>
      <c r="E271" s="12">
        <v>0</v>
      </c>
      <c r="F271" s="12">
        <v>0</v>
      </c>
      <c r="G271" s="12">
        <v>0</v>
      </c>
      <c r="H271" s="12">
        <v>0</v>
      </c>
      <c r="I271" s="12">
        <v>0</v>
      </c>
      <c r="J271" s="12">
        <v>0</v>
      </c>
      <c r="K271" s="12">
        <v>0</v>
      </c>
      <c r="L271" s="12">
        <v>0</v>
      </c>
      <c r="M271" s="12">
        <v>0</v>
      </c>
      <c r="N271" s="12">
        <v>0</v>
      </c>
      <c r="O271" s="12">
        <v>0</v>
      </c>
      <c r="P271" s="3"/>
    </row>
    <row r="272" spans="1:16" ht="15.75" customHeight="1" outlineLevel="1" x14ac:dyDescent="0.3">
      <c r="A272" s="3"/>
      <c r="B272" s="149" t="s">
        <v>370</v>
      </c>
      <c r="C272" s="11">
        <f t="shared" si="70"/>
        <v>0</v>
      </c>
      <c r="D272" s="12">
        <v>0</v>
      </c>
      <c r="E272" s="12">
        <v>0</v>
      </c>
      <c r="F272" s="12">
        <v>0</v>
      </c>
      <c r="G272" s="12">
        <v>0</v>
      </c>
      <c r="H272" s="12">
        <v>0</v>
      </c>
      <c r="I272" s="12">
        <v>0</v>
      </c>
      <c r="J272" s="12">
        <v>0</v>
      </c>
      <c r="K272" s="12">
        <v>0</v>
      </c>
      <c r="L272" s="12">
        <v>0</v>
      </c>
      <c r="M272" s="12">
        <v>0</v>
      </c>
      <c r="N272" s="12">
        <v>0</v>
      </c>
      <c r="O272" s="12">
        <v>0</v>
      </c>
      <c r="P272" s="3"/>
    </row>
    <row r="273" spans="1:16" ht="15.75" customHeight="1" outlineLevel="1" x14ac:dyDescent="0.3">
      <c r="A273" s="3"/>
      <c r="B273" s="149" t="s">
        <v>371</v>
      </c>
      <c r="C273" s="11">
        <f t="shared" si="70"/>
        <v>0</v>
      </c>
      <c r="D273" s="12">
        <v>0</v>
      </c>
      <c r="E273" s="12">
        <v>0</v>
      </c>
      <c r="F273" s="12">
        <v>0</v>
      </c>
      <c r="G273" s="12">
        <v>0</v>
      </c>
      <c r="H273" s="12">
        <v>0</v>
      </c>
      <c r="I273" s="12">
        <v>0</v>
      </c>
      <c r="J273" s="12">
        <v>0</v>
      </c>
      <c r="K273" s="12">
        <v>0</v>
      </c>
      <c r="L273" s="12">
        <v>0</v>
      </c>
      <c r="M273" s="12">
        <v>0</v>
      </c>
      <c r="N273" s="12">
        <v>0</v>
      </c>
      <c r="O273" s="12">
        <v>0</v>
      </c>
      <c r="P273" s="3"/>
    </row>
    <row r="274" spans="1:16" ht="15.75" customHeight="1" outlineLevel="1" x14ac:dyDescent="0.3">
      <c r="A274" s="3"/>
      <c r="B274" s="149" t="s">
        <v>372</v>
      </c>
      <c r="C274" s="11">
        <f t="shared" si="70"/>
        <v>0</v>
      </c>
      <c r="D274" s="12">
        <v>0</v>
      </c>
      <c r="E274" s="12">
        <v>0</v>
      </c>
      <c r="F274" s="12">
        <v>0</v>
      </c>
      <c r="G274" s="12">
        <v>0</v>
      </c>
      <c r="H274" s="12">
        <v>0</v>
      </c>
      <c r="I274" s="12">
        <v>0</v>
      </c>
      <c r="J274" s="12">
        <v>0</v>
      </c>
      <c r="K274" s="12">
        <v>0</v>
      </c>
      <c r="L274" s="12">
        <v>0</v>
      </c>
      <c r="M274" s="12">
        <v>0</v>
      </c>
      <c r="N274" s="12">
        <v>0</v>
      </c>
      <c r="O274" s="12">
        <v>0</v>
      </c>
      <c r="P274" s="3"/>
    </row>
    <row r="275" spans="1:16" ht="15.75" customHeight="1" x14ac:dyDescent="0.3">
      <c r="A275" s="3"/>
      <c r="B275" s="84" t="s">
        <v>411</v>
      </c>
      <c r="C275" s="86">
        <f t="shared" ref="C275:O275" si="71">SUM(C276:C285)</f>
        <v>0</v>
      </c>
      <c r="D275" s="86">
        <f t="shared" si="71"/>
        <v>0</v>
      </c>
      <c r="E275" s="86">
        <f t="shared" si="71"/>
        <v>0</v>
      </c>
      <c r="F275" s="86">
        <f t="shared" si="71"/>
        <v>0</v>
      </c>
      <c r="G275" s="86">
        <f t="shared" si="71"/>
        <v>0</v>
      </c>
      <c r="H275" s="86">
        <f t="shared" si="71"/>
        <v>0</v>
      </c>
      <c r="I275" s="86">
        <f t="shared" si="71"/>
        <v>0</v>
      </c>
      <c r="J275" s="86">
        <f t="shared" si="71"/>
        <v>0</v>
      </c>
      <c r="K275" s="86">
        <f t="shared" si="71"/>
        <v>0</v>
      </c>
      <c r="L275" s="86">
        <f t="shared" si="71"/>
        <v>0</v>
      </c>
      <c r="M275" s="86">
        <f t="shared" si="71"/>
        <v>0</v>
      </c>
      <c r="N275" s="86">
        <f t="shared" si="71"/>
        <v>0</v>
      </c>
      <c r="O275" s="86">
        <f t="shared" si="71"/>
        <v>0</v>
      </c>
      <c r="P275" s="3"/>
    </row>
    <row r="276" spans="1:16" ht="15.75" customHeight="1" outlineLevel="1" x14ac:dyDescent="0.3">
      <c r="A276" s="3"/>
      <c r="B276" s="149" t="s">
        <v>412</v>
      </c>
      <c r="C276" s="11">
        <f t="shared" ref="C276:C285" si="72">SUM(D276:O276)</f>
        <v>0</v>
      </c>
      <c r="D276" s="12">
        <v>0</v>
      </c>
      <c r="E276" s="12">
        <v>0</v>
      </c>
      <c r="F276" s="12">
        <v>0</v>
      </c>
      <c r="G276" s="12">
        <v>0</v>
      </c>
      <c r="H276" s="12">
        <v>0</v>
      </c>
      <c r="I276" s="12">
        <v>0</v>
      </c>
      <c r="J276" s="12">
        <v>0</v>
      </c>
      <c r="K276" s="12">
        <v>0</v>
      </c>
      <c r="L276" s="12">
        <v>0</v>
      </c>
      <c r="M276" s="12">
        <v>0</v>
      </c>
      <c r="N276" s="12">
        <v>0</v>
      </c>
      <c r="O276" s="12">
        <v>0</v>
      </c>
      <c r="P276" s="3"/>
    </row>
    <row r="277" spans="1:16" ht="15.75" customHeight="1" outlineLevel="1" x14ac:dyDescent="0.3">
      <c r="A277" s="3"/>
      <c r="B277" s="149" t="s">
        <v>413</v>
      </c>
      <c r="C277" s="11">
        <f t="shared" si="72"/>
        <v>0</v>
      </c>
      <c r="D277" s="12">
        <v>0</v>
      </c>
      <c r="E277" s="12">
        <v>0</v>
      </c>
      <c r="F277" s="12">
        <v>0</v>
      </c>
      <c r="G277" s="12">
        <v>0</v>
      </c>
      <c r="H277" s="12">
        <v>0</v>
      </c>
      <c r="I277" s="12">
        <v>0</v>
      </c>
      <c r="J277" s="12">
        <v>0</v>
      </c>
      <c r="K277" s="12">
        <v>0</v>
      </c>
      <c r="L277" s="12">
        <v>0</v>
      </c>
      <c r="M277" s="12">
        <v>0</v>
      </c>
      <c r="N277" s="12">
        <v>0</v>
      </c>
      <c r="O277" s="12">
        <v>0</v>
      </c>
      <c r="P277" s="3"/>
    </row>
    <row r="278" spans="1:16" ht="15.75" customHeight="1" outlineLevel="1" x14ac:dyDescent="0.3">
      <c r="A278" s="3"/>
      <c r="B278" s="149" t="s">
        <v>414</v>
      </c>
      <c r="C278" s="11">
        <f t="shared" si="72"/>
        <v>0</v>
      </c>
      <c r="D278" s="12">
        <v>0</v>
      </c>
      <c r="E278" s="12">
        <v>0</v>
      </c>
      <c r="F278" s="12">
        <v>0</v>
      </c>
      <c r="G278" s="12">
        <v>0</v>
      </c>
      <c r="H278" s="12">
        <v>0</v>
      </c>
      <c r="I278" s="12">
        <v>0</v>
      </c>
      <c r="J278" s="12">
        <v>0</v>
      </c>
      <c r="K278" s="12">
        <v>0</v>
      </c>
      <c r="L278" s="12">
        <v>0</v>
      </c>
      <c r="M278" s="12">
        <v>0</v>
      </c>
      <c r="N278" s="12">
        <v>0</v>
      </c>
      <c r="O278" s="12">
        <v>0</v>
      </c>
      <c r="P278" s="3"/>
    </row>
    <row r="279" spans="1:16" ht="15.75" customHeight="1" outlineLevel="1" x14ac:dyDescent="0.3">
      <c r="A279" s="3"/>
      <c r="B279" s="149" t="s">
        <v>415</v>
      </c>
      <c r="C279" s="11">
        <f t="shared" si="72"/>
        <v>0</v>
      </c>
      <c r="D279" s="12">
        <v>0</v>
      </c>
      <c r="E279" s="12">
        <v>0</v>
      </c>
      <c r="F279" s="12">
        <v>0</v>
      </c>
      <c r="G279" s="12">
        <v>0</v>
      </c>
      <c r="H279" s="12">
        <v>0</v>
      </c>
      <c r="I279" s="12">
        <v>0</v>
      </c>
      <c r="J279" s="12">
        <v>0</v>
      </c>
      <c r="K279" s="12">
        <v>0</v>
      </c>
      <c r="L279" s="12">
        <v>0</v>
      </c>
      <c r="M279" s="12">
        <v>0</v>
      </c>
      <c r="N279" s="12">
        <v>0</v>
      </c>
      <c r="O279" s="12">
        <v>0</v>
      </c>
      <c r="P279" s="3"/>
    </row>
    <row r="280" spans="1:16" ht="15.75" customHeight="1" outlineLevel="1" x14ac:dyDescent="0.3">
      <c r="A280" s="3"/>
      <c r="B280" s="149" t="s">
        <v>416</v>
      </c>
      <c r="C280" s="11">
        <f t="shared" si="72"/>
        <v>0</v>
      </c>
      <c r="D280" s="12">
        <v>0</v>
      </c>
      <c r="E280" s="12">
        <v>0</v>
      </c>
      <c r="F280" s="12">
        <v>0</v>
      </c>
      <c r="G280" s="12">
        <v>0</v>
      </c>
      <c r="H280" s="12">
        <v>0</v>
      </c>
      <c r="I280" s="12">
        <v>0</v>
      </c>
      <c r="J280" s="12">
        <v>0</v>
      </c>
      <c r="K280" s="12">
        <v>0</v>
      </c>
      <c r="L280" s="12">
        <v>0</v>
      </c>
      <c r="M280" s="12">
        <v>0</v>
      </c>
      <c r="N280" s="12">
        <v>0</v>
      </c>
      <c r="O280" s="12">
        <v>0</v>
      </c>
      <c r="P280" s="3"/>
    </row>
    <row r="281" spans="1:16" ht="15.75" customHeight="1" outlineLevel="1" x14ac:dyDescent="0.3">
      <c r="A281" s="3"/>
      <c r="B281" s="149" t="s">
        <v>417</v>
      </c>
      <c r="C281" s="11">
        <f t="shared" si="72"/>
        <v>0</v>
      </c>
      <c r="D281" s="12">
        <v>0</v>
      </c>
      <c r="E281" s="12">
        <v>0</v>
      </c>
      <c r="F281" s="12">
        <v>0</v>
      </c>
      <c r="G281" s="12">
        <v>0</v>
      </c>
      <c r="H281" s="12">
        <v>0</v>
      </c>
      <c r="I281" s="12">
        <v>0</v>
      </c>
      <c r="J281" s="12">
        <v>0</v>
      </c>
      <c r="K281" s="12">
        <v>0</v>
      </c>
      <c r="L281" s="12">
        <v>0</v>
      </c>
      <c r="M281" s="12">
        <v>0</v>
      </c>
      <c r="N281" s="12">
        <v>0</v>
      </c>
      <c r="O281" s="12">
        <v>0</v>
      </c>
      <c r="P281" s="3"/>
    </row>
    <row r="282" spans="1:16" ht="15.75" customHeight="1" outlineLevel="1" x14ac:dyDescent="0.3">
      <c r="A282" s="3"/>
      <c r="B282" s="149" t="s">
        <v>418</v>
      </c>
      <c r="C282" s="11">
        <f t="shared" si="72"/>
        <v>0</v>
      </c>
      <c r="D282" s="12">
        <v>0</v>
      </c>
      <c r="E282" s="12">
        <v>0</v>
      </c>
      <c r="F282" s="12">
        <v>0</v>
      </c>
      <c r="G282" s="12">
        <v>0</v>
      </c>
      <c r="H282" s="12">
        <v>0</v>
      </c>
      <c r="I282" s="12">
        <v>0</v>
      </c>
      <c r="J282" s="12">
        <v>0</v>
      </c>
      <c r="K282" s="12">
        <v>0</v>
      </c>
      <c r="L282" s="12">
        <v>0</v>
      </c>
      <c r="M282" s="12">
        <v>0</v>
      </c>
      <c r="N282" s="12">
        <v>0</v>
      </c>
      <c r="O282" s="12">
        <v>0</v>
      </c>
      <c r="P282" s="3"/>
    </row>
    <row r="283" spans="1:16" ht="15.75" customHeight="1" outlineLevel="1" x14ac:dyDescent="0.3">
      <c r="A283" s="3"/>
      <c r="B283" s="149" t="s">
        <v>419</v>
      </c>
      <c r="C283" s="11">
        <f t="shared" si="72"/>
        <v>0</v>
      </c>
      <c r="D283" s="12">
        <v>0</v>
      </c>
      <c r="E283" s="12">
        <v>0</v>
      </c>
      <c r="F283" s="12">
        <v>0</v>
      </c>
      <c r="G283" s="12">
        <v>0</v>
      </c>
      <c r="H283" s="12">
        <v>0</v>
      </c>
      <c r="I283" s="12">
        <v>0</v>
      </c>
      <c r="J283" s="12">
        <v>0</v>
      </c>
      <c r="K283" s="12">
        <v>0</v>
      </c>
      <c r="L283" s="12">
        <v>0</v>
      </c>
      <c r="M283" s="12">
        <v>0</v>
      </c>
      <c r="N283" s="12">
        <v>0</v>
      </c>
      <c r="O283" s="12">
        <v>0</v>
      </c>
      <c r="P283" s="3"/>
    </row>
    <row r="284" spans="1:16" ht="15.75" customHeight="1" outlineLevel="1" x14ac:dyDescent="0.3">
      <c r="A284" s="3"/>
      <c r="B284" s="149" t="s">
        <v>420</v>
      </c>
      <c r="C284" s="11">
        <f t="shared" si="72"/>
        <v>0</v>
      </c>
      <c r="D284" s="12">
        <v>0</v>
      </c>
      <c r="E284" s="12">
        <v>0</v>
      </c>
      <c r="F284" s="12">
        <v>0</v>
      </c>
      <c r="G284" s="12">
        <v>0</v>
      </c>
      <c r="H284" s="12">
        <v>0</v>
      </c>
      <c r="I284" s="12">
        <v>0</v>
      </c>
      <c r="J284" s="12">
        <v>0</v>
      </c>
      <c r="K284" s="12">
        <v>0</v>
      </c>
      <c r="L284" s="12">
        <v>0</v>
      </c>
      <c r="M284" s="12">
        <v>0</v>
      </c>
      <c r="N284" s="12">
        <v>0</v>
      </c>
      <c r="O284" s="12">
        <v>0</v>
      </c>
      <c r="P284" s="3"/>
    </row>
    <row r="285" spans="1:16" ht="15.75" customHeight="1" outlineLevel="1" x14ac:dyDescent="0.3">
      <c r="A285" s="3"/>
      <c r="B285" s="149" t="s">
        <v>1296</v>
      </c>
      <c r="C285" s="11">
        <f t="shared" si="72"/>
        <v>0</v>
      </c>
      <c r="D285" s="12">
        <v>0</v>
      </c>
      <c r="E285" s="12">
        <v>0</v>
      </c>
      <c r="F285" s="12">
        <v>0</v>
      </c>
      <c r="G285" s="12">
        <v>0</v>
      </c>
      <c r="H285" s="12">
        <v>0</v>
      </c>
      <c r="I285" s="12">
        <v>0</v>
      </c>
      <c r="J285" s="12">
        <v>0</v>
      </c>
      <c r="K285" s="12">
        <v>0</v>
      </c>
      <c r="L285" s="12">
        <v>0</v>
      </c>
      <c r="M285" s="12">
        <v>0</v>
      </c>
      <c r="N285" s="12">
        <v>0</v>
      </c>
      <c r="O285" s="12">
        <v>0</v>
      </c>
      <c r="P285" s="3"/>
    </row>
    <row r="286" spans="1:16" ht="15.75" customHeight="1" x14ac:dyDescent="0.3">
      <c r="A286" s="3"/>
      <c r="B286" s="3"/>
      <c r="C286" s="148"/>
      <c r="D286" s="37"/>
      <c r="E286" s="37"/>
      <c r="F286" s="37"/>
      <c r="G286" s="37"/>
      <c r="H286" s="37"/>
      <c r="I286" s="37"/>
      <c r="J286" s="37"/>
      <c r="K286" s="37"/>
      <c r="L286" s="37"/>
      <c r="M286" s="37"/>
      <c r="N286" s="37"/>
      <c r="O286" s="37"/>
      <c r="P286" s="3"/>
    </row>
    <row r="287" spans="1:16" ht="15.75" customHeight="1" x14ac:dyDescent="0.3">
      <c r="A287" s="3"/>
      <c r="B287" s="3"/>
      <c r="C287" s="148"/>
      <c r="D287" s="37"/>
      <c r="E287" s="37"/>
      <c r="F287" s="37"/>
      <c r="G287" s="37"/>
      <c r="H287" s="37"/>
      <c r="I287" s="37"/>
      <c r="J287" s="37"/>
      <c r="K287" s="37"/>
      <c r="L287" s="37"/>
      <c r="M287" s="37"/>
      <c r="N287" s="37"/>
      <c r="O287" s="37"/>
      <c r="P287" s="3"/>
    </row>
    <row r="288" spans="1:16" ht="15.75" customHeight="1" x14ac:dyDescent="0.3">
      <c r="A288" s="3"/>
      <c r="B288" s="3"/>
      <c r="C288" s="148"/>
      <c r="D288" s="37"/>
      <c r="E288" s="37"/>
      <c r="F288" s="37"/>
      <c r="G288" s="37"/>
      <c r="H288" s="37"/>
      <c r="I288" s="37"/>
      <c r="J288" s="37"/>
      <c r="K288" s="37"/>
      <c r="L288" s="37"/>
      <c r="M288" s="37"/>
      <c r="N288" s="37"/>
      <c r="O288" s="37"/>
      <c r="P288" s="3"/>
    </row>
    <row r="289" spans="1:16" ht="15.75" customHeight="1" x14ac:dyDescent="0.3">
      <c r="A289" s="3"/>
      <c r="B289" s="3"/>
      <c r="C289" s="148"/>
      <c r="D289" s="37"/>
      <c r="E289" s="37"/>
      <c r="F289" s="37"/>
      <c r="G289" s="37"/>
      <c r="H289" s="37"/>
      <c r="I289" s="37"/>
      <c r="J289" s="37"/>
      <c r="K289" s="37"/>
      <c r="L289" s="37"/>
      <c r="M289" s="37"/>
      <c r="N289" s="37"/>
      <c r="O289" s="37"/>
      <c r="P289" s="3"/>
    </row>
    <row r="290" spans="1:16" ht="15.75" customHeight="1" x14ac:dyDescent="0.3">
      <c r="A290" s="3"/>
      <c r="B290" s="3"/>
      <c r="C290" s="148"/>
      <c r="D290" s="37"/>
      <c r="E290" s="37"/>
      <c r="F290" s="37"/>
      <c r="G290" s="37"/>
      <c r="H290" s="37"/>
      <c r="I290" s="37"/>
      <c r="J290" s="37"/>
      <c r="K290" s="37"/>
      <c r="L290" s="37"/>
      <c r="M290" s="37"/>
      <c r="N290" s="37"/>
      <c r="O290" s="37"/>
      <c r="P290" s="3"/>
    </row>
    <row r="291" spans="1:16" ht="15.75" customHeight="1" x14ac:dyDescent="0.3">
      <c r="A291" s="3"/>
      <c r="B291" s="3"/>
      <c r="C291" s="148"/>
      <c r="D291" s="37"/>
      <c r="E291" s="37"/>
      <c r="F291" s="37"/>
      <c r="G291" s="37"/>
      <c r="H291" s="37"/>
      <c r="I291" s="37"/>
      <c r="J291" s="37"/>
      <c r="K291" s="37"/>
      <c r="L291" s="37"/>
      <c r="M291" s="37"/>
      <c r="N291" s="37"/>
      <c r="O291" s="37"/>
      <c r="P291" s="3"/>
    </row>
    <row r="292" spans="1:16" ht="15.75" customHeight="1" x14ac:dyDescent="0.3">
      <c r="A292" s="3"/>
      <c r="B292" s="3"/>
      <c r="C292" s="148"/>
      <c r="D292" s="37"/>
      <c r="E292" s="37"/>
      <c r="F292" s="37"/>
      <c r="G292" s="37"/>
      <c r="H292" s="37"/>
      <c r="I292" s="37"/>
      <c r="J292" s="37"/>
      <c r="K292" s="37"/>
      <c r="L292" s="37"/>
      <c r="M292" s="37"/>
      <c r="N292" s="37"/>
      <c r="O292" s="37"/>
      <c r="P292" s="3"/>
    </row>
    <row r="293" spans="1:16" ht="15.75" customHeight="1" x14ac:dyDescent="0.3">
      <c r="A293" s="3"/>
      <c r="B293" s="3"/>
      <c r="C293" s="148"/>
      <c r="D293" s="37"/>
      <c r="E293" s="37"/>
      <c r="F293" s="37"/>
      <c r="G293" s="37"/>
      <c r="H293" s="37"/>
      <c r="I293" s="37"/>
      <c r="J293" s="37"/>
      <c r="K293" s="37"/>
      <c r="L293" s="37"/>
      <c r="M293" s="37"/>
      <c r="N293" s="37"/>
      <c r="O293" s="37"/>
      <c r="P293" s="3"/>
    </row>
    <row r="294" spans="1:16" ht="15.75" customHeight="1" x14ac:dyDescent="0.3">
      <c r="A294" s="3"/>
      <c r="B294" s="3"/>
      <c r="C294" s="148"/>
      <c r="D294" s="37"/>
      <c r="E294" s="37"/>
      <c r="F294" s="37"/>
      <c r="G294" s="37"/>
      <c r="H294" s="37"/>
      <c r="I294" s="37"/>
      <c r="J294" s="37"/>
      <c r="K294" s="37"/>
      <c r="L294" s="37"/>
      <c r="M294" s="37"/>
      <c r="N294" s="37"/>
      <c r="O294" s="37"/>
      <c r="P294" s="3"/>
    </row>
    <row r="295" spans="1:16" ht="15.75" customHeight="1" x14ac:dyDescent="0.3">
      <c r="A295" s="3"/>
      <c r="B295" s="3"/>
      <c r="C295" s="148"/>
      <c r="D295" s="37"/>
      <c r="E295" s="37"/>
      <c r="F295" s="37"/>
      <c r="G295" s="37"/>
      <c r="H295" s="37"/>
      <c r="I295" s="37"/>
      <c r="J295" s="37"/>
      <c r="K295" s="37"/>
      <c r="L295" s="37"/>
      <c r="M295" s="37"/>
      <c r="N295" s="37"/>
      <c r="O295" s="37"/>
      <c r="P295" s="3"/>
    </row>
    <row r="296" spans="1:16" ht="15.75" customHeight="1" x14ac:dyDescent="0.3">
      <c r="A296" s="3"/>
      <c r="B296" s="3"/>
      <c r="C296" s="148"/>
      <c r="D296" s="37"/>
      <c r="E296" s="37"/>
      <c r="F296" s="37"/>
      <c r="G296" s="37"/>
      <c r="H296" s="37"/>
      <c r="I296" s="37"/>
      <c r="J296" s="37"/>
      <c r="K296" s="37"/>
      <c r="L296" s="37"/>
      <c r="M296" s="37"/>
      <c r="N296" s="37"/>
      <c r="O296" s="37"/>
      <c r="P296" s="3"/>
    </row>
    <row r="297" spans="1:16" ht="15.75" customHeight="1" x14ac:dyDescent="0.3">
      <c r="A297" s="3"/>
      <c r="B297" s="3"/>
      <c r="C297" s="148"/>
      <c r="D297" s="37"/>
      <c r="E297" s="37"/>
      <c r="F297" s="37"/>
      <c r="G297" s="37"/>
      <c r="H297" s="37"/>
      <c r="I297" s="37"/>
      <c r="J297" s="37"/>
      <c r="K297" s="37"/>
      <c r="L297" s="37"/>
      <c r="M297" s="37"/>
      <c r="N297" s="37"/>
      <c r="O297" s="37"/>
      <c r="P297" s="3"/>
    </row>
    <row r="298" spans="1:16" ht="15.75" customHeight="1" x14ac:dyDescent="0.3">
      <c r="A298" s="3"/>
      <c r="B298" s="3"/>
      <c r="C298" s="148"/>
      <c r="D298" s="37"/>
      <c r="E298" s="37"/>
      <c r="F298" s="37"/>
      <c r="G298" s="37"/>
      <c r="H298" s="37"/>
      <c r="I298" s="37"/>
      <c r="J298" s="37"/>
      <c r="K298" s="37"/>
      <c r="L298" s="37"/>
      <c r="M298" s="37"/>
      <c r="N298" s="37"/>
      <c r="O298" s="37"/>
      <c r="P298" s="3"/>
    </row>
    <row r="299" spans="1:16" ht="15.75" customHeight="1" x14ac:dyDescent="0.3">
      <c r="A299" s="3"/>
      <c r="B299" s="3"/>
      <c r="C299" s="148"/>
      <c r="D299" s="37"/>
      <c r="E299" s="37"/>
      <c r="F299" s="37"/>
      <c r="G299" s="37"/>
      <c r="H299" s="37"/>
      <c r="I299" s="37"/>
      <c r="J299" s="37"/>
      <c r="K299" s="37"/>
      <c r="L299" s="37"/>
      <c r="M299" s="37"/>
      <c r="N299" s="37"/>
      <c r="O299" s="37"/>
      <c r="P299" s="3"/>
    </row>
    <row r="300" spans="1:16" ht="15.75" customHeight="1" x14ac:dyDescent="0.3">
      <c r="A300" s="3"/>
      <c r="B300" s="3"/>
      <c r="C300" s="148"/>
      <c r="D300" s="37"/>
      <c r="E300" s="37"/>
      <c r="F300" s="37"/>
      <c r="G300" s="37"/>
      <c r="H300" s="37"/>
      <c r="I300" s="37"/>
      <c r="J300" s="37"/>
      <c r="K300" s="37"/>
      <c r="L300" s="37"/>
      <c r="M300" s="37"/>
      <c r="N300" s="37"/>
      <c r="O300" s="37"/>
      <c r="P300" s="3"/>
    </row>
    <row r="301" spans="1:16" ht="15.75" customHeight="1" x14ac:dyDescent="0.3">
      <c r="A301" s="3"/>
      <c r="B301" s="3"/>
      <c r="C301" s="148"/>
      <c r="D301" s="37"/>
      <c r="E301" s="37"/>
      <c r="F301" s="37"/>
      <c r="G301" s="37"/>
      <c r="H301" s="37"/>
      <c r="I301" s="37"/>
      <c r="J301" s="37"/>
      <c r="K301" s="37"/>
      <c r="L301" s="37"/>
      <c r="M301" s="37"/>
      <c r="N301" s="37"/>
      <c r="O301" s="37"/>
      <c r="P301" s="3"/>
    </row>
    <row r="302" spans="1:16" ht="15.75" customHeight="1" x14ac:dyDescent="0.3">
      <c r="A302" s="3"/>
      <c r="B302" s="3"/>
      <c r="C302" s="148"/>
      <c r="D302" s="37"/>
      <c r="E302" s="37"/>
      <c r="F302" s="37"/>
      <c r="G302" s="37"/>
      <c r="H302" s="37"/>
      <c r="I302" s="37"/>
      <c r="J302" s="37"/>
      <c r="K302" s="37"/>
      <c r="L302" s="37"/>
      <c r="M302" s="37"/>
      <c r="N302" s="37"/>
      <c r="O302" s="37"/>
      <c r="P302" s="3"/>
    </row>
    <row r="303" spans="1:16" ht="15.75" customHeight="1" x14ac:dyDescent="0.3">
      <c r="A303" s="3"/>
      <c r="B303" s="3"/>
      <c r="C303" s="148"/>
      <c r="D303" s="37"/>
      <c r="E303" s="37"/>
      <c r="F303" s="37"/>
      <c r="G303" s="37"/>
      <c r="H303" s="37"/>
      <c r="I303" s="37"/>
      <c r="J303" s="37"/>
      <c r="K303" s="37"/>
      <c r="L303" s="37"/>
      <c r="M303" s="37"/>
      <c r="N303" s="37"/>
      <c r="O303" s="37"/>
      <c r="P303" s="3"/>
    </row>
    <row r="304" spans="1:16" ht="15.75" customHeight="1" x14ac:dyDescent="0.3">
      <c r="A304" s="3"/>
      <c r="B304" s="3"/>
      <c r="C304" s="148"/>
      <c r="D304" s="37"/>
      <c r="E304" s="37"/>
      <c r="F304" s="37"/>
      <c r="G304" s="37"/>
      <c r="H304" s="37"/>
      <c r="I304" s="37"/>
      <c r="J304" s="37"/>
      <c r="K304" s="37"/>
      <c r="L304" s="37"/>
      <c r="M304" s="37"/>
      <c r="N304" s="37"/>
      <c r="O304" s="37"/>
      <c r="P304" s="3"/>
    </row>
    <row r="305" spans="1:16" ht="15.75" customHeight="1" x14ac:dyDescent="0.3">
      <c r="A305" s="3"/>
      <c r="B305" s="3"/>
      <c r="C305" s="148"/>
      <c r="D305" s="37"/>
      <c r="E305" s="37"/>
      <c r="F305" s="37"/>
      <c r="G305" s="37"/>
      <c r="H305" s="37"/>
      <c r="I305" s="37"/>
      <c r="J305" s="37"/>
      <c r="K305" s="37"/>
      <c r="L305" s="37"/>
      <c r="M305" s="37"/>
      <c r="N305" s="37"/>
      <c r="O305" s="37"/>
      <c r="P305" s="3"/>
    </row>
    <row r="306" spans="1:16" ht="15.75" customHeight="1" x14ac:dyDescent="0.3">
      <c r="A306" s="3"/>
      <c r="B306" s="3"/>
      <c r="C306" s="148"/>
      <c r="D306" s="37"/>
      <c r="E306" s="37"/>
      <c r="F306" s="37"/>
      <c r="G306" s="37"/>
      <c r="H306" s="37"/>
      <c r="I306" s="37"/>
      <c r="J306" s="37"/>
      <c r="K306" s="37"/>
      <c r="L306" s="37"/>
      <c r="M306" s="37"/>
      <c r="N306" s="37"/>
      <c r="O306" s="37"/>
      <c r="P306" s="3"/>
    </row>
    <row r="307" spans="1:16" ht="15.75" customHeight="1" x14ac:dyDescent="0.3">
      <c r="A307" s="3"/>
      <c r="B307" s="3"/>
      <c r="C307" s="148"/>
      <c r="D307" s="37"/>
      <c r="E307" s="37"/>
      <c r="F307" s="37"/>
      <c r="G307" s="37"/>
      <c r="H307" s="37"/>
      <c r="I307" s="37"/>
      <c r="J307" s="37"/>
      <c r="K307" s="37"/>
      <c r="L307" s="37"/>
      <c r="M307" s="37"/>
      <c r="N307" s="37"/>
      <c r="O307" s="37"/>
      <c r="P307" s="3"/>
    </row>
    <row r="308" spans="1:16" ht="15.75" customHeight="1" x14ac:dyDescent="0.3">
      <c r="A308" s="3"/>
      <c r="B308" s="3"/>
      <c r="C308" s="148"/>
      <c r="D308" s="37"/>
      <c r="E308" s="37"/>
      <c r="F308" s="37"/>
      <c r="G308" s="37"/>
      <c r="H308" s="37"/>
      <c r="I308" s="37"/>
      <c r="J308" s="37"/>
      <c r="K308" s="37"/>
      <c r="L308" s="37"/>
      <c r="M308" s="37"/>
      <c r="N308" s="37"/>
      <c r="O308" s="37"/>
      <c r="P308" s="3"/>
    </row>
    <row r="309" spans="1:16" ht="15.75" customHeight="1" x14ac:dyDescent="0.3">
      <c r="A309" s="3"/>
      <c r="B309" s="3"/>
      <c r="C309" s="148"/>
      <c r="D309" s="37"/>
      <c r="E309" s="37"/>
      <c r="F309" s="37"/>
      <c r="G309" s="37"/>
      <c r="H309" s="37"/>
      <c r="I309" s="37"/>
      <c r="J309" s="37"/>
      <c r="K309" s="37"/>
      <c r="L309" s="37"/>
      <c r="M309" s="37"/>
      <c r="N309" s="37"/>
      <c r="O309" s="37"/>
      <c r="P309" s="3"/>
    </row>
    <row r="310" spans="1:16" ht="15.75" customHeight="1" x14ac:dyDescent="0.3">
      <c r="A310" s="3"/>
      <c r="B310" s="3"/>
      <c r="C310" s="148"/>
      <c r="D310" s="37"/>
      <c r="E310" s="37"/>
      <c r="F310" s="37"/>
      <c r="G310" s="37"/>
      <c r="H310" s="37"/>
      <c r="I310" s="37"/>
      <c r="J310" s="37"/>
      <c r="K310" s="37"/>
      <c r="L310" s="37"/>
      <c r="M310" s="37"/>
      <c r="N310" s="37"/>
      <c r="O310" s="37"/>
      <c r="P310" s="3"/>
    </row>
    <row r="311" spans="1:16" ht="15.75" customHeight="1" x14ac:dyDescent="0.3">
      <c r="A311" s="3"/>
      <c r="B311" s="3"/>
      <c r="C311" s="148"/>
      <c r="D311" s="37"/>
      <c r="E311" s="37"/>
      <c r="F311" s="37"/>
      <c r="G311" s="37"/>
      <c r="H311" s="37"/>
      <c r="I311" s="37"/>
      <c r="J311" s="37"/>
      <c r="K311" s="37"/>
      <c r="L311" s="37"/>
      <c r="M311" s="37"/>
      <c r="N311" s="37"/>
      <c r="O311" s="37"/>
      <c r="P311" s="3"/>
    </row>
    <row r="312" spans="1:16" ht="15.75" customHeight="1" x14ac:dyDescent="0.3">
      <c r="A312" s="3"/>
      <c r="B312" s="3"/>
      <c r="C312" s="148"/>
      <c r="D312" s="37"/>
      <c r="E312" s="37"/>
      <c r="F312" s="37"/>
      <c r="G312" s="37"/>
      <c r="H312" s="37"/>
      <c r="I312" s="37"/>
      <c r="J312" s="37"/>
      <c r="K312" s="37"/>
      <c r="L312" s="37"/>
      <c r="M312" s="37"/>
      <c r="N312" s="37"/>
      <c r="O312" s="37"/>
      <c r="P312" s="3"/>
    </row>
    <row r="313" spans="1:16" ht="15.75" customHeight="1" x14ac:dyDescent="0.3">
      <c r="A313" s="3"/>
      <c r="B313" s="3"/>
      <c r="C313" s="148"/>
      <c r="D313" s="37"/>
      <c r="E313" s="37"/>
      <c r="F313" s="37"/>
      <c r="G313" s="37"/>
      <c r="H313" s="37"/>
      <c r="I313" s="37"/>
      <c r="J313" s="37"/>
      <c r="K313" s="37"/>
      <c r="L313" s="37"/>
      <c r="M313" s="37"/>
      <c r="N313" s="37"/>
      <c r="O313" s="37"/>
      <c r="P313" s="3"/>
    </row>
    <row r="314" spans="1:16" ht="15.75" customHeight="1" x14ac:dyDescent="0.3">
      <c r="A314" s="3"/>
      <c r="B314" s="3"/>
      <c r="C314" s="148"/>
      <c r="D314" s="37"/>
      <c r="E314" s="37"/>
      <c r="F314" s="37"/>
      <c r="G314" s="37"/>
      <c r="H314" s="37"/>
      <c r="I314" s="37"/>
      <c r="J314" s="37"/>
      <c r="K314" s="37"/>
      <c r="L314" s="37"/>
      <c r="M314" s="37"/>
      <c r="N314" s="37"/>
      <c r="O314" s="37"/>
      <c r="P314" s="3"/>
    </row>
    <row r="315" spans="1:16" ht="15.75" customHeight="1" x14ac:dyDescent="0.3">
      <c r="A315" s="3"/>
      <c r="B315" s="3"/>
      <c r="C315" s="148"/>
      <c r="D315" s="37"/>
      <c r="E315" s="37"/>
      <c r="F315" s="37"/>
      <c r="G315" s="37"/>
      <c r="H315" s="37"/>
      <c r="I315" s="37"/>
      <c r="J315" s="37"/>
      <c r="K315" s="37"/>
      <c r="L315" s="37"/>
      <c r="M315" s="37"/>
      <c r="N315" s="37"/>
      <c r="O315" s="37"/>
      <c r="P315" s="3"/>
    </row>
    <row r="316" spans="1:16" ht="15.75" customHeight="1" x14ac:dyDescent="0.3">
      <c r="A316" s="3"/>
      <c r="B316" s="3"/>
      <c r="C316" s="148"/>
      <c r="D316" s="37"/>
      <c r="E316" s="37"/>
      <c r="F316" s="37"/>
      <c r="G316" s="37"/>
      <c r="H316" s="37"/>
      <c r="I316" s="37"/>
      <c r="J316" s="37"/>
      <c r="K316" s="37"/>
      <c r="L316" s="37"/>
      <c r="M316" s="37"/>
      <c r="N316" s="37"/>
      <c r="O316" s="37"/>
      <c r="P316" s="3"/>
    </row>
    <row r="317" spans="1:16" ht="15.75" customHeight="1" x14ac:dyDescent="0.3">
      <c r="A317" s="3"/>
      <c r="B317" s="3"/>
      <c r="C317" s="148"/>
      <c r="D317" s="37"/>
      <c r="E317" s="37"/>
      <c r="F317" s="37"/>
      <c r="G317" s="37"/>
      <c r="H317" s="37"/>
      <c r="I317" s="37"/>
      <c r="J317" s="37"/>
      <c r="K317" s="37"/>
      <c r="L317" s="37"/>
      <c r="M317" s="37"/>
      <c r="N317" s="37"/>
      <c r="O317" s="37"/>
      <c r="P317" s="3"/>
    </row>
    <row r="318" spans="1:16" ht="15.75" customHeight="1" x14ac:dyDescent="0.3">
      <c r="A318" s="3"/>
      <c r="B318" s="3"/>
      <c r="C318" s="148"/>
      <c r="D318" s="37"/>
      <c r="E318" s="37"/>
      <c r="F318" s="37"/>
      <c r="G318" s="37"/>
      <c r="H318" s="37"/>
      <c r="I318" s="37"/>
      <c r="J318" s="37"/>
      <c r="K318" s="37"/>
      <c r="L318" s="37"/>
      <c r="M318" s="37"/>
      <c r="N318" s="37"/>
      <c r="O318" s="37"/>
      <c r="P318" s="3"/>
    </row>
    <row r="319" spans="1:16" ht="15.75" customHeight="1" x14ac:dyDescent="0.3">
      <c r="A319" s="3"/>
      <c r="B319" s="3"/>
      <c r="C319" s="148"/>
      <c r="D319" s="37"/>
      <c r="E319" s="37"/>
      <c r="F319" s="37"/>
      <c r="G319" s="37"/>
      <c r="H319" s="37"/>
      <c r="I319" s="37"/>
      <c r="J319" s="37"/>
      <c r="K319" s="37"/>
      <c r="L319" s="37"/>
      <c r="M319" s="37"/>
      <c r="N319" s="37"/>
      <c r="O319" s="37"/>
      <c r="P319" s="3"/>
    </row>
    <row r="320" spans="1:16" ht="15.75" customHeight="1" x14ac:dyDescent="0.3">
      <c r="A320" s="3"/>
      <c r="B320" s="3"/>
      <c r="C320" s="148"/>
      <c r="D320" s="37"/>
      <c r="E320" s="37"/>
      <c r="F320" s="37"/>
      <c r="G320" s="37"/>
      <c r="H320" s="37"/>
      <c r="I320" s="37"/>
      <c r="J320" s="37"/>
      <c r="K320" s="37"/>
      <c r="L320" s="37"/>
      <c r="M320" s="37"/>
      <c r="N320" s="37"/>
      <c r="O320" s="37"/>
      <c r="P320" s="3"/>
    </row>
    <row r="321" spans="1:16" ht="15.75" customHeight="1" x14ac:dyDescent="0.3">
      <c r="A321" s="3"/>
      <c r="B321" s="3"/>
      <c r="C321" s="148"/>
      <c r="D321" s="37"/>
      <c r="E321" s="37"/>
      <c r="F321" s="37"/>
      <c r="G321" s="37"/>
      <c r="H321" s="37"/>
      <c r="I321" s="37"/>
      <c r="J321" s="37"/>
      <c r="K321" s="37"/>
      <c r="L321" s="37"/>
      <c r="M321" s="37"/>
      <c r="N321" s="37"/>
      <c r="O321" s="37"/>
      <c r="P321" s="3"/>
    </row>
    <row r="322" spans="1:16" ht="15.75" customHeight="1" x14ac:dyDescent="0.3">
      <c r="A322" s="3"/>
      <c r="B322" s="3"/>
      <c r="C322" s="148"/>
      <c r="D322" s="37"/>
      <c r="E322" s="37"/>
      <c r="F322" s="37"/>
      <c r="G322" s="37"/>
      <c r="H322" s="37"/>
      <c r="I322" s="37"/>
      <c r="J322" s="37"/>
      <c r="K322" s="37"/>
      <c r="L322" s="37"/>
      <c r="M322" s="37"/>
      <c r="N322" s="37"/>
      <c r="O322" s="37"/>
      <c r="P322" s="3"/>
    </row>
    <row r="323" spans="1:16" ht="15.75" customHeight="1" x14ac:dyDescent="0.3">
      <c r="A323" s="3"/>
      <c r="B323" s="3"/>
      <c r="C323" s="148"/>
      <c r="D323" s="37"/>
      <c r="E323" s="37"/>
      <c r="F323" s="37"/>
      <c r="G323" s="37"/>
      <c r="H323" s="37"/>
      <c r="I323" s="37"/>
      <c r="J323" s="37"/>
      <c r="K323" s="37"/>
      <c r="L323" s="37"/>
      <c r="M323" s="37"/>
      <c r="N323" s="37"/>
      <c r="O323" s="37"/>
      <c r="P323" s="3"/>
    </row>
    <row r="324" spans="1:16" ht="15.75" customHeight="1" x14ac:dyDescent="0.3">
      <c r="A324" s="3"/>
      <c r="B324" s="3"/>
      <c r="C324" s="148"/>
      <c r="D324" s="37"/>
      <c r="E324" s="37"/>
      <c r="F324" s="37"/>
      <c r="G324" s="37"/>
      <c r="H324" s="37"/>
      <c r="I324" s="37"/>
      <c r="J324" s="37"/>
      <c r="K324" s="37"/>
      <c r="L324" s="37"/>
      <c r="M324" s="37"/>
      <c r="N324" s="37"/>
      <c r="O324" s="37"/>
      <c r="P324" s="3"/>
    </row>
    <row r="325" spans="1:16" ht="15.75" customHeight="1" x14ac:dyDescent="0.3">
      <c r="A325" s="3"/>
      <c r="B325" s="3"/>
      <c r="C325" s="148"/>
      <c r="D325" s="37"/>
      <c r="E325" s="37"/>
      <c r="F325" s="37"/>
      <c r="G325" s="37"/>
      <c r="H325" s="37"/>
      <c r="I325" s="37"/>
      <c r="J325" s="37"/>
      <c r="K325" s="37"/>
      <c r="L325" s="37"/>
      <c r="M325" s="37"/>
      <c r="N325" s="37"/>
      <c r="O325" s="37"/>
      <c r="P325" s="3"/>
    </row>
    <row r="326" spans="1:16" ht="15.75" customHeight="1" x14ac:dyDescent="0.3">
      <c r="A326" s="3"/>
      <c r="B326" s="3"/>
      <c r="C326" s="148"/>
      <c r="D326" s="37"/>
      <c r="E326" s="37"/>
      <c r="F326" s="37"/>
      <c r="G326" s="37"/>
      <c r="H326" s="37"/>
      <c r="I326" s="37"/>
      <c r="J326" s="37"/>
      <c r="K326" s="37"/>
      <c r="L326" s="37"/>
      <c r="M326" s="37"/>
      <c r="N326" s="37"/>
      <c r="O326" s="37"/>
      <c r="P326" s="3"/>
    </row>
    <row r="327" spans="1:16" ht="15.75" customHeight="1" x14ac:dyDescent="0.3">
      <c r="A327" s="3"/>
      <c r="B327" s="3"/>
      <c r="C327" s="148"/>
      <c r="D327" s="37"/>
      <c r="E327" s="37"/>
      <c r="F327" s="37"/>
      <c r="G327" s="37"/>
      <c r="H327" s="37"/>
      <c r="I327" s="37"/>
      <c r="J327" s="37"/>
      <c r="K327" s="37"/>
      <c r="L327" s="37"/>
      <c r="M327" s="37"/>
      <c r="N327" s="37"/>
      <c r="O327" s="37"/>
      <c r="P327" s="3"/>
    </row>
    <row r="328" spans="1:16" ht="15.75" customHeight="1" x14ac:dyDescent="0.3">
      <c r="A328" s="3"/>
      <c r="B328" s="3"/>
      <c r="C328" s="148"/>
      <c r="D328" s="37"/>
      <c r="E328" s="37"/>
      <c r="F328" s="37"/>
      <c r="G328" s="37"/>
      <c r="H328" s="37"/>
      <c r="I328" s="37"/>
      <c r="J328" s="37"/>
      <c r="K328" s="37"/>
      <c r="L328" s="37"/>
      <c r="M328" s="37"/>
      <c r="N328" s="37"/>
      <c r="O328" s="37"/>
      <c r="P328" s="3"/>
    </row>
    <row r="329" spans="1:16" ht="15.75" customHeight="1" x14ac:dyDescent="0.3">
      <c r="A329" s="3"/>
      <c r="B329" s="3"/>
      <c r="C329" s="148"/>
      <c r="D329" s="37"/>
      <c r="E329" s="37"/>
      <c r="F329" s="37"/>
      <c r="G329" s="37"/>
      <c r="H329" s="37"/>
      <c r="I329" s="37"/>
      <c r="J329" s="37"/>
      <c r="K329" s="37"/>
      <c r="L329" s="37"/>
      <c r="M329" s="37"/>
      <c r="N329" s="37"/>
      <c r="O329" s="37"/>
      <c r="P329" s="3"/>
    </row>
    <row r="330" spans="1:16" ht="15.75" customHeight="1" x14ac:dyDescent="0.3">
      <c r="A330" s="3"/>
      <c r="B330" s="3"/>
      <c r="C330" s="148"/>
      <c r="D330" s="37"/>
      <c r="E330" s="37"/>
      <c r="F330" s="37"/>
      <c r="G330" s="37"/>
      <c r="H330" s="37"/>
      <c r="I330" s="37"/>
      <c r="J330" s="37"/>
      <c r="K330" s="37"/>
      <c r="L330" s="37"/>
      <c r="M330" s="37"/>
      <c r="N330" s="37"/>
      <c r="O330" s="37"/>
      <c r="P330" s="3"/>
    </row>
    <row r="331" spans="1:16" ht="15.75" customHeight="1" x14ac:dyDescent="0.3">
      <c r="A331" s="3"/>
      <c r="B331" s="3"/>
      <c r="C331" s="148"/>
      <c r="D331" s="37"/>
      <c r="E331" s="37"/>
      <c r="F331" s="37"/>
      <c r="G331" s="37"/>
      <c r="H331" s="37"/>
      <c r="I331" s="37"/>
      <c r="J331" s="37"/>
      <c r="K331" s="37"/>
      <c r="L331" s="37"/>
      <c r="M331" s="37"/>
      <c r="N331" s="37"/>
      <c r="O331" s="37"/>
      <c r="P331" s="3"/>
    </row>
    <row r="332" spans="1:16" ht="15.75" customHeight="1" x14ac:dyDescent="0.3">
      <c r="A332" s="3"/>
      <c r="B332" s="3"/>
      <c r="C332" s="148"/>
      <c r="D332" s="37"/>
      <c r="E332" s="37"/>
      <c r="F332" s="37"/>
      <c r="G332" s="37"/>
      <c r="H332" s="37"/>
      <c r="I332" s="37"/>
      <c r="J332" s="37"/>
      <c r="K332" s="37"/>
      <c r="L332" s="37"/>
      <c r="M332" s="37"/>
      <c r="N332" s="37"/>
      <c r="O332" s="37"/>
      <c r="P332" s="3"/>
    </row>
    <row r="333" spans="1:16" ht="15.75" customHeight="1" x14ac:dyDescent="0.3">
      <c r="A333" s="3"/>
      <c r="B333" s="3"/>
      <c r="C333" s="148"/>
      <c r="D333" s="37"/>
      <c r="E333" s="37"/>
      <c r="F333" s="37"/>
      <c r="G333" s="37"/>
      <c r="H333" s="37"/>
      <c r="I333" s="37"/>
      <c r="J333" s="37"/>
      <c r="K333" s="37"/>
      <c r="L333" s="37"/>
      <c r="M333" s="37"/>
      <c r="N333" s="37"/>
      <c r="O333" s="37"/>
      <c r="P333" s="3"/>
    </row>
    <row r="334" spans="1:16" ht="15.75" customHeight="1" x14ac:dyDescent="0.3">
      <c r="A334" s="3"/>
      <c r="B334" s="3"/>
      <c r="C334" s="148"/>
      <c r="D334" s="37"/>
      <c r="E334" s="37"/>
      <c r="F334" s="37"/>
      <c r="G334" s="37"/>
      <c r="H334" s="37"/>
      <c r="I334" s="37"/>
      <c r="J334" s="37"/>
      <c r="K334" s="37"/>
      <c r="L334" s="37"/>
      <c r="M334" s="37"/>
      <c r="N334" s="37"/>
      <c r="O334" s="37"/>
      <c r="P334" s="3"/>
    </row>
    <row r="335" spans="1:16" ht="15.75" customHeight="1" x14ac:dyDescent="0.3">
      <c r="A335" s="3"/>
      <c r="B335" s="3"/>
      <c r="C335" s="148"/>
      <c r="D335" s="37"/>
      <c r="E335" s="37"/>
      <c r="F335" s="37"/>
      <c r="G335" s="37"/>
      <c r="H335" s="37"/>
      <c r="I335" s="37"/>
      <c r="J335" s="37"/>
      <c r="K335" s="37"/>
      <c r="L335" s="37"/>
      <c r="M335" s="37"/>
      <c r="N335" s="37"/>
      <c r="O335" s="37"/>
      <c r="P335" s="3"/>
    </row>
    <row r="336" spans="1:16" ht="15.75" customHeight="1" x14ac:dyDescent="0.3">
      <c r="A336" s="3"/>
      <c r="B336" s="3"/>
      <c r="C336" s="148"/>
      <c r="D336" s="37"/>
      <c r="E336" s="37"/>
      <c r="F336" s="37"/>
      <c r="G336" s="37"/>
      <c r="H336" s="37"/>
      <c r="I336" s="37"/>
      <c r="J336" s="37"/>
      <c r="K336" s="37"/>
      <c r="L336" s="37"/>
      <c r="M336" s="37"/>
      <c r="N336" s="37"/>
      <c r="O336" s="37"/>
      <c r="P336" s="3"/>
    </row>
    <row r="337" spans="1:16" ht="15.75" customHeight="1" x14ac:dyDescent="0.3">
      <c r="A337" s="3"/>
      <c r="B337" s="3"/>
      <c r="C337" s="148"/>
      <c r="D337" s="37"/>
      <c r="E337" s="37"/>
      <c r="F337" s="37"/>
      <c r="G337" s="37"/>
      <c r="H337" s="37"/>
      <c r="I337" s="37"/>
      <c r="J337" s="37"/>
      <c r="K337" s="37"/>
      <c r="L337" s="37"/>
      <c r="M337" s="37"/>
      <c r="N337" s="37"/>
      <c r="O337" s="37"/>
      <c r="P337" s="3"/>
    </row>
    <row r="338" spans="1:16" ht="15.75" customHeight="1" x14ac:dyDescent="0.3">
      <c r="A338" s="3"/>
      <c r="B338" s="3"/>
      <c r="C338" s="148"/>
      <c r="D338" s="37"/>
      <c r="E338" s="37"/>
      <c r="F338" s="37"/>
      <c r="G338" s="37"/>
      <c r="H338" s="37"/>
      <c r="I338" s="37"/>
      <c r="J338" s="37"/>
      <c r="K338" s="37"/>
      <c r="L338" s="37"/>
      <c r="M338" s="37"/>
      <c r="N338" s="37"/>
      <c r="O338" s="37"/>
      <c r="P338" s="3"/>
    </row>
    <row r="339" spans="1:16" ht="15.75" customHeight="1" x14ac:dyDescent="0.3">
      <c r="A339" s="3"/>
      <c r="B339" s="3"/>
      <c r="C339" s="148"/>
      <c r="D339" s="37"/>
      <c r="E339" s="37"/>
      <c r="F339" s="37"/>
      <c r="G339" s="37"/>
      <c r="H339" s="37"/>
      <c r="I339" s="37"/>
      <c r="J339" s="37"/>
      <c r="K339" s="37"/>
      <c r="L339" s="37"/>
      <c r="M339" s="37"/>
      <c r="N339" s="37"/>
      <c r="O339" s="37"/>
      <c r="P339" s="3"/>
    </row>
    <row r="340" spans="1:16" ht="15.75" customHeight="1" x14ac:dyDescent="0.3">
      <c r="A340" s="3"/>
      <c r="B340" s="3"/>
      <c r="C340" s="148"/>
      <c r="D340" s="37"/>
      <c r="E340" s="37"/>
      <c r="F340" s="37"/>
      <c r="G340" s="37"/>
      <c r="H340" s="37"/>
      <c r="I340" s="37"/>
      <c r="J340" s="37"/>
      <c r="K340" s="37"/>
      <c r="L340" s="37"/>
      <c r="M340" s="37"/>
      <c r="N340" s="37"/>
      <c r="O340" s="37"/>
      <c r="P340" s="3"/>
    </row>
    <row r="341" spans="1:16" ht="15.75" customHeight="1" x14ac:dyDescent="0.3">
      <c r="A341" s="3"/>
      <c r="B341" s="3"/>
      <c r="C341" s="148"/>
      <c r="D341" s="37"/>
      <c r="E341" s="37"/>
      <c r="F341" s="37"/>
      <c r="G341" s="37"/>
      <c r="H341" s="37"/>
      <c r="I341" s="37"/>
      <c r="J341" s="37"/>
      <c r="K341" s="37"/>
      <c r="L341" s="37"/>
      <c r="M341" s="37"/>
      <c r="N341" s="37"/>
      <c r="O341" s="37"/>
      <c r="P341" s="3"/>
    </row>
    <row r="342" spans="1:16" ht="15.75" customHeight="1" x14ac:dyDescent="0.3">
      <c r="A342" s="3"/>
      <c r="B342" s="3"/>
      <c r="C342" s="148"/>
      <c r="D342" s="37"/>
      <c r="E342" s="37"/>
      <c r="F342" s="37"/>
      <c r="G342" s="37"/>
      <c r="H342" s="37"/>
      <c r="I342" s="37"/>
      <c r="J342" s="37"/>
      <c r="K342" s="37"/>
      <c r="L342" s="37"/>
      <c r="M342" s="37"/>
      <c r="N342" s="37"/>
      <c r="O342" s="37"/>
      <c r="P342" s="3"/>
    </row>
    <row r="343" spans="1:16" ht="15.75" customHeight="1" x14ac:dyDescent="0.3">
      <c r="A343" s="3"/>
      <c r="B343" s="3"/>
      <c r="C343" s="148"/>
      <c r="D343" s="37"/>
      <c r="E343" s="37"/>
      <c r="F343" s="37"/>
      <c r="G343" s="37"/>
      <c r="H343" s="37"/>
      <c r="I343" s="37"/>
      <c r="J343" s="37"/>
      <c r="K343" s="37"/>
      <c r="L343" s="37"/>
      <c r="M343" s="37"/>
      <c r="N343" s="37"/>
      <c r="O343" s="37"/>
      <c r="P343" s="3"/>
    </row>
    <row r="344" spans="1:16" ht="15.75" customHeight="1" x14ac:dyDescent="0.3">
      <c r="A344" s="3"/>
      <c r="B344" s="3"/>
      <c r="C344" s="148"/>
      <c r="D344" s="37"/>
      <c r="E344" s="37"/>
      <c r="F344" s="37"/>
      <c r="G344" s="37"/>
      <c r="H344" s="37"/>
      <c r="I344" s="37"/>
      <c r="J344" s="37"/>
      <c r="K344" s="37"/>
      <c r="L344" s="37"/>
      <c r="M344" s="37"/>
      <c r="N344" s="37"/>
      <c r="O344" s="37"/>
      <c r="P344" s="3"/>
    </row>
    <row r="345" spans="1:16" ht="15.75" customHeight="1" x14ac:dyDescent="0.3">
      <c r="A345" s="3"/>
      <c r="B345" s="3"/>
      <c r="C345" s="148"/>
      <c r="D345" s="37"/>
      <c r="E345" s="37"/>
      <c r="F345" s="37"/>
      <c r="G345" s="37"/>
      <c r="H345" s="37"/>
      <c r="I345" s="37"/>
      <c r="J345" s="37"/>
      <c r="K345" s="37"/>
      <c r="L345" s="37"/>
      <c r="M345" s="37"/>
      <c r="N345" s="37"/>
      <c r="O345" s="37"/>
      <c r="P345" s="3"/>
    </row>
    <row r="346" spans="1:16" ht="15.75" customHeight="1" x14ac:dyDescent="0.3">
      <c r="A346" s="3"/>
      <c r="B346" s="3"/>
      <c r="C346" s="148"/>
      <c r="D346" s="37"/>
      <c r="E346" s="37"/>
      <c r="F346" s="37"/>
      <c r="G346" s="37"/>
      <c r="H346" s="37"/>
      <c r="I346" s="37"/>
      <c r="J346" s="37"/>
      <c r="K346" s="37"/>
      <c r="L346" s="37"/>
      <c r="M346" s="37"/>
      <c r="N346" s="37"/>
      <c r="O346" s="37"/>
      <c r="P346" s="3"/>
    </row>
    <row r="347" spans="1:16" ht="15.75" customHeight="1" x14ac:dyDescent="0.3">
      <c r="A347" s="3"/>
      <c r="B347" s="3"/>
      <c r="C347" s="148"/>
      <c r="D347" s="37"/>
      <c r="E347" s="37"/>
      <c r="F347" s="37"/>
      <c r="G347" s="37"/>
      <c r="H347" s="37"/>
      <c r="I347" s="37"/>
      <c r="J347" s="37"/>
      <c r="K347" s="37"/>
      <c r="L347" s="37"/>
      <c r="M347" s="37"/>
      <c r="N347" s="37"/>
      <c r="O347" s="37"/>
      <c r="P347" s="3"/>
    </row>
    <row r="348" spans="1:16" ht="15.75" customHeight="1" x14ac:dyDescent="0.3">
      <c r="A348" s="3"/>
      <c r="B348" s="3"/>
      <c r="C348" s="148"/>
      <c r="D348" s="37"/>
      <c r="E348" s="37"/>
      <c r="F348" s="37"/>
      <c r="G348" s="37"/>
      <c r="H348" s="37"/>
      <c r="I348" s="37"/>
      <c r="J348" s="37"/>
      <c r="K348" s="37"/>
      <c r="L348" s="37"/>
      <c r="M348" s="37"/>
      <c r="N348" s="37"/>
      <c r="O348" s="37"/>
      <c r="P348" s="3"/>
    </row>
    <row r="349" spans="1:16" ht="15.75" customHeight="1" x14ac:dyDescent="0.3">
      <c r="A349" s="3"/>
      <c r="B349" s="3"/>
      <c r="C349" s="148"/>
      <c r="D349" s="37"/>
      <c r="E349" s="37"/>
      <c r="F349" s="37"/>
      <c r="G349" s="37"/>
      <c r="H349" s="37"/>
      <c r="I349" s="37"/>
      <c r="J349" s="37"/>
      <c r="K349" s="37"/>
      <c r="L349" s="37"/>
      <c r="M349" s="37"/>
      <c r="N349" s="37"/>
      <c r="O349" s="37"/>
      <c r="P349" s="3"/>
    </row>
    <row r="350" spans="1:16" ht="15.75" customHeight="1" x14ac:dyDescent="0.3">
      <c r="A350" s="3"/>
      <c r="B350" s="3"/>
      <c r="C350" s="148"/>
      <c r="D350" s="37"/>
      <c r="E350" s="37"/>
      <c r="F350" s="37"/>
      <c r="G350" s="37"/>
      <c r="H350" s="37"/>
      <c r="I350" s="37"/>
      <c r="J350" s="37"/>
      <c r="K350" s="37"/>
      <c r="L350" s="37"/>
      <c r="M350" s="37"/>
      <c r="N350" s="37"/>
      <c r="O350" s="37"/>
      <c r="P350" s="3"/>
    </row>
    <row r="351" spans="1:16" ht="15.75" customHeight="1" x14ac:dyDescent="0.3">
      <c r="A351" s="3"/>
      <c r="B351" s="3"/>
      <c r="C351" s="148"/>
      <c r="D351" s="37"/>
      <c r="E351" s="37"/>
      <c r="F351" s="37"/>
      <c r="G351" s="37"/>
      <c r="H351" s="37"/>
      <c r="I351" s="37"/>
      <c r="J351" s="37"/>
      <c r="K351" s="37"/>
      <c r="L351" s="37"/>
      <c r="M351" s="37"/>
      <c r="N351" s="37"/>
      <c r="O351" s="37"/>
      <c r="P351" s="3"/>
    </row>
    <row r="352" spans="1:16" ht="15.75" customHeight="1" x14ac:dyDescent="0.3">
      <c r="A352" s="3"/>
      <c r="B352" s="3"/>
      <c r="C352" s="148"/>
      <c r="D352" s="37"/>
      <c r="E352" s="37"/>
      <c r="F352" s="37"/>
      <c r="G352" s="37"/>
      <c r="H352" s="37"/>
      <c r="I352" s="37"/>
      <c r="J352" s="37"/>
      <c r="K352" s="37"/>
      <c r="L352" s="37"/>
      <c r="M352" s="37"/>
      <c r="N352" s="37"/>
      <c r="O352" s="37"/>
      <c r="P352" s="3"/>
    </row>
    <row r="353" spans="1:16" ht="15.75" customHeight="1" x14ac:dyDescent="0.3">
      <c r="A353" s="3"/>
      <c r="B353" s="3"/>
      <c r="C353" s="148"/>
      <c r="D353" s="37"/>
      <c r="E353" s="37"/>
      <c r="F353" s="37"/>
      <c r="G353" s="37"/>
      <c r="H353" s="37"/>
      <c r="I353" s="37"/>
      <c r="J353" s="37"/>
      <c r="K353" s="37"/>
      <c r="L353" s="37"/>
      <c r="M353" s="37"/>
      <c r="N353" s="37"/>
      <c r="O353" s="37"/>
      <c r="P353" s="3"/>
    </row>
    <row r="354" spans="1:16" ht="15.75" customHeight="1" x14ac:dyDescent="0.3">
      <c r="A354" s="3"/>
      <c r="B354" s="3"/>
      <c r="C354" s="148"/>
      <c r="D354" s="37"/>
      <c r="E354" s="37"/>
      <c r="F354" s="37"/>
      <c r="G354" s="37"/>
      <c r="H354" s="37"/>
      <c r="I354" s="37"/>
      <c r="J354" s="37"/>
      <c r="K354" s="37"/>
      <c r="L354" s="37"/>
      <c r="M354" s="37"/>
      <c r="N354" s="37"/>
      <c r="O354" s="37"/>
      <c r="P354" s="3"/>
    </row>
    <row r="355" spans="1:16" ht="15.75" customHeight="1" x14ac:dyDescent="0.3">
      <c r="A355" s="3"/>
      <c r="B355" s="3"/>
      <c r="C355" s="148"/>
      <c r="D355" s="37"/>
      <c r="E355" s="37"/>
      <c r="F355" s="37"/>
      <c r="G355" s="37"/>
      <c r="H355" s="37"/>
      <c r="I355" s="37"/>
      <c r="J355" s="37"/>
      <c r="K355" s="37"/>
      <c r="L355" s="37"/>
      <c r="M355" s="37"/>
      <c r="N355" s="37"/>
      <c r="O355" s="37"/>
      <c r="P355" s="3"/>
    </row>
    <row r="356" spans="1:16" ht="15.75" customHeight="1" x14ac:dyDescent="0.3">
      <c r="A356" s="3"/>
      <c r="B356" s="3"/>
      <c r="C356" s="148"/>
      <c r="D356" s="37"/>
      <c r="E356" s="37"/>
      <c r="F356" s="37"/>
      <c r="G356" s="37"/>
      <c r="H356" s="37"/>
      <c r="I356" s="37"/>
      <c r="J356" s="37"/>
      <c r="K356" s="37"/>
      <c r="L356" s="37"/>
      <c r="M356" s="37"/>
      <c r="N356" s="37"/>
      <c r="O356" s="37"/>
      <c r="P356" s="3"/>
    </row>
    <row r="357" spans="1:16" ht="15.75" customHeight="1" x14ac:dyDescent="0.3">
      <c r="A357" s="3"/>
      <c r="B357" s="3"/>
      <c r="C357" s="148"/>
      <c r="D357" s="37"/>
      <c r="E357" s="37"/>
      <c r="F357" s="37"/>
      <c r="G357" s="37"/>
      <c r="H357" s="37"/>
      <c r="I357" s="37"/>
      <c r="J357" s="37"/>
      <c r="K357" s="37"/>
      <c r="L357" s="37"/>
      <c r="M357" s="37"/>
      <c r="N357" s="37"/>
      <c r="O357" s="37"/>
      <c r="P357" s="3"/>
    </row>
    <row r="358" spans="1:16" ht="15.75" customHeight="1" x14ac:dyDescent="0.3">
      <c r="A358" s="3"/>
      <c r="B358" s="3"/>
      <c r="C358" s="148"/>
      <c r="D358" s="37"/>
      <c r="E358" s="37"/>
      <c r="F358" s="37"/>
      <c r="G358" s="37"/>
      <c r="H358" s="37"/>
      <c r="I358" s="37"/>
      <c r="J358" s="37"/>
      <c r="K358" s="37"/>
      <c r="L358" s="37"/>
      <c r="M358" s="37"/>
      <c r="N358" s="37"/>
      <c r="O358" s="37"/>
      <c r="P358" s="3"/>
    </row>
    <row r="359" spans="1:16" ht="15.75" customHeight="1" x14ac:dyDescent="0.3">
      <c r="A359" s="3"/>
      <c r="B359" s="3"/>
      <c r="C359" s="148"/>
      <c r="D359" s="37"/>
      <c r="E359" s="37"/>
      <c r="F359" s="37"/>
      <c r="G359" s="37"/>
      <c r="H359" s="37"/>
      <c r="I359" s="37"/>
      <c r="J359" s="37"/>
      <c r="K359" s="37"/>
      <c r="L359" s="37"/>
      <c r="M359" s="37"/>
      <c r="N359" s="37"/>
      <c r="O359" s="37"/>
      <c r="P359" s="3"/>
    </row>
    <row r="360" spans="1:16" ht="15.75" customHeight="1" x14ac:dyDescent="0.3">
      <c r="A360" s="3"/>
      <c r="B360" s="3"/>
      <c r="C360" s="148"/>
      <c r="D360" s="37"/>
      <c r="E360" s="37"/>
      <c r="F360" s="37"/>
      <c r="G360" s="37"/>
      <c r="H360" s="37"/>
      <c r="I360" s="37"/>
      <c r="J360" s="37"/>
      <c r="K360" s="37"/>
      <c r="L360" s="37"/>
      <c r="M360" s="37"/>
      <c r="N360" s="37"/>
      <c r="O360" s="37"/>
      <c r="P360" s="3"/>
    </row>
    <row r="361" spans="1:16" ht="15.75" customHeight="1" x14ac:dyDescent="0.3">
      <c r="A361" s="3"/>
      <c r="B361" s="3"/>
      <c r="C361" s="148"/>
      <c r="D361" s="37"/>
      <c r="E361" s="37"/>
      <c r="F361" s="37"/>
      <c r="G361" s="37"/>
      <c r="H361" s="37"/>
      <c r="I361" s="37"/>
      <c r="J361" s="37"/>
      <c r="K361" s="37"/>
      <c r="L361" s="37"/>
      <c r="M361" s="37"/>
      <c r="N361" s="37"/>
      <c r="O361" s="37"/>
      <c r="P361" s="3"/>
    </row>
    <row r="362" spans="1:16" ht="15.75" customHeight="1" x14ac:dyDescent="0.3">
      <c r="A362" s="3"/>
      <c r="B362" s="3"/>
      <c r="C362" s="148"/>
      <c r="D362" s="37"/>
      <c r="E362" s="37"/>
      <c r="F362" s="37"/>
      <c r="G362" s="37"/>
      <c r="H362" s="37"/>
      <c r="I362" s="37"/>
      <c r="J362" s="37"/>
      <c r="K362" s="37"/>
      <c r="L362" s="37"/>
      <c r="M362" s="37"/>
      <c r="N362" s="37"/>
      <c r="O362" s="37"/>
      <c r="P362" s="3"/>
    </row>
    <row r="363" spans="1:16" ht="15.75" customHeight="1" x14ac:dyDescent="0.3">
      <c r="A363" s="3"/>
      <c r="B363" s="3"/>
      <c r="C363" s="148"/>
      <c r="D363" s="37"/>
      <c r="E363" s="37"/>
      <c r="F363" s="37"/>
      <c r="G363" s="37"/>
      <c r="H363" s="37"/>
      <c r="I363" s="37"/>
      <c r="J363" s="37"/>
      <c r="K363" s="37"/>
      <c r="L363" s="37"/>
      <c r="M363" s="37"/>
      <c r="N363" s="37"/>
      <c r="O363" s="37"/>
      <c r="P363" s="3"/>
    </row>
    <row r="364" spans="1:16" ht="15.75" customHeight="1" x14ac:dyDescent="0.3">
      <c r="A364" s="3"/>
      <c r="B364" s="3"/>
      <c r="C364" s="148"/>
      <c r="D364" s="37"/>
      <c r="E364" s="37"/>
      <c r="F364" s="37"/>
      <c r="G364" s="37"/>
      <c r="H364" s="37"/>
      <c r="I364" s="37"/>
      <c r="J364" s="37"/>
      <c r="K364" s="37"/>
      <c r="L364" s="37"/>
      <c r="M364" s="37"/>
      <c r="N364" s="37"/>
      <c r="O364" s="37"/>
      <c r="P364" s="3"/>
    </row>
    <row r="365" spans="1:16" ht="15.75" customHeight="1" x14ac:dyDescent="0.3">
      <c r="A365" s="3"/>
      <c r="B365" s="3"/>
      <c r="C365" s="148"/>
      <c r="D365" s="37"/>
      <c r="E365" s="37"/>
      <c r="F365" s="37"/>
      <c r="G365" s="37"/>
      <c r="H365" s="37"/>
      <c r="I365" s="37"/>
      <c r="J365" s="37"/>
      <c r="K365" s="37"/>
      <c r="L365" s="37"/>
      <c r="M365" s="37"/>
      <c r="N365" s="37"/>
      <c r="O365" s="37"/>
      <c r="P365" s="3"/>
    </row>
    <row r="366" spans="1:16" ht="15.75" customHeight="1" x14ac:dyDescent="0.3">
      <c r="A366" s="3"/>
      <c r="B366" s="3"/>
      <c r="C366" s="148"/>
      <c r="D366" s="37"/>
      <c r="E366" s="37"/>
      <c r="F366" s="37"/>
      <c r="G366" s="37"/>
      <c r="H366" s="37"/>
      <c r="I366" s="37"/>
      <c r="J366" s="37"/>
      <c r="K366" s="37"/>
      <c r="L366" s="37"/>
      <c r="M366" s="37"/>
      <c r="N366" s="37"/>
      <c r="O366" s="37"/>
      <c r="P366" s="3"/>
    </row>
    <row r="367" spans="1:16" ht="15.75" customHeight="1" x14ac:dyDescent="0.3">
      <c r="A367" s="3"/>
      <c r="B367" s="3"/>
      <c r="C367" s="148"/>
      <c r="D367" s="37"/>
      <c r="E367" s="37"/>
      <c r="F367" s="37"/>
      <c r="G367" s="37"/>
      <c r="H367" s="37"/>
      <c r="I367" s="37"/>
      <c r="J367" s="37"/>
      <c r="K367" s="37"/>
      <c r="L367" s="37"/>
      <c r="M367" s="37"/>
      <c r="N367" s="37"/>
      <c r="O367" s="37"/>
      <c r="P367" s="3"/>
    </row>
    <row r="368" spans="1:16" ht="15.75" customHeight="1" x14ac:dyDescent="0.3">
      <c r="A368" s="3"/>
      <c r="B368" s="3"/>
      <c r="C368" s="148"/>
      <c r="D368" s="37"/>
      <c r="E368" s="37"/>
      <c r="F368" s="37"/>
      <c r="G368" s="37"/>
      <c r="H368" s="37"/>
      <c r="I368" s="37"/>
      <c r="J368" s="37"/>
      <c r="K368" s="37"/>
      <c r="L368" s="37"/>
      <c r="M368" s="37"/>
      <c r="N368" s="37"/>
      <c r="O368" s="37"/>
      <c r="P368" s="3"/>
    </row>
    <row r="369" spans="1:16" ht="15.75" customHeight="1" x14ac:dyDescent="0.3">
      <c r="A369" s="3"/>
      <c r="B369" s="3"/>
      <c r="C369" s="148"/>
      <c r="D369" s="37"/>
      <c r="E369" s="37"/>
      <c r="F369" s="37"/>
      <c r="G369" s="37"/>
      <c r="H369" s="37"/>
      <c r="I369" s="37"/>
      <c r="J369" s="37"/>
      <c r="K369" s="37"/>
      <c r="L369" s="37"/>
      <c r="M369" s="37"/>
      <c r="N369" s="37"/>
      <c r="O369" s="37"/>
      <c r="P369" s="3"/>
    </row>
    <row r="370" spans="1:16" ht="15.75" customHeight="1" x14ac:dyDescent="0.3">
      <c r="A370" s="3"/>
      <c r="B370" s="3"/>
      <c r="C370" s="148"/>
      <c r="D370" s="37"/>
      <c r="E370" s="37"/>
      <c r="F370" s="37"/>
      <c r="G370" s="37"/>
      <c r="H370" s="37"/>
      <c r="I370" s="37"/>
      <c r="J370" s="37"/>
      <c r="K370" s="37"/>
      <c r="L370" s="37"/>
      <c r="M370" s="37"/>
      <c r="N370" s="37"/>
      <c r="O370" s="37"/>
      <c r="P370" s="3"/>
    </row>
    <row r="371" spans="1:16" ht="15.75" customHeight="1" x14ac:dyDescent="0.3">
      <c r="A371" s="3"/>
      <c r="B371" s="3"/>
      <c r="C371" s="148"/>
      <c r="D371" s="37"/>
      <c r="E371" s="37"/>
      <c r="F371" s="37"/>
      <c r="G371" s="37"/>
      <c r="H371" s="37"/>
      <c r="I371" s="37"/>
      <c r="J371" s="37"/>
      <c r="K371" s="37"/>
      <c r="L371" s="37"/>
      <c r="M371" s="37"/>
      <c r="N371" s="37"/>
      <c r="O371" s="37"/>
      <c r="P371" s="3"/>
    </row>
    <row r="372" spans="1:16" ht="15.75" customHeight="1" x14ac:dyDescent="0.3">
      <c r="A372" s="3"/>
      <c r="B372" s="3"/>
      <c r="C372" s="148"/>
      <c r="D372" s="37"/>
      <c r="E372" s="37"/>
      <c r="F372" s="37"/>
      <c r="G372" s="37"/>
      <c r="H372" s="37"/>
      <c r="I372" s="37"/>
      <c r="J372" s="37"/>
      <c r="K372" s="37"/>
      <c r="L372" s="37"/>
      <c r="M372" s="37"/>
      <c r="N372" s="37"/>
      <c r="O372" s="37"/>
      <c r="P372" s="3"/>
    </row>
    <row r="373" spans="1:16" ht="15.75" customHeight="1" x14ac:dyDescent="0.3">
      <c r="A373" s="3"/>
      <c r="B373" s="3"/>
      <c r="C373" s="148"/>
      <c r="D373" s="37"/>
      <c r="E373" s="37"/>
      <c r="F373" s="37"/>
      <c r="G373" s="37"/>
      <c r="H373" s="37"/>
      <c r="I373" s="37"/>
      <c r="J373" s="37"/>
      <c r="K373" s="37"/>
      <c r="L373" s="37"/>
      <c r="M373" s="37"/>
      <c r="N373" s="37"/>
      <c r="O373" s="37"/>
      <c r="P373" s="3"/>
    </row>
    <row r="374" spans="1:16" ht="15.75" customHeight="1" x14ac:dyDescent="0.3">
      <c r="A374" s="3"/>
      <c r="B374" s="3"/>
      <c r="C374" s="148"/>
      <c r="D374" s="37"/>
      <c r="E374" s="37"/>
      <c r="F374" s="37"/>
      <c r="G374" s="37"/>
      <c r="H374" s="37"/>
      <c r="I374" s="37"/>
      <c r="J374" s="37"/>
      <c r="K374" s="37"/>
      <c r="L374" s="37"/>
      <c r="M374" s="37"/>
      <c r="N374" s="37"/>
      <c r="O374" s="37"/>
      <c r="P374" s="3"/>
    </row>
    <row r="375" spans="1:16" ht="15.75" customHeight="1" x14ac:dyDescent="0.3">
      <c r="A375" s="3"/>
      <c r="B375" s="3"/>
      <c r="C375" s="148"/>
      <c r="D375" s="37"/>
      <c r="E375" s="37"/>
      <c r="F375" s="37"/>
      <c r="G375" s="37"/>
      <c r="H375" s="37"/>
      <c r="I375" s="37"/>
      <c r="J375" s="37"/>
      <c r="K375" s="37"/>
      <c r="L375" s="37"/>
      <c r="M375" s="37"/>
      <c r="N375" s="37"/>
      <c r="O375" s="37"/>
      <c r="P375" s="3"/>
    </row>
    <row r="376" spans="1:16" ht="15.75" customHeight="1" x14ac:dyDescent="0.3">
      <c r="A376" s="3"/>
      <c r="B376" s="3"/>
      <c r="C376" s="148"/>
      <c r="D376" s="37"/>
      <c r="E376" s="37"/>
      <c r="F376" s="37"/>
      <c r="G376" s="37"/>
      <c r="H376" s="37"/>
      <c r="I376" s="37"/>
      <c r="J376" s="37"/>
      <c r="K376" s="37"/>
      <c r="L376" s="37"/>
      <c r="M376" s="37"/>
      <c r="N376" s="37"/>
      <c r="O376" s="37"/>
      <c r="P376" s="3"/>
    </row>
    <row r="377" spans="1:16" ht="15.75" customHeight="1" x14ac:dyDescent="0.3">
      <c r="A377" s="3"/>
      <c r="B377" s="3"/>
      <c r="C377" s="148"/>
      <c r="D377" s="37"/>
      <c r="E377" s="37"/>
      <c r="F377" s="37"/>
      <c r="G377" s="37"/>
      <c r="H377" s="37"/>
      <c r="I377" s="37"/>
      <c r="J377" s="37"/>
      <c r="K377" s="37"/>
      <c r="L377" s="37"/>
      <c r="M377" s="37"/>
      <c r="N377" s="37"/>
      <c r="O377" s="37"/>
      <c r="P377" s="3"/>
    </row>
    <row r="378" spans="1:16" ht="15.75" customHeight="1" x14ac:dyDescent="0.3">
      <c r="A378" s="3"/>
      <c r="B378" s="3"/>
      <c r="C378" s="148"/>
      <c r="D378" s="37"/>
      <c r="E378" s="37"/>
      <c r="F378" s="37"/>
      <c r="G378" s="37"/>
      <c r="H378" s="37"/>
      <c r="I378" s="37"/>
      <c r="J378" s="37"/>
      <c r="K378" s="37"/>
      <c r="L378" s="37"/>
      <c r="M378" s="37"/>
      <c r="N378" s="37"/>
      <c r="O378" s="37"/>
      <c r="P378" s="3"/>
    </row>
    <row r="379" spans="1:16" ht="15.75" customHeight="1" x14ac:dyDescent="0.3">
      <c r="A379" s="3"/>
      <c r="B379" s="3"/>
      <c r="C379" s="148"/>
      <c r="D379" s="37"/>
      <c r="E379" s="37"/>
      <c r="F379" s="37"/>
      <c r="G379" s="37"/>
      <c r="H379" s="37"/>
      <c r="I379" s="37"/>
      <c r="J379" s="37"/>
      <c r="K379" s="37"/>
      <c r="L379" s="37"/>
      <c r="M379" s="37"/>
      <c r="N379" s="37"/>
      <c r="O379" s="37"/>
      <c r="P379" s="3"/>
    </row>
    <row r="380" spans="1:16" ht="15.75" customHeight="1" x14ac:dyDescent="0.3">
      <c r="A380" s="3"/>
      <c r="B380" s="3"/>
      <c r="C380" s="148"/>
      <c r="D380" s="37"/>
      <c r="E380" s="37"/>
      <c r="F380" s="37"/>
      <c r="G380" s="37"/>
      <c r="H380" s="37"/>
      <c r="I380" s="37"/>
      <c r="J380" s="37"/>
      <c r="K380" s="37"/>
      <c r="L380" s="37"/>
      <c r="M380" s="37"/>
      <c r="N380" s="37"/>
      <c r="O380" s="37"/>
      <c r="P380" s="3"/>
    </row>
    <row r="381" spans="1:16" ht="15.75" customHeight="1" x14ac:dyDescent="0.3">
      <c r="A381" s="3"/>
      <c r="B381" s="3"/>
      <c r="C381" s="148"/>
      <c r="D381" s="37"/>
      <c r="E381" s="37"/>
      <c r="F381" s="37"/>
      <c r="G381" s="37"/>
      <c r="H381" s="37"/>
      <c r="I381" s="37"/>
      <c r="J381" s="37"/>
      <c r="K381" s="37"/>
      <c r="L381" s="37"/>
      <c r="M381" s="37"/>
      <c r="N381" s="37"/>
      <c r="O381" s="37"/>
      <c r="P381" s="3"/>
    </row>
    <row r="382" spans="1:16" ht="15.75" customHeight="1" x14ac:dyDescent="0.3">
      <c r="A382" s="3"/>
      <c r="B382" s="3"/>
      <c r="C382" s="148"/>
      <c r="D382" s="37"/>
      <c r="E382" s="37"/>
      <c r="F382" s="37"/>
      <c r="G382" s="37"/>
      <c r="H382" s="37"/>
      <c r="I382" s="37"/>
      <c r="J382" s="37"/>
      <c r="K382" s="37"/>
      <c r="L382" s="37"/>
      <c r="M382" s="37"/>
      <c r="N382" s="37"/>
      <c r="O382" s="37"/>
      <c r="P382" s="3"/>
    </row>
    <row r="383" spans="1:16" ht="15.75" customHeight="1" x14ac:dyDescent="0.3">
      <c r="A383" s="3"/>
      <c r="B383" s="3"/>
      <c r="C383" s="148"/>
      <c r="D383" s="37"/>
      <c r="E383" s="37"/>
      <c r="F383" s="37"/>
      <c r="G383" s="37"/>
      <c r="H383" s="37"/>
      <c r="I383" s="37"/>
      <c r="J383" s="37"/>
      <c r="K383" s="37"/>
      <c r="L383" s="37"/>
      <c r="M383" s="37"/>
      <c r="N383" s="37"/>
      <c r="O383" s="37"/>
      <c r="P383" s="3"/>
    </row>
    <row r="384" spans="1:16" ht="15.75" customHeight="1" x14ac:dyDescent="0.3">
      <c r="A384" s="3"/>
      <c r="B384" s="3"/>
      <c r="C384" s="148"/>
      <c r="D384" s="37"/>
      <c r="E384" s="37"/>
      <c r="F384" s="37"/>
      <c r="G384" s="37"/>
      <c r="H384" s="37"/>
      <c r="I384" s="37"/>
      <c r="J384" s="37"/>
      <c r="K384" s="37"/>
      <c r="L384" s="37"/>
      <c r="M384" s="37"/>
      <c r="N384" s="37"/>
      <c r="O384" s="37"/>
      <c r="P384" s="3"/>
    </row>
    <row r="385" spans="1:16" ht="15.75" customHeight="1" x14ac:dyDescent="0.3">
      <c r="A385" s="3"/>
      <c r="B385" s="3"/>
      <c r="C385" s="148"/>
      <c r="D385" s="37"/>
      <c r="E385" s="37"/>
      <c r="F385" s="37"/>
      <c r="G385" s="37"/>
      <c r="H385" s="37"/>
      <c r="I385" s="37"/>
      <c r="J385" s="37"/>
      <c r="K385" s="37"/>
      <c r="L385" s="37"/>
      <c r="M385" s="37"/>
      <c r="N385" s="37"/>
      <c r="O385" s="37"/>
      <c r="P385" s="3"/>
    </row>
    <row r="386" spans="1:16" ht="15.75" customHeight="1" x14ac:dyDescent="0.3">
      <c r="A386" s="3"/>
      <c r="B386" s="3"/>
      <c r="C386" s="148"/>
      <c r="D386" s="37"/>
      <c r="E386" s="37"/>
      <c r="F386" s="37"/>
      <c r="G386" s="37"/>
      <c r="H386" s="37"/>
      <c r="I386" s="37"/>
      <c r="J386" s="37"/>
      <c r="K386" s="37"/>
      <c r="L386" s="37"/>
      <c r="M386" s="37"/>
      <c r="N386" s="37"/>
      <c r="O386" s="37"/>
      <c r="P386" s="3"/>
    </row>
    <row r="387" spans="1:16" ht="15.75" customHeight="1" x14ac:dyDescent="0.3">
      <c r="A387" s="3"/>
      <c r="B387" s="3"/>
      <c r="C387" s="148"/>
      <c r="D387" s="37"/>
      <c r="E387" s="37"/>
      <c r="F387" s="37"/>
      <c r="G387" s="37"/>
      <c r="H387" s="37"/>
      <c r="I387" s="37"/>
      <c r="J387" s="37"/>
      <c r="K387" s="37"/>
      <c r="L387" s="37"/>
      <c r="M387" s="37"/>
      <c r="N387" s="37"/>
      <c r="O387" s="37"/>
      <c r="P387" s="3"/>
    </row>
    <row r="388" spans="1:16" ht="15.75" customHeight="1" x14ac:dyDescent="0.3">
      <c r="A388" s="3"/>
      <c r="B388" s="3"/>
      <c r="C388" s="148"/>
      <c r="D388" s="37"/>
      <c r="E388" s="37"/>
      <c r="F388" s="37"/>
      <c r="G388" s="37"/>
      <c r="H388" s="37"/>
      <c r="I388" s="37"/>
      <c r="J388" s="37"/>
      <c r="K388" s="37"/>
      <c r="L388" s="37"/>
      <c r="M388" s="37"/>
      <c r="N388" s="37"/>
      <c r="O388" s="37"/>
      <c r="P388" s="3"/>
    </row>
    <row r="389" spans="1:16" ht="15.75" customHeight="1" x14ac:dyDescent="0.3">
      <c r="A389" s="3"/>
      <c r="B389" s="3"/>
      <c r="C389" s="148"/>
      <c r="D389" s="37"/>
      <c r="E389" s="37"/>
      <c r="F389" s="37"/>
      <c r="G389" s="37"/>
      <c r="H389" s="37"/>
      <c r="I389" s="37"/>
      <c r="J389" s="37"/>
      <c r="K389" s="37"/>
      <c r="L389" s="37"/>
      <c r="M389" s="37"/>
      <c r="N389" s="37"/>
      <c r="O389" s="37"/>
      <c r="P389" s="3"/>
    </row>
    <row r="390" spans="1:16" ht="15.75" customHeight="1" x14ac:dyDescent="0.3">
      <c r="A390" s="3"/>
      <c r="B390" s="3"/>
      <c r="C390" s="148"/>
      <c r="D390" s="37"/>
      <c r="E390" s="37"/>
      <c r="F390" s="37"/>
      <c r="G390" s="37"/>
      <c r="H390" s="37"/>
      <c r="I390" s="37"/>
      <c r="J390" s="37"/>
      <c r="K390" s="37"/>
      <c r="L390" s="37"/>
      <c r="M390" s="37"/>
      <c r="N390" s="37"/>
      <c r="O390" s="37"/>
      <c r="P390" s="3"/>
    </row>
    <row r="391" spans="1:16" ht="15.75" customHeight="1" x14ac:dyDescent="0.3">
      <c r="A391" s="3"/>
      <c r="B391" s="3"/>
      <c r="C391" s="148"/>
      <c r="D391" s="37"/>
      <c r="E391" s="37"/>
      <c r="F391" s="37"/>
      <c r="G391" s="37"/>
      <c r="H391" s="37"/>
      <c r="I391" s="37"/>
      <c r="J391" s="37"/>
      <c r="K391" s="37"/>
      <c r="L391" s="37"/>
      <c r="M391" s="37"/>
      <c r="N391" s="37"/>
      <c r="O391" s="37"/>
      <c r="P391" s="3"/>
    </row>
    <row r="392" spans="1:16" ht="15.75" customHeight="1" x14ac:dyDescent="0.3">
      <c r="A392" s="3"/>
      <c r="B392" s="3"/>
      <c r="C392" s="148"/>
      <c r="D392" s="37"/>
      <c r="E392" s="37"/>
      <c r="F392" s="37"/>
      <c r="G392" s="37"/>
      <c r="H392" s="37"/>
      <c r="I392" s="37"/>
      <c r="J392" s="37"/>
      <c r="K392" s="37"/>
      <c r="L392" s="37"/>
      <c r="M392" s="37"/>
      <c r="N392" s="37"/>
      <c r="O392" s="37"/>
      <c r="P392" s="3"/>
    </row>
    <row r="393" spans="1:16" ht="15.75" customHeight="1" x14ac:dyDescent="0.3">
      <c r="A393" s="3"/>
      <c r="B393" s="3"/>
      <c r="C393" s="148"/>
      <c r="D393" s="37"/>
      <c r="E393" s="37"/>
      <c r="F393" s="37"/>
      <c r="G393" s="37"/>
      <c r="H393" s="37"/>
      <c r="I393" s="37"/>
      <c r="J393" s="37"/>
      <c r="K393" s="37"/>
      <c r="L393" s="37"/>
      <c r="M393" s="37"/>
      <c r="N393" s="37"/>
      <c r="O393" s="37"/>
      <c r="P393" s="3"/>
    </row>
    <row r="394" spans="1:16" ht="15.75" customHeight="1" x14ac:dyDescent="0.3">
      <c r="A394" s="3"/>
      <c r="B394" s="3"/>
      <c r="C394" s="148"/>
      <c r="D394" s="37"/>
      <c r="E394" s="37"/>
      <c r="F394" s="37"/>
      <c r="G394" s="37"/>
      <c r="H394" s="37"/>
      <c r="I394" s="37"/>
      <c r="J394" s="37"/>
      <c r="K394" s="37"/>
      <c r="L394" s="37"/>
      <c r="M394" s="37"/>
      <c r="N394" s="37"/>
      <c r="O394" s="37"/>
      <c r="P394" s="3"/>
    </row>
    <row r="395" spans="1:16" ht="15.75" customHeight="1" x14ac:dyDescent="0.3">
      <c r="A395" s="3"/>
      <c r="B395" s="3"/>
      <c r="C395" s="148"/>
      <c r="D395" s="37"/>
      <c r="E395" s="37"/>
      <c r="F395" s="37"/>
      <c r="G395" s="37"/>
      <c r="H395" s="37"/>
      <c r="I395" s="37"/>
      <c r="J395" s="37"/>
      <c r="K395" s="37"/>
      <c r="L395" s="37"/>
      <c r="M395" s="37"/>
      <c r="N395" s="37"/>
      <c r="O395" s="37"/>
      <c r="P395" s="3"/>
    </row>
    <row r="396" spans="1:16" ht="15.75" customHeight="1" x14ac:dyDescent="0.3">
      <c r="A396" s="3"/>
      <c r="B396" s="3"/>
      <c r="C396" s="148"/>
      <c r="D396" s="37"/>
      <c r="E396" s="37"/>
      <c r="F396" s="37"/>
      <c r="G396" s="37"/>
      <c r="H396" s="37"/>
      <c r="I396" s="37"/>
      <c r="J396" s="37"/>
      <c r="K396" s="37"/>
      <c r="L396" s="37"/>
      <c r="M396" s="37"/>
      <c r="N396" s="37"/>
      <c r="O396" s="37"/>
      <c r="P396" s="3"/>
    </row>
    <row r="397" spans="1:16" ht="15.75" customHeight="1" x14ac:dyDescent="0.3">
      <c r="A397" s="3"/>
      <c r="B397" s="3"/>
      <c r="C397" s="148"/>
      <c r="D397" s="37"/>
      <c r="E397" s="37"/>
      <c r="F397" s="37"/>
      <c r="G397" s="37"/>
      <c r="H397" s="37"/>
      <c r="I397" s="37"/>
      <c r="J397" s="37"/>
      <c r="K397" s="37"/>
      <c r="L397" s="37"/>
      <c r="M397" s="37"/>
      <c r="N397" s="37"/>
      <c r="O397" s="37"/>
      <c r="P397" s="3"/>
    </row>
    <row r="398" spans="1:16" ht="15.75" customHeight="1" x14ac:dyDescent="0.3">
      <c r="A398" s="3"/>
      <c r="B398" s="3"/>
      <c r="C398" s="148"/>
      <c r="D398" s="37"/>
      <c r="E398" s="37"/>
      <c r="F398" s="37"/>
      <c r="G398" s="37"/>
      <c r="H398" s="37"/>
      <c r="I398" s="37"/>
      <c r="J398" s="37"/>
      <c r="K398" s="37"/>
      <c r="L398" s="37"/>
      <c r="M398" s="37"/>
      <c r="N398" s="37"/>
      <c r="O398" s="37"/>
      <c r="P398" s="3"/>
    </row>
    <row r="399" spans="1:16" ht="15.75" customHeight="1" x14ac:dyDescent="0.3">
      <c r="A399" s="3"/>
      <c r="B399" s="3"/>
      <c r="C399" s="148"/>
      <c r="D399" s="37"/>
      <c r="E399" s="37"/>
      <c r="F399" s="37"/>
      <c r="G399" s="37"/>
      <c r="H399" s="37"/>
      <c r="I399" s="37"/>
      <c r="J399" s="37"/>
      <c r="K399" s="37"/>
      <c r="L399" s="37"/>
      <c r="M399" s="37"/>
      <c r="N399" s="37"/>
      <c r="O399" s="37"/>
      <c r="P399" s="3"/>
    </row>
    <row r="400" spans="1:16" ht="15.75" customHeight="1" x14ac:dyDescent="0.3">
      <c r="A400" s="3"/>
      <c r="B400" s="3"/>
      <c r="C400" s="148"/>
      <c r="D400" s="37"/>
      <c r="E400" s="37"/>
      <c r="F400" s="37"/>
      <c r="G400" s="37"/>
      <c r="H400" s="37"/>
      <c r="I400" s="37"/>
      <c r="J400" s="37"/>
      <c r="K400" s="37"/>
      <c r="L400" s="37"/>
      <c r="M400" s="37"/>
      <c r="N400" s="37"/>
      <c r="O400" s="37"/>
      <c r="P400" s="3"/>
    </row>
    <row r="401" spans="1:16" ht="15.75" customHeight="1" x14ac:dyDescent="0.3">
      <c r="A401" s="3"/>
      <c r="B401" s="3"/>
      <c r="C401" s="148"/>
      <c r="D401" s="37"/>
      <c r="E401" s="37"/>
      <c r="F401" s="37"/>
      <c r="G401" s="37"/>
      <c r="H401" s="37"/>
      <c r="I401" s="37"/>
      <c r="J401" s="37"/>
      <c r="K401" s="37"/>
      <c r="L401" s="37"/>
      <c r="M401" s="37"/>
      <c r="N401" s="37"/>
      <c r="O401" s="37"/>
      <c r="P401" s="3"/>
    </row>
    <row r="402" spans="1:16" ht="15.75" customHeight="1" x14ac:dyDescent="0.3">
      <c r="A402" s="3"/>
      <c r="B402" s="3"/>
      <c r="C402" s="148"/>
      <c r="D402" s="37"/>
      <c r="E402" s="37"/>
      <c r="F402" s="37"/>
      <c r="G402" s="37"/>
      <c r="H402" s="37"/>
      <c r="I402" s="37"/>
      <c r="J402" s="37"/>
      <c r="K402" s="37"/>
      <c r="L402" s="37"/>
      <c r="M402" s="37"/>
      <c r="N402" s="37"/>
      <c r="O402" s="37"/>
      <c r="P402" s="3"/>
    </row>
    <row r="403" spans="1:16" ht="15.75" customHeight="1" x14ac:dyDescent="0.3">
      <c r="A403" s="3"/>
      <c r="B403" s="3"/>
      <c r="C403" s="148"/>
      <c r="D403" s="37"/>
      <c r="E403" s="37"/>
      <c r="F403" s="37"/>
      <c r="G403" s="37"/>
      <c r="H403" s="37"/>
      <c r="I403" s="37"/>
      <c r="J403" s="37"/>
      <c r="K403" s="37"/>
      <c r="L403" s="37"/>
      <c r="M403" s="37"/>
      <c r="N403" s="37"/>
      <c r="O403" s="37"/>
      <c r="P403" s="3"/>
    </row>
    <row r="404" spans="1:16" ht="15.75" customHeight="1" x14ac:dyDescent="0.3">
      <c r="A404" s="3"/>
      <c r="B404" s="3"/>
      <c r="C404" s="148"/>
      <c r="D404" s="37"/>
      <c r="E404" s="37"/>
      <c r="F404" s="37"/>
      <c r="G404" s="37"/>
      <c r="H404" s="37"/>
      <c r="I404" s="37"/>
      <c r="J404" s="37"/>
      <c r="K404" s="37"/>
      <c r="L404" s="37"/>
      <c r="M404" s="37"/>
      <c r="N404" s="37"/>
      <c r="O404" s="37"/>
      <c r="P404" s="3"/>
    </row>
    <row r="405" spans="1:16" ht="15.75" customHeight="1" x14ac:dyDescent="0.3">
      <c r="A405" s="3"/>
      <c r="B405" s="3"/>
      <c r="C405" s="148"/>
      <c r="D405" s="37"/>
      <c r="E405" s="37"/>
      <c r="F405" s="37"/>
      <c r="G405" s="37"/>
      <c r="H405" s="37"/>
      <c r="I405" s="37"/>
      <c r="J405" s="37"/>
      <c r="K405" s="37"/>
      <c r="L405" s="37"/>
      <c r="M405" s="37"/>
      <c r="N405" s="37"/>
      <c r="O405" s="37"/>
      <c r="P405" s="3"/>
    </row>
    <row r="406" spans="1:16" ht="15.75" customHeight="1" x14ac:dyDescent="0.3">
      <c r="A406" s="3"/>
      <c r="B406" s="3"/>
      <c r="C406" s="148"/>
      <c r="D406" s="37"/>
      <c r="E406" s="37"/>
      <c r="F406" s="37"/>
      <c r="G406" s="37"/>
      <c r="H406" s="37"/>
      <c r="I406" s="37"/>
      <c r="J406" s="37"/>
      <c r="K406" s="37"/>
      <c r="L406" s="37"/>
      <c r="M406" s="37"/>
      <c r="N406" s="37"/>
      <c r="O406" s="37"/>
      <c r="P406" s="3"/>
    </row>
    <row r="407" spans="1:16" ht="15.75" customHeight="1" x14ac:dyDescent="0.3">
      <c r="A407" s="3"/>
      <c r="B407" s="3"/>
      <c r="C407" s="148"/>
      <c r="D407" s="37"/>
      <c r="E407" s="37"/>
      <c r="F407" s="37"/>
      <c r="G407" s="37"/>
      <c r="H407" s="37"/>
      <c r="I407" s="37"/>
      <c r="J407" s="37"/>
      <c r="K407" s="37"/>
      <c r="L407" s="37"/>
      <c r="M407" s="37"/>
      <c r="N407" s="37"/>
      <c r="O407" s="37"/>
      <c r="P407" s="3"/>
    </row>
    <row r="408" spans="1:16" ht="15.75" customHeight="1" x14ac:dyDescent="0.3">
      <c r="A408" s="3"/>
      <c r="B408" s="3"/>
      <c r="C408" s="148"/>
      <c r="D408" s="37"/>
      <c r="E408" s="37"/>
      <c r="F408" s="37"/>
      <c r="G408" s="37"/>
      <c r="H408" s="37"/>
      <c r="I408" s="37"/>
      <c r="J408" s="37"/>
      <c r="K408" s="37"/>
      <c r="L408" s="37"/>
      <c r="M408" s="37"/>
      <c r="N408" s="37"/>
      <c r="O408" s="37"/>
      <c r="P408" s="3"/>
    </row>
    <row r="409" spans="1:16" ht="15.75" customHeight="1" x14ac:dyDescent="0.3">
      <c r="A409" s="3"/>
      <c r="B409" s="3"/>
      <c r="C409" s="148"/>
      <c r="D409" s="37"/>
      <c r="E409" s="37"/>
      <c r="F409" s="37"/>
      <c r="G409" s="37"/>
      <c r="H409" s="37"/>
      <c r="I409" s="37"/>
      <c r="J409" s="37"/>
      <c r="K409" s="37"/>
      <c r="L409" s="37"/>
      <c r="M409" s="37"/>
      <c r="N409" s="37"/>
      <c r="O409" s="37"/>
      <c r="P409" s="3"/>
    </row>
    <row r="410" spans="1:16" ht="15.75" customHeight="1" x14ac:dyDescent="0.3">
      <c r="A410" s="3"/>
      <c r="B410" s="3"/>
      <c r="C410" s="148"/>
      <c r="D410" s="37"/>
      <c r="E410" s="37"/>
      <c r="F410" s="37"/>
      <c r="G410" s="37"/>
      <c r="H410" s="37"/>
      <c r="I410" s="37"/>
      <c r="J410" s="37"/>
      <c r="K410" s="37"/>
      <c r="L410" s="37"/>
      <c r="M410" s="37"/>
      <c r="N410" s="37"/>
      <c r="O410" s="37"/>
      <c r="P410" s="3"/>
    </row>
    <row r="411" spans="1:16" ht="15.75" customHeight="1" x14ac:dyDescent="0.3">
      <c r="A411" s="3"/>
      <c r="B411" s="3"/>
      <c r="C411" s="148"/>
      <c r="D411" s="37"/>
      <c r="E411" s="37"/>
      <c r="F411" s="37"/>
      <c r="G411" s="37"/>
      <c r="H411" s="37"/>
      <c r="I411" s="37"/>
      <c r="J411" s="37"/>
      <c r="K411" s="37"/>
      <c r="L411" s="37"/>
      <c r="M411" s="37"/>
      <c r="N411" s="37"/>
      <c r="O411" s="37"/>
      <c r="P411" s="3"/>
    </row>
    <row r="412" spans="1:16" ht="15.75" customHeight="1" x14ac:dyDescent="0.3">
      <c r="A412" s="3"/>
      <c r="B412" s="3"/>
      <c r="C412" s="148"/>
      <c r="D412" s="37"/>
      <c r="E412" s="37"/>
      <c r="F412" s="37"/>
      <c r="G412" s="37"/>
      <c r="H412" s="37"/>
      <c r="I412" s="37"/>
      <c r="J412" s="37"/>
      <c r="K412" s="37"/>
      <c r="L412" s="37"/>
      <c r="M412" s="37"/>
      <c r="N412" s="37"/>
      <c r="O412" s="37"/>
      <c r="P412" s="3"/>
    </row>
    <row r="413" spans="1:16" ht="15.75" customHeight="1" x14ac:dyDescent="0.3">
      <c r="A413" s="3"/>
      <c r="B413" s="3"/>
      <c r="C413" s="148"/>
      <c r="D413" s="37"/>
      <c r="E413" s="37"/>
      <c r="F413" s="37"/>
      <c r="G413" s="37"/>
      <c r="H413" s="37"/>
      <c r="I413" s="37"/>
      <c r="J413" s="37"/>
      <c r="K413" s="37"/>
      <c r="L413" s="37"/>
      <c r="M413" s="37"/>
      <c r="N413" s="37"/>
      <c r="O413" s="37"/>
      <c r="P413" s="3"/>
    </row>
    <row r="414" spans="1:16" ht="15.75" customHeight="1" x14ac:dyDescent="0.3">
      <c r="A414" s="3"/>
      <c r="B414" s="3"/>
      <c r="C414" s="148"/>
      <c r="D414" s="37"/>
      <c r="E414" s="37"/>
      <c r="F414" s="37"/>
      <c r="G414" s="37"/>
      <c r="H414" s="37"/>
      <c r="I414" s="37"/>
      <c r="J414" s="37"/>
      <c r="K414" s="37"/>
      <c r="L414" s="37"/>
      <c r="M414" s="37"/>
      <c r="N414" s="37"/>
      <c r="O414" s="37"/>
      <c r="P414" s="3"/>
    </row>
    <row r="415" spans="1:16" ht="15.75" customHeight="1" x14ac:dyDescent="0.3">
      <c r="A415" s="3"/>
      <c r="B415" s="3"/>
      <c r="C415" s="148"/>
      <c r="D415" s="37"/>
      <c r="E415" s="37"/>
      <c r="F415" s="37"/>
      <c r="G415" s="37"/>
      <c r="H415" s="37"/>
      <c r="I415" s="37"/>
      <c r="J415" s="37"/>
      <c r="K415" s="37"/>
      <c r="L415" s="37"/>
      <c r="M415" s="37"/>
      <c r="N415" s="37"/>
      <c r="O415" s="37"/>
      <c r="P415" s="3"/>
    </row>
    <row r="416" spans="1:16" ht="15.75" customHeight="1" x14ac:dyDescent="0.3">
      <c r="A416" s="3"/>
      <c r="B416" s="3"/>
      <c r="C416" s="148"/>
      <c r="D416" s="37"/>
      <c r="E416" s="37"/>
      <c r="F416" s="37"/>
      <c r="G416" s="37"/>
      <c r="H416" s="37"/>
      <c r="I416" s="37"/>
      <c r="J416" s="37"/>
      <c r="K416" s="37"/>
      <c r="L416" s="37"/>
      <c r="M416" s="37"/>
      <c r="N416" s="37"/>
      <c r="O416" s="37"/>
      <c r="P416" s="3"/>
    </row>
    <row r="417" spans="1:16" ht="15.75" customHeight="1" x14ac:dyDescent="0.3">
      <c r="A417" s="3"/>
      <c r="B417" s="3"/>
      <c r="C417" s="148"/>
      <c r="D417" s="37"/>
      <c r="E417" s="37"/>
      <c r="F417" s="37"/>
      <c r="G417" s="37"/>
      <c r="H417" s="37"/>
      <c r="I417" s="37"/>
      <c r="J417" s="37"/>
      <c r="K417" s="37"/>
      <c r="L417" s="37"/>
      <c r="M417" s="37"/>
      <c r="N417" s="37"/>
      <c r="O417" s="37"/>
      <c r="P417" s="3"/>
    </row>
    <row r="418" spans="1:16" ht="15.75" customHeight="1" x14ac:dyDescent="0.3">
      <c r="A418" s="3"/>
      <c r="B418" s="3"/>
      <c r="C418" s="148"/>
      <c r="D418" s="37"/>
      <c r="E418" s="37"/>
      <c r="F418" s="37"/>
      <c r="G418" s="37"/>
      <c r="H418" s="37"/>
      <c r="I418" s="37"/>
      <c r="J418" s="37"/>
      <c r="K418" s="37"/>
      <c r="L418" s="37"/>
      <c r="M418" s="37"/>
      <c r="N418" s="37"/>
      <c r="O418" s="37"/>
      <c r="P418" s="3"/>
    </row>
    <row r="419" spans="1:16" ht="15.75" customHeight="1" x14ac:dyDescent="0.3">
      <c r="A419" s="3"/>
      <c r="B419" s="3"/>
      <c r="C419" s="148"/>
      <c r="D419" s="37"/>
      <c r="E419" s="37"/>
      <c r="F419" s="37"/>
      <c r="G419" s="37"/>
      <c r="H419" s="37"/>
      <c r="I419" s="37"/>
      <c r="J419" s="37"/>
      <c r="K419" s="37"/>
      <c r="L419" s="37"/>
      <c r="M419" s="37"/>
      <c r="N419" s="37"/>
      <c r="O419" s="37"/>
      <c r="P419" s="3"/>
    </row>
    <row r="420" spans="1:16" ht="15.75" customHeight="1" x14ac:dyDescent="0.3">
      <c r="A420" s="3"/>
      <c r="B420" s="3"/>
      <c r="C420" s="148"/>
      <c r="D420" s="37"/>
      <c r="E420" s="37"/>
      <c r="F420" s="37"/>
      <c r="G420" s="37"/>
      <c r="H420" s="37"/>
      <c r="I420" s="37"/>
      <c r="J420" s="37"/>
      <c r="K420" s="37"/>
      <c r="L420" s="37"/>
      <c r="M420" s="37"/>
      <c r="N420" s="37"/>
      <c r="O420" s="37"/>
      <c r="P420" s="3"/>
    </row>
    <row r="421" spans="1:16" ht="15.75" customHeight="1" x14ac:dyDescent="0.3">
      <c r="A421" s="3"/>
      <c r="B421" s="3"/>
      <c r="C421" s="148"/>
      <c r="D421" s="37"/>
      <c r="E421" s="37"/>
      <c r="F421" s="37"/>
      <c r="G421" s="37"/>
      <c r="H421" s="37"/>
      <c r="I421" s="37"/>
      <c r="J421" s="37"/>
      <c r="K421" s="37"/>
      <c r="L421" s="37"/>
      <c r="M421" s="37"/>
      <c r="N421" s="37"/>
      <c r="O421" s="37"/>
      <c r="P421" s="3"/>
    </row>
    <row r="422" spans="1:16" ht="15.75" customHeight="1" x14ac:dyDescent="0.3">
      <c r="A422" s="3"/>
      <c r="B422" s="3"/>
      <c r="C422" s="148"/>
      <c r="D422" s="37"/>
      <c r="E422" s="37"/>
      <c r="F422" s="37"/>
      <c r="G422" s="37"/>
      <c r="H422" s="37"/>
      <c r="I422" s="37"/>
      <c r="J422" s="37"/>
      <c r="K422" s="37"/>
      <c r="L422" s="37"/>
      <c r="M422" s="37"/>
      <c r="N422" s="37"/>
      <c r="O422" s="37"/>
      <c r="P422" s="3"/>
    </row>
    <row r="423" spans="1:16" ht="15.75" customHeight="1" x14ac:dyDescent="0.3">
      <c r="A423" s="3"/>
      <c r="B423" s="3"/>
      <c r="C423" s="148"/>
      <c r="D423" s="37"/>
      <c r="E423" s="37"/>
      <c r="F423" s="37"/>
      <c r="G423" s="37"/>
      <c r="H423" s="37"/>
      <c r="I423" s="37"/>
      <c r="J423" s="37"/>
      <c r="K423" s="37"/>
      <c r="L423" s="37"/>
      <c r="M423" s="37"/>
      <c r="N423" s="37"/>
      <c r="O423" s="37"/>
      <c r="P423" s="3"/>
    </row>
    <row r="424" spans="1:16" ht="15.75" customHeight="1" x14ac:dyDescent="0.3">
      <c r="A424" s="3"/>
      <c r="B424" s="3"/>
      <c r="C424" s="148"/>
      <c r="D424" s="37"/>
      <c r="E424" s="37"/>
      <c r="F424" s="37"/>
      <c r="G424" s="37"/>
      <c r="H424" s="37"/>
      <c r="I424" s="37"/>
      <c r="J424" s="37"/>
      <c r="K424" s="37"/>
      <c r="L424" s="37"/>
      <c r="M424" s="37"/>
      <c r="N424" s="37"/>
      <c r="O424" s="37"/>
      <c r="P424" s="3"/>
    </row>
    <row r="425" spans="1:16" ht="15.75" customHeight="1" x14ac:dyDescent="0.3">
      <c r="A425" s="3"/>
      <c r="B425" s="3"/>
      <c r="C425" s="148"/>
      <c r="D425" s="37"/>
      <c r="E425" s="37"/>
      <c r="F425" s="37"/>
      <c r="G425" s="37"/>
      <c r="H425" s="37"/>
      <c r="I425" s="37"/>
      <c r="J425" s="37"/>
      <c r="K425" s="37"/>
      <c r="L425" s="37"/>
      <c r="M425" s="37"/>
      <c r="N425" s="37"/>
      <c r="O425" s="37"/>
      <c r="P425" s="3"/>
    </row>
    <row r="426" spans="1:16" ht="15.75" customHeight="1" x14ac:dyDescent="0.3">
      <c r="A426" s="3"/>
      <c r="B426" s="3"/>
      <c r="C426" s="148"/>
      <c r="D426" s="37"/>
      <c r="E426" s="37"/>
      <c r="F426" s="37"/>
      <c r="G426" s="37"/>
      <c r="H426" s="37"/>
      <c r="I426" s="37"/>
      <c r="J426" s="37"/>
      <c r="K426" s="37"/>
      <c r="L426" s="37"/>
      <c r="M426" s="37"/>
      <c r="N426" s="37"/>
      <c r="O426" s="37"/>
      <c r="P426" s="3"/>
    </row>
    <row r="427" spans="1:16" ht="15.75" customHeight="1" x14ac:dyDescent="0.3">
      <c r="A427" s="3"/>
      <c r="B427" s="3"/>
      <c r="C427" s="148"/>
      <c r="D427" s="37"/>
      <c r="E427" s="37"/>
      <c r="F427" s="37"/>
      <c r="G427" s="37"/>
      <c r="H427" s="37"/>
      <c r="I427" s="37"/>
      <c r="J427" s="37"/>
      <c r="K427" s="37"/>
      <c r="L427" s="37"/>
      <c r="M427" s="37"/>
      <c r="N427" s="37"/>
      <c r="O427" s="37"/>
      <c r="P427" s="3"/>
    </row>
    <row r="428" spans="1:16" ht="15.75" customHeight="1" x14ac:dyDescent="0.3">
      <c r="A428" s="3"/>
      <c r="B428" s="3"/>
      <c r="C428" s="148"/>
      <c r="D428" s="37"/>
      <c r="E428" s="37"/>
      <c r="F428" s="37"/>
      <c r="G428" s="37"/>
      <c r="H428" s="37"/>
      <c r="I428" s="37"/>
      <c r="J428" s="37"/>
      <c r="K428" s="37"/>
      <c r="L428" s="37"/>
      <c r="M428" s="37"/>
      <c r="N428" s="37"/>
      <c r="O428" s="37"/>
      <c r="P428" s="3"/>
    </row>
    <row r="429" spans="1:16" ht="15.75" customHeight="1" x14ac:dyDescent="0.3">
      <c r="A429" s="3"/>
      <c r="B429" s="3"/>
      <c r="C429" s="148"/>
      <c r="D429" s="37"/>
      <c r="E429" s="37"/>
      <c r="F429" s="37"/>
      <c r="G429" s="37"/>
      <c r="H429" s="37"/>
      <c r="I429" s="37"/>
      <c r="J429" s="37"/>
      <c r="K429" s="37"/>
      <c r="L429" s="37"/>
      <c r="M429" s="37"/>
      <c r="N429" s="37"/>
      <c r="O429" s="37"/>
      <c r="P429" s="3"/>
    </row>
    <row r="430" spans="1:16" ht="15.75" customHeight="1" x14ac:dyDescent="0.3">
      <c r="A430" s="3"/>
      <c r="B430" s="3"/>
      <c r="C430" s="148"/>
      <c r="D430" s="37"/>
      <c r="E430" s="37"/>
      <c r="F430" s="37"/>
      <c r="G430" s="37"/>
      <c r="H430" s="37"/>
      <c r="I430" s="37"/>
      <c r="J430" s="37"/>
      <c r="K430" s="37"/>
      <c r="L430" s="37"/>
      <c r="M430" s="37"/>
      <c r="N430" s="37"/>
      <c r="O430" s="37"/>
      <c r="P430" s="3"/>
    </row>
    <row r="431" spans="1:16" ht="15.75" customHeight="1" x14ac:dyDescent="0.3">
      <c r="A431" s="3"/>
      <c r="B431" s="3"/>
      <c r="C431" s="148"/>
      <c r="D431" s="37"/>
      <c r="E431" s="37"/>
      <c r="F431" s="37"/>
      <c r="G431" s="37"/>
      <c r="H431" s="37"/>
      <c r="I431" s="37"/>
      <c r="J431" s="37"/>
      <c r="K431" s="37"/>
      <c r="L431" s="37"/>
      <c r="M431" s="37"/>
      <c r="N431" s="37"/>
      <c r="O431" s="37"/>
      <c r="P431" s="3"/>
    </row>
    <row r="432" spans="1:16" ht="15.75" customHeight="1" x14ac:dyDescent="0.3">
      <c r="A432" s="3"/>
      <c r="B432" s="3"/>
      <c r="C432" s="148"/>
      <c r="D432" s="37"/>
      <c r="E432" s="37"/>
      <c r="F432" s="37"/>
      <c r="G432" s="37"/>
      <c r="H432" s="37"/>
      <c r="I432" s="37"/>
      <c r="J432" s="37"/>
      <c r="K432" s="37"/>
      <c r="L432" s="37"/>
      <c r="M432" s="37"/>
      <c r="N432" s="37"/>
      <c r="O432" s="37"/>
      <c r="P432" s="3"/>
    </row>
    <row r="433" spans="1:16" ht="15.75" customHeight="1" x14ac:dyDescent="0.3">
      <c r="A433" s="3"/>
      <c r="B433" s="3"/>
      <c r="C433" s="148"/>
      <c r="D433" s="37"/>
      <c r="E433" s="37"/>
      <c r="F433" s="37"/>
      <c r="G433" s="37"/>
      <c r="H433" s="37"/>
      <c r="I433" s="37"/>
      <c r="J433" s="37"/>
      <c r="K433" s="37"/>
      <c r="L433" s="37"/>
      <c r="M433" s="37"/>
      <c r="N433" s="37"/>
      <c r="O433" s="37"/>
      <c r="P433" s="3"/>
    </row>
    <row r="434" spans="1:16" ht="15.75" customHeight="1" x14ac:dyDescent="0.3">
      <c r="A434" s="3"/>
      <c r="B434" s="3"/>
      <c r="C434" s="148"/>
      <c r="D434" s="37"/>
      <c r="E434" s="37"/>
      <c r="F434" s="37"/>
      <c r="G434" s="37"/>
      <c r="H434" s="37"/>
      <c r="I434" s="37"/>
      <c r="J434" s="37"/>
      <c r="K434" s="37"/>
      <c r="L434" s="37"/>
      <c r="M434" s="37"/>
      <c r="N434" s="37"/>
      <c r="O434" s="37"/>
      <c r="P434" s="3"/>
    </row>
    <row r="435" spans="1:16" ht="15.75" customHeight="1" x14ac:dyDescent="0.3">
      <c r="A435" s="3"/>
      <c r="B435" s="3"/>
      <c r="C435" s="148"/>
      <c r="D435" s="37"/>
      <c r="E435" s="37"/>
      <c r="F435" s="37"/>
      <c r="G435" s="37"/>
      <c r="H435" s="37"/>
      <c r="I435" s="37"/>
      <c r="J435" s="37"/>
      <c r="K435" s="37"/>
      <c r="L435" s="37"/>
      <c r="M435" s="37"/>
      <c r="N435" s="37"/>
      <c r="O435" s="37"/>
      <c r="P435" s="3"/>
    </row>
    <row r="436" spans="1:16" ht="15.75" customHeight="1" x14ac:dyDescent="0.3">
      <c r="A436" s="3"/>
      <c r="B436" s="3"/>
      <c r="C436" s="148"/>
      <c r="D436" s="37"/>
      <c r="E436" s="37"/>
      <c r="F436" s="37"/>
      <c r="G436" s="37"/>
      <c r="H436" s="37"/>
      <c r="I436" s="37"/>
      <c r="J436" s="37"/>
      <c r="K436" s="37"/>
      <c r="L436" s="37"/>
      <c r="M436" s="37"/>
      <c r="N436" s="37"/>
      <c r="O436" s="37"/>
      <c r="P436" s="3"/>
    </row>
    <row r="437" spans="1:16" ht="15.75" customHeight="1" x14ac:dyDescent="0.3">
      <c r="A437" s="3"/>
      <c r="B437" s="3"/>
      <c r="C437" s="148"/>
      <c r="D437" s="37"/>
      <c r="E437" s="37"/>
      <c r="F437" s="37"/>
      <c r="G437" s="37"/>
      <c r="H437" s="37"/>
      <c r="I437" s="37"/>
      <c r="J437" s="37"/>
      <c r="K437" s="37"/>
      <c r="L437" s="37"/>
      <c r="M437" s="37"/>
      <c r="N437" s="37"/>
      <c r="O437" s="37"/>
      <c r="P437" s="3"/>
    </row>
    <row r="438" spans="1:16" ht="15.75" customHeight="1" x14ac:dyDescent="0.3">
      <c r="A438" s="3"/>
      <c r="B438" s="3"/>
      <c r="C438" s="148"/>
      <c r="D438" s="37"/>
      <c r="E438" s="37"/>
      <c r="F438" s="37"/>
      <c r="G438" s="37"/>
      <c r="H438" s="37"/>
      <c r="I438" s="37"/>
      <c r="J438" s="37"/>
      <c r="K438" s="37"/>
      <c r="L438" s="37"/>
      <c r="M438" s="37"/>
      <c r="N438" s="37"/>
      <c r="O438" s="37"/>
      <c r="P438" s="3"/>
    </row>
    <row r="439" spans="1:16" ht="15.75" customHeight="1" x14ac:dyDescent="0.3">
      <c r="A439" s="3"/>
      <c r="B439" s="3"/>
      <c r="C439" s="148"/>
      <c r="D439" s="37"/>
      <c r="E439" s="37"/>
      <c r="F439" s="37"/>
      <c r="G439" s="37"/>
      <c r="H439" s="37"/>
      <c r="I439" s="37"/>
      <c r="J439" s="37"/>
      <c r="K439" s="37"/>
      <c r="L439" s="37"/>
      <c r="M439" s="37"/>
      <c r="N439" s="37"/>
      <c r="O439" s="37"/>
      <c r="P439" s="3"/>
    </row>
    <row r="440" spans="1:16" ht="15.75" customHeight="1" x14ac:dyDescent="0.3">
      <c r="A440" s="3"/>
      <c r="B440" s="3"/>
      <c r="C440" s="148"/>
      <c r="D440" s="37"/>
      <c r="E440" s="37"/>
      <c r="F440" s="37"/>
      <c r="G440" s="37"/>
      <c r="H440" s="37"/>
      <c r="I440" s="37"/>
      <c r="J440" s="37"/>
      <c r="K440" s="37"/>
      <c r="L440" s="37"/>
      <c r="M440" s="37"/>
      <c r="N440" s="37"/>
      <c r="O440" s="37"/>
      <c r="P440" s="3"/>
    </row>
    <row r="441" spans="1:16" ht="15.75" customHeight="1" x14ac:dyDescent="0.3">
      <c r="A441" s="3"/>
      <c r="B441" s="3"/>
      <c r="C441" s="148"/>
      <c r="D441" s="37"/>
      <c r="E441" s="37"/>
      <c r="F441" s="37"/>
      <c r="G441" s="37"/>
      <c r="H441" s="37"/>
      <c r="I441" s="37"/>
      <c r="J441" s="37"/>
      <c r="K441" s="37"/>
      <c r="L441" s="37"/>
      <c r="M441" s="37"/>
      <c r="N441" s="37"/>
      <c r="O441" s="37"/>
      <c r="P441" s="3"/>
    </row>
    <row r="442" spans="1:16" ht="15.75" customHeight="1" x14ac:dyDescent="0.3">
      <c r="A442" s="3"/>
      <c r="B442" s="3"/>
      <c r="C442" s="148"/>
      <c r="D442" s="37"/>
      <c r="E442" s="37"/>
      <c r="F442" s="37"/>
      <c r="G442" s="37"/>
      <c r="H442" s="37"/>
      <c r="I442" s="37"/>
      <c r="J442" s="37"/>
      <c r="K442" s="37"/>
      <c r="L442" s="37"/>
      <c r="M442" s="37"/>
      <c r="N442" s="37"/>
      <c r="O442" s="37"/>
      <c r="P442" s="3"/>
    </row>
    <row r="443" spans="1:16" ht="15.75" customHeight="1" x14ac:dyDescent="0.3">
      <c r="A443" s="3"/>
      <c r="B443" s="3"/>
      <c r="C443" s="148"/>
      <c r="D443" s="37"/>
      <c r="E443" s="37"/>
      <c r="F443" s="37"/>
      <c r="G443" s="37"/>
      <c r="H443" s="37"/>
      <c r="I443" s="37"/>
      <c r="J443" s="37"/>
      <c r="K443" s="37"/>
      <c r="L443" s="37"/>
      <c r="M443" s="37"/>
      <c r="N443" s="37"/>
      <c r="O443" s="37"/>
      <c r="P443" s="3"/>
    </row>
    <row r="444" spans="1:16" ht="15.75" customHeight="1" x14ac:dyDescent="0.3">
      <c r="A444" s="3"/>
      <c r="B444" s="3"/>
      <c r="C444" s="148"/>
      <c r="D444" s="37"/>
      <c r="E444" s="37"/>
      <c r="F444" s="37"/>
      <c r="G444" s="37"/>
      <c r="H444" s="37"/>
      <c r="I444" s="37"/>
      <c r="J444" s="37"/>
      <c r="K444" s="37"/>
      <c r="L444" s="37"/>
      <c r="M444" s="37"/>
      <c r="N444" s="37"/>
      <c r="O444" s="37"/>
      <c r="P444" s="3"/>
    </row>
    <row r="445" spans="1:16" ht="15.75" customHeight="1" x14ac:dyDescent="0.3">
      <c r="A445" s="3"/>
      <c r="B445" s="3"/>
      <c r="C445" s="148"/>
      <c r="D445" s="37"/>
      <c r="E445" s="37"/>
      <c r="F445" s="37"/>
      <c r="G445" s="37"/>
      <c r="H445" s="37"/>
      <c r="I445" s="37"/>
      <c r="J445" s="37"/>
      <c r="K445" s="37"/>
      <c r="L445" s="37"/>
      <c r="M445" s="37"/>
      <c r="N445" s="37"/>
      <c r="O445" s="37"/>
      <c r="P445" s="3"/>
    </row>
    <row r="446" spans="1:16" ht="15.75" customHeight="1" x14ac:dyDescent="0.3">
      <c r="A446" s="3"/>
      <c r="B446" s="3"/>
      <c r="C446" s="148"/>
      <c r="D446" s="37"/>
      <c r="E446" s="37"/>
      <c r="F446" s="37"/>
      <c r="G446" s="37"/>
      <c r="H446" s="37"/>
      <c r="I446" s="37"/>
      <c r="J446" s="37"/>
      <c r="K446" s="37"/>
      <c r="L446" s="37"/>
      <c r="M446" s="37"/>
      <c r="N446" s="37"/>
      <c r="O446" s="37"/>
      <c r="P446" s="3"/>
    </row>
    <row r="447" spans="1:16" ht="15.75" customHeight="1" x14ac:dyDescent="0.3">
      <c r="A447" s="3"/>
      <c r="B447" s="3"/>
      <c r="C447" s="148"/>
      <c r="D447" s="37"/>
      <c r="E447" s="37"/>
      <c r="F447" s="37"/>
      <c r="G447" s="37"/>
      <c r="H447" s="37"/>
      <c r="I447" s="37"/>
      <c r="J447" s="37"/>
      <c r="K447" s="37"/>
      <c r="L447" s="37"/>
      <c r="M447" s="37"/>
      <c r="N447" s="37"/>
      <c r="O447" s="37"/>
      <c r="P447" s="3"/>
    </row>
    <row r="448" spans="1:16" ht="15.75" customHeight="1" x14ac:dyDescent="0.3">
      <c r="A448" s="3"/>
      <c r="B448" s="3"/>
      <c r="C448" s="148"/>
      <c r="D448" s="37"/>
      <c r="E448" s="37"/>
      <c r="F448" s="37"/>
      <c r="G448" s="37"/>
      <c r="H448" s="37"/>
      <c r="I448" s="37"/>
      <c r="J448" s="37"/>
      <c r="K448" s="37"/>
      <c r="L448" s="37"/>
      <c r="M448" s="37"/>
      <c r="N448" s="37"/>
      <c r="O448" s="37"/>
      <c r="P448" s="3"/>
    </row>
    <row r="449" spans="1:16" ht="15.75" customHeight="1" x14ac:dyDescent="0.3">
      <c r="A449" s="3"/>
      <c r="B449" s="3"/>
      <c r="C449" s="148"/>
      <c r="D449" s="37"/>
      <c r="E449" s="37"/>
      <c r="F449" s="37"/>
      <c r="G449" s="37"/>
      <c r="H449" s="37"/>
      <c r="I449" s="37"/>
      <c r="J449" s="37"/>
      <c r="K449" s="37"/>
      <c r="L449" s="37"/>
      <c r="M449" s="37"/>
      <c r="N449" s="37"/>
      <c r="O449" s="37"/>
      <c r="P449" s="3"/>
    </row>
    <row r="450" spans="1:16" ht="15.75" customHeight="1" x14ac:dyDescent="0.3">
      <c r="A450" s="3"/>
      <c r="B450" s="3"/>
      <c r="C450" s="148"/>
      <c r="D450" s="37"/>
      <c r="E450" s="37"/>
      <c r="F450" s="37"/>
      <c r="G450" s="37"/>
      <c r="H450" s="37"/>
      <c r="I450" s="37"/>
      <c r="J450" s="37"/>
      <c r="K450" s="37"/>
      <c r="L450" s="37"/>
      <c r="M450" s="37"/>
      <c r="N450" s="37"/>
      <c r="O450" s="37"/>
      <c r="P450" s="3"/>
    </row>
    <row r="451" spans="1:16" ht="15.75" customHeight="1" x14ac:dyDescent="0.3">
      <c r="A451" s="3"/>
      <c r="B451" s="3"/>
      <c r="C451" s="148"/>
      <c r="D451" s="37"/>
      <c r="E451" s="37"/>
      <c r="F451" s="37"/>
      <c r="G451" s="37"/>
      <c r="H451" s="37"/>
      <c r="I451" s="37"/>
      <c r="J451" s="37"/>
      <c r="K451" s="37"/>
      <c r="L451" s="37"/>
      <c r="M451" s="37"/>
      <c r="N451" s="37"/>
      <c r="O451" s="37"/>
      <c r="P451" s="3"/>
    </row>
    <row r="452" spans="1:16" ht="15.75" customHeight="1" x14ac:dyDescent="0.3">
      <c r="A452" s="3"/>
      <c r="B452" s="3"/>
      <c r="C452" s="148"/>
      <c r="D452" s="37"/>
      <c r="E452" s="37"/>
      <c r="F452" s="37"/>
      <c r="G452" s="37"/>
      <c r="H452" s="37"/>
      <c r="I452" s="37"/>
      <c r="J452" s="37"/>
      <c r="K452" s="37"/>
      <c r="L452" s="37"/>
      <c r="M452" s="37"/>
      <c r="N452" s="37"/>
      <c r="O452" s="37"/>
      <c r="P452" s="3"/>
    </row>
    <row r="453" spans="1:16" ht="15.75" customHeight="1" x14ac:dyDescent="0.3">
      <c r="A453" s="3"/>
      <c r="B453" s="3"/>
      <c r="C453" s="148"/>
      <c r="D453" s="37"/>
      <c r="E453" s="37"/>
      <c r="F453" s="37"/>
      <c r="G453" s="37"/>
      <c r="H453" s="37"/>
      <c r="I453" s="37"/>
      <c r="J453" s="37"/>
      <c r="K453" s="37"/>
      <c r="L453" s="37"/>
      <c r="M453" s="37"/>
      <c r="N453" s="37"/>
      <c r="O453" s="37"/>
      <c r="P453" s="3"/>
    </row>
    <row r="454" spans="1:16" ht="15.75" customHeight="1" x14ac:dyDescent="0.3">
      <c r="A454" s="3"/>
      <c r="B454" s="3"/>
      <c r="C454" s="148"/>
      <c r="D454" s="37"/>
      <c r="E454" s="37"/>
      <c r="F454" s="37"/>
      <c r="G454" s="37"/>
      <c r="H454" s="37"/>
      <c r="I454" s="37"/>
      <c r="J454" s="37"/>
      <c r="K454" s="37"/>
      <c r="L454" s="37"/>
      <c r="M454" s="37"/>
      <c r="N454" s="37"/>
      <c r="O454" s="37"/>
      <c r="P454" s="3"/>
    </row>
    <row r="455" spans="1:16" ht="15.75" customHeight="1" x14ac:dyDescent="0.3">
      <c r="A455" s="3"/>
      <c r="B455" s="3"/>
      <c r="C455" s="148"/>
      <c r="D455" s="37"/>
      <c r="E455" s="37"/>
      <c r="F455" s="37"/>
      <c r="G455" s="37"/>
      <c r="H455" s="37"/>
      <c r="I455" s="37"/>
      <c r="J455" s="37"/>
      <c r="K455" s="37"/>
      <c r="L455" s="37"/>
      <c r="M455" s="37"/>
      <c r="N455" s="37"/>
      <c r="O455" s="37"/>
      <c r="P455" s="3"/>
    </row>
    <row r="456" spans="1:16" ht="15.75" customHeight="1" x14ac:dyDescent="0.3">
      <c r="A456" s="3"/>
      <c r="B456" s="3"/>
      <c r="C456" s="148"/>
      <c r="D456" s="37"/>
      <c r="E456" s="37"/>
      <c r="F456" s="37"/>
      <c r="G456" s="37"/>
      <c r="H456" s="37"/>
      <c r="I456" s="37"/>
      <c r="J456" s="37"/>
      <c r="K456" s="37"/>
      <c r="L456" s="37"/>
      <c r="M456" s="37"/>
      <c r="N456" s="37"/>
      <c r="O456" s="37"/>
      <c r="P456" s="3"/>
    </row>
    <row r="457" spans="1:16" ht="15.75" customHeight="1" x14ac:dyDescent="0.3">
      <c r="A457" s="3"/>
      <c r="B457" s="3"/>
      <c r="C457" s="148"/>
      <c r="D457" s="37"/>
      <c r="E457" s="37"/>
      <c r="F457" s="37"/>
      <c r="G457" s="37"/>
      <c r="H457" s="37"/>
      <c r="I457" s="37"/>
      <c r="J457" s="37"/>
      <c r="K457" s="37"/>
      <c r="L457" s="37"/>
      <c r="M457" s="37"/>
      <c r="N457" s="37"/>
      <c r="O457" s="37"/>
      <c r="P457" s="3"/>
    </row>
    <row r="458" spans="1:16" ht="15.75" customHeight="1" x14ac:dyDescent="0.3">
      <c r="A458" s="3"/>
      <c r="B458" s="3"/>
      <c r="C458" s="148"/>
      <c r="D458" s="37"/>
      <c r="E458" s="37"/>
      <c r="F458" s="37"/>
      <c r="G458" s="37"/>
      <c r="H458" s="37"/>
      <c r="I458" s="37"/>
      <c r="J458" s="37"/>
      <c r="K458" s="37"/>
      <c r="L458" s="37"/>
      <c r="M458" s="37"/>
      <c r="N458" s="37"/>
      <c r="O458" s="37"/>
      <c r="P458" s="3"/>
    </row>
    <row r="459" spans="1:16" ht="15.75" customHeight="1" x14ac:dyDescent="0.3">
      <c r="A459" s="3"/>
      <c r="B459" s="3"/>
      <c r="C459" s="148"/>
      <c r="D459" s="37"/>
      <c r="E459" s="37"/>
      <c r="F459" s="37"/>
      <c r="G459" s="37"/>
      <c r="H459" s="37"/>
      <c r="I459" s="37"/>
      <c r="J459" s="37"/>
      <c r="K459" s="37"/>
      <c r="L459" s="37"/>
      <c r="M459" s="37"/>
      <c r="N459" s="37"/>
      <c r="O459" s="37"/>
      <c r="P459" s="3"/>
    </row>
    <row r="460" spans="1:16" ht="15.75" customHeight="1" x14ac:dyDescent="0.3">
      <c r="A460" s="3"/>
      <c r="B460" s="3"/>
      <c r="C460" s="148"/>
      <c r="D460" s="37"/>
      <c r="E460" s="37"/>
      <c r="F460" s="37"/>
      <c r="G460" s="37"/>
      <c r="H460" s="37"/>
      <c r="I460" s="37"/>
      <c r="J460" s="37"/>
      <c r="K460" s="37"/>
      <c r="L460" s="37"/>
      <c r="M460" s="37"/>
      <c r="N460" s="37"/>
      <c r="O460" s="37"/>
      <c r="P460" s="3"/>
    </row>
    <row r="461" spans="1:16" ht="15.75" customHeight="1" x14ac:dyDescent="0.3">
      <c r="A461" s="3"/>
      <c r="B461" s="3"/>
      <c r="C461" s="148"/>
      <c r="D461" s="37"/>
      <c r="E461" s="37"/>
      <c r="F461" s="37"/>
      <c r="G461" s="37"/>
      <c r="H461" s="37"/>
      <c r="I461" s="37"/>
      <c r="J461" s="37"/>
      <c r="K461" s="37"/>
      <c r="L461" s="37"/>
      <c r="M461" s="37"/>
      <c r="N461" s="37"/>
      <c r="O461" s="37"/>
      <c r="P461" s="3"/>
    </row>
    <row r="462" spans="1:16" ht="15.75" customHeight="1" x14ac:dyDescent="0.3">
      <c r="A462" s="3"/>
      <c r="B462" s="3"/>
      <c r="C462" s="148"/>
      <c r="D462" s="37"/>
      <c r="E462" s="37"/>
      <c r="F462" s="37"/>
      <c r="G462" s="37"/>
      <c r="H462" s="37"/>
      <c r="I462" s="37"/>
      <c r="J462" s="37"/>
      <c r="K462" s="37"/>
      <c r="L462" s="37"/>
      <c r="M462" s="37"/>
      <c r="N462" s="37"/>
      <c r="O462" s="37"/>
      <c r="P462" s="3"/>
    </row>
    <row r="463" spans="1:16" ht="15.75" customHeight="1" x14ac:dyDescent="0.3">
      <c r="A463" s="3"/>
      <c r="B463" s="3"/>
      <c r="C463" s="148"/>
      <c r="D463" s="37"/>
      <c r="E463" s="37"/>
      <c r="F463" s="37"/>
      <c r="G463" s="37"/>
      <c r="H463" s="37"/>
      <c r="I463" s="37"/>
      <c r="J463" s="37"/>
      <c r="K463" s="37"/>
      <c r="L463" s="37"/>
      <c r="M463" s="37"/>
      <c r="N463" s="37"/>
      <c r="O463" s="37"/>
      <c r="P463" s="3"/>
    </row>
    <row r="464" spans="1:16" ht="15.75" customHeight="1" x14ac:dyDescent="0.3">
      <c r="A464" s="3"/>
      <c r="B464" s="3"/>
      <c r="C464" s="148"/>
      <c r="D464" s="37"/>
      <c r="E464" s="37"/>
      <c r="F464" s="37"/>
      <c r="G464" s="37"/>
      <c r="H464" s="37"/>
      <c r="I464" s="37"/>
      <c r="J464" s="37"/>
      <c r="K464" s="37"/>
      <c r="L464" s="37"/>
      <c r="M464" s="37"/>
      <c r="N464" s="37"/>
      <c r="O464" s="37"/>
      <c r="P464" s="3"/>
    </row>
    <row r="465" spans="1:16" ht="15.75" customHeight="1" x14ac:dyDescent="0.3">
      <c r="A465" s="3"/>
      <c r="B465" s="3"/>
      <c r="C465" s="148"/>
      <c r="D465" s="37"/>
      <c r="E465" s="37"/>
      <c r="F465" s="37"/>
      <c r="G465" s="37"/>
      <c r="H465" s="37"/>
      <c r="I465" s="37"/>
      <c r="J465" s="37"/>
      <c r="K465" s="37"/>
      <c r="L465" s="37"/>
      <c r="M465" s="37"/>
      <c r="N465" s="37"/>
      <c r="O465" s="37"/>
      <c r="P465" s="3"/>
    </row>
    <row r="466" spans="1:16" ht="15.75" customHeight="1" x14ac:dyDescent="0.3">
      <c r="A466" s="3"/>
      <c r="B466" s="3"/>
      <c r="C466" s="148"/>
      <c r="D466" s="37"/>
      <c r="E466" s="37"/>
      <c r="F466" s="37"/>
      <c r="G466" s="37"/>
      <c r="H466" s="37"/>
      <c r="I466" s="37"/>
      <c r="J466" s="37"/>
      <c r="K466" s="37"/>
      <c r="L466" s="37"/>
      <c r="M466" s="37"/>
      <c r="N466" s="37"/>
      <c r="O466" s="37"/>
      <c r="P466" s="3"/>
    </row>
    <row r="467" spans="1:16" ht="15.75" customHeight="1" x14ac:dyDescent="0.3">
      <c r="A467" s="3"/>
      <c r="B467" s="3"/>
      <c r="C467" s="148"/>
      <c r="D467" s="37"/>
      <c r="E467" s="37"/>
      <c r="F467" s="37"/>
      <c r="G467" s="37"/>
      <c r="H467" s="37"/>
      <c r="I467" s="37"/>
      <c r="J467" s="37"/>
      <c r="K467" s="37"/>
      <c r="L467" s="37"/>
      <c r="M467" s="37"/>
      <c r="N467" s="37"/>
      <c r="O467" s="37"/>
      <c r="P467" s="3"/>
    </row>
    <row r="468" spans="1:16" ht="15.75" customHeight="1" x14ac:dyDescent="0.3">
      <c r="A468" s="3"/>
      <c r="B468" s="3"/>
      <c r="C468" s="148"/>
      <c r="D468" s="37"/>
      <c r="E468" s="37"/>
      <c r="F468" s="37"/>
      <c r="G468" s="37"/>
      <c r="H468" s="37"/>
      <c r="I468" s="37"/>
      <c r="J468" s="37"/>
      <c r="K468" s="37"/>
      <c r="L468" s="37"/>
      <c r="M468" s="37"/>
      <c r="N468" s="37"/>
      <c r="O468" s="37"/>
      <c r="P468" s="3"/>
    </row>
    <row r="469" spans="1:16" ht="15.75" customHeight="1" x14ac:dyDescent="0.3">
      <c r="A469" s="3"/>
      <c r="B469" s="3"/>
      <c r="C469" s="148"/>
      <c r="D469" s="37"/>
      <c r="E469" s="37"/>
      <c r="F469" s="37"/>
      <c r="G469" s="37"/>
      <c r="H469" s="37"/>
      <c r="I469" s="37"/>
      <c r="J469" s="37"/>
      <c r="K469" s="37"/>
      <c r="L469" s="37"/>
      <c r="M469" s="37"/>
      <c r="N469" s="37"/>
      <c r="O469" s="37"/>
      <c r="P469" s="3"/>
    </row>
    <row r="470" spans="1:16" ht="15.75" customHeight="1" x14ac:dyDescent="0.3">
      <c r="A470" s="3"/>
      <c r="B470" s="3"/>
      <c r="C470" s="148"/>
      <c r="D470" s="37"/>
      <c r="E470" s="37"/>
      <c r="F470" s="37"/>
      <c r="G470" s="37"/>
      <c r="H470" s="37"/>
      <c r="I470" s="37"/>
      <c r="J470" s="37"/>
      <c r="K470" s="37"/>
      <c r="L470" s="37"/>
      <c r="M470" s="37"/>
      <c r="N470" s="37"/>
      <c r="O470" s="37"/>
      <c r="P470" s="3"/>
    </row>
    <row r="471" spans="1:16" ht="15.75" customHeight="1" x14ac:dyDescent="0.3">
      <c r="A471" s="3"/>
      <c r="B471" s="3"/>
      <c r="C471" s="148"/>
      <c r="D471" s="37"/>
      <c r="E471" s="37"/>
      <c r="F471" s="37"/>
      <c r="G471" s="37"/>
      <c r="H471" s="37"/>
      <c r="I471" s="37"/>
      <c r="J471" s="37"/>
      <c r="K471" s="37"/>
      <c r="L471" s="37"/>
      <c r="M471" s="37"/>
      <c r="N471" s="37"/>
      <c r="O471" s="37"/>
      <c r="P471" s="3"/>
    </row>
    <row r="472" spans="1:16" ht="15.75" customHeight="1" x14ac:dyDescent="0.3">
      <c r="A472" s="3"/>
      <c r="B472" s="3"/>
      <c r="C472" s="148"/>
      <c r="D472" s="37"/>
      <c r="E472" s="37"/>
      <c r="F472" s="37"/>
      <c r="G472" s="37"/>
      <c r="H472" s="37"/>
      <c r="I472" s="37"/>
      <c r="J472" s="37"/>
      <c r="K472" s="37"/>
      <c r="L472" s="37"/>
      <c r="M472" s="37"/>
      <c r="N472" s="37"/>
      <c r="O472" s="37"/>
      <c r="P472" s="3"/>
    </row>
    <row r="473" spans="1:16" ht="15.75" customHeight="1" x14ac:dyDescent="0.3">
      <c r="A473" s="3"/>
      <c r="B473" s="3"/>
      <c r="C473" s="148"/>
      <c r="D473" s="37"/>
      <c r="E473" s="37"/>
      <c r="F473" s="37"/>
      <c r="G473" s="37"/>
      <c r="H473" s="37"/>
      <c r="I473" s="37"/>
      <c r="J473" s="37"/>
      <c r="K473" s="37"/>
      <c r="L473" s="37"/>
      <c r="M473" s="37"/>
      <c r="N473" s="37"/>
      <c r="O473" s="37"/>
      <c r="P473" s="3"/>
    </row>
    <row r="474" spans="1:16" ht="15.75" customHeight="1" x14ac:dyDescent="0.3">
      <c r="A474" s="3"/>
      <c r="B474" s="3"/>
      <c r="C474" s="148"/>
      <c r="D474" s="37"/>
      <c r="E474" s="37"/>
      <c r="F474" s="37"/>
      <c r="G474" s="37"/>
      <c r="H474" s="37"/>
      <c r="I474" s="37"/>
      <c r="J474" s="37"/>
      <c r="K474" s="37"/>
      <c r="L474" s="37"/>
      <c r="M474" s="37"/>
      <c r="N474" s="37"/>
      <c r="O474" s="37"/>
      <c r="P474" s="3"/>
    </row>
    <row r="475" spans="1:16" ht="15.75" customHeight="1" x14ac:dyDescent="0.3">
      <c r="A475" s="3"/>
      <c r="B475" s="3"/>
      <c r="C475" s="148"/>
      <c r="D475" s="37"/>
      <c r="E475" s="37"/>
      <c r="F475" s="37"/>
      <c r="G475" s="37"/>
      <c r="H475" s="37"/>
      <c r="I475" s="37"/>
      <c r="J475" s="37"/>
      <c r="K475" s="37"/>
      <c r="L475" s="37"/>
      <c r="M475" s="37"/>
      <c r="N475" s="37"/>
      <c r="O475" s="37"/>
      <c r="P475" s="3"/>
    </row>
    <row r="476" spans="1:16" ht="15.75" customHeight="1" x14ac:dyDescent="0.3">
      <c r="A476" s="3"/>
      <c r="B476" s="3"/>
      <c r="C476" s="148"/>
      <c r="D476" s="37"/>
      <c r="E476" s="37"/>
      <c r="F476" s="37"/>
      <c r="G476" s="37"/>
      <c r="H476" s="37"/>
      <c r="I476" s="37"/>
      <c r="J476" s="37"/>
      <c r="K476" s="37"/>
      <c r="L476" s="37"/>
      <c r="M476" s="37"/>
      <c r="N476" s="37"/>
      <c r="O476" s="37"/>
      <c r="P476" s="3"/>
    </row>
    <row r="477" spans="1:16" ht="15.75" customHeight="1" x14ac:dyDescent="0.3">
      <c r="A477" s="3"/>
      <c r="B477" s="3"/>
      <c r="C477" s="148"/>
      <c r="D477" s="37"/>
      <c r="E477" s="37"/>
      <c r="F477" s="37"/>
      <c r="G477" s="37"/>
      <c r="H477" s="37"/>
      <c r="I477" s="37"/>
      <c r="J477" s="37"/>
      <c r="K477" s="37"/>
      <c r="L477" s="37"/>
      <c r="M477" s="37"/>
      <c r="N477" s="37"/>
      <c r="O477" s="37"/>
      <c r="P477" s="3"/>
    </row>
    <row r="478" spans="1:16" ht="15.75" customHeight="1" x14ac:dyDescent="0.3">
      <c r="A478" s="3"/>
      <c r="B478" s="3"/>
      <c r="C478" s="148"/>
      <c r="D478" s="37"/>
      <c r="E478" s="37"/>
      <c r="F478" s="37"/>
      <c r="G478" s="37"/>
      <c r="H478" s="37"/>
      <c r="I478" s="37"/>
      <c r="J478" s="37"/>
      <c r="K478" s="37"/>
      <c r="L478" s="37"/>
      <c r="M478" s="37"/>
      <c r="N478" s="37"/>
      <c r="O478" s="37"/>
      <c r="P478" s="3"/>
    </row>
    <row r="479" spans="1:16" ht="15.75" customHeight="1" x14ac:dyDescent="0.3">
      <c r="A479" s="3"/>
      <c r="B479" s="3"/>
      <c r="C479" s="148"/>
      <c r="D479" s="37"/>
      <c r="E479" s="37"/>
      <c r="F479" s="37"/>
      <c r="G479" s="37"/>
      <c r="H479" s="37"/>
      <c r="I479" s="37"/>
      <c r="J479" s="37"/>
      <c r="K479" s="37"/>
      <c r="L479" s="37"/>
      <c r="M479" s="37"/>
      <c r="N479" s="37"/>
      <c r="O479" s="37"/>
      <c r="P479" s="3"/>
    </row>
    <row r="480" spans="1:16" ht="15.75" customHeight="1" x14ac:dyDescent="0.3">
      <c r="A480" s="3"/>
      <c r="B480" s="3"/>
      <c r="C480" s="148"/>
      <c r="D480" s="37"/>
      <c r="E480" s="37"/>
      <c r="F480" s="37"/>
      <c r="G480" s="37"/>
      <c r="H480" s="37"/>
      <c r="I480" s="37"/>
      <c r="J480" s="37"/>
      <c r="K480" s="37"/>
      <c r="L480" s="37"/>
      <c r="M480" s="37"/>
      <c r="N480" s="37"/>
      <c r="O480" s="37"/>
      <c r="P480" s="3"/>
    </row>
    <row r="481" spans="1:16" ht="15.75" customHeight="1" x14ac:dyDescent="0.3">
      <c r="A481" s="3"/>
      <c r="B481" s="3"/>
      <c r="C481" s="148"/>
      <c r="D481" s="37"/>
      <c r="E481" s="37"/>
      <c r="F481" s="37"/>
      <c r="G481" s="37"/>
      <c r="H481" s="37"/>
      <c r="I481" s="37"/>
      <c r="J481" s="37"/>
      <c r="K481" s="37"/>
      <c r="L481" s="37"/>
      <c r="M481" s="37"/>
      <c r="N481" s="37"/>
      <c r="O481" s="37"/>
      <c r="P481" s="3"/>
    </row>
    <row r="482" spans="1:16" ht="15.75" customHeight="1" x14ac:dyDescent="0.3">
      <c r="A482" s="3"/>
      <c r="B482" s="3"/>
      <c r="C482" s="148"/>
      <c r="D482" s="37"/>
      <c r="E482" s="37"/>
      <c r="F482" s="37"/>
      <c r="G482" s="37"/>
      <c r="H482" s="37"/>
      <c r="I482" s="37"/>
      <c r="J482" s="37"/>
      <c r="K482" s="37"/>
      <c r="L482" s="37"/>
      <c r="M482" s="37"/>
      <c r="N482" s="37"/>
      <c r="O482" s="37"/>
      <c r="P482" s="3"/>
    </row>
    <row r="483" spans="1:16" ht="15.75" customHeight="1" x14ac:dyDescent="0.3">
      <c r="A483" s="3"/>
      <c r="B483" s="3"/>
      <c r="C483" s="148"/>
      <c r="D483" s="37"/>
      <c r="E483" s="37"/>
      <c r="F483" s="37"/>
      <c r="G483" s="37"/>
      <c r="H483" s="37"/>
      <c r="I483" s="37"/>
      <c r="J483" s="37"/>
      <c r="K483" s="37"/>
      <c r="L483" s="37"/>
      <c r="M483" s="37"/>
      <c r="N483" s="37"/>
      <c r="O483" s="37"/>
      <c r="P483" s="3"/>
    </row>
    <row r="484" spans="1:16" ht="15.75" customHeight="1" x14ac:dyDescent="0.3">
      <c r="A484" s="3"/>
      <c r="B484" s="3"/>
      <c r="C484" s="148"/>
      <c r="D484" s="37"/>
      <c r="E484" s="37"/>
      <c r="F484" s="37"/>
      <c r="G484" s="37"/>
      <c r="H484" s="37"/>
      <c r="I484" s="37"/>
      <c r="J484" s="37"/>
      <c r="K484" s="37"/>
      <c r="L484" s="37"/>
      <c r="M484" s="37"/>
      <c r="N484" s="37"/>
      <c r="O484" s="37"/>
      <c r="P484" s="3"/>
    </row>
    <row r="485" spans="1:16" ht="15.75" customHeight="1" x14ac:dyDescent="0.3">
      <c r="A485" s="3"/>
      <c r="B485" s="3"/>
      <c r="C485" s="148"/>
      <c r="D485" s="37"/>
      <c r="E485" s="37"/>
      <c r="F485" s="37"/>
      <c r="G485" s="37"/>
      <c r="H485" s="37"/>
      <c r="I485" s="37"/>
      <c r="J485" s="37"/>
      <c r="K485" s="37"/>
      <c r="L485" s="37"/>
      <c r="M485" s="37"/>
      <c r="N485" s="37"/>
      <c r="O485" s="37"/>
      <c r="P485" s="3"/>
    </row>
    <row r="486" spans="1:16" ht="15.75" customHeight="1" x14ac:dyDescent="0.3"/>
    <row r="487" spans="1:16" ht="15.75" customHeight="1" x14ac:dyDescent="0.3"/>
    <row r="488" spans="1:16" ht="15.75" customHeight="1" x14ac:dyDescent="0.3"/>
    <row r="489" spans="1:16" ht="15.75" customHeight="1" x14ac:dyDescent="0.3"/>
    <row r="490" spans="1:16" ht="15.75" customHeight="1" x14ac:dyDescent="0.3"/>
    <row r="491" spans="1:16" ht="15.75" customHeight="1" x14ac:dyDescent="0.3"/>
    <row r="492" spans="1:16" ht="15.75" customHeight="1" x14ac:dyDescent="0.3"/>
    <row r="493" spans="1:16" ht="15.75" customHeight="1" x14ac:dyDescent="0.3"/>
    <row r="494" spans="1:16" ht="15.75" customHeight="1" x14ac:dyDescent="0.3"/>
    <row r="495" spans="1:16" ht="15.75" customHeight="1" x14ac:dyDescent="0.3"/>
    <row r="496" spans="1:1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9">
    <mergeCell ref="C44:C45"/>
    <mergeCell ref="D44:O44"/>
    <mergeCell ref="B2:B3"/>
    <mergeCell ref="C2:F2"/>
    <mergeCell ref="C4:F4"/>
    <mergeCell ref="B20:B21"/>
    <mergeCell ref="C20:C21"/>
    <mergeCell ref="D20:O20"/>
    <mergeCell ref="B44:B45"/>
  </mergeCells>
  <conditionalFormatting sqref="C4">
    <cfRule type="cellIs" dxfId="21" priority="1" operator="greaterThan">
      <formula>0</formula>
    </cfRule>
    <cfRule type="cellIs" dxfId="20" priority="2" operator="lessThan">
      <formula>0</formula>
    </cfRule>
  </conditionalFormatting>
  <conditionalFormatting sqref="E5:F16">
    <cfRule type="cellIs" dxfId="19" priority="3" operator="greaterThan">
      <formula>0</formula>
    </cfRule>
    <cfRule type="cellIs" dxfId="18" priority="4" operator="lessThan">
      <formula>0</formula>
    </cfRule>
  </conditionalFormatting>
  <pageMargins left="0.511811024" right="0.511811024" top="0.78740157499999996" bottom="0.78740157499999996"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SUM(E6,E126,E152,E182,E186)</f>
        <v>16914.009999999998</v>
      </c>
      <c r="F4" s="26">
        <f t="shared" si="0"/>
        <v>46977.33</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SUM(E7:E125)</f>
        <v>16914.009999999998</v>
      </c>
      <c r="F6" s="57">
        <f>SUMIF(D7:D125,"OK",F7:F125)+SUMIF(D7:D125,"Parcial",F7:F125)</f>
        <v>18103.919999999998</v>
      </c>
      <c r="G6" s="118" t="s">
        <v>43</v>
      </c>
      <c r="H6" s="59"/>
      <c r="I6" s="59"/>
      <c r="J6" s="60">
        <f>(COUNTIF(D7:D125,"Pendente")+COUNTIF(D7:D125,"Parcial"))/COUNTA(B7:B125)</f>
        <v>0.14285714285714285</v>
      </c>
      <c r="K6" s="60">
        <f>IFERROR(-(X6/E6),"Pendente info")</f>
        <v>0.11254930084586684</v>
      </c>
      <c r="L6" s="100">
        <f>SUM(L7:L104)/COUNTA(B7:B104)</f>
        <v>0.23469387755102042</v>
      </c>
      <c r="M6" s="57">
        <f t="shared" ref="M6:U6" si="1">SUMIF($D$7:$D$125,"OK",M7:M125)+SUMIF($D$7:$D$125,"Parcial",M7:M125)</f>
        <v>9606.9600000000009</v>
      </c>
      <c r="N6" s="57">
        <f t="shared" si="1"/>
        <v>2506.1400000000012</v>
      </c>
      <c r="O6" s="57">
        <f t="shared" si="1"/>
        <v>1224</v>
      </c>
      <c r="P6" s="57">
        <f t="shared" si="1"/>
        <v>212.31999999999994</v>
      </c>
      <c r="Q6" s="57">
        <f t="shared" si="1"/>
        <v>195</v>
      </c>
      <c r="R6" s="57">
        <f t="shared" si="1"/>
        <v>195</v>
      </c>
      <c r="S6" s="57">
        <f t="shared" si="1"/>
        <v>307</v>
      </c>
      <c r="T6" s="57">
        <f t="shared" si="1"/>
        <v>740</v>
      </c>
      <c r="U6" s="57">
        <f t="shared" si="1"/>
        <v>3117.5</v>
      </c>
      <c r="V6" s="56" t="s">
        <v>43</v>
      </c>
      <c r="W6" s="44" t="str">
        <f t="shared" ref="W6:W125" si="2">IF(F6=SUM(M6:U6),"OK","Diferente")</f>
        <v>OK</v>
      </c>
      <c r="X6" s="47">
        <f>SUM(X7:X125)</f>
        <v>-1903.66</v>
      </c>
      <c r="Y6" s="18">
        <f>SUM(M6:U6)-F6</f>
        <v>0</v>
      </c>
      <c r="Z6" s="3"/>
    </row>
    <row r="7" spans="1:26" ht="14.4" hidden="1" outlineLevel="1" x14ac:dyDescent="0.3">
      <c r="A7" s="3"/>
      <c r="B7" s="150" t="s">
        <v>422</v>
      </c>
      <c r="C7" s="62"/>
      <c r="D7" s="62" t="s">
        <v>94</v>
      </c>
      <c r="E7" s="12">
        <f t="shared" ref="E7:E12" si="3">SUM(M7:U7)</f>
        <v>0</v>
      </c>
      <c r="F7" s="101"/>
      <c r="G7" s="67"/>
      <c r="H7" s="63"/>
      <c r="I7" s="63"/>
      <c r="J7" s="64"/>
      <c r="K7" s="62"/>
      <c r="L7" s="62" t="str">
        <f t="shared" ref="L7:L125" si="4">IF(C7&gt;=13,1,"")</f>
        <v/>
      </c>
      <c r="M7" s="12"/>
      <c r="N7" s="12"/>
      <c r="O7" s="12"/>
      <c r="P7" s="12"/>
      <c r="Q7" s="12"/>
      <c r="R7" s="12"/>
      <c r="S7" s="12"/>
      <c r="T7" s="12"/>
      <c r="U7" s="12"/>
      <c r="V7" s="65" t="s">
        <v>1297</v>
      </c>
      <c r="W7" s="44" t="str">
        <f t="shared" si="2"/>
        <v>OK</v>
      </c>
      <c r="X7" s="47" t="str">
        <f t="shared" ref="X7:X125" si="5">IF(W7="Diferente",F7-SUM(M7:U7),"")</f>
        <v/>
      </c>
      <c r="Y7" s="3"/>
      <c r="Z7" s="127"/>
    </row>
    <row r="8" spans="1:26" ht="14.4" hidden="1" outlineLevel="1" x14ac:dyDescent="0.3">
      <c r="A8" s="3"/>
      <c r="B8" s="150" t="s">
        <v>424</v>
      </c>
      <c r="C8" s="62"/>
      <c r="D8" s="62" t="s">
        <v>94</v>
      </c>
      <c r="E8" s="12">
        <f t="shared" si="3"/>
        <v>0</v>
      </c>
      <c r="F8" s="101"/>
      <c r="G8" s="67"/>
      <c r="H8" s="63"/>
      <c r="I8" s="63"/>
      <c r="J8" s="64"/>
      <c r="K8" s="62"/>
      <c r="L8" s="62" t="str">
        <f t="shared" si="4"/>
        <v/>
      </c>
      <c r="M8" s="12"/>
      <c r="N8" s="12"/>
      <c r="O8" s="12"/>
      <c r="P8" s="12"/>
      <c r="Q8" s="12"/>
      <c r="R8" s="12"/>
      <c r="S8" s="12"/>
      <c r="T8" s="12"/>
      <c r="U8" s="12"/>
      <c r="V8" s="65" t="s">
        <v>1297</v>
      </c>
      <c r="W8" s="44" t="str">
        <f t="shared" si="2"/>
        <v>OK</v>
      </c>
      <c r="X8" s="47" t="str">
        <f t="shared" si="5"/>
        <v/>
      </c>
      <c r="Y8" s="3"/>
      <c r="Z8" s="127"/>
    </row>
    <row r="9" spans="1:26" ht="14.4" hidden="1" outlineLevel="1" x14ac:dyDescent="0.3">
      <c r="A9" s="3"/>
      <c r="B9" s="150" t="s">
        <v>425</v>
      </c>
      <c r="C9" s="62"/>
      <c r="D9" s="62" t="s">
        <v>94</v>
      </c>
      <c r="E9" s="12">
        <f t="shared" si="3"/>
        <v>0</v>
      </c>
      <c r="F9" s="101"/>
      <c r="G9" s="67"/>
      <c r="H9" s="63"/>
      <c r="I9" s="63"/>
      <c r="J9" s="64"/>
      <c r="K9" s="62"/>
      <c r="L9" s="62" t="str">
        <f t="shared" si="4"/>
        <v/>
      </c>
      <c r="M9" s="12"/>
      <c r="N9" s="12"/>
      <c r="O9" s="12"/>
      <c r="P9" s="12"/>
      <c r="Q9" s="12"/>
      <c r="R9" s="12"/>
      <c r="S9" s="12"/>
      <c r="T9" s="12"/>
      <c r="U9" s="12"/>
      <c r="V9" s="65" t="s">
        <v>1297</v>
      </c>
      <c r="W9" s="44" t="str">
        <f t="shared" si="2"/>
        <v>OK</v>
      </c>
      <c r="X9" s="47" t="str">
        <f t="shared" si="5"/>
        <v/>
      </c>
      <c r="Y9" s="3"/>
      <c r="Z9" s="127"/>
    </row>
    <row r="10" spans="1:26" ht="14.4" hidden="1" outlineLevel="1" x14ac:dyDescent="0.3">
      <c r="A10" s="3"/>
      <c r="B10" s="150" t="s">
        <v>426</v>
      </c>
      <c r="C10" s="62"/>
      <c r="D10" s="62" t="s">
        <v>94</v>
      </c>
      <c r="E10" s="12">
        <f t="shared" si="3"/>
        <v>0</v>
      </c>
      <c r="F10" s="101"/>
      <c r="G10" s="67"/>
      <c r="H10" s="63"/>
      <c r="I10" s="63"/>
      <c r="J10" s="64"/>
      <c r="K10" s="62"/>
      <c r="L10" s="62" t="str">
        <f t="shared" si="4"/>
        <v/>
      </c>
      <c r="M10" s="12"/>
      <c r="N10" s="12"/>
      <c r="O10" s="12"/>
      <c r="P10" s="12"/>
      <c r="Q10" s="12"/>
      <c r="R10" s="12"/>
      <c r="S10" s="12"/>
      <c r="T10" s="12"/>
      <c r="U10" s="12"/>
      <c r="V10" s="65" t="s">
        <v>1297</v>
      </c>
      <c r="W10" s="44" t="str">
        <f t="shared" si="2"/>
        <v>OK</v>
      </c>
      <c r="X10" s="47" t="str">
        <f t="shared" si="5"/>
        <v/>
      </c>
      <c r="Y10" s="3"/>
      <c r="Z10" s="127"/>
    </row>
    <row r="11" spans="1:26" ht="14.4" hidden="1" outlineLevel="1" x14ac:dyDescent="0.3">
      <c r="A11" s="3"/>
      <c r="B11" s="109" t="s">
        <v>427</v>
      </c>
      <c r="C11" s="62">
        <v>9</v>
      </c>
      <c r="D11" s="62" t="s">
        <v>94</v>
      </c>
      <c r="E11" s="12">
        <f t="shared" si="3"/>
        <v>247.43</v>
      </c>
      <c r="F11" s="101">
        <f t="shared" ref="F11:F12" si="6">E11</f>
        <v>247.43</v>
      </c>
      <c r="G11" s="67"/>
      <c r="H11" s="63" t="s">
        <v>37</v>
      </c>
      <c r="I11" s="63"/>
      <c r="J11" s="64"/>
      <c r="K11" s="62"/>
      <c r="L11" s="62" t="str">
        <f t="shared" si="4"/>
        <v/>
      </c>
      <c r="M11" s="12">
        <v>130</v>
      </c>
      <c r="N11" s="12">
        <v>24.57</v>
      </c>
      <c r="O11" s="12">
        <v>12</v>
      </c>
      <c r="P11" s="12">
        <v>3.86</v>
      </c>
      <c r="Q11" s="12">
        <v>5</v>
      </c>
      <c r="R11" s="12"/>
      <c r="S11" s="12"/>
      <c r="T11" s="12"/>
      <c r="U11" s="12">
        <v>72</v>
      </c>
      <c r="V11" s="65" t="s">
        <v>1298</v>
      </c>
      <c r="W11" s="44" t="str">
        <f t="shared" si="2"/>
        <v>OK</v>
      </c>
      <c r="X11" s="47" t="str">
        <f t="shared" si="5"/>
        <v/>
      </c>
      <c r="Y11" s="3"/>
      <c r="Z11" s="127"/>
    </row>
    <row r="12" spans="1:26" ht="14.4" hidden="1" outlineLevel="1" x14ac:dyDescent="0.3">
      <c r="A12" s="3"/>
      <c r="B12" s="109" t="s">
        <v>428</v>
      </c>
      <c r="C12" s="62">
        <v>9</v>
      </c>
      <c r="D12" s="62" t="s">
        <v>94</v>
      </c>
      <c r="E12" s="12">
        <f t="shared" si="3"/>
        <v>183.57</v>
      </c>
      <c r="F12" s="101">
        <f t="shared" si="6"/>
        <v>183.57</v>
      </c>
      <c r="G12" s="67"/>
      <c r="H12" s="63" t="s">
        <v>37</v>
      </c>
      <c r="I12" s="63"/>
      <c r="J12" s="64"/>
      <c r="K12" s="62"/>
      <c r="L12" s="62" t="str">
        <f t="shared" si="4"/>
        <v/>
      </c>
      <c r="M12" s="12">
        <v>130</v>
      </c>
      <c r="N12" s="12">
        <v>24.57</v>
      </c>
      <c r="O12" s="12">
        <v>12</v>
      </c>
      <c r="P12" s="12">
        <v>2</v>
      </c>
      <c r="Q12" s="12"/>
      <c r="R12" s="12"/>
      <c r="S12" s="12"/>
      <c r="T12" s="12"/>
      <c r="U12" s="12">
        <v>15</v>
      </c>
      <c r="V12" s="65" t="s">
        <v>1297</v>
      </c>
      <c r="W12" s="44" t="str">
        <f t="shared" si="2"/>
        <v>OK</v>
      </c>
      <c r="X12" s="47" t="str">
        <f t="shared" si="5"/>
        <v/>
      </c>
      <c r="Y12" s="3"/>
      <c r="Z12" s="127"/>
    </row>
    <row r="13" spans="1:26" ht="14.4" hidden="1" outlineLevel="1" x14ac:dyDescent="0.3">
      <c r="A13" s="3"/>
      <c r="B13" s="150" t="s">
        <v>429</v>
      </c>
      <c r="C13" s="62">
        <v>21</v>
      </c>
      <c r="D13" s="62" t="s">
        <v>94</v>
      </c>
      <c r="E13" s="12">
        <v>313.49</v>
      </c>
      <c r="F13" s="101">
        <f t="shared" ref="F13:F14" si="7">SUM(M13:U13)</f>
        <v>641.98</v>
      </c>
      <c r="G13" s="67"/>
      <c r="H13" s="63" t="s">
        <v>37</v>
      </c>
      <c r="I13" s="63"/>
      <c r="J13" s="64"/>
      <c r="K13" s="62"/>
      <c r="L13" s="62">
        <f t="shared" si="4"/>
        <v>1</v>
      </c>
      <c r="M13" s="12">
        <f>130.48*2</f>
        <v>260.95999999999998</v>
      </c>
      <c r="N13" s="12">
        <f t="shared" ref="N13:N14" si="8">24.57*2</f>
        <v>49.14</v>
      </c>
      <c r="O13" s="12">
        <f t="shared" ref="O13:O14" si="9">12*2</f>
        <v>24</v>
      </c>
      <c r="P13" s="12">
        <f t="shared" ref="P13:P14" si="10">1.44*2</f>
        <v>2.88</v>
      </c>
      <c r="Q13" s="12">
        <f>10*2</f>
        <v>20</v>
      </c>
      <c r="R13" s="12">
        <f>20*2</f>
        <v>40</v>
      </c>
      <c r="S13" s="12">
        <f t="shared" ref="S13:T13" si="11">50*2</f>
        <v>100</v>
      </c>
      <c r="T13" s="12">
        <f t="shared" si="11"/>
        <v>100</v>
      </c>
      <c r="U13" s="12">
        <f t="shared" ref="U13:U14" si="12">15*3</f>
        <v>45</v>
      </c>
      <c r="V13" s="65" t="s">
        <v>1297</v>
      </c>
      <c r="W13" s="44" t="str">
        <f t="shared" si="2"/>
        <v>OK</v>
      </c>
      <c r="X13" s="47" t="str">
        <f t="shared" si="5"/>
        <v/>
      </c>
      <c r="Y13" s="3"/>
      <c r="Z13" s="127"/>
    </row>
    <row r="14" spans="1:26" ht="14.4" hidden="1" outlineLevel="1" x14ac:dyDescent="0.3">
      <c r="A14" s="3"/>
      <c r="B14" s="150" t="s">
        <v>431</v>
      </c>
      <c r="C14" s="62">
        <v>21</v>
      </c>
      <c r="D14" s="62" t="s">
        <v>94</v>
      </c>
      <c r="E14" s="12">
        <v>206.29</v>
      </c>
      <c r="F14" s="101">
        <f t="shared" si="7"/>
        <v>427.58</v>
      </c>
      <c r="G14" s="67"/>
      <c r="H14" s="63" t="s">
        <v>37</v>
      </c>
      <c r="I14" s="63"/>
      <c r="J14" s="64"/>
      <c r="K14" s="62"/>
      <c r="L14" s="62">
        <f t="shared" si="4"/>
        <v>1</v>
      </c>
      <c r="M14" s="12">
        <f>98.28*2</f>
        <v>196.56</v>
      </c>
      <c r="N14" s="12">
        <f t="shared" si="8"/>
        <v>49.14</v>
      </c>
      <c r="O14" s="12">
        <f t="shared" si="9"/>
        <v>24</v>
      </c>
      <c r="P14" s="12">
        <f t="shared" si="10"/>
        <v>2.88</v>
      </c>
      <c r="Q14" s="12">
        <f>5*2</f>
        <v>10</v>
      </c>
      <c r="R14" s="12"/>
      <c r="S14" s="12"/>
      <c r="T14" s="12">
        <f>50*2</f>
        <v>100</v>
      </c>
      <c r="U14" s="12">
        <f t="shared" si="12"/>
        <v>45</v>
      </c>
      <c r="V14" s="65" t="s">
        <v>1297</v>
      </c>
      <c r="W14" s="44" t="str">
        <f t="shared" si="2"/>
        <v>OK</v>
      </c>
      <c r="X14" s="47" t="str">
        <f t="shared" si="5"/>
        <v/>
      </c>
      <c r="Y14" s="3"/>
      <c r="Z14" s="127"/>
    </row>
    <row r="15" spans="1:26" ht="14.4" hidden="1" outlineLevel="1" x14ac:dyDescent="0.3">
      <c r="A15" s="3"/>
      <c r="B15" s="109" t="s">
        <v>432</v>
      </c>
      <c r="C15" s="62">
        <v>6</v>
      </c>
      <c r="D15" s="62" t="s">
        <v>94</v>
      </c>
      <c r="E15" s="12">
        <f t="shared" ref="E15:E20" si="13">SUM(M15:U15)</f>
        <v>183.5</v>
      </c>
      <c r="F15" s="101">
        <f t="shared" ref="F15:F20" si="14">E15</f>
        <v>183.5</v>
      </c>
      <c r="G15" s="67"/>
      <c r="H15" s="63" t="s">
        <v>37</v>
      </c>
      <c r="I15" s="63"/>
      <c r="J15" s="64"/>
      <c r="K15" s="62"/>
      <c r="L15" s="62" t="str">
        <f t="shared" si="4"/>
        <v/>
      </c>
      <c r="M15" s="12">
        <v>61.99</v>
      </c>
      <c r="N15" s="12">
        <v>24.57</v>
      </c>
      <c r="O15" s="12">
        <v>12</v>
      </c>
      <c r="P15" s="12">
        <v>1.44</v>
      </c>
      <c r="Q15" s="12">
        <v>0</v>
      </c>
      <c r="R15" s="12">
        <v>0</v>
      </c>
      <c r="S15" s="12">
        <v>0</v>
      </c>
      <c r="T15" s="12"/>
      <c r="U15" s="12">
        <v>83.5</v>
      </c>
      <c r="V15" s="65" t="s">
        <v>1299</v>
      </c>
      <c r="W15" s="44" t="str">
        <f t="shared" si="2"/>
        <v>OK</v>
      </c>
      <c r="X15" s="47" t="str">
        <f t="shared" si="5"/>
        <v/>
      </c>
      <c r="Y15" s="3"/>
      <c r="Z15" s="127"/>
    </row>
    <row r="16" spans="1:26" ht="14.4" hidden="1" outlineLevel="1" x14ac:dyDescent="0.3">
      <c r="A16" s="3"/>
      <c r="B16" s="109" t="s">
        <v>433</v>
      </c>
      <c r="C16" s="62">
        <v>6</v>
      </c>
      <c r="D16" s="62" t="s">
        <v>94</v>
      </c>
      <c r="E16" s="12">
        <f t="shared" si="13"/>
        <v>115</v>
      </c>
      <c r="F16" s="101">
        <f t="shared" si="14"/>
        <v>115</v>
      </c>
      <c r="G16" s="67"/>
      <c r="H16" s="63" t="s">
        <v>37</v>
      </c>
      <c r="I16" s="63"/>
      <c r="J16" s="64"/>
      <c r="K16" s="62"/>
      <c r="L16" s="62" t="str">
        <f t="shared" si="4"/>
        <v/>
      </c>
      <c r="M16" s="12">
        <v>61.99</v>
      </c>
      <c r="N16" s="12">
        <v>24.57</v>
      </c>
      <c r="O16" s="12">
        <v>12</v>
      </c>
      <c r="P16" s="12">
        <v>1.44</v>
      </c>
      <c r="Q16" s="12">
        <v>0</v>
      </c>
      <c r="R16" s="12">
        <v>0</v>
      </c>
      <c r="S16" s="12"/>
      <c r="T16" s="12"/>
      <c r="U16" s="12">
        <v>15</v>
      </c>
      <c r="V16" s="65" t="s">
        <v>1297</v>
      </c>
      <c r="W16" s="44" t="str">
        <f t="shared" si="2"/>
        <v>OK</v>
      </c>
      <c r="X16" s="47" t="str">
        <f t="shared" si="5"/>
        <v/>
      </c>
      <c r="Y16" s="3"/>
      <c r="Z16" s="127"/>
    </row>
    <row r="17" spans="1:26" ht="14.4" hidden="1" outlineLevel="1" x14ac:dyDescent="0.3">
      <c r="A17" s="3"/>
      <c r="B17" s="150" t="s">
        <v>434</v>
      </c>
      <c r="C17" s="62">
        <v>5</v>
      </c>
      <c r="D17" s="62" t="s">
        <v>94</v>
      </c>
      <c r="E17" s="12">
        <f t="shared" si="13"/>
        <v>371.19</v>
      </c>
      <c r="F17" s="101">
        <f t="shared" si="14"/>
        <v>371.19</v>
      </c>
      <c r="G17" s="67"/>
      <c r="H17" s="63" t="s">
        <v>37</v>
      </c>
      <c r="I17" s="63"/>
      <c r="J17" s="64"/>
      <c r="K17" s="62"/>
      <c r="L17" s="62" t="str">
        <f t="shared" si="4"/>
        <v/>
      </c>
      <c r="M17" s="12">
        <v>191.18</v>
      </c>
      <c r="N17" s="12">
        <v>24.57</v>
      </c>
      <c r="O17" s="12">
        <v>12</v>
      </c>
      <c r="P17" s="12">
        <v>1.44</v>
      </c>
      <c r="Q17" s="12">
        <v>5</v>
      </c>
      <c r="R17" s="12"/>
      <c r="S17" s="12"/>
      <c r="T17" s="12"/>
      <c r="U17" s="12">
        <v>137</v>
      </c>
      <c r="V17" s="65" t="s">
        <v>1300</v>
      </c>
      <c r="W17" s="44" t="str">
        <f t="shared" si="2"/>
        <v>OK</v>
      </c>
      <c r="X17" s="47" t="str">
        <f t="shared" si="5"/>
        <v/>
      </c>
      <c r="Y17" s="3"/>
      <c r="Z17" s="127"/>
    </row>
    <row r="18" spans="1:26" ht="14.4" hidden="1" outlineLevel="1" x14ac:dyDescent="0.3">
      <c r="A18" s="3"/>
      <c r="B18" s="150" t="s">
        <v>435</v>
      </c>
      <c r="C18" s="62">
        <v>5</v>
      </c>
      <c r="D18" s="62" t="s">
        <v>94</v>
      </c>
      <c r="E18" s="12">
        <f t="shared" si="13"/>
        <v>188.98999999999998</v>
      </c>
      <c r="F18" s="101">
        <f t="shared" si="14"/>
        <v>188.98999999999998</v>
      </c>
      <c r="G18" s="67"/>
      <c r="H18" s="63" t="s">
        <v>37</v>
      </c>
      <c r="I18" s="63"/>
      <c r="J18" s="64"/>
      <c r="K18" s="62"/>
      <c r="L18" s="62" t="str">
        <f t="shared" si="4"/>
        <v/>
      </c>
      <c r="M18" s="12">
        <v>135.97999999999999</v>
      </c>
      <c r="N18" s="12">
        <v>24.57</v>
      </c>
      <c r="O18" s="12">
        <v>12</v>
      </c>
      <c r="P18" s="12">
        <v>1.44</v>
      </c>
      <c r="Q18" s="12"/>
      <c r="R18" s="12"/>
      <c r="S18" s="12"/>
      <c r="T18" s="12"/>
      <c r="U18" s="12">
        <v>15</v>
      </c>
      <c r="V18" s="65" t="s">
        <v>1297</v>
      </c>
      <c r="W18" s="44" t="str">
        <f t="shared" si="2"/>
        <v>OK</v>
      </c>
      <c r="X18" s="47" t="str">
        <f t="shared" si="5"/>
        <v/>
      </c>
      <c r="Y18" s="3"/>
      <c r="Z18" s="127"/>
    </row>
    <row r="19" spans="1:26" ht="14.4" hidden="1" outlineLevel="1" x14ac:dyDescent="0.3">
      <c r="A19" s="3"/>
      <c r="B19" s="109" t="s">
        <v>436</v>
      </c>
      <c r="C19" s="62">
        <v>3</v>
      </c>
      <c r="D19" s="62" t="s">
        <v>94</v>
      </c>
      <c r="E19" s="12">
        <f t="shared" si="13"/>
        <v>456.28999999999996</v>
      </c>
      <c r="F19" s="101">
        <f t="shared" si="14"/>
        <v>456.28999999999996</v>
      </c>
      <c r="G19" s="67"/>
      <c r="H19" s="63" t="s">
        <v>37</v>
      </c>
      <c r="I19" s="63"/>
      <c r="J19" s="64"/>
      <c r="K19" s="62"/>
      <c r="L19" s="62" t="str">
        <f t="shared" si="4"/>
        <v/>
      </c>
      <c r="M19" s="12">
        <v>328.28</v>
      </c>
      <c r="N19" s="12">
        <v>24.57</v>
      </c>
      <c r="O19" s="12">
        <v>12</v>
      </c>
      <c r="P19" s="12">
        <v>11.44</v>
      </c>
      <c r="Q19" s="12">
        <v>5</v>
      </c>
      <c r="R19" s="12">
        <v>10</v>
      </c>
      <c r="S19" s="12"/>
      <c r="T19" s="12">
        <v>50</v>
      </c>
      <c r="U19" s="12">
        <v>15</v>
      </c>
      <c r="V19" s="65" t="s">
        <v>1297</v>
      </c>
      <c r="W19" s="44" t="str">
        <f t="shared" si="2"/>
        <v>OK</v>
      </c>
      <c r="X19" s="47" t="str">
        <f t="shared" si="5"/>
        <v/>
      </c>
      <c r="Y19" s="3"/>
      <c r="Z19" s="127"/>
    </row>
    <row r="20" spans="1:26" ht="14.4" hidden="1" outlineLevel="1" x14ac:dyDescent="0.3">
      <c r="A20" s="3"/>
      <c r="B20" s="109" t="s">
        <v>437</v>
      </c>
      <c r="C20" s="62">
        <v>3</v>
      </c>
      <c r="D20" s="62" t="s">
        <v>94</v>
      </c>
      <c r="E20" s="12">
        <f t="shared" si="13"/>
        <v>446.28999999999996</v>
      </c>
      <c r="F20" s="101">
        <f t="shared" si="14"/>
        <v>446.28999999999996</v>
      </c>
      <c r="G20" s="67"/>
      <c r="H20" s="63" t="s">
        <v>37</v>
      </c>
      <c r="I20" s="63"/>
      <c r="J20" s="64"/>
      <c r="K20" s="62"/>
      <c r="L20" s="62" t="str">
        <f t="shared" si="4"/>
        <v/>
      </c>
      <c r="M20" s="12">
        <v>328.28</v>
      </c>
      <c r="N20" s="12">
        <v>24.57</v>
      </c>
      <c r="O20" s="12">
        <v>12</v>
      </c>
      <c r="P20" s="12">
        <v>1.44</v>
      </c>
      <c r="Q20" s="12">
        <v>5</v>
      </c>
      <c r="R20" s="12">
        <v>10</v>
      </c>
      <c r="S20" s="12"/>
      <c r="T20" s="12">
        <v>50</v>
      </c>
      <c r="U20" s="12">
        <v>15</v>
      </c>
      <c r="V20" s="65" t="s">
        <v>1297</v>
      </c>
      <c r="W20" s="44" t="str">
        <f t="shared" si="2"/>
        <v>OK</v>
      </c>
      <c r="X20" s="47" t="str">
        <f t="shared" si="5"/>
        <v/>
      </c>
      <c r="Y20" s="3"/>
      <c r="Z20" s="127"/>
    </row>
    <row r="21" spans="1:26" ht="14.4" hidden="1" outlineLevel="1" x14ac:dyDescent="0.3">
      <c r="A21" s="3"/>
      <c r="B21" s="150" t="s">
        <v>438</v>
      </c>
      <c r="C21" s="62" t="s">
        <v>1301</v>
      </c>
      <c r="D21" s="62" t="s">
        <v>94</v>
      </c>
      <c r="E21" s="12">
        <v>270.99</v>
      </c>
      <c r="F21" s="101">
        <f t="shared" ref="F21:F22" si="15">SUM(M21:U21)</f>
        <v>514.98</v>
      </c>
      <c r="G21" s="67"/>
      <c r="H21" s="63" t="s">
        <v>37</v>
      </c>
      <c r="I21" s="63"/>
      <c r="J21" s="64"/>
      <c r="K21" s="62"/>
      <c r="L21" s="62">
        <f t="shared" si="4"/>
        <v>1</v>
      </c>
      <c r="M21" s="12">
        <f>120.98*2</f>
        <v>241.96</v>
      </c>
      <c r="N21" s="12">
        <f t="shared" ref="N21:N22" si="16">24.57*2</f>
        <v>49.14</v>
      </c>
      <c r="O21" s="12">
        <f t="shared" ref="O21:O22" si="17">12*2</f>
        <v>24</v>
      </c>
      <c r="P21" s="12">
        <v>2.88</v>
      </c>
      <c r="Q21" s="12">
        <v>10</v>
      </c>
      <c r="R21" s="12">
        <v>10</v>
      </c>
      <c r="S21" s="12"/>
      <c r="T21" s="12">
        <v>60</v>
      </c>
      <c r="U21" s="12">
        <f>72+27+18</f>
        <v>117</v>
      </c>
      <c r="V21" s="65" t="s">
        <v>1298</v>
      </c>
      <c r="W21" s="44" t="str">
        <f t="shared" si="2"/>
        <v>OK</v>
      </c>
      <c r="X21" s="47" t="str">
        <f t="shared" si="5"/>
        <v/>
      </c>
      <c r="Y21" s="3"/>
      <c r="Z21" s="127"/>
    </row>
    <row r="22" spans="1:26" ht="14.4" hidden="1" outlineLevel="1" x14ac:dyDescent="0.3">
      <c r="A22" s="3"/>
      <c r="B22" s="150" t="s">
        <v>439</v>
      </c>
      <c r="C22" s="62" t="s">
        <v>1301</v>
      </c>
      <c r="D22" s="62" t="s">
        <v>94</v>
      </c>
      <c r="E22" s="12">
        <v>190.59</v>
      </c>
      <c r="F22" s="101">
        <f t="shared" si="15"/>
        <v>381.18</v>
      </c>
      <c r="G22" s="67"/>
      <c r="H22" s="63" t="s">
        <v>37</v>
      </c>
      <c r="I22" s="63"/>
      <c r="J22" s="64"/>
      <c r="K22" s="62"/>
      <c r="L22" s="62">
        <f t="shared" si="4"/>
        <v>1</v>
      </c>
      <c r="M22" s="12">
        <f>102.58*2</f>
        <v>205.16</v>
      </c>
      <c r="N22" s="12">
        <f t="shared" si="16"/>
        <v>49.14</v>
      </c>
      <c r="O22" s="12">
        <f t="shared" si="17"/>
        <v>24</v>
      </c>
      <c r="P22" s="12">
        <v>2.88</v>
      </c>
      <c r="Q22" s="12">
        <v>10</v>
      </c>
      <c r="R22" s="12"/>
      <c r="S22" s="12"/>
      <c r="T22" s="12">
        <v>60</v>
      </c>
      <c r="U22" s="12">
        <v>30</v>
      </c>
      <c r="V22" s="65" t="s">
        <v>1297</v>
      </c>
      <c r="W22" s="44" t="str">
        <f t="shared" si="2"/>
        <v>OK</v>
      </c>
      <c r="X22" s="47" t="str">
        <f t="shared" si="5"/>
        <v/>
      </c>
      <c r="Y22" s="3"/>
      <c r="Z22" s="127"/>
    </row>
    <row r="23" spans="1:26" ht="14.4" hidden="1" outlineLevel="1" x14ac:dyDescent="0.3">
      <c r="A23" s="3"/>
      <c r="B23" s="109" t="s">
        <v>442</v>
      </c>
      <c r="C23" s="62"/>
      <c r="D23" s="62" t="s">
        <v>104</v>
      </c>
      <c r="E23" s="12">
        <f t="shared" ref="E23:E41" si="18">SUM(M23:U23)</f>
        <v>200</v>
      </c>
      <c r="F23" s="101"/>
      <c r="G23" s="67"/>
      <c r="H23" s="63"/>
      <c r="I23" s="63"/>
      <c r="J23" s="64"/>
      <c r="K23" s="12"/>
      <c r="L23" s="62" t="str">
        <f t="shared" si="4"/>
        <v/>
      </c>
      <c r="M23" s="12">
        <v>131.99</v>
      </c>
      <c r="N23" s="12">
        <v>24.57</v>
      </c>
      <c r="O23" s="12">
        <v>12</v>
      </c>
      <c r="P23" s="12">
        <v>6.44</v>
      </c>
      <c r="Q23" s="12"/>
      <c r="R23" s="12">
        <v>10</v>
      </c>
      <c r="S23" s="12"/>
      <c r="T23" s="12"/>
      <c r="U23" s="12">
        <v>15</v>
      </c>
      <c r="V23" s="65" t="s">
        <v>1297</v>
      </c>
      <c r="W23" s="44" t="str">
        <f t="shared" si="2"/>
        <v>Diferente</v>
      </c>
      <c r="X23" s="47">
        <f t="shared" si="5"/>
        <v>-200</v>
      </c>
      <c r="Y23" s="3"/>
      <c r="Z23" s="127"/>
    </row>
    <row r="24" spans="1:26" ht="14.4" hidden="1" outlineLevel="1" x14ac:dyDescent="0.3">
      <c r="A24" s="3"/>
      <c r="B24" s="109" t="s">
        <v>443</v>
      </c>
      <c r="C24" s="62">
        <v>11</v>
      </c>
      <c r="D24" s="62" t="s">
        <v>94</v>
      </c>
      <c r="E24" s="12">
        <f t="shared" si="18"/>
        <v>50</v>
      </c>
      <c r="F24" s="101">
        <f t="shared" ref="F24:F28" si="19">E24</f>
        <v>50</v>
      </c>
      <c r="G24" s="67"/>
      <c r="H24" s="63" t="s">
        <v>37</v>
      </c>
      <c r="I24" s="63"/>
      <c r="J24" s="64"/>
      <c r="K24" s="12"/>
      <c r="L24" s="62" t="str">
        <f t="shared" si="4"/>
        <v/>
      </c>
      <c r="M24" s="12">
        <v>11.43</v>
      </c>
      <c r="N24" s="12">
        <v>24.57</v>
      </c>
      <c r="O24" s="12">
        <v>12</v>
      </c>
      <c r="P24" s="12">
        <v>2</v>
      </c>
      <c r="Q24" s="12"/>
      <c r="R24" s="12"/>
      <c r="S24" s="12"/>
      <c r="T24" s="12"/>
      <c r="U24" s="12"/>
      <c r="V24" s="65"/>
      <c r="W24" s="44" t="str">
        <f t="shared" si="2"/>
        <v>OK</v>
      </c>
      <c r="X24" s="47" t="str">
        <f t="shared" si="5"/>
        <v/>
      </c>
      <c r="Y24" s="3"/>
      <c r="Z24" s="127"/>
    </row>
    <row r="25" spans="1:26" ht="14.4" hidden="1" outlineLevel="1" x14ac:dyDescent="0.3">
      <c r="A25" s="3"/>
      <c r="B25" s="150" t="s">
        <v>444</v>
      </c>
      <c r="C25" s="62">
        <v>9</v>
      </c>
      <c r="D25" s="62" t="s">
        <v>94</v>
      </c>
      <c r="E25" s="12">
        <f t="shared" si="18"/>
        <v>397</v>
      </c>
      <c r="F25" s="101">
        <f t="shared" si="19"/>
        <v>397</v>
      </c>
      <c r="G25" s="67"/>
      <c r="H25" s="63" t="s">
        <v>37</v>
      </c>
      <c r="I25" s="63"/>
      <c r="J25" s="64"/>
      <c r="K25" s="12"/>
      <c r="L25" s="62" t="str">
        <f t="shared" si="4"/>
        <v/>
      </c>
      <c r="M25" s="12">
        <v>131.99</v>
      </c>
      <c r="N25" s="12">
        <v>24.57</v>
      </c>
      <c r="O25" s="12">
        <v>12</v>
      </c>
      <c r="P25" s="12">
        <v>11.44</v>
      </c>
      <c r="Q25" s="12">
        <v>5</v>
      </c>
      <c r="R25" s="12">
        <v>5</v>
      </c>
      <c r="S25" s="12">
        <v>10</v>
      </c>
      <c r="T25" s="12">
        <v>30</v>
      </c>
      <c r="U25" s="12">
        <v>167</v>
      </c>
      <c r="V25" s="65" t="s">
        <v>1302</v>
      </c>
      <c r="W25" s="44" t="str">
        <f t="shared" si="2"/>
        <v>OK</v>
      </c>
      <c r="X25" s="47" t="str">
        <f t="shared" si="5"/>
        <v/>
      </c>
      <c r="Y25" s="3"/>
      <c r="Z25" s="127"/>
    </row>
    <row r="26" spans="1:26" ht="14.4" hidden="1" outlineLevel="1" x14ac:dyDescent="0.3">
      <c r="A26" s="3"/>
      <c r="B26" s="109" t="s">
        <v>446</v>
      </c>
      <c r="C26" s="62">
        <v>9</v>
      </c>
      <c r="D26" s="62" t="s">
        <v>94</v>
      </c>
      <c r="E26" s="12">
        <f t="shared" si="18"/>
        <v>235</v>
      </c>
      <c r="F26" s="101">
        <f t="shared" si="19"/>
        <v>235</v>
      </c>
      <c r="G26" s="67"/>
      <c r="H26" s="63" t="s">
        <v>37</v>
      </c>
      <c r="I26" s="63"/>
      <c r="J26" s="64"/>
      <c r="K26" s="12"/>
      <c r="L26" s="62" t="str">
        <f t="shared" si="4"/>
        <v/>
      </c>
      <c r="M26" s="12">
        <v>131.99</v>
      </c>
      <c r="N26" s="12">
        <v>24.57</v>
      </c>
      <c r="O26" s="12">
        <v>12</v>
      </c>
      <c r="P26" s="12">
        <v>1.44</v>
      </c>
      <c r="Q26" s="12">
        <v>5</v>
      </c>
      <c r="R26" s="12">
        <v>5</v>
      </c>
      <c r="S26" s="12">
        <v>10</v>
      </c>
      <c r="T26" s="12">
        <v>30</v>
      </c>
      <c r="U26" s="12">
        <v>15</v>
      </c>
      <c r="V26" s="65" t="s">
        <v>1297</v>
      </c>
      <c r="W26" s="44" t="str">
        <f t="shared" si="2"/>
        <v>OK</v>
      </c>
      <c r="X26" s="47" t="str">
        <f t="shared" si="5"/>
        <v/>
      </c>
      <c r="Y26" s="3"/>
      <c r="Z26" s="127"/>
    </row>
    <row r="27" spans="1:26" ht="14.4" hidden="1" outlineLevel="1" x14ac:dyDescent="0.3">
      <c r="A27" s="3"/>
      <c r="B27" s="150" t="s">
        <v>447</v>
      </c>
      <c r="C27" s="62">
        <v>10</v>
      </c>
      <c r="D27" s="62" t="s">
        <v>94</v>
      </c>
      <c r="E27" s="12">
        <f t="shared" si="18"/>
        <v>224.69</v>
      </c>
      <c r="F27" s="101">
        <f t="shared" si="19"/>
        <v>224.69</v>
      </c>
      <c r="G27" s="67"/>
      <c r="H27" s="63" t="s">
        <v>37</v>
      </c>
      <c r="I27" s="63"/>
      <c r="J27" s="64"/>
      <c r="K27" s="12"/>
      <c r="L27" s="62" t="str">
        <f t="shared" si="4"/>
        <v/>
      </c>
      <c r="M27" s="12">
        <v>116.68</v>
      </c>
      <c r="N27" s="12">
        <v>24.57</v>
      </c>
      <c r="O27" s="12">
        <v>12</v>
      </c>
      <c r="P27" s="12">
        <v>1.44</v>
      </c>
      <c r="Q27" s="12">
        <v>5</v>
      </c>
      <c r="R27" s="12">
        <v>10</v>
      </c>
      <c r="S27" s="12">
        <v>10</v>
      </c>
      <c r="T27" s="12">
        <v>30</v>
      </c>
      <c r="U27" s="12">
        <v>15</v>
      </c>
      <c r="V27" s="65" t="s">
        <v>1297</v>
      </c>
      <c r="W27" s="44" t="str">
        <f t="shared" si="2"/>
        <v>OK</v>
      </c>
      <c r="X27" s="47" t="str">
        <f t="shared" si="5"/>
        <v/>
      </c>
      <c r="Y27" s="3"/>
      <c r="Z27" s="127"/>
    </row>
    <row r="28" spans="1:26" ht="14.4" hidden="1" outlineLevel="1" x14ac:dyDescent="0.3">
      <c r="A28" s="3"/>
      <c r="B28" s="150" t="s">
        <v>448</v>
      </c>
      <c r="C28" s="62">
        <v>10</v>
      </c>
      <c r="D28" s="62" t="s">
        <v>94</v>
      </c>
      <c r="E28" s="12">
        <f t="shared" si="18"/>
        <v>173.69</v>
      </c>
      <c r="F28" s="101">
        <f t="shared" si="19"/>
        <v>173.69</v>
      </c>
      <c r="G28" s="67"/>
      <c r="H28" s="63" t="s">
        <v>37</v>
      </c>
      <c r="I28" s="63"/>
      <c r="J28" s="64"/>
      <c r="K28" s="12"/>
      <c r="L28" s="62" t="str">
        <f t="shared" si="4"/>
        <v/>
      </c>
      <c r="M28" s="12">
        <v>70.680000000000007</v>
      </c>
      <c r="N28" s="12">
        <v>24.57</v>
      </c>
      <c r="O28" s="12">
        <v>12</v>
      </c>
      <c r="P28" s="12">
        <v>1.44</v>
      </c>
      <c r="Q28" s="12"/>
      <c r="R28" s="12">
        <v>10</v>
      </c>
      <c r="S28" s="12">
        <v>10</v>
      </c>
      <c r="T28" s="12">
        <v>30</v>
      </c>
      <c r="U28" s="12">
        <v>15</v>
      </c>
      <c r="V28" s="65" t="s">
        <v>1297</v>
      </c>
      <c r="W28" s="44" t="str">
        <f t="shared" si="2"/>
        <v>OK</v>
      </c>
      <c r="X28" s="47" t="str">
        <f t="shared" si="5"/>
        <v/>
      </c>
      <c r="Y28" s="3"/>
      <c r="Z28" s="127"/>
    </row>
    <row r="29" spans="1:26" ht="14.4" hidden="1" outlineLevel="1" x14ac:dyDescent="0.3">
      <c r="A29" s="3"/>
      <c r="B29" s="109" t="s">
        <v>449</v>
      </c>
      <c r="C29" s="62"/>
      <c r="D29" s="62" t="s">
        <v>104</v>
      </c>
      <c r="E29" s="12">
        <f t="shared" si="18"/>
        <v>182.44</v>
      </c>
      <c r="F29" s="101"/>
      <c r="G29" s="67"/>
      <c r="H29" s="63"/>
      <c r="I29" s="63"/>
      <c r="J29" s="64"/>
      <c r="K29" s="12"/>
      <c r="L29" s="62" t="str">
        <f t="shared" si="4"/>
        <v/>
      </c>
      <c r="M29" s="12">
        <v>104.43</v>
      </c>
      <c r="N29" s="12">
        <v>24.57</v>
      </c>
      <c r="O29" s="12">
        <v>12</v>
      </c>
      <c r="P29" s="12">
        <v>1.44</v>
      </c>
      <c r="Q29" s="12">
        <v>5</v>
      </c>
      <c r="R29" s="12"/>
      <c r="S29" s="12">
        <v>10</v>
      </c>
      <c r="T29" s="12">
        <v>10</v>
      </c>
      <c r="U29" s="12">
        <v>15</v>
      </c>
      <c r="V29" s="65" t="s">
        <v>1297</v>
      </c>
      <c r="W29" s="44" t="str">
        <f t="shared" si="2"/>
        <v>Diferente</v>
      </c>
      <c r="X29" s="47">
        <f t="shared" si="5"/>
        <v>-182.44</v>
      </c>
      <c r="Y29" s="3"/>
      <c r="Z29" s="127"/>
    </row>
    <row r="30" spans="1:26" ht="14.4" hidden="1" outlineLevel="1" x14ac:dyDescent="0.3">
      <c r="A30" s="3"/>
      <c r="B30" s="109" t="s">
        <v>450</v>
      </c>
      <c r="C30" s="62"/>
      <c r="D30" s="62" t="s">
        <v>104</v>
      </c>
      <c r="E30" s="12">
        <f t="shared" si="18"/>
        <v>182.44</v>
      </c>
      <c r="F30" s="101"/>
      <c r="G30" s="67"/>
      <c r="H30" s="63"/>
      <c r="I30" s="63"/>
      <c r="J30" s="64"/>
      <c r="K30" s="12"/>
      <c r="L30" s="62" t="str">
        <f t="shared" si="4"/>
        <v/>
      </c>
      <c r="M30" s="12">
        <v>104.43</v>
      </c>
      <c r="N30" s="12">
        <v>24.57</v>
      </c>
      <c r="O30" s="12">
        <v>12</v>
      </c>
      <c r="P30" s="12">
        <v>1.44</v>
      </c>
      <c r="Q30" s="12">
        <v>5</v>
      </c>
      <c r="R30" s="12"/>
      <c r="S30" s="12">
        <v>10</v>
      </c>
      <c r="T30" s="12">
        <v>10</v>
      </c>
      <c r="U30" s="12">
        <v>15</v>
      </c>
      <c r="V30" s="65" t="s">
        <v>1297</v>
      </c>
      <c r="W30" s="44" t="str">
        <f t="shared" si="2"/>
        <v>Diferente</v>
      </c>
      <c r="X30" s="47">
        <f t="shared" si="5"/>
        <v>-182.44</v>
      </c>
      <c r="Y30" s="3"/>
      <c r="Z30" s="127"/>
    </row>
    <row r="31" spans="1:26" ht="14.4" hidden="1" outlineLevel="1" x14ac:dyDescent="0.3">
      <c r="A31" s="3"/>
      <c r="B31" s="150" t="s">
        <v>451</v>
      </c>
      <c r="C31" s="62">
        <v>13</v>
      </c>
      <c r="D31" s="62" t="s">
        <v>94</v>
      </c>
      <c r="E31" s="12">
        <f t="shared" si="18"/>
        <v>214.01</v>
      </c>
      <c r="F31" s="101">
        <f t="shared" ref="F31:F32" si="20">E31</f>
        <v>214.01</v>
      </c>
      <c r="G31" s="67"/>
      <c r="H31" s="63" t="s">
        <v>37</v>
      </c>
      <c r="I31" s="63"/>
      <c r="J31" s="64"/>
      <c r="K31" s="12"/>
      <c r="L31" s="62">
        <f t="shared" si="4"/>
        <v>1</v>
      </c>
      <c r="M31" s="12">
        <v>156</v>
      </c>
      <c r="N31" s="12">
        <v>24.57</v>
      </c>
      <c r="O31" s="12">
        <v>12</v>
      </c>
      <c r="P31" s="12">
        <v>1.44</v>
      </c>
      <c r="Q31" s="12">
        <v>5</v>
      </c>
      <c r="R31" s="12"/>
      <c r="S31" s="12"/>
      <c r="T31" s="12"/>
      <c r="U31" s="12">
        <v>15</v>
      </c>
      <c r="V31" s="65" t="s">
        <v>1297</v>
      </c>
      <c r="W31" s="44" t="str">
        <f t="shared" si="2"/>
        <v>OK</v>
      </c>
      <c r="X31" s="47" t="str">
        <f t="shared" si="5"/>
        <v/>
      </c>
      <c r="Y31" s="3"/>
      <c r="Z31" s="127"/>
    </row>
    <row r="32" spans="1:26" ht="14.4" hidden="1" outlineLevel="1" x14ac:dyDescent="0.3">
      <c r="A32" s="3"/>
      <c r="B32" s="150" t="s">
        <v>452</v>
      </c>
      <c r="C32" s="62">
        <v>13</v>
      </c>
      <c r="D32" s="62" t="s">
        <v>94</v>
      </c>
      <c r="E32" s="12">
        <f t="shared" si="18"/>
        <v>234.01</v>
      </c>
      <c r="F32" s="101">
        <f t="shared" si="20"/>
        <v>234.01</v>
      </c>
      <c r="G32" s="67"/>
      <c r="H32" s="63" t="s">
        <v>37</v>
      </c>
      <c r="I32" s="63"/>
      <c r="J32" s="64"/>
      <c r="K32" s="12"/>
      <c r="L32" s="62">
        <f t="shared" si="4"/>
        <v>1</v>
      </c>
      <c r="M32" s="12">
        <v>156</v>
      </c>
      <c r="N32" s="12">
        <v>24.57</v>
      </c>
      <c r="O32" s="12">
        <v>12</v>
      </c>
      <c r="P32" s="12">
        <v>11.44</v>
      </c>
      <c r="Q32" s="12">
        <v>5</v>
      </c>
      <c r="R32" s="12">
        <v>10</v>
      </c>
      <c r="S32" s="12"/>
      <c r="T32" s="12"/>
      <c r="U32" s="12">
        <v>15</v>
      </c>
      <c r="V32" s="65" t="s">
        <v>1297</v>
      </c>
      <c r="W32" s="44" t="str">
        <f t="shared" si="2"/>
        <v>OK</v>
      </c>
      <c r="X32" s="47" t="str">
        <f t="shared" si="5"/>
        <v/>
      </c>
      <c r="Y32" s="3"/>
      <c r="Z32" s="127"/>
    </row>
    <row r="33" spans="1:26" ht="14.4" hidden="1" outlineLevel="1" x14ac:dyDescent="0.3">
      <c r="A33" s="3"/>
      <c r="B33" s="109" t="s">
        <v>453</v>
      </c>
      <c r="C33" s="62"/>
      <c r="D33" s="62" t="s">
        <v>104</v>
      </c>
      <c r="E33" s="12">
        <f t="shared" si="18"/>
        <v>102</v>
      </c>
      <c r="F33" s="101"/>
      <c r="G33" s="67"/>
      <c r="H33" s="63"/>
      <c r="I33" s="63"/>
      <c r="J33" s="64"/>
      <c r="K33" s="12"/>
      <c r="L33" s="62" t="str">
        <f t="shared" si="4"/>
        <v/>
      </c>
      <c r="M33" s="12">
        <v>48.43</v>
      </c>
      <c r="N33" s="12">
        <v>24.57</v>
      </c>
      <c r="O33" s="12">
        <v>12</v>
      </c>
      <c r="P33" s="12">
        <v>2</v>
      </c>
      <c r="Q33" s="12">
        <v>0</v>
      </c>
      <c r="R33" s="12">
        <v>0</v>
      </c>
      <c r="S33" s="12"/>
      <c r="T33" s="12"/>
      <c r="U33" s="12">
        <v>15</v>
      </c>
      <c r="V33" s="65" t="s">
        <v>1297</v>
      </c>
      <c r="W33" s="44" t="str">
        <f t="shared" si="2"/>
        <v>Diferente</v>
      </c>
      <c r="X33" s="47">
        <f t="shared" si="5"/>
        <v>-102</v>
      </c>
      <c r="Y33" s="3"/>
      <c r="Z33" s="127"/>
    </row>
    <row r="34" spans="1:26" ht="14.4" hidden="1" outlineLevel="1" x14ac:dyDescent="0.3">
      <c r="A34" s="3"/>
      <c r="B34" s="109" t="s">
        <v>454</v>
      </c>
      <c r="C34" s="62">
        <v>4</v>
      </c>
      <c r="D34" s="62" t="s">
        <v>94</v>
      </c>
      <c r="E34" s="12">
        <f t="shared" si="18"/>
        <v>243.76</v>
      </c>
      <c r="F34" s="101">
        <f t="shared" ref="F34:F40" si="21">E34</f>
        <v>243.76</v>
      </c>
      <c r="G34" s="67"/>
      <c r="H34" s="63" t="s">
        <v>37</v>
      </c>
      <c r="I34" s="63"/>
      <c r="J34" s="64"/>
      <c r="K34" s="12"/>
      <c r="L34" s="62" t="str">
        <f t="shared" si="4"/>
        <v/>
      </c>
      <c r="M34" s="12">
        <v>132.19</v>
      </c>
      <c r="N34" s="12">
        <v>24.57</v>
      </c>
      <c r="O34" s="12">
        <v>12</v>
      </c>
      <c r="P34" s="12">
        <v>5</v>
      </c>
      <c r="Q34" s="12">
        <v>5</v>
      </c>
      <c r="R34" s="12">
        <v>10</v>
      </c>
      <c r="S34" s="12">
        <v>10</v>
      </c>
      <c r="T34" s="12">
        <v>30</v>
      </c>
      <c r="U34" s="12">
        <v>15</v>
      </c>
      <c r="V34" s="65" t="s">
        <v>1297</v>
      </c>
      <c r="W34" s="44" t="str">
        <f t="shared" si="2"/>
        <v>OK</v>
      </c>
      <c r="X34" s="47" t="str">
        <f t="shared" si="5"/>
        <v/>
      </c>
      <c r="Y34" s="3"/>
      <c r="Z34" s="127"/>
    </row>
    <row r="35" spans="1:26" ht="14.4" hidden="1" outlineLevel="1" x14ac:dyDescent="0.3">
      <c r="A35" s="3"/>
      <c r="B35" s="150" t="s">
        <v>455</v>
      </c>
      <c r="C35" s="62">
        <v>3</v>
      </c>
      <c r="D35" s="62" t="s">
        <v>94</v>
      </c>
      <c r="E35" s="12">
        <f t="shared" si="18"/>
        <v>184.81</v>
      </c>
      <c r="F35" s="101">
        <f t="shared" si="21"/>
        <v>184.81</v>
      </c>
      <c r="G35" s="67"/>
      <c r="H35" s="63" t="s">
        <v>37</v>
      </c>
      <c r="I35" s="63"/>
      <c r="J35" s="64"/>
      <c r="K35" s="12"/>
      <c r="L35" s="62" t="str">
        <f t="shared" si="4"/>
        <v/>
      </c>
      <c r="M35" s="12">
        <v>74.739999999999995</v>
      </c>
      <c r="N35" s="12">
        <v>24.57</v>
      </c>
      <c r="O35" s="12">
        <v>12</v>
      </c>
      <c r="P35" s="12">
        <v>1.5</v>
      </c>
      <c r="Q35" s="12"/>
      <c r="R35" s="12"/>
      <c r="S35" s="12"/>
      <c r="T35" s="12"/>
      <c r="U35" s="12">
        <v>72</v>
      </c>
      <c r="V35" s="65" t="s">
        <v>1298</v>
      </c>
      <c r="W35" s="44" t="str">
        <f t="shared" si="2"/>
        <v>OK</v>
      </c>
      <c r="X35" s="47" t="str">
        <f t="shared" si="5"/>
        <v/>
      </c>
      <c r="Y35" s="3"/>
      <c r="Z35" s="127"/>
    </row>
    <row r="36" spans="1:26" ht="14.4" hidden="1" outlineLevel="1" x14ac:dyDescent="0.3">
      <c r="A36" s="3"/>
      <c r="B36" s="109" t="s">
        <v>456</v>
      </c>
      <c r="C36" s="62">
        <v>3</v>
      </c>
      <c r="D36" s="62" t="s">
        <v>94</v>
      </c>
      <c r="E36" s="12">
        <f t="shared" si="18"/>
        <v>127.81</v>
      </c>
      <c r="F36" s="101">
        <f t="shared" si="21"/>
        <v>127.81</v>
      </c>
      <c r="G36" s="67"/>
      <c r="H36" s="63" t="s">
        <v>37</v>
      </c>
      <c r="I36" s="63"/>
      <c r="J36" s="64"/>
      <c r="K36" s="12"/>
      <c r="L36" s="62" t="str">
        <f t="shared" si="4"/>
        <v/>
      </c>
      <c r="M36" s="12">
        <v>74.739999999999995</v>
      </c>
      <c r="N36" s="12">
        <v>24.57</v>
      </c>
      <c r="O36" s="12">
        <v>12</v>
      </c>
      <c r="P36" s="12">
        <v>1.5</v>
      </c>
      <c r="Q36" s="12"/>
      <c r="R36" s="12"/>
      <c r="S36" s="12"/>
      <c r="T36" s="12"/>
      <c r="U36" s="12">
        <v>15</v>
      </c>
      <c r="V36" s="65" t="s">
        <v>1297</v>
      </c>
      <c r="W36" s="44" t="str">
        <f t="shared" si="2"/>
        <v>OK</v>
      </c>
      <c r="X36" s="47" t="str">
        <f t="shared" si="5"/>
        <v/>
      </c>
      <c r="Y36" s="3"/>
      <c r="Z36" s="127"/>
    </row>
    <row r="37" spans="1:26" ht="14.4" hidden="1" outlineLevel="1" x14ac:dyDescent="0.3">
      <c r="A37" s="3"/>
      <c r="B37" s="150" t="s">
        <v>457</v>
      </c>
      <c r="C37" s="62">
        <v>11</v>
      </c>
      <c r="D37" s="62" t="s">
        <v>94</v>
      </c>
      <c r="E37" s="12">
        <f t="shared" si="18"/>
        <v>161.44</v>
      </c>
      <c r="F37" s="101">
        <f t="shared" si="21"/>
        <v>161.44</v>
      </c>
      <c r="G37" s="67"/>
      <c r="H37" s="63" t="s">
        <v>37</v>
      </c>
      <c r="I37" s="63"/>
      <c r="J37" s="64"/>
      <c r="K37" s="12"/>
      <c r="L37" s="62" t="str">
        <f t="shared" si="4"/>
        <v/>
      </c>
      <c r="M37" s="12">
        <v>103.43</v>
      </c>
      <c r="N37" s="12">
        <v>24.57</v>
      </c>
      <c r="O37" s="12">
        <v>12</v>
      </c>
      <c r="P37" s="12">
        <v>1.44</v>
      </c>
      <c r="Q37" s="12"/>
      <c r="R37" s="12">
        <v>5</v>
      </c>
      <c r="S37" s="12"/>
      <c r="T37" s="12"/>
      <c r="U37" s="12">
        <v>15</v>
      </c>
      <c r="V37" s="65" t="s">
        <v>1297</v>
      </c>
      <c r="W37" s="44" t="str">
        <f t="shared" si="2"/>
        <v>OK</v>
      </c>
      <c r="X37" s="47" t="str">
        <f t="shared" si="5"/>
        <v/>
      </c>
      <c r="Y37" s="3"/>
      <c r="Z37" s="127"/>
    </row>
    <row r="38" spans="1:26" ht="14.4" hidden="1" outlineLevel="1" x14ac:dyDescent="0.3">
      <c r="A38" s="3"/>
      <c r="B38" s="150" t="s">
        <v>458</v>
      </c>
      <c r="C38" s="62">
        <v>11</v>
      </c>
      <c r="D38" s="62" t="s">
        <v>94</v>
      </c>
      <c r="E38" s="12">
        <f t="shared" si="18"/>
        <v>166.44</v>
      </c>
      <c r="F38" s="101">
        <f t="shared" si="21"/>
        <v>166.44</v>
      </c>
      <c r="G38" s="67"/>
      <c r="H38" s="63" t="s">
        <v>37</v>
      </c>
      <c r="I38" s="63"/>
      <c r="J38" s="64"/>
      <c r="K38" s="12"/>
      <c r="L38" s="62" t="str">
        <f t="shared" si="4"/>
        <v/>
      </c>
      <c r="M38" s="12">
        <v>103.43</v>
      </c>
      <c r="N38" s="12">
        <v>24.57</v>
      </c>
      <c r="O38" s="12">
        <v>12</v>
      </c>
      <c r="P38" s="12">
        <v>1.44</v>
      </c>
      <c r="Q38" s="12">
        <v>5</v>
      </c>
      <c r="R38" s="12">
        <v>5</v>
      </c>
      <c r="S38" s="12"/>
      <c r="T38" s="12"/>
      <c r="U38" s="12">
        <v>15</v>
      </c>
      <c r="V38" s="65" t="s">
        <v>1297</v>
      </c>
      <c r="W38" s="44" t="str">
        <f t="shared" si="2"/>
        <v>OK</v>
      </c>
      <c r="X38" s="47" t="str">
        <f t="shared" si="5"/>
        <v/>
      </c>
      <c r="Y38" s="3"/>
      <c r="Z38" s="127"/>
    </row>
    <row r="39" spans="1:26" ht="14.4" hidden="1" outlineLevel="1" x14ac:dyDescent="0.3">
      <c r="A39" s="3"/>
      <c r="B39" s="109" t="s">
        <v>459</v>
      </c>
      <c r="C39" s="62">
        <v>11</v>
      </c>
      <c r="D39" s="62" t="s">
        <v>94</v>
      </c>
      <c r="E39" s="12">
        <f t="shared" si="18"/>
        <v>166.44</v>
      </c>
      <c r="F39" s="101">
        <f t="shared" si="21"/>
        <v>166.44</v>
      </c>
      <c r="G39" s="67"/>
      <c r="H39" s="63" t="s">
        <v>37</v>
      </c>
      <c r="I39" s="63"/>
      <c r="J39" s="64"/>
      <c r="K39" s="12"/>
      <c r="L39" s="62" t="str">
        <f t="shared" si="4"/>
        <v/>
      </c>
      <c r="M39" s="12">
        <v>103.43</v>
      </c>
      <c r="N39" s="12">
        <v>24.57</v>
      </c>
      <c r="O39" s="12">
        <v>12</v>
      </c>
      <c r="P39" s="12">
        <v>1.44</v>
      </c>
      <c r="Q39" s="12">
        <v>5</v>
      </c>
      <c r="R39" s="12">
        <v>5</v>
      </c>
      <c r="S39" s="12"/>
      <c r="T39" s="12"/>
      <c r="U39" s="12">
        <v>15</v>
      </c>
      <c r="V39" s="65" t="s">
        <v>1297</v>
      </c>
      <c r="W39" s="44" t="str">
        <f t="shared" si="2"/>
        <v>OK</v>
      </c>
      <c r="X39" s="47" t="str">
        <f t="shared" si="5"/>
        <v/>
      </c>
      <c r="Y39" s="3"/>
      <c r="Z39" s="127"/>
    </row>
    <row r="40" spans="1:26" ht="14.4" hidden="1" outlineLevel="1" x14ac:dyDescent="0.3">
      <c r="A40" s="3"/>
      <c r="B40" s="109" t="s">
        <v>460</v>
      </c>
      <c r="C40" s="62">
        <v>11</v>
      </c>
      <c r="D40" s="62" t="s">
        <v>94</v>
      </c>
      <c r="E40" s="12">
        <f t="shared" si="18"/>
        <v>84.59</v>
      </c>
      <c r="F40" s="101">
        <f t="shared" si="21"/>
        <v>84.59</v>
      </c>
      <c r="G40" s="67"/>
      <c r="H40" s="63" t="s">
        <v>37</v>
      </c>
      <c r="I40" s="63"/>
      <c r="J40" s="64"/>
      <c r="K40" s="12"/>
      <c r="L40" s="62" t="str">
        <f t="shared" si="4"/>
        <v/>
      </c>
      <c r="M40" s="12">
        <v>31.58</v>
      </c>
      <c r="N40" s="12">
        <v>24.57</v>
      </c>
      <c r="O40" s="12">
        <v>12</v>
      </c>
      <c r="P40" s="12">
        <v>1.44</v>
      </c>
      <c r="Q40" s="12"/>
      <c r="R40" s="12"/>
      <c r="S40" s="12"/>
      <c r="T40" s="12"/>
      <c r="U40" s="12">
        <v>15</v>
      </c>
      <c r="V40" s="65" t="s">
        <v>1297</v>
      </c>
      <c r="W40" s="44" t="str">
        <f t="shared" si="2"/>
        <v>OK</v>
      </c>
      <c r="X40" s="47" t="str">
        <f t="shared" si="5"/>
        <v/>
      </c>
      <c r="Y40" s="3"/>
      <c r="Z40" s="127"/>
    </row>
    <row r="41" spans="1:26" ht="14.4" hidden="1" outlineLevel="1" x14ac:dyDescent="0.3">
      <c r="A41" s="3"/>
      <c r="B41" s="109" t="s">
        <v>461</v>
      </c>
      <c r="C41" s="62"/>
      <c r="D41" s="62" t="s">
        <v>104</v>
      </c>
      <c r="E41" s="12">
        <f t="shared" si="18"/>
        <v>272</v>
      </c>
      <c r="F41" s="101"/>
      <c r="G41" s="67"/>
      <c r="H41" s="63"/>
      <c r="I41" s="63"/>
      <c r="J41" s="64"/>
      <c r="K41" s="12"/>
      <c r="L41" s="62" t="str">
        <f t="shared" si="4"/>
        <v/>
      </c>
      <c r="M41" s="12">
        <v>151.99</v>
      </c>
      <c r="N41" s="12">
        <v>24.57</v>
      </c>
      <c r="O41" s="12">
        <v>12</v>
      </c>
      <c r="P41" s="12">
        <v>1.44</v>
      </c>
      <c r="Q41" s="12"/>
      <c r="R41" s="12">
        <v>5</v>
      </c>
      <c r="S41" s="12">
        <v>5</v>
      </c>
      <c r="T41" s="12"/>
      <c r="U41" s="12">
        <v>72</v>
      </c>
      <c r="V41" s="65" t="s">
        <v>1298</v>
      </c>
      <c r="W41" s="44" t="str">
        <f t="shared" si="2"/>
        <v>Diferente</v>
      </c>
      <c r="X41" s="47">
        <f t="shared" si="5"/>
        <v>-272</v>
      </c>
      <c r="Y41" s="3"/>
      <c r="Z41" s="127"/>
    </row>
    <row r="42" spans="1:26" ht="14.4" hidden="1" outlineLevel="1" x14ac:dyDescent="0.3">
      <c r="A42" s="3"/>
      <c r="B42" s="109" t="s">
        <v>462</v>
      </c>
      <c r="C42" s="62" t="s">
        <v>1303</v>
      </c>
      <c r="D42" s="62" t="s">
        <v>94</v>
      </c>
      <c r="E42" s="12">
        <v>313.89</v>
      </c>
      <c r="F42" s="101">
        <f t="shared" ref="F42:F43" si="22">SUM(M42:U42)</f>
        <v>579.54</v>
      </c>
      <c r="G42" s="67"/>
      <c r="H42" s="63" t="s">
        <v>37</v>
      </c>
      <c r="I42" s="63"/>
      <c r="J42" s="64"/>
      <c r="K42" s="12"/>
      <c r="L42" s="62">
        <f t="shared" si="4"/>
        <v>1</v>
      </c>
      <c r="M42" s="12">
        <f>125.88+265.65</f>
        <v>391.53</v>
      </c>
      <c r="N42" s="12">
        <v>24.57</v>
      </c>
      <c r="O42" s="12">
        <v>12</v>
      </c>
      <c r="P42" s="12">
        <v>1.44</v>
      </c>
      <c r="Q42" s="12">
        <v>5</v>
      </c>
      <c r="R42" s="12">
        <v>10</v>
      </c>
      <c r="S42" s="12">
        <v>20</v>
      </c>
      <c r="T42" s="12">
        <v>100</v>
      </c>
      <c r="U42" s="12">
        <v>15</v>
      </c>
      <c r="V42" s="65" t="s">
        <v>1297</v>
      </c>
      <c r="W42" s="44" t="str">
        <f t="shared" si="2"/>
        <v>OK</v>
      </c>
      <c r="X42" s="47" t="str">
        <f t="shared" si="5"/>
        <v/>
      </c>
      <c r="Y42" s="3"/>
      <c r="Z42" s="127"/>
    </row>
    <row r="43" spans="1:26" ht="14.4" hidden="1" outlineLevel="1" x14ac:dyDescent="0.3">
      <c r="A43" s="3"/>
      <c r="B43" s="150" t="s">
        <v>463</v>
      </c>
      <c r="C43" s="62" t="s">
        <v>1303</v>
      </c>
      <c r="D43" s="62" t="s">
        <v>94</v>
      </c>
      <c r="E43" s="12">
        <v>177.44</v>
      </c>
      <c r="F43" s="101">
        <f t="shared" si="22"/>
        <v>443.09</v>
      </c>
      <c r="G43" s="67"/>
      <c r="H43" s="63" t="s">
        <v>37</v>
      </c>
      <c r="I43" s="63"/>
      <c r="J43" s="64"/>
      <c r="K43" s="12"/>
      <c r="L43" s="62">
        <f t="shared" si="4"/>
        <v>1</v>
      </c>
      <c r="M43" s="12">
        <f>99.43+265.65</f>
        <v>365.08</v>
      </c>
      <c r="N43" s="12">
        <v>24.57</v>
      </c>
      <c r="O43" s="12">
        <v>12</v>
      </c>
      <c r="P43" s="12">
        <v>1.44</v>
      </c>
      <c r="Q43" s="12">
        <v>5</v>
      </c>
      <c r="R43" s="12"/>
      <c r="S43" s="12">
        <v>20</v>
      </c>
      <c r="T43" s="12"/>
      <c r="U43" s="12">
        <v>15</v>
      </c>
      <c r="V43" s="65" t="s">
        <v>1297</v>
      </c>
      <c r="W43" s="44" t="str">
        <f t="shared" si="2"/>
        <v>OK</v>
      </c>
      <c r="X43" s="47" t="str">
        <f t="shared" si="5"/>
        <v/>
      </c>
      <c r="Y43" s="3"/>
      <c r="Z43" s="127"/>
    </row>
    <row r="44" spans="1:26" ht="14.4" hidden="1" outlineLevel="1" x14ac:dyDescent="0.3">
      <c r="A44" s="3"/>
      <c r="B44" s="109" t="s">
        <v>464</v>
      </c>
      <c r="C44" s="62"/>
      <c r="D44" s="62" t="s">
        <v>94</v>
      </c>
      <c r="E44" s="12">
        <v>0</v>
      </c>
      <c r="F44" s="101"/>
      <c r="G44" s="67"/>
      <c r="H44" s="63"/>
      <c r="I44" s="63"/>
      <c r="J44" s="64"/>
      <c r="K44" s="12"/>
      <c r="L44" s="62" t="str">
        <f t="shared" si="4"/>
        <v/>
      </c>
      <c r="M44" s="12"/>
      <c r="N44" s="12"/>
      <c r="O44" s="12"/>
      <c r="P44" s="12"/>
      <c r="Q44" s="12"/>
      <c r="R44" s="12"/>
      <c r="S44" s="12"/>
      <c r="T44" s="12"/>
      <c r="U44" s="12"/>
      <c r="V44" s="65" t="s">
        <v>1297</v>
      </c>
      <c r="W44" s="44" t="str">
        <f t="shared" si="2"/>
        <v>OK</v>
      </c>
      <c r="X44" s="47" t="str">
        <f t="shared" si="5"/>
        <v/>
      </c>
      <c r="Y44" s="3"/>
      <c r="Z44" s="127"/>
    </row>
    <row r="45" spans="1:26" ht="14.4" hidden="1" outlineLevel="1" x14ac:dyDescent="0.3">
      <c r="A45" s="3"/>
      <c r="B45" s="109" t="s">
        <v>465</v>
      </c>
      <c r="C45" s="62"/>
      <c r="D45" s="62" t="s">
        <v>94</v>
      </c>
      <c r="E45" s="12">
        <v>0</v>
      </c>
      <c r="F45" s="101"/>
      <c r="G45" s="67"/>
      <c r="H45" s="63"/>
      <c r="I45" s="63"/>
      <c r="J45" s="64"/>
      <c r="K45" s="12"/>
      <c r="L45" s="62" t="str">
        <f t="shared" si="4"/>
        <v/>
      </c>
      <c r="M45" s="12"/>
      <c r="N45" s="12"/>
      <c r="O45" s="12"/>
      <c r="P45" s="12"/>
      <c r="Q45" s="12"/>
      <c r="R45" s="12"/>
      <c r="S45" s="12"/>
      <c r="T45" s="12"/>
      <c r="U45" s="12"/>
      <c r="V45" s="65" t="s">
        <v>1304</v>
      </c>
      <c r="W45" s="44" t="str">
        <f t="shared" si="2"/>
        <v>OK</v>
      </c>
      <c r="X45" s="47" t="str">
        <f t="shared" si="5"/>
        <v/>
      </c>
      <c r="Y45" s="3"/>
      <c r="Z45" s="127"/>
    </row>
    <row r="46" spans="1:26" ht="14.4" hidden="1" outlineLevel="1" x14ac:dyDescent="0.3">
      <c r="A46" s="3"/>
      <c r="B46" s="150" t="s">
        <v>466</v>
      </c>
      <c r="C46" s="62">
        <v>18</v>
      </c>
      <c r="D46" s="62" t="s">
        <v>94</v>
      </c>
      <c r="E46" s="12">
        <f t="shared" ref="E46:E54" si="23">SUM(M46:U46)</f>
        <v>333.99</v>
      </c>
      <c r="F46" s="101">
        <f t="shared" ref="F46:F52" si="24">E46</f>
        <v>333.99</v>
      </c>
      <c r="G46" s="67"/>
      <c r="H46" s="63" t="s">
        <v>37</v>
      </c>
      <c r="I46" s="63"/>
      <c r="J46" s="64"/>
      <c r="K46" s="12"/>
      <c r="L46" s="62">
        <f t="shared" si="4"/>
        <v>1</v>
      </c>
      <c r="M46" s="12">
        <v>118.98</v>
      </c>
      <c r="N46" s="12">
        <v>24.57</v>
      </c>
      <c r="O46" s="12">
        <v>12</v>
      </c>
      <c r="P46" s="12">
        <v>11.44</v>
      </c>
      <c r="Q46" s="12">
        <v>5</v>
      </c>
      <c r="R46" s="12">
        <v>10</v>
      </c>
      <c r="S46" s="12"/>
      <c r="T46" s="12"/>
      <c r="U46" s="12">
        <v>152</v>
      </c>
      <c r="V46" s="65" t="s">
        <v>1305</v>
      </c>
      <c r="W46" s="44" t="str">
        <f t="shared" si="2"/>
        <v>OK</v>
      </c>
      <c r="X46" s="47" t="str">
        <f t="shared" si="5"/>
        <v/>
      </c>
      <c r="Y46" s="3"/>
      <c r="Z46" s="127"/>
    </row>
    <row r="47" spans="1:26" ht="14.4" hidden="1" outlineLevel="1" x14ac:dyDescent="0.3">
      <c r="A47" s="3"/>
      <c r="B47" s="150" t="s">
        <v>467</v>
      </c>
      <c r="C47" s="62">
        <v>18</v>
      </c>
      <c r="D47" s="62" t="s">
        <v>94</v>
      </c>
      <c r="E47" s="12">
        <f t="shared" si="23"/>
        <v>108.74</v>
      </c>
      <c r="F47" s="101">
        <f t="shared" si="24"/>
        <v>108.74</v>
      </c>
      <c r="G47" s="67"/>
      <c r="H47" s="63" t="s">
        <v>37</v>
      </c>
      <c r="I47" s="63"/>
      <c r="J47" s="64"/>
      <c r="K47" s="12"/>
      <c r="L47" s="62">
        <f t="shared" si="4"/>
        <v>1</v>
      </c>
      <c r="M47" s="12">
        <v>55.73</v>
      </c>
      <c r="N47" s="12">
        <v>24.57</v>
      </c>
      <c r="O47" s="12">
        <v>12</v>
      </c>
      <c r="P47" s="12">
        <v>1.44</v>
      </c>
      <c r="Q47" s="12"/>
      <c r="R47" s="12"/>
      <c r="S47" s="12"/>
      <c r="T47" s="12"/>
      <c r="U47" s="12">
        <v>15</v>
      </c>
      <c r="V47" s="65" t="s">
        <v>1297</v>
      </c>
      <c r="W47" s="44" t="str">
        <f t="shared" si="2"/>
        <v>OK</v>
      </c>
      <c r="X47" s="47" t="str">
        <f t="shared" si="5"/>
        <v/>
      </c>
      <c r="Y47" s="3"/>
      <c r="Z47" s="127"/>
    </row>
    <row r="48" spans="1:26" ht="14.4" hidden="1" outlineLevel="1" x14ac:dyDescent="0.3">
      <c r="A48" s="3"/>
      <c r="B48" s="109" t="s">
        <v>468</v>
      </c>
      <c r="C48" s="62">
        <v>16</v>
      </c>
      <c r="D48" s="62" t="s">
        <v>94</v>
      </c>
      <c r="E48" s="12">
        <f t="shared" si="23"/>
        <v>216.76</v>
      </c>
      <c r="F48" s="101">
        <f t="shared" si="24"/>
        <v>216.76</v>
      </c>
      <c r="G48" s="67"/>
      <c r="H48" s="63" t="s">
        <v>37</v>
      </c>
      <c r="I48" s="63"/>
      <c r="J48" s="64"/>
      <c r="K48" s="12"/>
      <c r="L48" s="62">
        <f t="shared" si="4"/>
        <v>1</v>
      </c>
      <c r="M48" s="12">
        <v>58.19</v>
      </c>
      <c r="N48" s="12">
        <v>24.57</v>
      </c>
      <c r="O48" s="12">
        <v>12</v>
      </c>
      <c r="P48" s="12" t="s">
        <v>43</v>
      </c>
      <c r="Q48" s="12" t="s">
        <v>43</v>
      </c>
      <c r="R48" s="12" t="s">
        <v>43</v>
      </c>
      <c r="S48" s="12" t="s">
        <v>43</v>
      </c>
      <c r="T48" s="12"/>
      <c r="U48" s="12">
        <v>122</v>
      </c>
      <c r="V48" s="65" t="s">
        <v>1306</v>
      </c>
      <c r="W48" s="44" t="str">
        <f t="shared" si="2"/>
        <v>OK</v>
      </c>
      <c r="X48" s="47" t="str">
        <f t="shared" si="5"/>
        <v/>
      </c>
      <c r="Y48" s="3"/>
      <c r="Z48" s="127"/>
    </row>
    <row r="49" spans="1:26" ht="14.4" hidden="1" outlineLevel="1" x14ac:dyDescent="0.3">
      <c r="A49" s="3"/>
      <c r="B49" s="109" t="s">
        <v>469</v>
      </c>
      <c r="C49" s="62">
        <v>16</v>
      </c>
      <c r="D49" s="62" t="s">
        <v>94</v>
      </c>
      <c r="E49" s="12">
        <f t="shared" si="23"/>
        <v>85.45</v>
      </c>
      <c r="F49" s="101">
        <f t="shared" si="24"/>
        <v>85.45</v>
      </c>
      <c r="G49" s="67"/>
      <c r="H49" s="63" t="s">
        <v>37</v>
      </c>
      <c r="I49" s="63"/>
      <c r="J49" s="64"/>
      <c r="K49" s="12"/>
      <c r="L49" s="62">
        <f t="shared" si="4"/>
        <v>1</v>
      </c>
      <c r="M49" s="12">
        <v>33.880000000000003</v>
      </c>
      <c r="N49" s="12">
        <v>24.57</v>
      </c>
      <c r="O49" s="12">
        <v>12</v>
      </c>
      <c r="P49" s="12" t="s">
        <v>43</v>
      </c>
      <c r="Q49" s="12"/>
      <c r="R49" s="12" t="s">
        <v>43</v>
      </c>
      <c r="S49" s="12"/>
      <c r="T49" s="12"/>
      <c r="U49" s="12">
        <v>15</v>
      </c>
      <c r="V49" s="65" t="s">
        <v>1297</v>
      </c>
      <c r="W49" s="44" t="str">
        <f t="shared" si="2"/>
        <v>OK</v>
      </c>
      <c r="X49" s="47" t="str">
        <f t="shared" si="5"/>
        <v/>
      </c>
      <c r="Y49" s="3"/>
      <c r="Z49" s="127"/>
    </row>
    <row r="50" spans="1:26" ht="14.4" hidden="1" outlineLevel="1" x14ac:dyDescent="0.3">
      <c r="A50" s="3"/>
      <c r="B50" s="150" t="s">
        <v>470</v>
      </c>
      <c r="C50" s="62">
        <v>26</v>
      </c>
      <c r="D50" s="62" t="s">
        <v>94</v>
      </c>
      <c r="E50" s="12">
        <f t="shared" si="23"/>
        <v>293.69</v>
      </c>
      <c r="F50" s="101">
        <f t="shared" si="24"/>
        <v>293.69</v>
      </c>
      <c r="G50" s="67"/>
      <c r="H50" s="63" t="s">
        <v>37</v>
      </c>
      <c r="I50" s="63"/>
      <c r="J50" s="64"/>
      <c r="K50" s="12"/>
      <c r="L50" s="62">
        <f t="shared" si="4"/>
        <v>1</v>
      </c>
      <c r="M50" s="12">
        <v>93.62</v>
      </c>
      <c r="N50" s="12">
        <v>24.57</v>
      </c>
      <c r="O50" s="12">
        <v>12</v>
      </c>
      <c r="P50" s="12">
        <v>1.5</v>
      </c>
      <c r="Q50" s="12"/>
      <c r="R50" s="12"/>
      <c r="S50" s="12">
        <v>10</v>
      </c>
      <c r="T50" s="12"/>
      <c r="U50" s="12">
        <v>152</v>
      </c>
      <c r="V50" s="65" t="s">
        <v>1305</v>
      </c>
      <c r="W50" s="44" t="str">
        <f t="shared" si="2"/>
        <v>OK</v>
      </c>
      <c r="X50" s="47" t="str">
        <f t="shared" si="5"/>
        <v/>
      </c>
      <c r="Y50" s="3"/>
      <c r="Z50" s="127"/>
    </row>
    <row r="51" spans="1:26" ht="14.4" hidden="1" outlineLevel="1" x14ac:dyDescent="0.3">
      <c r="A51" s="3"/>
      <c r="B51" s="150" t="s">
        <v>472</v>
      </c>
      <c r="C51" s="62">
        <v>26</v>
      </c>
      <c r="D51" s="62" t="s">
        <v>94</v>
      </c>
      <c r="E51" s="12">
        <f t="shared" si="23"/>
        <v>146.69</v>
      </c>
      <c r="F51" s="101">
        <f t="shared" si="24"/>
        <v>146.69</v>
      </c>
      <c r="G51" s="67"/>
      <c r="H51" s="63" t="s">
        <v>37</v>
      </c>
      <c r="I51" s="63"/>
      <c r="J51" s="64"/>
      <c r="K51" s="12"/>
      <c r="L51" s="62">
        <f t="shared" si="4"/>
        <v>1</v>
      </c>
      <c r="M51" s="12">
        <v>93.62</v>
      </c>
      <c r="N51" s="12">
        <v>24.57</v>
      </c>
      <c r="O51" s="12">
        <v>12</v>
      </c>
      <c r="P51" s="12">
        <v>1.5</v>
      </c>
      <c r="Q51" s="12"/>
      <c r="R51" s="12"/>
      <c r="S51" s="12"/>
      <c r="T51" s="12"/>
      <c r="U51" s="12">
        <v>15</v>
      </c>
      <c r="V51" s="65" t="s">
        <v>1297</v>
      </c>
      <c r="W51" s="44" t="str">
        <f t="shared" si="2"/>
        <v>OK</v>
      </c>
      <c r="X51" s="47" t="str">
        <f t="shared" si="5"/>
        <v/>
      </c>
      <c r="Y51" s="3"/>
      <c r="Z51" s="127"/>
    </row>
    <row r="52" spans="1:26" ht="14.4" hidden="1" outlineLevel="1" x14ac:dyDescent="0.3">
      <c r="A52" s="3"/>
      <c r="B52" s="109" t="s">
        <v>473</v>
      </c>
      <c r="C52" s="62">
        <v>4</v>
      </c>
      <c r="D52" s="62" t="s">
        <v>94</v>
      </c>
      <c r="E52" s="12">
        <f t="shared" si="23"/>
        <v>197.44</v>
      </c>
      <c r="F52" s="101">
        <f t="shared" si="24"/>
        <v>197.44</v>
      </c>
      <c r="G52" s="67"/>
      <c r="H52" s="63" t="s">
        <v>37</v>
      </c>
      <c r="I52" s="63"/>
      <c r="J52" s="64"/>
      <c r="K52" s="12"/>
      <c r="L52" s="62" t="str">
        <f t="shared" si="4"/>
        <v/>
      </c>
      <c r="M52" s="12">
        <v>139.43</v>
      </c>
      <c r="N52" s="12">
        <v>24.57</v>
      </c>
      <c r="O52" s="12">
        <v>12</v>
      </c>
      <c r="P52" s="12">
        <v>1.44</v>
      </c>
      <c r="Q52" s="12">
        <v>5</v>
      </c>
      <c r="R52" s="12"/>
      <c r="S52" s="12"/>
      <c r="T52" s="12"/>
      <c r="U52" s="12">
        <v>15</v>
      </c>
      <c r="V52" s="89" t="s">
        <v>1297</v>
      </c>
      <c r="W52" s="44" t="str">
        <f t="shared" si="2"/>
        <v>OK</v>
      </c>
      <c r="X52" s="47" t="str">
        <f t="shared" si="5"/>
        <v/>
      </c>
      <c r="Y52" s="3"/>
      <c r="Z52" s="127"/>
    </row>
    <row r="53" spans="1:26" ht="14.4" hidden="1" outlineLevel="1" x14ac:dyDescent="0.3">
      <c r="A53" s="3"/>
      <c r="B53" s="109" t="s">
        <v>474</v>
      </c>
      <c r="C53" s="62"/>
      <c r="D53" s="62" t="s">
        <v>104</v>
      </c>
      <c r="E53" s="12">
        <f t="shared" si="23"/>
        <v>326.28999999999996</v>
      </c>
      <c r="F53" s="101"/>
      <c r="G53" s="67"/>
      <c r="H53" s="63"/>
      <c r="I53" s="63"/>
      <c r="J53" s="64"/>
      <c r="K53" s="12"/>
      <c r="L53" s="62" t="str">
        <f t="shared" si="4"/>
        <v/>
      </c>
      <c r="M53" s="12">
        <v>98.28</v>
      </c>
      <c r="N53" s="12">
        <v>24.57</v>
      </c>
      <c r="O53" s="12">
        <v>12</v>
      </c>
      <c r="P53" s="12">
        <v>1.44</v>
      </c>
      <c r="Q53" s="12"/>
      <c r="R53" s="12">
        <v>10</v>
      </c>
      <c r="S53" s="12"/>
      <c r="T53" s="12">
        <v>100</v>
      </c>
      <c r="U53" s="12">
        <v>80</v>
      </c>
      <c r="V53" s="65" t="s">
        <v>1307</v>
      </c>
      <c r="W53" s="44" t="str">
        <f t="shared" si="2"/>
        <v>Diferente</v>
      </c>
      <c r="X53" s="47">
        <f t="shared" si="5"/>
        <v>-326.28999999999996</v>
      </c>
      <c r="Y53" s="3"/>
      <c r="Z53" s="127"/>
    </row>
    <row r="54" spans="1:26" ht="14.4" hidden="1" outlineLevel="1" x14ac:dyDescent="0.3">
      <c r="A54" s="3"/>
      <c r="B54" s="150" t="s">
        <v>476</v>
      </c>
      <c r="C54" s="62"/>
      <c r="D54" s="62" t="s">
        <v>104</v>
      </c>
      <c r="E54" s="12">
        <f t="shared" si="23"/>
        <v>161.29</v>
      </c>
      <c r="F54" s="101"/>
      <c r="G54" s="67"/>
      <c r="H54" s="63"/>
      <c r="I54" s="63"/>
      <c r="J54" s="64"/>
      <c r="K54" s="12"/>
      <c r="L54" s="62" t="str">
        <f t="shared" si="4"/>
        <v/>
      </c>
      <c r="M54" s="12">
        <v>98.28</v>
      </c>
      <c r="N54" s="12">
        <v>24.57</v>
      </c>
      <c r="O54" s="12">
        <v>12</v>
      </c>
      <c r="P54" s="12">
        <v>1.44</v>
      </c>
      <c r="Q54" s="12"/>
      <c r="R54" s="12">
        <v>10</v>
      </c>
      <c r="S54" s="12"/>
      <c r="T54" s="12"/>
      <c r="U54" s="12">
        <v>15</v>
      </c>
      <c r="V54" s="65" t="s">
        <v>1297</v>
      </c>
      <c r="W54" s="44" t="str">
        <f t="shared" si="2"/>
        <v>Diferente</v>
      </c>
      <c r="X54" s="47">
        <f t="shared" si="5"/>
        <v>-161.29</v>
      </c>
      <c r="Y54" s="3"/>
      <c r="Z54" s="127"/>
    </row>
    <row r="55" spans="1:26" ht="14.4" hidden="1" outlineLevel="1" x14ac:dyDescent="0.3">
      <c r="A55" s="3"/>
      <c r="B55" s="109" t="s">
        <v>477</v>
      </c>
      <c r="C55" s="62">
        <v>26</v>
      </c>
      <c r="D55" s="62" t="s">
        <v>94</v>
      </c>
      <c r="E55" s="12">
        <v>72</v>
      </c>
      <c r="F55" s="101">
        <f>SUM(M55:U55)</f>
        <v>172</v>
      </c>
      <c r="G55" s="67"/>
      <c r="H55" s="63" t="s">
        <v>37</v>
      </c>
      <c r="I55" s="63"/>
      <c r="J55" s="64"/>
      <c r="K55" s="12"/>
      <c r="L55" s="62">
        <f t="shared" si="4"/>
        <v>1</v>
      </c>
      <c r="M55" s="12">
        <f>13.93+28+72</f>
        <v>113.93</v>
      </c>
      <c r="N55" s="12">
        <v>24.57</v>
      </c>
      <c r="O55" s="12">
        <v>12</v>
      </c>
      <c r="P55" s="12">
        <v>1.5</v>
      </c>
      <c r="Q55" s="12">
        <v>5</v>
      </c>
      <c r="R55" s="12"/>
      <c r="S55" s="12"/>
      <c r="T55" s="12"/>
      <c r="U55" s="12">
        <v>15</v>
      </c>
      <c r="V55" s="65" t="s">
        <v>1297</v>
      </c>
      <c r="W55" s="44" t="str">
        <f t="shared" si="2"/>
        <v>OK</v>
      </c>
      <c r="X55" s="47" t="str">
        <f t="shared" si="5"/>
        <v/>
      </c>
      <c r="Y55" s="3"/>
      <c r="Z55" s="127"/>
    </row>
    <row r="56" spans="1:26" ht="14.4" hidden="1" outlineLevel="1" x14ac:dyDescent="0.3">
      <c r="A56" s="3"/>
      <c r="B56" s="109" t="s">
        <v>478</v>
      </c>
      <c r="C56" s="62">
        <v>5</v>
      </c>
      <c r="D56" s="62" t="s">
        <v>94</v>
      </c>
      <c r="E56" s="12">
        <f t="shared" ref="E56:E57" si="25">SUM(M56:U56)</f>
        <v>155.5</v>
      </c>
      <c r="F56" s="101">
        <f t="shared" ref="F56:F57" si="26">E56</f>
        <v>155.5</v>
      </c>
      <c r="G56" s="67"/>
      <c r="H56" s="63" t="s">
        <v>37</v>
      </c>
      <c r="I56" s="63"/>
      <c r="J56" s="64"/>
      <c r="K56" s="12"/>
      <c r="L56" s="62" t="str">
        <f t="shared" si="4"/>
        <v/>
      </c>
      <c r="M56" s="12">
        <v>93.43</v>
      </c>
      <c r="N56" s="12">
        <v>24.57</v>
      </c>
      <c r="O56" s="12">
        <v>12</v>
      </c>
      <c r="P56" s="12">
        <v>1.5</v>
      </c>
      <c r="Q56" s="12"/>
      <c r="R56" s="12">
        <v>0</v>
      </c>
      <c r="S56" s="12">
        <v>4</v>
      </c>
      <c r="T56" s="12">
        <v>5</v>
      </c>
      <c r="U56" s="12">
        <v>15</v>
      </c>
      <c r="V56" s="65" t="s">
        <v>1297</v>
      </c>
      <c r="W56" s="44" t="str">
        <f t="shared" si="2"/>
        <v>OK</v>
      </c>
      <c r="X56" s="47" t="str">
        <f t="shared" si="5"/>
        <v/>
      </c>
      <c r="Y56" s="3"/>
      <c r="Z56" s="127"/>
    </row>
    <row r="57" spans="1:26" ht="14.4" hidden="1" outlineLevel="1" x14ac:dyDescent="0.3">
      <c r="A57" s="3"/>
      <c r="B57" s="150" t="s">
        <v>479</v>
      </c>
      <c r="C57" s="62">
        <v>5</v>
      </c>
      <c r="D57" s="62" t="s">
        <v>94</v>
      </c>
      <c r="E57" s="12">
        <f t="shared" si="25"/>
        <v>154.5</v>
      </c>
      <c r="F57" s="101">
        <f t="shared" si="26"/>
        <v>154.5</v>
      </c>
      <c r="G57" s="67"/>
      <c r="H57" s="63" t="s">
        <v>37</v>
      </c>
      <c r="I57" s="63"/>
      <c r="J57" s="64"/>
      <c r="K57" s="12"/>
      <c r="L57" s="62" t="str">
        <f t="shared" si="4"/>
        <v/>
      </c>
      <c r="M57" s="12">
        <v>93.43</v>
      </c>
      <c r="N57" s="12">
        <v>24.57</v>
      </c>
      <c r="O57" s="12">
        <v>12</v>
      </c>
      <c r="P57" s="12">
        <v>1.5</v>
      </c>
      <c r="Q57" s="12"/>
      <c r="R57" s="12">
        <v>0</v>
      </c>
      <c r="S57" s="12">
        <v>3</v>
      </c>
      <c r="T57" s="12">
        <v>5</v>
      </c>
      <c r="U57" s="12">
        <v>15</v>
      </c>
      <c r="V57" s="65" t="s">
        <v>1297</v>
      </c>
      <c r="W57" s="44" t="str">
        <f t="shared" si="2"/>
        <v>OK</v>
      </c>
      <c r="X57" s="47" t="str">
        <f t="shared" si="5"/>
        <v/>
      </c>
      <c r="Y57" s="3"/>
      <c r="Z57" s="127"/>
    </row>
    <row r="58" spans="1:26" ht="14.4" hidden="1" outlineLevel="1" x14ac:dyDescent="0.3">
      <c r="A58" s="3"/>
      <c r="B58" s="109" t="s">
        <v>481</v>
      </c>
      <c r="C58" s="62">
        <v>19</v>
      </c>
      <c r="D58" s="62" t="s">
        <v>129</v>
      </c>
      <c r="E58" s="12">
        <v>102.37</v>
      </c>
      <c r="F58" s="101">
        <f>SUM(M58:U58)</f>
        <v>354.28</v>
      </c>
      <c r="G58" s="67"/>
      <c r="H58" s="63" t="s">
        <v>38</v>
      </c>
      <c r="I58" s="63"/>
      <c r="J58" s="64"/>
      <c r="K58" s="12"/>
      <c r="L58" s="62">
        <f t="shared" si="4"/>
        <v>1</v>
      </c>
      <c r="M58" s="12">
        <f>19.36+251.91</f>
        <v>271.27</v>
      </c>
      <c r="N58" s="12">
        <v>24.57</v>
      </c>
      <c r="O58" s="12">
        <v>12</v>
      </c>
      <c r="P58" s="12">
        <v>1.44</v>
      </c>
      <c r="Q58" s="12">
        <v>5</v>
      </c>
      <c r="R58" s="12"/>
      <c r="S58" s="12"/>
      <c r="T58" s="12"/>
      <c r="U58" s="12">
        <v>40</v>
      </c>
      <c r="V58" s="65" t="s">
        <v>1308</v>
      </c>
      <c r="W58" s="44" t="str">
        <f t="shared" si="2"/>
        <v>OK</v>
      </c>
      <c r="X58" s="47" t="str">
        <f t="shared" si="5"/>
        <v/>
      </c>
      <c r="Y58" s="3"/>
      <c r="Z58" s="127"/>
    </row>
    <row r="59" spans="1:26" ht="14.4" hidden="1" outlineLevel="1" x14ac:dyDescent="0.3">
      <c r="A59" s="3"/>
      <c r="B59" s="109" t="s">
        <v>482</v>
      </c>
      <c r="C59" s="62">
        <v>11</v>
      </c>
      <c r="D59" s="62" t="s">
        <v>94</v>
      </c>
      <c r="E59" s="12">
        <f t="shared" ref="E59:E60" si="27">SUM(M59:U59)</f>
        <v>97.49</v>
      </c>
      <c r="F59" s="101">
        <f t="shared" ref="F59:F60" si="28">E59</f>
        <v>97.49</v>
      </c>
      <c r="G59" s="67"/>
      <c r="H59" s="63" t="s">
        <v>37</v>
      </c>
      <c r="I59" s="63"/>
      <c r="J59" s="64"/>
      <c r="K59" s="12"/>
      <c r="L59" s="62" t="str">
        <f t="shared" si="4"/>
        <v/>
      </c>
      <c r="M59" s="12">
        <f t="shared" ref="M59:M60" si="29">59.48</f>
        <v>59.48</v>
      </c>
      <c r="N59" s="12">
        <v>24.57</v>
      </c>
      <c r="O59" s="12">
        <v>12</v>
      </c>
      <c r="P59" s="12">
        <v>1.44</v>
      </c>
      <c r="Q59" s="12"/>
      <c r="R59" s="12"/>
      <c r="S59" s="12"/>
      <c r="T59" s="12"/>
      <c r="U59" s="12"/>
      <c r="V59" s="65" t="s">
        <v>1298</v>
      </c>
      <c r="W59" s="44" t="str">
        <f t="shared" si="2"/>
        <v>OK</v>
      </c>
      <c r="X59" s="47" t="str">
        <f t="shared" si="5"/>
        <v/>
      </c>
      <c r="Y59" s="3"/>
      <c r="Z59" s="127"/>
    </row>
    <row r="60" spans="1:26" ht="14.4" hidden="1" outlineLevel="1" x14ac:dyDescent="0.3">
      <c r="A60" s="3"/>
      <c r="B60" s="150" t="s">
        <v>483</v>
      </c>
      <c r="C60" s="62">
        <v>11</v>
      </c>
      <c r="D60" s="62" t="s">
        <v>94</v>
      </c>
      <c r="E60" s="12">
        <f t="shared" si="27"/>
        <v>97.55</v>
      </c>
      <c r="F60" s="101">
        <f t="shared" si="28"/>
        <v>97.55</v>
      </c>
      <c r="G60" s="67"/>
      <c r="H60" s="63" t="s">
        <v>37</v>
      </c>
      <c r="I60" s="63"/>
      <c r="J60" s="64"/>
      <c r="K60" s="12"/>
      <c r="L60" s="62" t="str">
        <f t="shared" si="4"/>
        <v/>
      </c>
      <c r="M60" s="12">
        <f t="shared" si="29"/>
        <v>59.48</v>
      </c>
      <c r="N60" s="12">
        <v>24.57</v>
      </c>
      <c r="O60" s="12">
        <v>12</v>
      </c>
      <c r="P60" s="12">
        <v>1.5</v>
      </c>
      <c r="Q60" s="12"/>
      <c r="R60" s="12"/>
      <c r="S60" s="12"/>
      <c r="T60" s="12"/>
      <c r="U60" s="12"/>
      <c r="V60" s="65" t="s">
        <v>1297</v>
      </c>
      <c r="W60" s="44" t="str">
        <f t="shared" si="2"/>
        <v>OK</v>
      </c>
      <c r="X60" s="47" t="str">
        <f t="shared" si="5"/>
        <v/>
      </c>
      <c r="Y60" s="3"/>
      <c r="Z60" s="127"/>
    </row>
    <row r="61" spans="1:26" ht="14.4" hidden="1" outlineLevel="1" x14ac:dyDescent="0.3">
      <c r="A61" s="3"/>
      <c r="B61" s="109" t="s">
        <v>484</v>
      </c>
      <c r="C61" s="62">
        <v>3</v>
      </c>
      <c r="D61" s="62" t="s">
        <v>129</v>
      </c>
      <c r="E61" s="12">
        <v>115</v>
      </c>
      <c r="F61" s="101">
        <f>SUM(M61:U61)</f>
        <v>130</v>
      </c>
      <c r="G61" s="70" t="s">
        <v>1309</v>
      </c>
      <c r="H61" s="63" t="s">
        <v>37</v>
      </c>
      <c r="I61" s="63"/>
      <c r="J61" s="64"/>
      <c r="K61" s="12"/>
      <c r="L61" s="62" t="str">
        <f t="shared" si="4"/>
        <v/>
      </c>
      <c r="M61" s="12">
        <v>61.99</v>
      </c>
      <c r="N61" s="12">
        <v>24.57</v>
      </c>
      <c r="O61" s="12">
        <v>12</v>
      </c>
      <c r="P61" s="12">
        <v>1.44</v>
      </c>
      <c r="Q61" s="12"/>
      <c r="R61" s="12"/>
      <c r="S61" s="12"/>
      <c r="T61" s="12"/>
      <c r="U61" s="12">
        <f>15+15</f>
        <v>30</v>
      </c>
      <c r="V61" s="65" t="s">
        <v>1297</v>
      </c>
      <c r="W61" s="44" t="str">
        <f t="shared" si="2"/>
        <v>OK</v>
      </c>
      <c r="X61" s="47" t="str">
        <f t="shared" si="5"/>
        <v/>
      </c>
      <c r="Y61" s="3"/>
      <c r="Z61" s="127"/>
    </row>
    <row r="62" spans="1:26" ht="14.4" hidden="1" outlineLevel="1" x14ac:dyDescent="0.3">
      <c r="A62" s="3"/>
      <c r="B62" s="150" t="s">
        <v>488</v>
      </c>
      <c r="C62" s="62"/>
      <c r="D62" s="62" t="s">
        <v>104</v>
      </c>
      <c r="E62" s="12">
        <f t="shared" ref="E62:E67" si="30">SUM(M62:U62)</f>
        <v>153.07</v>
      </c>
      <c r="F62" s="101"/>
      <c r="G62" s="67"/>
      <c r="H62" s="63"/>
      <c r="I62" s="63"/>
      <c r="J62" s="64"/>
      <c r="K62" s="12"/>
      <c r="L62" s="62" t="str">
        <f t="shared" si="4"/>
        <v/>
      </c>
      <c r="M62" s="12">
        <v>100</v>
      </c>
      <c r="N62" s="12">
        <v>24.57</v>
      </c>
      <c r="O62" s="12">
        <v>12</v>
      </c>
      <c r="P62" s="12">
        <v>1.5</v>
      </c>
      <c r="Q62" s="12"/>
      <c r="R62" s="12"/>
      <c r="S62" s="12"/>
      <c r="T62" s="12"/>
      <c r="U62" s="12">
        <v>15</v>
      </c>
      <c r="V62" s="65" t="s">
        <v>1297</v>
      </c>
      <c r="W62" s="44" t="str">
        <f t="shared" si="2"/>
        <v>Diferente</v>
      </c>
      <c r="X62" s="47">
        <f t="shared" si="5"/>
        <v>-153.07</v>
      </c>
      <c r="Y62" s="3"/>
      <c r="Z62" s="127"/>
    </row>
    <row r="63" spans="1:26" ht="14.4" hidden="1" outlineLevel="1" x14ac:dyDescent="0.3">
      <c r="A63" s="3"/>
      <c r="B63" s="150" t="s">
        <v>489</v>
      </c>
      <c r="C63" s="62">
        <v>3</v>
      </c>
      <c r="D63" s="62" t="s">
        <v>94</v>
      </c>
      <c r="E63" s="12">
        <f t="shared" si="30"/>
        <v>328.82</v>
      </c>
      <c r="F63" s="101">
        <f t="shared" ref="F63:F67" si="31">E63</f>
        <v>328.82</v>
      </c>
      <c r="G63" s="67"/>
      <c r="H63" s="63" t="s">
        <v>37</v>
      </c>
      <c r="I63" s="63"/>
      <c r="J63" s="64"/>
      <c r="K63" s="12"/>
      <c r="L63" s="62" t="str">
        <f t="shared" si="4"/>
        <v/>
      </c>
      <c r="M63" s="12">
        <v>122.25</v>
      </c>
      <c r="N63" s="12">
        <v>24.57</v>
      </c>
      <c r="O63" s="12">
        <v>12</v>
      </c>
      <c r="P63" s="12">
        <v>10</v>
      </c>
      <c r="Q63" s="12">
        <v>5</v>
      </c>
      <c r="R63" s="12">
        <v>5</v>
      </c>
      <c r="S63" s="12">
        <v>15</v>
      </c>
      <c r="T63" s="12">
        <v>25</v>
      </c>
      <c r="U63" s="12">
        <v>110</v>
      </c>
      <c r="V63" s="65" t="s">
        <v>1310</v>
      </c>
      <c r="W63" s="44" t="str">
        <f t="shared" si="2"/>
        <v>OK</v>
      </c>
      <c r="X63" s="47" t="str">
        <f t="shared" si="5"/>
        <v/>
      </c>
      <c r="Y63" s="3"/>
      <c r="Z63" s="127"/>
    </row>
    <row r="64" spans="1:26" ht="14.4" hidden="1" outlineLevel="1" x14ac:dyDescent="0.3">
      <c r="A64" s="3"/>
      <c r="B64" s="109" t="s">
        <v>490</v>
      </c>
      <c r="C64" s="62">
        <v>3</v>
      </c>
      <c r="D64" s="62" t="s">
        <v>94</v>
      </c>
      <c r="E64" s="12">
        <f t="shared" si="30"/>
        <v>233.82</v>
      </c>
      <c r="F64" s="101">
        <f t="shared" si="31"/>
        <v>233.82</v>
      </c>
      <c r="G64" s="67"/>
      <c r="H64" s="63" t="s">
        <v>37</v>
      </c>
      <c r="I64" s="63"/>
      <c r="J64" s="64"/>
      <c r="K64" s="12"/>
      <c r="L64" s="62" t="str">
        <f t="shared" si="4"/>
        <v/>
      </c>
      <c r="M64" s="12">
        <v>122.25</v>
      </c>
      <c r="N64" s="12">
        <v>24.57</v>
      </c>
      <c r="O64" s="12">
        <v>12</v>
      </c>
      <c r="P64" s="12">
        <v>10</v>
      </c>
      <c r="Q64" s="12">
        <v>5</v>
      </c>
      <c r="R64" s="12">
        <v>5</v>
      </c>
      <c r="S64" s="12">
        <v>15</v>
      </c>
      <c r="T64" s="12">
        <v>25</v>
      </c>
      <c r="U64" s="12">
        <v>15</v>
      </c>
      <c r="V64" s="65" t="s">
        <v>1297</v>
      </c>
      <c r="W64" s="44" t="str">
        <f t="shared" si="2"/>
        <v>OK</v>
      </c>
      <c r="X64" s="47" t="str">
        <f t="shared" si="5"/>
        <v/>
      </c>
      <c r="Y64" s="3"/>
      <c r="Z64" s="127"/>
    </row>
    <row r="65" spans="1:26" ht="14.4" hidden="1" outlineLevel="1" x14ac:dyDescent="0.3">
      <c r="A65" s="3"/>
      <c r="B65" s="150" t="s">
        <v>491</v>
      </c>
      <c r="C65" s="62">
        <v>3</v>
      </c>
      <c r="D65" s="62" t="s">
        <v>94</v>
      </c>
      <c r="E65" s="12">
        <f t="shared" si="30"/>
        <v>221.44</v>
      </c>
      <c r="F65" s="101">
        <f t="shared" si="31"/>
        <v>221.44</v>
      </c>
      <c r="G65" s="67"/>
      <c r="H65" s="63" t="s">
        <v>37</v>
      </c>
      <c r="I65" s="63"/>
      <c r="J65" s="64"/>
      <c r="K65" s="12"/>
      <c r="L65" s="62" t="str">
        <f t="shared" si="4"/>
        <v/>
      </c>
      <c r="M65" s="12">
        <v>113.43</v>
      </c>
      <c r="N65" s="12">
        <v>24.57</v>
      </c>
      <c r="O65" s="12">
        <v>12</v>
      </c>
      <c r="P65" s="12">
        <v>1.44</v>
      </c>
      <c r="Q65" s="12">
        <v>5</v>
      </c>
      <c r="R65" s="12">
        <v>20</v>
      </c>
      <c r="S65" s="12">
        <v>5</v>
      </c>
      <c r="T65" s="12"/>
      <c r="U65" s="12">
        <v>40</v>
      </c>
      <c r="V65" s="65" t="s">
        <v>1308</v>
      </c>
      <c r="W65" s="44" t="str">
        <f t="shared" si="2"/>
        <v>OK</v>
      </c>
      <c r="X65" s="47" t="str">
        <f t="shared" si="5"/>
        <v/>
      </c>
      <c r="Y65" s="3"/>
      <c r="Z65" s="127"/>
    </row>
    <row r="66" spans="1:26" ht="14.4" hidden="1" outlineLevel="1" x14ac:dyDescent="0.3">
      <c r="A66" s="3"/>
      <c r="B66" s="109" t="s">
        <v>492</v>
      </c>
      <c r="C66" s="62">
        <v>11</v>
      </c>
      <c r="D66" s="62" t="s">
        <v>94</v>
      </c>
      <c r="E66" s="12">
        <f t="shared" si="30"/>
        <v>80.67</v>
      </c>
      <c r="F66" s="101">
        <f t="shared" si="31"/>
        <v>80.67</v>
      </c>
      <c r="G66" s="67"/>
      <c r="H66" s="63" t="s">
        <v>37</v>
      </c>
      <c r="I66" s="63"/>
      <c r="J66" s="64"/>
      <c r="K66" s="12"/>
      <c r="L66" s="62" t="str">
        <f t="shared" si="4"/>
        <v/>
      </c>
      <c r="M66" s="12">
        <v>27.66</v>
      </c>
      <c r="N66" s="12">
        <v>24.57</v>
      </c>
      <c r="O66" s="12">
        <v>12</v>
      </c>
      <c r="P66" s="12">
        <v>1.44</v>
      </c>
      <c r="Q66" s="12"/>
      <c r="R66" s="12"/>
      <c r="S66" s="12"/>
      <c r="T66" s="12"/>
      <c r="U66" s="12">
        <v>15</v>
      </c>
      <c r="V66" s="65" t="s">
        <v>1297</v>
      </c>
      <c r="W66" s="44" t="str">
        <f t="shared" si="2"/>
        <v>OK</v>
      </c>
      <c r="X66" s="47" t="str">
        <f t="shared" si="5"/>
        <v/>
      </c>
      <c r="Y66" s="3"/>
      <c r="Z66" s="127"/>
    </row>
    <row r="67" spans="1:26" ht="14.4" hidden="1" outlineLevel="1" x14ac:dyDescent="0.3">
      <c r="A67" s="3"/>
      <c r="B67" s="150" t="s">
        <v>493</v>
      </c>
      <c r="C67" s="62">
        <v>10</v>
      </c>
      <c r="D67" s="62" t="s">
        <v>94</v>
      </c>
      <c r="E67" s="12">
        <f t="shared" si="30"/>
        <v>135</v>
      </c>
      <c r="F67" s="101">
        <f t="shared" si="31"/>
        <v>135</v>
      </c>
      <c r="G67" s="67"/>
      <c r="H67" s="63" t="s">
        <v>37</v>
      </c>
      <c r="I67" s="63"/>
      <c r="J67" s="64"/>
      <c r="K67" s="12"/>
      <c r="L67" s="62" t="str">
        <f t="shared" si="4"/>
        <v/>
      </c>
      <c r="M67" s="12">
        <v>81.93</v>
      </c>
      <c r="N67" s="12">
        <v>24.57</v>
      </c>
      <c r="O67" s="12">
        <v>12</v>
      </c>
      <c r="P67" s="12">
        <v>1.5</v>
      </c>
      <c r="Q67" s="12"/>
      <c r="R67" s="12"/>
      <c r="S67" s="12"/>
      <c r="T67" s="12"/>
      <c r="U67" s="12">
        <v>15</v>
      </c>
      <c r="V67" s="65" t="s">
        <v>1297</v>
      </c>
      <c r="W67" s="44" t="str">
        <f t="shared" si="2"/>
        <v>OK</v>
      </c>
      <c r="X67" s="47" t="str">
        <f t="shared" si="5"/>
        <v/>
      </c>
      <c r="Y67" s="3"/>
      <c r="Z67" s="127"/>
    </row>
    <row r="68" spans="1:26" ht="14.4" hidden="1" outlineLevel="1" x14ac:dyDescent="0.3">
      <c r="A68" s="3"/>
      <c r="B68" s="109" t="s">
        <v>494</v>
      </c>
      <c r="C68" s="62">
        <v>24</v>
      </c>
      <c r="D68" s="62" t="s">
        <v>94</v>
      </c>
      <c r="E68" s="12">
        <v>67</v>
      </c>
      <c r="F68" s="101">
        <f t="shared" ref="F68:F69" si="32">SUM(M68:U68)</f>
        <v>500</v>
      </c>
      <c r="G68" s="67"/>
      <c r="H68" s="63" t="s">
        <v>37</v>
      </c>
      <c r="I68" s="63"/>
      <c r="J68" s="64"/>
      <c r="K68" s="12"/>
      <c r="L68" s="62">
        <f t="shared" si="4"/>
        <v>1</v>
      </c>
      <c r="M68" s="12">
        <f t="shared" ref="M68:M69" si="33">13.93*9+2</f>
        <v>127.37</v>
      </c>
      <c r="N68" s="12">
        <f t="shared" ref="N68:N69" si="34">24.57*9</f>
        <v>221.13</v>
      </c>
      <c r="O68" s="12">
        <f t="shared" ref="O68:O69" si="35">12*9</f>
        <v>108</v>
      </c>
      <c r="P68" s="12">
        <f t="shared" ref="P68:P69" si="36">1.5*9</f>
        <v>13.5</v>
      </c>
      <c r="Q68" s="12"/>
      <c r="R68" s="12"/>
      <c r="S68" s="12"/>
      <c r="T68" s="12"/>
      <c r="U68" s="12">
        <f t="shared" ref="U68:U69" si="37">15*2</f>
        <v>30</v>
      </c>
      <c r="V68" s="65" t="s">
        <v>1297</v>
      </c>
      <c r="W68" s="44" t="str">
        <f t="shared" si="2"/>
        <v>OK</v>
      </c>
      <c r="X68" s="47" t="str">
        <f t="shared" si="5"/>
        <v/>
      </c>
      <c r="Y68" s="3"/>
      <c r="Z68" s="127"/>
    </row>
    <row r="69" spans="1:26" ht="14.4" hidden="1" outlineLevel="1" x14ac:dyDescent="0.3">
      <c r="A69" s="3"/>
      <c r="B69" s="109" t="s">
        <v>495</v>
      </c>
      <c r="C69" s="62">
        <v>24</v>
      </c>
      <c r="D69" s="62" t="s">
        <v>94</v>
      </c>
      <c r="E69" s="12">
        <v>67</v>
      </c>
      <c r="F69" s="101">
        <f t="shared" si="32"/>
        <v>500</v>
      </c>
      <c r="G69" s="67"/>
      <c r="H69" s="63" t="s">
        <v>37</v>
      </c>
      <c r="I69" s="63"/>
      <c r="J69" s="64"/>
      <c r="K69" s="12"/>
      <c r="L69" s="62">
        <f t="shared" si="4"/>
        <v>1</v>
      </c>
      <c r="M69" s="12">
        <f t="shared" si="33"/>
        <v>127.37</v>
      </c>
      <c r="N69" s="12">
        <f t="shared" si="34"/>
        <v>221.13</v>
      </c>
      <c r="O69" s="12">
        <f t="shared" si="35"/>
        <v>108</v>
      </c>
      <c r="P69" s="12">
        <f t="shared" si="36"/>
        <v>13.5</v>
      </c>
      <c r="Q69" s="12"/>
      <c r="R69" s="12"/>
      <c r="S69" s="12"/>
      <c r="T69" s="12"/>
      <c r="U69" s="12">
        <f t="shared" si="37"/>
        <v>30</v>
      </c>
      <c r="V69" s="65" t="s">
        <v>1297</v>
      </c>
      <c r="W69" s="44" t="str">
        <f t="shared" si="2"/>
        <v>OK</v>
      </c>
      <c r="X69" s="47" t="str">
        <f t="shared" si="5"/>
        <v/>
      </c>
      <c r="Y69" s="3"/>
      <c r="Z69" s="127"/>
    </row>
    <row r="70" spans="1:26" ht="14.4" hidden="1" outlineLevel="1" x14ac:dyDescent="0.3">
      <c r="A70" s="3"/>
      <c r="B70" s="150" t="s">
        <v>496</v>
      </c>
      <c r="C70" s="62">
        <v>10</v>
      </c>
      <c r="D70" s="62" t="s">
        <v>94</v>
      </c>
      <c r="E70" s="12">
        <f t="shared" ref="E70:E94" si="38">SUM(M70:U70)</f>
        <v>115</v>
      </c>
      <c r="F70" s="101">
        <f t="shared" ref="F70:F71" si="39">E70</f>
        <v>115</v>
      </c>
      <c r="G70" s="67"/>
      <c r="H70" s="63" t="s">
        <v>37</v>
      </c>
      <c r="I70" s="63"/>
      <c r="J70" s="64"/>
      <c r="K70" s="12"/>
      <c r="L70" s="62" t="str">
        <f t="shared" si="4"/>
        <v/>
      </c>
      <c r="M70" s="12">
        <v>56.93</v>
      </c>
      <c r="N70" s="12">
        <v>24.57</v>
      </c>
      <c r="O70" s="12">
        <v>12</v>
      </c>
      <c r="P70" s="12">
        <v>1.5</v>
      </c>
      <c r="Q70" s="12">
        <v>5</v>
      </c>
      <c r="R70" s="12"/>
      <c r="S70" s="12"/>
      <c r="T70" s="12"/>
      <c r="U70" s="12">
        <v>15</v>
      </c>
      <c r="V70" s="65" t="s">
        <v>1297</v>
      </c>
      <c r="W70" s="44" t="str">
        <f t="shared" si="2"/>
        <v>OK</v>
      </c>
      <c r="X70" s="47" t="str">
        <f t="shared" si="5"/>
        <v/>
      </c>
      <c r="Y70" s="3"/>
      <c r="Z70" s="127"/>
    </row>
    <row r="71" spans="1:26" ht="14.4" hidden="1" outlineLevel="1" x14ac:dyDescent="0.3">
      <c r="A71" s="3"/>
      <c r="B71" s="109" t="s">
        <v>497</v>
      </c>
      <c r="C71" s="62">
        <v>3</v>
      </c>
      <c r="D71" s="62" t="s">
        <v>94</v>
      </c>
      <c r="E71" s="12">
        <f t="shared" si="38"/>
        <v>215</v>
      </c>
      <c r="F71" s="101">
        <f t="shared" si="39"/>
        <v>215</v>
      </c>
      <c r="G71" s="67"/>
      <c r="H71" s="63" t="s">
        <v>37</v>
      </c>
      <c r="I71" s="63"/>
      <c r="J71" s="64"/>
      <c r="K71" s="12"/>
      <c r="L71" s="62" t="str">
        <f t="shared" si="4"/>
        <v/>
      </c>
      <c r="M71" s="12">
        <v>148.43</v>
      </c>
      <c r="N71" s="12">
        <v>24.57</v>
      </c>
      <c r="O71" s="12">
        <v>12</v>
      </c>
      <c r="P71" s="12">
        <v>5</v>
      </c>
      <c r="Q71" s="12">
        <v>10</v>
      </c>
      <c r="R71" s="12"/>
      <c r="S71" s="12"/>
      <c r="T71" s="12"/>
      <c r="U71" s="12">
        <v>15</v>
      </c>
      <c r="V71" s="65" t="s">
        <v>1297</v>
      </c>
      <c r="W71" s="44" t="str">
        <f t="shared" si="2"/>
        <v>OK</v>
      </c>
      <c r="X71" s="47" t="str">
        <f t="shared" si="5"/>
        <v/>
      </c>
      <c r="Y71" s="3"/>
      <c r="Z71" s="127"/>
    </row>
    <row r="72" spans="1:26" ht="14.4" hidden="1" outlineLevel="1" x14ac:dyDescent="0.3">
      <c r="A72" s="3"/>
      <c r="B72" s="150" t="s">
        <v>498</v>
      </c>
      <c r="C72" s="62"/>
      <c r="D72" s="62" t="s">
        <v>104</v>
      </c>
      <c r="E72" s="12">
        <f t="shared" si="38"/>
        <v>72.39</v>
      </c>
      <c r="F72" s="101"/>
      <c r="G72" s="67"/>
      <c r="H72" s="63"/>
      <c r="I72" s="63"/>
      <c r="J72" s="64"/>
      <c r="K72" s="12"/>
      <c r="L72" s="62" t="str">
        <f t="shared" si="4"/>
        <v/>
      </c>
      <c r="M72" s="12">
        <v>19.32</v>
      </c>
      <c r="N72" s="12">
        <v>24.57</v>
      </c>
      <c r="O72" s="12">
        <v>12</v>
      </c>
      <c r="P72" s="12">
        <v>1.5</v>
      </c>
      <c r="Q72" s="12"/>
      <c r="R72" s="12"/>
      <c r="S72" s="12"/>
      <c r="T72" s="12"/>
      <c r="U72" s="12">
        <v>15</v>
      </c>
      <c r="V72" s="65" t="s">
        <v>1297</v>
      </c>
      <c r="W72" s="44" t="str">
        <f t="shared" si="2"/>
        <v>Diferente</v>
      </c>
      <c r="X72" s="47">
        <f t="shared" si="5"/>
        <v>-72.39</v>
      </c>
      <c r="Y72" s="3"/>
      <c r="Z72" s="127"/>
    </row>
    <row r="73" spans="1:26" ht="14.4" hidden="1" outlineLevel="1" x14ac:dyDescent="0.3">
      <c r="A73" s="3"/>
      <c r="B73" s="109" t="s">
        <v>499</v>
      </c>
      <c r="C73" s="62"/>
      <c r="D73" s="62" t="s">
        <v>104</v>
      </c>
      <c r="E73" s="12">
        <f t="shared" si="38"/>
        <v>82.740000000000009</v>
      </c>
      <c r="F73" s="101"/>
      <c r="G73" s="67"/>
      <c r="H73" s="63"/>
      <c r="I73" s="63"/>
      <c r="J73" s="64"/>
      <c r="K73" s="12"/>
      <c r="L73" s="62" t="str">
        <f t="shared" si="4"/>
        <v/>
      </c>
      <c r="M73" s="12">
        <v>29.67</v>
      </c>
      <c r="N73" s="12">
        <v>24.57</v>
      </c>
      <c r="O73" s="12">
        <v>12</v>
      </c>
      <c r="P73" s="12">
        <v>1.5</v>
      </c>
      <c r="Q73" s="12"/>
      <c r="R73" s="12"/>
      <c r="S73" s="12"/>
      <c r="T73" s="12"/>
      <c r="U73" s="12">
        <v>15</v>
      </c>
      <c r="V73" s="65" t="s">
        <v>1297</v>
      </c>
      <c r="W73" s="44" t="str">
        <f t="shared" si="2"/>
        <v>Diferente</v>
      </c>
      <c r="X73" s="47">
        <f t="shared" si="5"/>
        <v>-82.740000000000009</v>
      </c>
      <c r="Y73" s="3"/>
      <c r="Z73" s="127"/>
    </row>
    <row r="74" spans="1:26" ht="14.4" hidden="1" outlineLevel="1" x14ac:dyDescent="0.3">
      <c r="A74" s="3"/>
      <c r="B74" s="109" t="s">
        <v>500</v>
      </c>
      <c r="C74" s="62">
        <v>3</v>
      </c>
      <c r="D74" s="62" t="s">
        <v>94</v>
      </c>
      <c r="E74" s="12">
        <f t="shared" si="38"/>
        <v>109.43</v>
      </c>
      <c r="F74" s="101">
        <f t="shared" ref="F74:F91" si="40">E74</f>
        <v>109.43</v>
      </c>
      <c r="G74" s="67"/>
      <c r="H74" s="63" t="s">
        <v>37</v>
      </c>
      <c r="I74" s="63"/>
      <c r="J74" s="64"/>
      <c r="K74" s="12"/>
      <c r="L74" s="62" t="str">
        <f t="shared" si="4"/>
        <v/>
      </c>
      <c r="M74" s="12">
        <v>50.86</v>
      </c>
      <c r="N74" s="12">
        <v>24.57</v>
      </c>
      <c r="O74" s="12">
        <v>12</v>
      </c>
      <c r="P74" s="12">
        <v>2</v>
      </c>
      <c r="Q74" s="12">
        <v>5</v>
      </c>
      <c r="R74" s="12"/>
      <c r="S74" s="12"/>
      <c r="T74" s="12"/>
      <c r="U74" s="12">
        <v>15</v>
      </c>
      <c r="V74" s="65" t="s">
        <v>1297</v>
      </c>
      <c r="W74" s="44" t="str">
        <f t="shared" si="2"/>
        <v>OK</v>
      </c>
      <c r="X74" s="47" t="str">
        <f t="shared" si="5"/>
        <v/>
      </c>
      <c r="Y74" s="3"/>
      <c r="Z74" s="127"/>
    </row>
    <row r="75" spans="1:26" ht="14.4" hidden="1" outlineLevel="1" x14ac:dyDescent="0.3">
      <c r="A75" s="3"/>
      <c r="B75" s="150" t="s">
        <v>501</v>
      </c>
      <c r="C75" s="62">
        <v>3</v>
      </c>
      <c r="D75" s="62" t="s">
        <v>94</v>
      </c>
      <c r="E75" s="12">
        <f t="shared" si="38"/>
        <v>108.57</v>
      </c>
      <c r="F75" s="101">
        <f t="shared" si="40"/>
        <v>108.57</v>
      </c>
      <c r="G75" s="67"/>
      <c r="H75" s="63" t="s">
        <v>37</v>
      </c>
      <c r="I75" s="63"/>
      <c r="J75" s="64"/>
      <c r="K75" s="12"/>
      <c r="L75" s="62" t="str">
        <f t="shared" si="4"/>
        <v/>
      </c>
      <c r="M75" s="12">
        <v>50</v>
      </c>
      <c r="N75" s="12">
        <v>24.57</v>
      </c>
      <c r="O75" s="12">
        <v>12</v>
      </c>
      <c r="P75" s="12">
        <v>2</v>
      </c>
      <c r="Q75" s="12">
        <v>5</v>
      </c>
      <c r="R75" s="12"/>
      <c r="S75" s="12"/>
      <c r="T75" s="12"/>
      <c r="U75" s="12">
        <v>15</v>
      </c>
      <c r="V75" s="65" t="s">
        <v>1297</v>
      </c>
      <c r="W75" s="44" t="str">
        <f t="shared" si="2"/>
        <v>OK</v>
      </c>
      <c r="X75" s="47" t="str">
        <f t="shared" si="5"/>
        <v/>
      </c>
      <c r="Y75" s="3"/>
      <c r="Z75" s="127"/>
    </row>
    <row r="76" spans="1:26" ht="14.4" hidden="1" outlineLevel="1" x14ac:dyDescent="0.3">
      <c r="A76" s="3"/>
      <c r="B76" s="109" t="s">
        <v>502</v>
      </c>
      <c r="C76" s="62">
        <v>5</v>
      </c>
      <c r="D76" s="62" t="s">
        <v>94</v>
      </c>
      <c r="E76" s="12">
        <f t="shared" si="38"/>
        <v>146.69</v>
      </c>
      <c r="F76" s="101">
        <f t="shared" si="40"/>
        <v>146.69</v>
      </c>
      <c r="G76" s="67"/>
      <c r="H76" s="63" t="s">
        <v>37</v>
      </c>
      <c r="I76" s="63"/>
      <c r="J76" s="64"/>
      <c r="K76" s="12"/>
      <c r="L76" s="62" t="str">
        <f t="shared" si="4"/>
        <v/>
      </c>
      <c r="M76" s="12">
        <v>93.62</v>
      </c>
      <c r="N76" s="12">
        <v>24.57</v>
      </c>
      <c r="O76" s="12">
        <v>12</v>
      </c>
      <c r="P76" s="12">
        <v>1.5</v>
      </c>
      <c r="Q76" s="12"/>
      <c r="R76" s="12"/>
      <c r="S76" s="12"/>
      <c r="T76" s="12"/>
      <c r="U76" s="12">
        <v>15</v>
      </c>
      <c r="V76" s="65" t="s">
        <v>1297</v>
      </c>
      <c r="W76" s="44" t="str">
        <f t="shared" si="2"/>
        <v>OK</v>
      </c>
      <c r="X76" s="47" t="str">
        <f t="shared" si="5"/>
        <v/>
      </c>
      <c r="Y76" s="3"/>
      <c r="Z76" s="127"/>
    </row>
    <row r="77" spans="1:26" ht="14.4" hidden="1" outlineLevel="1" x14ac:dyDescent="0.3">
      <c r="A77" s="3"/>
      <c r="B77" s="150" t="s">
        <v>503</v>
      </c>
      <c r="C77" s="62">
        <v>5</v>
      </c>
      <c r="D77" s="62" t="s">
        <v>94</v>
      </c>
      <c r="E77" s="12">
        <f t="shared" si="38"/>
        <v>146.69</v>
      </c>
      <c r="F77" s="101">
        <f t="shared" si="40"/>
        <v>146.69</v>
      </c>
      <c r="G77" s="67"/>
      <c r="H77" s="63" t="s">
        <v>37</v>
      </c>
      <c r="I77" s="63"/>
      <c r="J77" s="64"/>
      <c r="K77" s="12"/>
      <c r="L77" s="62" t="str">
        <f t="shared" si="4"/>
        <v/>
      </c>
      <c r="M77" s="12">
        <v>93.62</v>
      </c>
      <c r="N77" s="12">
        <v>24.57</v>
      </c>
      <c r="O77" s="12">
        <v>12</v>
      </c>
      <c r="P77" s="12">
        <v>1.5</v>
      </c>
      <c r="Q77" s="12"/>
      <c r="R77" s="12"/>
      <c r="S77" s="12"/>
      <c r="T77" s="12"/>
      <c r="U77" s="12">
        <v>15</v>
      </c>
      <c r="V77" s="65" t="s">
        <v>1297</v>
      </c>
      <c r="W77" s="44" t="str">
        <f t="shared" si="2"/>
        <v>OK</v>
      </c>
      <c r="X77" s="47" t="str">
        <f t="shared" si="5"/>
        <v/>
      </c>
      <c r="Y77" s="3"/>
      <c r="Z77" s="127"/>
    </row>
    <row r="78" spans="1:26" ht="14.4" hidden="1" outlineLevel="1" x14ac:dyDescent="0.3">
      <c r="A78" s="3"/>
      <c r="B78" s="109" t="s">
        <v>504</v>
      </c>
      <c r="C78" s="62">
        <v>11</v>
      </c>
      <c r="D78" s="62" t="s">
        <v>94</v>
      </c>
      <c r="E78" s="12">
        <f t="shared" si="38"/>
        <v>158.57</v>
      </c>
      <c r="F78" s="101">
        <f t="shared" si="40"/>
        <v>158.57</v>
      </c>
      <c r="G78" s="67"/>
      <c r="H78" s="63" t="s">
        <v>37</v>
      </c>
      <c r="I78" s="63"/>
      <c r="J78" s="64"/>
      <c r="K78" s="12"/>
      <c r="L78" s="62" t="str">
        <f t="shared" si="4"/>
        <v/>
      </c>
      <c r="M78" s="12">
        <v>100</v>
      </c>
      <c r="N78" s="12">
        <v>24.57</v>
      </c>
      <c r="O78" s="12">
        <v>12</v>
      </c>
      <c r="P78" s="12">
        <v>2</v>
      </c>
      <c r="Q78" s="12"/>
      <c r="R78" s="12"/>
      <c r="S78" s="12">
        <v>5</v>
      </c>
      <c r="T78" s="12"/>
      <c r="U78" s="12">
        <v>15</v>
      </c>
      <c r="V78" s="65" t="s">
        <v>1297</v>
      </c>
      <c r="W78" s="44" t="str">
        <f t="shared" si="2"/>
        <v>OK</v>
      </c>
      <c r="X78" s="47" t="str">
        <f t="shared" si="5"/>
        <v/>
      </c>
      <c r="Y78" s="3"/>
      <c r="Z78" s="127"/>
    </row>
    <row r="79" spans="1:26" ht="14.4" hidden="1" outlineLevel="1" x14ac:dyDescent="0.3">
      <c r="A79" s="3"/>
      <c r="B79" s="150" t="s">
        <v>506</v>
      </c>
      <c r="C79" s="62">
        <v>11</v>
      </c>
      <c r="D79" s="62" t="s">
        <v>94</v>
      </c>
      <c r="E79" s="12">
        <f t="shared" si="38"/>
        <v>158.57</v>
      </c>
      <c r="F79" s="101">
        <f t="shared" si="40"/>
        <v>158.57</v>
      </c>
      <c r="G79" s="67"/>
      <c r="H79" s="63" t="s">
        <v>37</v>
      </c>
      <c r="I79" s="63"/>
      <c r="J79" s="64"/>
      <c r="K79" s="12"/>
      <c r="L79" s="62" t="str">
        <f t="shared" si="4"/>
        <v/>
      </c>
      <c r="M79" s="12">
        <v>100</v>
      </c>
      <c r="N79" s="12">
        <v>24.57</v>
      </c>
      <c r="O79" s="12">
        <v>12</v>
      </c>
      <c r="P79" s="12">
        <v>2</v>
      </c>
      <c r="Q79" s="12"/>
      <c r="R79" s="12"/>
      <c r="S79" s="12">
        <v>5</v>
      </c>
      <c r="T79" s="12"/>
      <c r="U79" s="12">
        <v>15</v>
      </c>
      <c r="V79" s="65" t="s">
        <v>1297</v>
      </c>
      <c r="W79" s="44" t="str">
        <f t="shared" si="2"/>
        <v>OK</v>
      </c>
      <c r="X79" s="47" t="str">
        <f t="shared" si="5"/>
        <v/>
      </c>
      <c r="Y79" s="3"/>
      <c r="Z79" s="127"/>
    </row>
    <row r="80" spans="1:26" ht="14.4" hidden="1" outlineLevel="1" x14ac:dyDescent="0.3">
      <c r="A80" s="3"/>
      <c r="B80" s="150" t="s">
        <v>507</v>
      </c>
      <c r="C80" s="62">
        <v>9</v>
      </c>
      <c r="D80" s="62" t="s">
        <v>94</v>
      </c>
      <c r="E80" s="12">
        <f t="shared" si="38"/>
        <v>265</v>
      </c>
      <c r="F80" s="101">
        <f t="shared" si="40"/>
        <v>265</v>
      </c>
      <c r="G80" s="67"/>
      <c r="H80" s="63" t="s">
        <v>37</v>
      </c>
      <c r="I80" s="63"/>
      <c r="J80" s="64"/>
      <c r="K80" s="12"/>
      <c r="L80" s="62" t="str">
        <f t="shared" si="4"/>
        <v/>
      </c>
      <c r="M80" s="12">
        <v>196.43</v>
      </c>
      <c r="N80" s="12">
        <v>24.57</v>
      </c>
      <c r="O80" s="12">
        <v>12</v>
      </c>
      <c r="P80" s="12">
        <v>2</v>
      </c>
      <c r="Q80" s="12"/>
      <c r="R80" s="12"/>
      <c r="S80" s="12">
        <v>5</v>
      </c>
      <c r="T80" s="12">
        <v>10</v>
      </c>
      <c r="U80" s="12">
        <v>15</v>
      </c>
      <c r="V80" s="65" t="s">
        <v>1297</v>
      </c>
      <c r="W80" s="44" t="str">
        <f t="shared" si="2"/>
        <v>OK</v>
      </c>
      <c r="X80" s="47" t="str">
        <f t="shared" si="5"/>
        <v/>
      </c>
      <c r="Y80" s="3"/>
      <c r="Z80" s="127"/>
    </row>
    <row r="81" spans="1:26" ht="14.4" hidden="1" outlineLevel="1" x14ac:dyDescent="0.3">
      <c r="A81" s="3"/>
      <c r="B81" s="109" t="s">
        <v>1157</v>
      </c>
      <c r="C81" s="62">
        <v>9</v>
      </c>
      <c r="D81" s="62" t="s">
        <v>94</v>
      </c>
      <c r="E81" s="12">
        <f t="shared" si="38"/>
        <v>147.19</v>
      </c>
      <c r="F81" s="101">
        <f t="shared" si="40"/>
        <v>147.19</v>
      </c>
      <c r="G81" s="67"/>
      <c r="H81" s="63" t="s">
        <v>37</v>
      </c>
      <c r="I81" s="63"/>
      <c r="J81" s="64"/>
      <c r="K81" s="12"/>
      <c r="L81" s="62" t="str">
        <f t="shared" si="4"/>
        <v/>
      </c>
      <c r="M81" s="12">
        <v>93.62</v>
      </c>
      <c r="N81" s="12">
        <v>24.57</v>
      </c>
      <c r="O81" s="12">
        <v>12</v>
      </c>
      <c r="P81" s="12">
        <v>2</v>
      </c>
      <c r="Q81" s="12"/>
      <c r="R81" s="12"/>
      <c r="S81" s="12">
        <v>0</v>
      </c>
      <c r="T81" s="12">
        <v>0</v>
      </c>
      <c r="U81" s="12">
        <v>15</v>
      </c>
      <c r="V81" s="65" t="s">
        <v>1297</v>
      </c>
      <c r="W81" s="44" t="str">
        <f t="shared" si="2"/>
        <v>OK</v>
      </c>
      <c r="X81" s="47" t="str">
        <f t="shared" si="5"/>
        <v/>
      </c>
      <c r="Y81" s="3"/>
      <c r="Z81" s="127"/>
    </row>
    <row r="82" spans="1:26" ht="14.4" hidden="1" outlineLevel="1" x14ac:dyDescent="0.3">
      <c r="A82" s="3"/>
      <c r="B82" s="109" t="s">
        <v>508</v>
      </c>
      <c r="C82" s="62">
        <v>4</v>
      </c>
      <c r="D82" s="62" t="s">
        <v>94</v>
      </c>
      <c r="E82" s="12">
        <f t="shared" si="38"/>
        <v>364</v>
      </c>
      <c r="F82" s="101">
        <f t="shared" si="40"/>
        <v>364</v>
      </c>
      <c r="G82" s="67"/>
      <c r="H82" s="63" t="s">
        <v>37</v>
      </c>
      <c r="I82" s="63"/>
      <c r="J82" s="64"/>
      <c r="K82" s="12"/>
      <c r="L82" s="62" t="str">
        <f t="shared" si="4"/>
        <v/>
      </c>
      <c r="M82" s="12">
        <v>138.43</v>
      </c>
      <c r="N82" s="12">
        <v>24.57</v>
      </c>
      <c r="O82" s="12">
        <v>12</v>
      </c>
      <c r="P82" s="12">
        <v>2</v>
      </c>
      <c r="Q82" s="12">
        <v>5</v>
      </c>
      <c r="R82" s="12">
        <v>5</v>
      </c>
      <c r="S82" s="12">
        <v>10</v>
      </c>
      <c r="T82" s="12"/>
      <c r="U82" s="12">
        <v>167</v>
      </c>
      <c r="V82" s="65" t="s">
        <v>1302</v>
      </c>
      <c r="W82" s="44" t="str">
        <f t="shared" si="2"/>
        <v>OK</v>
      </c>
      <c r="X82" s="47" t="str">
        <f t="shared" si="5"/>
        <v/>
      </c>
      <c r="Y82" s="3"/>
      <c r="Z82" s="127"/>
    </row>
    <row r="83" spans="1:26" ht="14.4" hidden="1" outlineLevel="1" x14ac:dyDescent="0.3">
      <c r="A83" s="3"/>
      <c r="B83" s="150" t="s">
        <v>509</v>
      </c>
      <c r="C83" s="62">
        <v>4</v>
      </c>
      <c r="D83" s="62" t="s">
        <v>94</v>
      </c>
      <c r="E83" s="12">
        <f t="shared" si="38"/>
        <v>212</v>
      </c>
      <c r="F83" s="101">
        <f t="shared" si="40"/>
        <v>212</v>
      </c>
      <c r="G83" s="67"/>
      <c r="H83" s="63" t="s">
        <v>37</v>
      </c>
      <c r="I83" s="63"/>
      <c r="J83" s="64"/>
      <c r="K83" s="12"/>
      <c r="L83" s="62" t="str">
        <f t="shared" si="4"/>
        <v/>
      </c>
      <c r="M83" s="12">
        <v>138.43</v>
      </c>
      <c r="N83" s="12">
        <v>24.57</v>
      </c>
      <c r="O83" s="12">
        <v>12</v>
      </c>
      <c r="P83" s="12">
        <v>2</v>
      </c>
      <c r="Q83" s="12">
        <v>5</v>
      </c>
      <c r="R83" s="12">
        <v>5</v>
      </c>
      <c r="S83" s="12">
        <v>10</v>
      </c>
      <c r="T83" s="12"/>
      <c r="U83" s="12">
        <v>15</v>
      </c>
      <c r="V83" s="65" t="s">
        <v>1297</v>
      </c>
      <c r="W83" s="44" t="str">
        <f t="shared" si="2"/>
        <v>OK</v>
      </c>
      <c r="X83" s="47" t="str">
        <f t="shared" si="5"/>
        <v/>
      </c>
      <c r="Y83" s="3"/>
      <c r="Z83" s="127"/>
    </row>
    <row r="84" spans="1:26" ht="14.4" hidden="1" outlineLevel="1" x14ac:dyDescent="0.3">
      <c r="A84" s="3"/>
      <c r="B84" s="150" t="s">
        <v>512</v>
      </c>
      <c r="C84" s="62">
        <v>5</v>
      </c>
      <c r="D84" s="62" t="s">
        <v>94</v>
      </c>
      <c r="E84" s="12">
        <f t="shared" si="38"/>
        <v>178.57</v>
      </c>
      <c r="F84" s="101">
        <f t="shared" si="40"/>
        <v>178.57</v>
      </c>
      <c r="G84" s="67"/>
      <c r="H84" s="63" t="s">
        <v>38</v>
      </c>
      <c r="I84" s="63"/>
      <c r="J84" s="64"/>
      <c r="K84" s="12"/>
      <c r="L84" s="62" t="str">
        <f t="shared" si="4"/>
        <v/>
      </c>
      <c r="M84" s="12">
        <v>120</v>
      </c>
      <c r="N84" s="12">
        <v>24.57</v>
      </c>
      <c r="O84" s="12">
        <v>12</v>
      </c>
      <c r="P84" s="12">
        <v>2</v>
      </c>
      <c r="Q84" s="12"/>
      <c r="R84" s="12"/>
      <c r="S84" s="12">
        <v>5</v>
      </c>
      <c r="T84" s="12"/>
      <c r="U84" s="12">
        <v>15</v>
      </c>
      <c r="V84" s="65" t="s">
        <v>1297</v>
      </c>
      <c r="W84" s="44" t="str">
        <f t="shared" si="2"/>
        <v>OK</v>
      </c>
      <c r="X84" s="47" t="str">
        <f t="shared" si="5"/>
        <v/>
      </c>
      <c r="Y84" s="3"/>
      <c r="Z84" s="127"/>
    </row>
    <row r="85" spans="1:26" ht="14.4" hidden="1" outlineLevel="1" x14ac:dyDescent="0.3">
      <c r="A85" s="3"/>
      <c r="B85" s="150" t="s">
        <v>513</v>
      </c>
      <c r="C85" s="62">
        <v>5</v>
      </c>
      <c r="D85" s="62" t="s">
        <v>94</v>
      </c>
      <c r="E85" s="12">
        <f t="shared" si="38"/>
        <v>273.57</v>
      </c>
      <c r="F85" s="101">
        <f t="shared" si="40"/>
        <v>273.57</v>
      </c>
      <c r="G85" s="67"/>
      <c r="H85" s="63" t="s">
        <v>38</v>
      </c>
      <c r="I85" s="63"/>
      <c r="J85" s="64"/>
      <c r="K85" s="12"/>
      <c r="L85" s="62" t="str">
        <f t="shared" si="4"/>
        <v/>
      </c>
      <c r="M85" s="12">
        <v>120</v>
      </c>
      <c r="N85" s="12">
        <v>24.57</v>
      </c>
      <c r="O85" s="12">
        <v>12</v>
      </c>
      <c r="P85" s="12">
        <v>2</v>
      </c>
      <c r="Q85" s="12"/>
      <c r="R85" s="12"/>
      <c r="S85" s="12">
        <v>5</v>
      </c>
      <c r="T85" s="12"/>
      <c r="U85" s="12">
        <v>110</v>
      </c>
      <c r="V85" s="65" t="s">
        <v>1310</v>
      </c>
      <c r="W85" s="44" t="str">
        <f t="shared" si="2"/>
        <v>OK</v>
      </c>
      <c r="X85" s="47" t="str">
        <f t="shared" si="5"/>
        <v/>
      </c>
      <c r="Y85" s="3"/>
      <c r="Z85" s="127"/>
    </row>
    <row r="86" spans="1:26" ht="14.4" hidden="1" outlineLevel="1" x14ac:dyDescent="0.3">
      <c r="A86" s="3"/>
      <c r="B86" s="109" t="s">
        <v>514</v>
      </c>
      <c r="C86" s="62">
        <v>9</v>
      </c>
      <c r="D86" s="62" t="s">
        <v>94</v>
      </c>
      <c r="E86" s="12">
        <f t="shared" si="38"/>
        <v>167</v>
      </c>
      <c r="F86" s="101">
        <f t="shared" si="40"/>
        <v>167</v>
      </c>
      <c r="G86" s="67"/>
      <c r="H86" s="63" t="s">
        <v>37</v>
      </c>
      <c r="I86" s="63"/>
      <c r="J86" s="64"/>
      <c r="K86" s="12"/>
      <c r="L86" s="62" t="str">
        <f t="shared" si="4"/>
        <v/>
      </c>
      <c r="M86" s="12">
        <v>108.43</v>
      </c>
      <c r="N86" s="12">
        <v>24.57</v>
      </c>
      <c r="O86" s="12">
        <v>12</v>
      </c>
      <c r="P86" s="12">
        <v>2</v>
      </c>
      <c r="Q86" s="12"/>
      <c r="R86" s="12"/>
      <c r="S86" s="12">
        <v>5</v>
      </c>
      <c r="T86" s="12"/>
      <c r="U86" s="12">
        <v>15</v>
      </c>
      <c r="V86" s="65" t="s">
        <v>1297</v>
      </c>
      <c r="W86" s="44" t="str">
        <f t="shared" si="2"/>
        <v>OK</v>
      </c>
      <c r="X86" s="47" t="str">
        <f t="shared" si="5"/>
        <v/>
      </c>
      <c r="Y86" s="3"/>
      <c r="Z86" s="127"/>
    </row>
    <row r="87" spans="1:26" ht="14.4" hidden="1" outlineLevel="1" x14ac:dyDescent="0.3">
      <c r="A87" s="3"/>
      <c r="B87" s="150" t="s">
        <v>515</v>
      </c>
      <c r="C87" s="62">
        <v>4</v>
      </c>
      <c r="D87" s="62" t="s">
        <v>94</v>
      </c>
      <c r="E87" s="12">
        <f t="shared" si="38"/>
        <v>141.5</v>
      </c>
      <c r="F87" s="101">
        <f t="shared" si="40"/>
        <v>141.5</v>
      </c>
      <c r="G87" s="67"/>
      <c r="H87" s="63" t="s">
        <v>37</v>
      </c>
      <c r="I87" s="63"/>
      <c r="J87" s="64"/>
      <c r="K87" s="12"/>
      <c r="L87" s="62" t="str">
        <f t="shared" si="4"/>
        <v/>
      </c>
      <c r="M87" s="12">
        <v>88.43</v>
      </c>
      <c r="N87" s="12">
        <v>24.57</v>
      </c>
      <c r="O87" s="12">
        <v>12</v>
      </c>
      <c r="P87" s="12">
        <v>1.5</v>
      </c>
      <c r="Q87" s="12"/>
      <c r="R87" s="12"/>
      <c r="S87" s="12"/>
      <c r="T87" s="12"/>
      <c r="U87" s="12">
        <v>15</v>
      </c>
      <c r="V87" s="65" t="s">
        <v>1297</v>
      </c>
      <c r="W87" s="44" t="str">
        <f t="shared" si="2"/>
        <v>OK</v>
      </c>
      <c r="X87" s="47" t="str">
        <f t="shared" si="5"/>
        <v/>
      </c>
      <c r="Y87" s="3"/>
      <c r="Z87" s="127"/>
    </row>
    <row r="88" spans="1:26" ht="14.4" hidden="1" outlineLevel="1" x14ac:dyDescent="0.3">
      <c r="A88" s="3"/>
      <c r="B88" s="150" t="s">
        <v>516</v>
      </c>
      <c r="C88" s="62">
        <v>4</v>
      </c>
      <c r="D88" s="62" t="s">
        <v>94</v>
      </c>
      <c r="E88" s="12">
        <f t="shared" si="38"/>
        <v>206.5</v>
      </c>
      <c r="F88" s="101">
        <f t="shared" si="40"/>
        <v>206.5</v>
      </c>
      <c r="G88" s="67"/>
      <c r="H88" s="63" t="s">
        <v>37</v>
      </c>
      <c r="I88" s="63"/>
      <c r="J88" s="64"/>
      <c r="K88" s="12"/>
      <c r="L88" s="62" t="str">
        <f t="shared" si="4"/>
        <v/>
      </c>
      <c r="M88" s="12">
        <v>88.43</v>
      </c>
      <c r="N88" s="12">
        <v>24.57</v>
      </c>
      <c r="O88" s="12">
        <v>12</v>
      </c>
      <c r="P88" s="12">
        <v>1.5</v>
      </c>
      <c r="Q88" s="12"/>
      <c r="R88" s="12"/>
      <c r="S88" s="12"/>
      <c r="T88" s="12"/>
      <c r="U88" s="12">
        <v>80</v>
      </c>
      <c r="V88" s="65" t="s">
        <v>1307</v>
      </c>
      <c r="W88" s="44" t="str">
        <f t="shared" si="2"/>
        <v>OK</v>
      </c>
      <c r="X88" s="47" t="str">
        <f t="shared" si="5"/>
        <v/>
      </c>
      <c r="Y88" s="3"/>
      <c r="Z88" s="127"/>
    </row>
    <row r="89" spans="1:26" ht="14.4" hidden="1" outlineLevel="1" x14ac:dyDescent="0.3">
      <c r="A89" s="3"/>
      <c r="B89" s="109" t="s">
        <v>517</v>
      </c>
      <c r="C89" s="62">
        <v>9</v>
      </c>
      <c r="D89" s="62" t="s">
        <v>94</v>
      </c>
      <c r="E89" s="12">
        <f t="shared" si="38"/>
        <v>244</v>
      </c>
      <c r="F89" s="101">
        <f t="shared" si="40"/>
        <v>244</v>
      </c>
      <c r="G89" s="67"/>
      <c r="H89" s="63" t="s">
        <v>37</v>
      </c>
      <c r="I89" s="63"/>
      <c r="J89" s="64"/>
      <c r="K89" s="12"/>
      <c r="L89" s="62" t="str">
        <f t="shared" si="4"/>
        <v/>
      </c>
      <c r="M89" s="12">
        <v>93.93</v>
      </c>
      <c r="N89" s="12">
        <v>24.57</v>
      </c>
      <c r="O89" s="12">
        <v>12</v>
      </c>
      <c r="P89" s="12">
        <v>1.5</v>
      </c>
      <c r="Q89" s="12">
        <v>5</v>
      </c>
      <c r="R89" s="12"/>
      <c r="S89" s="12">
        <v>10</v>
      </c>
      <c r="T89" s="12"/>
      <c r="U89" s="12">
        <v>97</v>
      </c>
      <c r="V89" s="65" t="s">
        <v>1311</v>
      </c>
      <c r="W89" s="44" t="str">
        <f t="shared" si="2"/>
        <v>OK</v>
      </c>
      <c r="X89" s="47" t="str">
        <f t="shared" si="5"/>
        <v/>
      </c>
      <c r="Y89" s="3"/>
      <c r="Z89" s="127"/>
    </row>
    <row r="90" spans="1:26" ht="14.4" hidden="1" outlineLevel="1" x14ac:dyDescent="0.3">
      <c r="A90" s="3"/>
      <c r="B90" s="150" t="s">
        <v>518</v>
      </c>
      <c r="C90" s="62">
        <v>12</v>
      </c>
      <c r="D90" s="62" t="s">
        <v>94</v>
      </c>
      <c r="E90" s="12">
        <f t="shared" si="38"/>
        <v>207</v>
      </c>
      <c r="F90" s="101">
        <f t="shared" si="40"/>
        <v>207</v>
      </c>
      <c r="G90" s="67"/>
      <c r="H90" s="63" t="s">
        <v>37</v>
      </c>
      <c r="I90" s="63"/>
      <c r="J90" s="64"/>
      <c r="K90" s="12"/>
      <c r="L90" s="62" t="str">
        <f t="shared" si="4"/>
        <v/>
      </c>
      <c r="M90" s="12">
        <v>108.43</v>
      </c>
      <c r="N90" s="12">
        <v>24.57</v>
      </c>
      <c r="O90" s="12">
        <v>12</v>
      </c>
      <c r="P90" s="12">
        <v>2</v>
      </c>
      <c r="Q90" s="12"/>
      <c r="R90" s="12"/>
      <c r="S90" s="12">
        <v>5</v>
      </c>
      <c r="T90" s="12"/>
      <c r="U90" s="12">
        <v>55</v>
      </c>
      <c r="V90" s="65" t="s">
        <v>1312</v>
      </c>
      <c r="W90" s="44" t="str">
        <f t="shared" si="2"/>
        <v>OK</v>
      </c>
      <c r="X90" s="47" t="str">
        <f t="shared" si="5"/>
        <v/>
      </c>
      <c r="Y90" s="3"/>
      <c r="Z90" s="127"/>
    </row>
    <row r="91" spans="1:26" ht="14.4" hidden="1" outlineLevel="1" x14ac:dyDescent="0.3">
      <c r="A91" s="3"/>
      <c r="B91" s="109" t="s">
        <v>519</v>
      </c>
      <c r="C91" s="62">
        <v>3</v>
      </c>
      <c r="D91" s="62" t="s">
        <v>94</v>
      </c>
      <c r="E91" s="12">
        <f t="shared" si="38"/>
        <v>190</v>
      </c>
      <c r="F91" s="101">
        <f t="shared" si="40"/>
        <v>190</v>
      </c>
      <c r="G91" s="67"/>
      <c r="H91" s="63" t="s">
        <v>37</v>
      </c>
      <c r="I91" s="63"/>
      <c r="J91" s="64"/>
      <c r="K91" s="12"/>
      <c r="L91" s="62" t="str">
        <f t="shared" si="4"/>
        <v/>
      </c>
      <c r="M91" s="12">
        <v>113.43</v>
      </c>
      <c r="N91" s="12">
        <v>24.57</v>
      </c>
      <c r="O91" s="12">
        <v>12</v>
      </c>
      <c r="P91" s="12"/>
      <c r="Q91" s="12"/>
      <c r="R91" s="12"/>
      <c r="S91" s="12"/>
      <c r="T91" s="12"/>
      <c r="U91" s="12">
        <v>40</v>
      </c>
      <c r="V91" s="65" t="s">
        <v>1308</v>
      </c>
      <c r="W91" s="44" t="str">
        <f t="shared" si="2"/>
        <v>OK</v>
      </c>
      <c r="X91" s="47" t="str">
        <f t="shared" si="5"/>
        <v/>
      </c>
      <c r="Y91" s="3"/>
      <c r="Z91" s="127"/>
    </row>
    <row r="92" spans="1:26" ht="14.4" hidden="1" outlineLevel="1" x14ac:dyDescent="0.3">
      <c r="A92" s="3"/>
      <c r="B92" s="109" t="s">
        <v>520</v>
      </c>
      <c r="C92" s="62"/>
      <c r="D92" s="62" t="s">
        <v>104</v>
      </c>
      <c r="E92" s="12">
        <f t="shared" si="38"/>
        <v>24</v>
      </c>
      <c r="F92" s="101"/>
      <c r="G92" s="67"/>
      <c r="H92" s="63"/>
      <c r="I92" s="63"/>
      <c r="J92" s="64"/>
      <c r="K92" s="12"/>
      <c r="L92" s="62" t="str">
        <f t="shared" si="4"/>
        <v/>
      </c>
      <c r="M92" s="12">
        <v>-12.57</v>
      </c>
      <c r="N92" s="12">
        <v>24.57</v>
      </c>
      <c r="O92" s="12">
        <v>12</v>
      </c>
      <c r="P92" s="12"/>
      <c r="Q92" s="12"/>
      <c r="R92" s="12"/>
      <c r="S92" s="12"/>
      <c r="T92" s="12"/>
      <c r="U92" s="12"/>
      <c r="V92" s="65"/>
      <c r="W92" s="44" t="str">
        <f t="shared" si="2"/>
        <v>Diferente</v>
      </c>
      <c r="X92" s="47">
        <f t="shared" si="5"/>
        <v>-24</v>
      </c>
      <c r="Y92" s="3"/>
      <c r="Z92" s="127"/>
    </row>
    <row r="93" spans="1:26" ht="14.4" hidden="1" outlineLevel="1" x14ac:dyDescent="0.3">
      <c r="A93" s="3"/>
      <c r="B93" s="150" t="s">
        <v>522</v>
      </c>
      <c r="C93" s="62">
        <v>5</v>
      </c>
      <c r="D93" s="62" t="s">
        <v>94</v>
      </c>
      <c r="E93" s="12">
        <f t="shared" si="38"/>
        <v>140</v>
      </c>
      <c r="F93" s="101">
        <f t="shared" ref="F93:F94" si="41">E93</f>
        <v>140</v>
      </c>
      <c r="G93" s="67"/>
      <c r="H93" s="63" t="s">
        <v>37</v>
      </c>
      <c r="I93" s="63"/>
      <c r="J93" s="64"/>
      <c r="K93" s="12"/>
      <c r="L93" s="62" t="str">
        <f t="shared" si="4"/>
        <v/>
      </c>
      <c r="M93" s="12">
        <v>88.43</v>
      </c>
      <c r="N93" s="12">
        <v>24.57</v>
      </c>
      <c r="O93" s="12">
        <v>12</v>
      </c>
      <c r="P93" s="12"/>
      <c r="Q93" s="12"/>
      <c r="R93" s="12"/>
      <c r="S93" s="12"/>
      <c r="T93" s="12"/>
      <c r="U93" s="12">
        <v>15</v>
      </c>
      <c r="V93" s="65" t="s">
        <v>1297</v>
      </c>
      <c r="W93" s="44" t="str">
        <f t="shared" si="2"/>
        <v>OK</v>
      </c>
      <c r="X93" s="47" t="str">
        <f t="shared" si="5"/>
        <v/>
      </c>
      <c r="Y93" s="3"/>
      <c r="Z93" s="127"/>
    </row>
    <row r="94" spans="1:26" ht="14.4" hidden="1" outlineLevel="1" x14ac:dyDescent="0.3">
      <c r="A94" s="3"/>
      <c r="B94" s="109" t="s">
        <v>523</v>
      </c>
      <c r="C94" s="62">
        <v>12</v>
      </c>
      <c r="D94" s="62" t="s">
        <v>94</v>
      </c>
      <c r="E94" s="12">
        <f t="shared" si="38"/>
        <v>90</v>
      </c>
      <c r="F94" s="101">
        <f t="shared" si="41"/>
        <v>90</v>
      </c>
      <c r="G94" s="67"/>
      <c r="H94" s="63" t="s">
        <v>37</v>
      </c>
      <c r="I94" s="63"/>
      <c r="J94" s="64"/>
      <c r="K94" s="12"/>
      <c r="L94" s="62" t="str">
        <f t="shared" si="4"/>
        <v/>
      </c>
      <c r="M94" s="12">
        <v>13.43</v>
      </c>
      <c r="N94" s="12">
        <v>24.57</v>
      </c>
      <c r="O94" s="12">
        <v>12</v>
      </c>
      <c r="P94" s="12"/>
      <c r="Q94" s="12"/>
      <c r="R94" s="12"/>
      <c r="S94" s="12"/>
      <c r="T94" s="12"/>
      <c r="U94" s="12">
        <v>40</v>
      </c>
      <c r="V94" s="65" t="s">
        <v>1308</v>
      </c>
      <c r="W94" s="44" t="str">
        <f t="shared" si="2"/>
        <v>OK</v>
      </c>
      <c r="X94" s="47" t="str">
        <f t="shared" si="5"/>
        <v/>
      </c>
      <c r="Y94" s="3"/>
      <c r="Z94" s="127"/>
    </row>
    <row r="95" spans="1:26" ht="14.4" hidden="1" outlineLevel="1" x14ac:dyDescent="0.3">
      <c r="A95" s="3"/>
      <c r="B95" s="109" t="s">
        <v>524</v>
      </c>
      <c r="C95" s="62" t="s">
        <v>1313</v>
      </c>
      <c r="D95" s="62" t="s">
        <v>94</v>
      </c>
      <c r="E95" s="12">
        <v>202</v>
      </c>
      <c r="F95" s="101">
        <f t="shared" ref="F95:F96" si="42">SUM(M95:U95)</f>
        <v>362</v>
      </c>
      <c r="G95" s="70" t="s">
        <v>1314</v>
      </c>
      <c r="H95" s="63" t="s">
        <v>37</v>
      </c>
      <c r="I95" s="63"/>
      <c r="J95" s="64"/>
      <c r="K95" s="12"/>
      <c r="L95" s="62">
        <f t="shared" si="4"/>
        <v>1</v>
      </c>
      <c r="M95" s="12">
        <f t="shared" ref="M95:M96" si="43">91.93*2</f>
        <v>183.86</v>
      </c>
      <c r="N95" s="12">
        <f t="shared" ref="N95:N96" si="44">24.57*2</f>
        <v>49.14</v>
      </c>
      <c r="O95" s="12">
        <f t="shared" ref="O95:O96" si="45">12*2</f>
        <v>24</v>
      </c>
      <c r="P95" s="12">
        <f t="shared" ref="P95:P96" si="46">1.5*2</f>
        <v>3</v>
      </c>
      <c r="Q95" s="12"/>
      <c r="R95" s="12"/>
      <c r="S95" s="12"/>
      <c r="T95" s="12"/>
      <c r="U95" s="12">
        <f>72+15+15</f>
        <v>102</v>
      </c>
      <c r="V95" s="65" t="s">
        <v>1298</v>
      </c>
      <c r="W95" s="44" t="str">
        <f t="shared" si="2"/>
        <v>OK</v>
      </c>
      <c r="X95" s="47" t="str">
        <f t="shared" si="5"/>
        <v/>
      </c>
      <c r="Y95" s="3"/>
      <c r="Z95" s="127"/>
    </row>
    <row r="96" spans="1:26" ht="14.4" hidden="1" outlineLevel="1" x14ac:dyDescent="0.3">
      <c r="A96" s="3"/>
      <c r="B96" s="150" t="s">
        <v>525</v>
      </c>
      <c r="C96" s="62" t="s">
        <v>1313</v>
      </c>
      <c r="D96" s="62" t="s">
        <v>94</v>
      </c>
      <c r="E96" s="12">
        <v>145</v>
      </c>
      <c r="F96" s="101">
        <f t="shared" si="42"/>
        <v>305</v>
      </c>
      <c r="G96" s="70" t="s">
        <v>1314</v>
      </c>
      <c r="H96" s="63" t="s">
        <v>37</v>
      </c>
      <c r="I96" s="63"/>
      <c r="J96" s="64"/>
      <c r="K96" s="12"/>
      <c r="L96" s="62">
        <f t="shared" si="4"/>
        <v>1</v>
      </c>
      <c r="M96" s="12">
        <f t="shared" si="43"/>
        <v>183.86</v>
      </c>
      <c r="N96" s="12">
        <f t="shared" si="44"/>
        <v>49.14</v>
      </c>
      <c r="O96" s="12">
        <f t="shared" si="45"/>
        <v>24</v>
      </c>
      <c r="P96" s="12">
        <f t="shared" si="46"/>
        <v>3</v>
      </c>
      <c r="Q96" s="12"/>
      <c r="R96" s="12"/>
      <c r="S96" s="12"/>
      <c r="T96" s="12"/>
      <c r="U96" s="12">
        <f>15+15+15</f>
        <v>45</v>
      </c>
      <c r="V96" s="65" t="s">
        <v>1297</v>
      </c>
      <c r="W96" s="44" t="str">
        <f t="shared" si="2"/>
        <v>OK</v>
      </c>
      <c r="X96" s="47" t="str">
        <f t="shared" si="5"/>
        <v/>
      </c>
      <c r="Y96" s="3"/>
      <c r="Z96" s="127"/>
    </row>
    <row r="97" spans="1:26" ht="14.4" hidden="1" outlineLevel="1" x14ac:dyDescent="0.3">
      <c r="A97" s="3"/>
      <c r="B97" s="109" t="s">
        <v>526</v>
      </c>
      <c r="C97" s="62"/>
      <c r="D97" s="62" t="s">
        <v>104</v>
      </c>
      <c r="E97" s="12">
        <f t="shared" ref="E97:E103" si="47">SUM(M97:U97)</f>
        <v>145</v>
      </c>
      <c r="F97" s="101"/>
      <c r="G97" s="67"/>
      <c r="H97" s="63"/>
      <c r="I97" s="63"/>
      <c r="J97" s="64"/>
      <c r="K97" s="12"/>
      <c r="L97" s="62" t="str">
        <f t="shared" si="4"/>
        <v/>
      </c>
      <c r="M97" s="12">
        <v>26.43</v>
      </c>
      <c r="N97" s="12">
        <v>24.57</v>
      </c>
      <c r="O97" s="12">
        <v>12</v>
      </c>
      <c r="P97" s="12">
        <v>2</v>
      </c>
      <c r="Q97" s="12"/>
      <c r="R97" s="12"/>
      <c r="S97" s="12"/>
      <c r="T97" s="12"/>
      <c r="U97" s="12">
        <v>80</v>
      </c>
      <c r="V97" s="65" t="s">
        <v>1307</v>
      </c>
      <c r="W97" s="44" t="str">
        <f t="shared" si="2"/>
        <v>Diferente</v>
      </c>
      <c r="X97" s="47">
        <f t="shared" si="5"/>
        <v>-145</v>
      </c>
      <c r="Y97" s="3"/>
      <c r="Z97" s="127"/>
    </row>
    <row r="98" spans="1:26" ht="14.4" hidden="1" outlineLevel="1" x14ac:dyDescent="0.3">
      <c r="A98" s="3"/>
      <c r="B98" s="150" t="s">
        <v>527</v>
      </c>
      <c r="C98" s="62">
        <v>13</v>
      </c>
      <c r="D98" s="62" t="s">
        <v>94</v>
      </c>
      <c r="E98" s="12">
        <f t="shared" si="47"/>
        <v>154</v>
      </c>
      <c r="F98" s="101">
        <f t="shared" ref="F98:F103" si="48">E98</f>
        <v>154</v>
      </c>
      <c r="G98" s="67"/>
      <c r="H98" s="63" t="s">
        <v>37</v>
      </c>
      <c r="I98" s="63"/>
      <c r="J98" s="64"/>
      <c r="K98" s="12"/>
      <c r="L98" s="62">
        <f t="shared" si="4"/>
        <v>1</v>
      </c>
      <c r="M98" s="12">
        <v>100.43</v>
      </c>
      <c r="N98" s="12">
        <v>24.57</v>
      </c>
      <c r="O98" s="12">
        <v>12</v>
      </c>
      <c r="P98" s="12">
        <v>2</v>
      </c>
      <c r="Q98" s="12"/>
      <c r="R98" s="12"/>
      <c r="S98" s="12"/>
      <c r="T98" s="12"/>
      <c r="U98" s="12">
        <v>15</v>
      </c>
      <c r="V98" s="65" t="s">
        <v>1297</v>
      </c>
      <c r="W98" s="44" t="str">
        <f t="shared" si="2"/>
        <v>OK</v>
      </c>
      <c r="X98" s="47" t="str">
        <f t="shared" si="5"/>
        <v/>
      </c>
      <c r="Y98" s="3"/>
      <c r="Z98" s="127"/>
    </row>
    <row r="99" spans="1:26" ht="14.4" hidden="1" outlineLevel="1" x14ac:dyDescent="0.3">
      <c r="A99" s="3"/>
      <c r="B99" s="109" t="s">
        <v>712</v>
      </c>
      <c r="C99" s="62">
        <v>9</v>
      </c>
      <c r="D99" s="62" t="s">
        <v>94</v>
      </c>
      <c r="E99" s="12">
        <f t="shared" si="47"/>
        <v>135</v>
      </c>
      <c r="F99" s="101">
        <f t="shared" si="48"/>
        <v>135</v>
      </c>
      <c r="G99" s="67"/>
      <c r="H99" s="63" t="s">
        <v>37</v>
      </c>
      <c r="I99" s="63"/>
      <c r="J99" s="64"/>
      <c r="K99" s="12"/>
      <c r="L99" s="62" t="str">
        <f t="shared" si="4"/>
        <v/>
      </c>
      <c r="M99" s="12">
        <v>31.43</v>
      </c>
      <c r="N99" s="12">
        <v>24.57</v>
      </c>
      <c r="O99" s="12">
        <v>12</v>
      </c>
      <c r="P99" s="12">
        <v>2</v>
      </c>
      <c r="Q99" s="12"/>
      <c r="R99" s="12"/>
      <c r="S99" s="12"/>
      <c r="T99" s="12"/>
      <c r="U99" s="12">
        <v>65</v>
      </c>
      <c r="V99" s="65" t="s">
        <v>1315</v>
      </c>
      <c r="W99" s="44" t="str">
        <f t="shared" si="2"/>
        <v>OK</v>
      </c>
      <c r="X99" s="47" t="str">
        <f t="shared" si="5"/>
        <v/>
      </c>
      <c r="Y99" s="3"/>
      <c r="Z99" s="3"/>
    </row>
    <row r="100" spans="1:26" ht="14.4" hidden="1" outlineLevel="1" x14ac:dyDescent="0.3">
      <c r="A100" s="3"/>
      <c r="B100" s="109" t="s">
        <v>895</v>
      </c>
      <c r="C100" s="62">
        <v>17</v>
      </c>
      <c r="D100" s="62" t="s">
        <v>94</v>
      </c>
      <c r="E100" s="12">
        <f t="shared" si="47"/>
        <v>252.57</v>
      </c>
      <c r="F100" s="101">
        <f t="shared" si="48"/>
        <v>252.57</v>
      </c>
      <c r="G100" s="67"/>
      <c r="H100" s="63" t="s">
        <v>37</v>
      </c>
      <c r="I100" s="63"/>
      <c r="J100" s="64"/>
      <c r="K100" s="62"/>
      <c r="L100" s="62">
        <f t="shared" si="4"/>
        <v>1</v>
      </c>
      <c r="M100" s="12">
        <v>94</v>
      </c>
      <c r="N100" s="12">
        <v>24.57</v>
      </c>
      <c r="O100" s="12">
        <v>12</v>
      </c>
      <c r="P100" s="12">
        <v>0</v>
      </c>
      <c r="Q100" s="12"/>
      <c r="R100" s="12"/>
      <c r="S100" s="12"/>
      <c r="T100" s="12"/>
      <c r="U100" s="12">
        <v>122</v>
      </c>
      <c r="V100" s="65" t="s">
        <v>1306</v>
      </c>
      <c r="W100" s="44" t="str">
        <f t="shared" si="2"/>
        <v>OK</v>
      </c>
      <c r="X100" s="47" t="str">
        <f t="shared" si="5"/>
        <v/>
      </c>
      <c r="Y100" s="3"/>
      <c r="Z100" s="3"/>
    </row>
    <row r="101" spans="1:26" ht="14.4" hidden="1" outlineLevel="1" x14ac:dyDescent="0.3">
      <c r="A101" s="3"/>
      <c r="B101" s="150" t="s">
        <v>896</v>
      </c>
      <c r="C101" s="62">
        <v>17</v>
      </c>
      <c r="D101" s="62" t="s">
        <v>94</v>
      </c>
      <c r="E101" s="12">
        <f t="shared" si="47"/>
        <v>145.57</v>
      </c>
      <c r="F101" s="101">
        <f t="shared" si="48"/>
        <v>145.57</v>
      </c>
      <c r="G101" s="67"/>
      <c r="H101" s="63" t="s">
        <v>37</v>
      </c>
      <c r="I101" s="63"/>
      <c r="J101" s="64"/>
      <c r="K101" s="62"/>
      <c r="L101" s="62">
        <f t="shared" si="4"/>
        <v>1</v>
      </c>
      <c r="M101" s="12">
        <v>94</v>
      </c>
      <c r="N101" s="12">
        <v>24.57</v>
      </c>
      <c r="O101" s="12">
        <v>12</v>
      </c>
      <c r="P101" s="12">
        <v>0</v>
      </c>
      <c r="Q101" s="12"/>
      <c r="R101" s="12"/>
      <c r="S101" s="12"/>
      <c r="T101" s="12"/>
      <c r="U101" s="12">
        <v>15</v>
      </c>
      <c r="V101" s="65" t="s">
        <v>1297</v>
      </c>
      <c r="W101" s="44" t="str">
        <f t="shared" si="2"/>
        <v>OK</v>
      </c>
      <c r="X101" s="47" t="str">
        <f t="shared" si="5"/>
        <v/>
      </c>
      <c r="Y101" s="3"/>
      <c r="Z101" s="3"/>
    </row>
    <row r="102" spans="1:26" ht="14.4" hidden="1" outlineLevel="1" x14ac:dyDescent="0.3">
      <c r="A102" s="3"/>
      <c r="B102" s="109" t="s">
        <v>1316</v>
      </c>
      <c r="C102" s="62">
        <v>2</v>
      </c>
      <c r="D102" s="62" t="s">
        <v>94</v>
      </c>
      <c r="E102" s="12">
        <f t="shared" si="47"/>
        <v>151.80000000000001</v>
      </c>
      <c r="F102" s="12">
        <f t="shared" si="48"/>
        <v>151.80000000000001</v>
      </c>
      <c r="G102" s="67"/>
      <c r="H102" s="63" t="s">
        <v>37</v>
      </c>
      <c r="I102" s="63"/>
      <c r="J102" s="64"/>
      <c r="K102" s="62"/>
      <c r="L102" s="62" t="str">
        <f t="shared" si="4"/>
        <v/>
      </c>
      <c r="M102" s="12">
        <v>68.23</v>
      </c>
      <c r="N102" s="12">
        <v>24.57</v>
      </c>
      <c r="O102" s="12">
        <v>12</v>
      </c>
      <c r="P102" s="12">
        <v>2</v>
      </c>
      <c r="Q102" s="12"/>
      <c r="R102" s="12"/>
      <c r="S102" s="12"/>
      <c r="T102" s="12"/>
      <c r="U102" s="12">
        <v>45</v>
      </c>
      <c r="V102" s="65" t="s">
        <v>1317</v>
      </c>
      <c r="W102" s="44" t="str">
        <f t="shared" si="2"/>
        <v>OK</v>
      </c>
      <c r="X102" s="47" t="str">
        <f t="shared" si="5"/>
        <v/>
      </c>
      <c r="Y102" s="3"/>
      <c r="Z102" s="3"/>
    </row>
    <row r="103" spans="1:26" ht="14.4" hidden="1" outlineLevel="1" x14ac:dyDescent="0.3">
      <c r="A103" s="3"/>
      <c r="B103" s="109" t="s">
        <v>1318</v>
      </c>
      <c r="C103" s="62">
        <v>9</v>
      </c>
      <c r="D103" s="62" t="s">
        <v>94</v>
      </c>
      <c r="E103" s="12">
        <f t="shared" si="47"/>
        <v>130</v>
      </c>
      <c r="F103" s="12">
        <f t="shared" si="48"/>
        <v>130</v>
      </c>
      <c r="G103" s="67"/>
      <c r="H103" s="63" t="s">
        <v>37</v>
      </c>
      <c r="I103" s="63"/>
      <c r="J103" s="64"/>
      <c r="K103" s="62"/>
      <c r="L103" s="62" t="str">
        <f t="shared" si="4"/>
        <v/>
      </c>
      <c r="M103" s="12">
        <v>93.43</v>
      </c>
      <c r="N103" s="12">
        <v>24.57</v>
      </c>
      <c r="O103" s="12">
        <v>12</v>
      </c>
      <c r="P103" s="12">
        <v>0</v>
      </c>
      <c r="Q103" s="12"/>
      <c r="R103" s="12"/>
      <c r="S103" s="12"/>
      <c r="T103" s="12"/>
      <c r="U103" s="12"/>
      <c r="V103" s="65"/>
      <c r="W103" s="44" t="str">
        <f t="shared" si="2"/>
        <v>OK</v>
      </c>
      <c r="X103" s="47" t="str">
        <f t="shared" si="5"/>
        <v/>
      </c>
      <c r="Y103" s="3"/>
      <c r="Z103" s="3"/>
    </row>
    <row r="104" spans="1:26" ht="14.4" hidden="1" outlineLevel="1" x14ac:dyDescent="0.3">
      <c r="A104" s="3"/>
      <c r="B104" s="109" t="s">
        <v>486</v>
      </c>
      <c r="C104" s="62">
        <v>5</v>
      </c>
      <c r="D104" s="62" t="s">
        <v>94</v>
      </c>
      <c r="E104" s="12">
        <v>70</v>
      </c>
      <c r="F104" s="12">
        <f>SUM(M104:U104)</f>
        <v>95</v>
      </c>
      <c r="G104" s="67"/>
      <c r="H104" s="63" t="s">
        <v>37</v>
      </c>
      <c r="I104" s="63"/>
      <c r="J104" s="64"/>
      <c r="K104" s="62"/>
      <c r="L104" s="62" t="str">
        <f t="shared" si="4"/>
        <v/>
      </c>
      <c r="M104" s="12">
        <f>33.43+25</f>
        <v>58.43</v>
      </c>
      <c r="N104" s="12">
        <v>24.57</v>
      </c>
      <c r="O104" s="12">
        <v>12</v>
      </c>
      <c r="P104" s="12">
        <v>0</v>
      </c>
      <c r="Q104" s="12"/>
      <c r="R104" s="12"/>
      <c r="S104" s="12"/>
      <c r="T104" s="12"/>
      <c r="U104" s="12"/>
      <c r="V104" s="62"/>
      <c r="W104" s="44" t="str">
        <f t="shared" si="2"/>
        <v>OK</v>
      </c>
      <c r="X104" s="47" t="str">
        <f t="shared" si="5"/>
        <v/>
      </c>
      <c r="Y104" s="3"/>
      <c r="Z104" s="3"/>
    </row>
    <row r="105" spans="1:26" ht="14.4" hidden="1" outlineLevel="1" x14ac:dyDescent="0.3">
      <c r="A105" s="3"/>
      <c r="B105" s="10"/>
      <c r="C105" s="62"/>
      <c r="D105" s="62"/>
      <c r="E105" s="12"/>
      <c r="F105" s="12"/>
      <c r="G105" s="67"/>
      <c r="H105" s="63"/>
      <c r="I105" s="63"/>
      <c r="J105" s="64"/>
      <c r="K105" s="62"/>
      <c r="L105" s="62" t="str">
        <f t="shared" si="4"/>
        <v/>
      </c>
      <c r="M105" s="12"/>
      <c r="N105" s="12"/>
      <c r="O105" s="12"/>
      <c r="P105" s="12"/>
      <c r="Q105" s="12"/>
      <c r="R105" s="12"/>
      <c r="S105" s="12"/>
      <c r="T105" s="12"/>
      <c r="U105" s="12"/>
      <c r="V105" s="62"/>
      <c r="W105" s="44" t="str">
        <f t="shared" si="2"/>
        <v>OK</v>
      </c>
      <c r="X105" s="47" t="str">
        <f t="shared" si="5"/>
        <v/>
      </c>
      <c r="Y105" s="3"/>
      <c r="Z105" s="3"/>
    </row>
    <row r="106" spans="1:26" ht="14.4" hidden="1" outlineLevel="1" x14ac:dyDescent="0.3">
      <c r="A106" s="3"/>
      <c r="B106" s="10"/>
      <c r="C106" s="62"/>
      <c r="D106" s="62"/>
      <c r="E106" s="12"/>
      <c r="F106" s="12"/>
      <c r="G106" s="67"/>
      <c r="H106" s="63"/>
      <c r="I106" s="63"/>
      <c r="J106" s="64"/>
      <c r="K106" s="62"/>
      <c r="L106" s="62" t="str">
        <f t="shared" si="4"/>
        <v/>
      </c>
      <c r="M106" s="12"/>
      <c r="N106" s="12"/>
      <c r="O106" s="12"/>
      <c r="P106" s="12"/>
      <c r="Q106" s="12"/>
      <c r="R106" s="12"/>
      <c r="S106" s="12"/>
      <c r="T106" s="12"/>
      <c r="U106" s="12"/>
      <c r="V106" s="62"/>
      <c r="W106" s="44" t="str">
        <f t="shared" si="2"/>
        <v>OK</v>
      </c>
      <c r="X106" s="47" t="str">
        <f t="shared" si="5"/>
        <v/>
      </c>
      <c r="Y106" s="3"/>
      <c r="Z106" s="3"/>
    </row>
    <row r="107" spans="1:26" ht="14.4" hidden="1" outlineLevel="1" x14ac:dyDescent="0.3">
      <c r="A107" s="3"/>
      <c r="B107" s="10"/>
      <c r="C107" s="62"/>
      <c r="D107" s="62"/>
      <c r="E107" s="12"/>
      <c r="F107" s="12"/>
      <c r="G107" s="67"/>
      <c r="H107" s="63"/>
      <c r="I107" s="63"/>
      <c r="J107" s="64" t="s">
        <v>96</v>
      </c>
      <c r="K107" s="62"/>
      <c r="L107" s="62" t="str">
        <f t="shared" si="4"/>
        <v/>
      </c>
      <c r="M107" s="12"/>
      <c r="N107" s="12"/>
      <c r="O107" s="12"/>
      <c r="P107" s="12"/>
      <c r="Q107" s="12"/>
      <c r="R107" s="12"/>
      <c r="S107" s="12"/>
      <c r="T107" s="12"/>
      <c r="U107" s="12"/>
      <c r="V107" s="62"/>
      <c r="W107" s="44" t="str">
        <f t="shared" si="2"/>
        <v>OK</v>
      </c>
      <c r="X107" s="47" t="str">
        <f t="shared" si="5"/>
        <v/>
      </c>
      <c r="Y107" s="3"/>
      <c r="Z107" s="3"/>
    </row>
    <row r="108" spans="1:26" ht="14.4" hidden="1" outlineLevel="1" x14ac:dyDescent="0.3">
      <c r="A108" s="3"/>
      <c r="B108" s="10"/>
      <c r="C108" s="62"/>
      <c r="D108" s="62"/>
      <c r="E108" s="12"/>
      <c r="F108" s="12"/>
      <c r="G108" s="67"/>
      <c r="H108" s="63"/>
      <c r="I108" s="63"/>
      <c r="J108" s="64" t="s">
        <v>96</v>
      </c>
      <c r="K108" s="62"/>
      <c r="L108" s="62" t="str">
        <f t="shared" si="4"/>
        <v/>
      </c>
      <c r="M108" s="12"/>
      <c r="N108" s="12"/>
      <c r="O108" s="12"/>
      <c r="P108" s="12"/>
      <c r="Q108" s="12"/>
      <c r="R108" s="12"/>
      <c r="S108" s="12"/>
      <c r="T108" s="12"/>
      <c r="U108" s="12"/>
      <c r="V108" s="62"/>
      <c r="W108" s="44" t="str">
        <f t="shared" si="2"/>
        <v>OK</v>
      </c>
      <c r="X108" s="47" t="str">
        <f t="shared" si="5"/>
        <v/>
      </c>
      <c r="Y108" s="3"/>
      <c r="Z108" s="3"/>
    </row>
    <row r="109" spans="1:26" ht="14.4" hidden="1" outlineLevel="1" x14ac:dyDescent="0.3">
      <c r="A109" s="3"/>
      <c r="B109" s="10"/>
      <c r="C109" s="62"/>
      <c r="D109" s="62"/>
      <c r="E109" s="12"/>
      <c r="F109" s="12"/>
      <c r="G109" s="67"/>
      <c r="H109" s="63"/>
      <c r="I109" s="63"/>
      <c r="J109" s="64" t="s">
        <v>96</v>
      </c>
      <c r="K109" s="62"/>
      <c r="L109" s="62" t="str">
        <f t="shared" si="4"/>
        <v/>
      </c>
      <c r="M109" s="12"/>
      <c r="N109" s="12"/>
      <c r="O109" s="12"/>
      <c r="P109" s="12"/>
      <c r="Q109" s="12"/>
      <c r="R109" s="12"/>
      <c r="S109" s="12"/>
      <c r="T109" s="12"/>
      <c r="U109" s="12"/>
      <c r="V109" s="62"/>
      <c r="W109" s="44" t="str">
        <f t="shared" si="2"/>
        <v>OK</v>
      </c>
      <c r="X109" s="47" t="str">
        <f t="shared" si="5"/>
        <v/>
      </c>
      <c r="Y109" s="3"/>
      <c r="Z109" s="3"/>
    </row>
    <row r="110" spans="1:26" ht="14.4" hidden="1" outlineLevel="1" x14ac:dyDescent="0.3">
      <c r="A110" s="3"/>
      <c r="B110" s="10"/>
      <c r="C110" s="62"/>
      <c r="D110" s="62"/>
      <c r="E110" s="12"/>
      <c r="F110" s="12"/>
      <c r="G110" s="67"/>
      <c r="H110" s="63"/>
      <c r="I110" s="63"/>
      <c r="J110" s="64" t="s">
        <v>96</v>
      </c>
      <c r="K110" s="62"/>
      <c r="L110" s="62" t="str">
        <f t="shared" si="4"/>
        <v/>
      </c>
      <c r="M110" s="12"/>
      <c r="N110" s="12"/>
      <c r="O110" s="12"/>
      <c r="P110" s="12"/>
      <c r="Q110" s="12"/>
      <c r="R110" s="12"/>
      <c r="S110" s="12"/>
      <c r="T110" s="12"/>
      <c r="U110" s="12"/>
      <c r="V110" s="62"/>
      <c r="W110" s="44" t="str">
        <f t="shared" si="2"/>
        <v>OK</v>
      </c>
      <c r="X110" s="47" t="str">
        <f t="shared" si="5"/>
        <v/>
      </c>
      <c r="Y110" s="3"/>
      <c r="Z110" s="3"/>
    </row>
    <row r="111" spans="1:26" ht="14.4" hidden="1" outlineLevel="1" x14ac:dyDescent="0.3">
      <c r="A111" s="3"/>
      <c r="B111" s="10"/>
      <c r="C111" s="62"/>
      <c r="D111" s="62"/>
      <c r="E111" s="12"/>
      <c r="F111" s="12"/>
      <c r="G111" s="67"/>
      <c r="H111" s="63"/>
      <c r="I111" s="63"/>
      <c r="J111" s="64" t="s">
        <v>96</v>
      </c>
      <c r="K111" s="62"/>
      <c r="L111" s="62" t="str">
        <f t="shared" si="4"/>
        <v/>
      </c>
      <c r="M111" s="12"/>
      <c r="N111" s="12"/>
      <c r="O111" s="12"/>
      <c r="P111" s="12"/>
      <c r="Q111" s="12"/>
      <c r="R111" s="12"/>
      <c r="S111" s="12"/>
      <c r="T111" s="12"/>
      <c r="U111" s="12"/>
      <c r="V111" s="62"/>
      <c r="W111" s="44" t="str">
        <f t="shared" si="2"/>
        <v>OK</v>
      </c>
      <c r="X111" s="47" t="str">
        <f t="shared" si="5"/>
        <v/>
      </c>
      <c r="Y111" s="3"/>
      <c r="Z111" s="3"/>
    </row>
    <row r="112" spans="1:26" ht="14.4" hidden="1" outlineLevel="1" x14ac:dyDescent="0.3">
      <c r="A112" s="3"/>
      <c r="B112" s="10"/>
      <c r="C112" s="62"/>
      <c r="D112" s="62"/>
      <c r="E112" s="12"/>
      <c r="F112" s="12"/>
      <c r="G112" s="67"/>
      <c r="H112" s="63"/>
      <c r="I112" s="63"/>
      <c r="J112" s="64" t="s">
        <v>96</v>
      </c>
      <c r="K112" s="62"/>
      <c r="L112" s="62" t="str">
        <f t="shared" si="4"/>
        <v/>
      </c>
      <c r="M112" s="12"/>
      <c r="N112" s="12"/>
      <c r="O112" s="12"/>
      <c r="P112" s="12"/>
      <c r="Q112" s="12"/>
      <c r="R112" s="12"/>
      <c r="S112" s="12"/>
      <c r="T112" s="12"/>
      <c r="U112" s="12"/>
      <c r="V112" s="62"/>
      <c r="W112" s="44" t="str">
        <f t="shared" si="2"/>
        <v>OK</v>
      </c>
      <c r="X112" s="47" t="str">
        <f t="shared" si="5"/>
        <v/>
      </c>
      <c r="Y112" s="3"/>
      <c r="Z112" s="3"/>
    </row>
    <row r="113" spans="1:26" ht="14.4" hidden="1" outlineLevel="1" x14ac:dyDescent="0.3">
      <c r="A113" s="3"/>
      <c r="B113" s="10"/>
      <c r="C113" s="62"/>
      <c r="D113" s="62"/>
      <c r="E113" s="12"/>
      <c r="F113" s="12"/>
      <c r="G113" s="67"/>
      <c r="H113" s="63"/>
      <c r="I113" s="63"/>
      <c r="J113" s="64" t="s">
        <v>96</v>
      </c>
      <c r="K113" s="62"/>
      <c r="L113" s="62" t="str">
        <f t="shared" si="4"/>
        <v/>
      </c>
      <c r="M113" s="12"/>
      <c r="N113" s="12"/>
      <c r="O113" s="12"/>
      <c r="P113" s="12"/>
      <c r="Q113" s="12"/>
      <c r="R113" s="12"/>
      <c r="S113" s="12"/>
      <c r="T113" s="12"/>
      <c r="U113" s="12"/>
      <c r="V113" s="62"/>
      <c r="W113" s="44" t="str">
        <f t="shared" si="2"/>
        <v>OK</v>
      </c>
      <c r="X113" s="47" t="str">
        <f t="shared" si="5"/>
        <v/>
      </c>
      <c r="Y113" s="3"/>
      <c r="Z113" s="3"/>
    </row>
    <row r="114" spans="1:26" ht="14.4" hidden="1" outlineLevel="1" x14ac:dyDescent="0.3">
      <c r="A114" s="3"/>
      <c r="B114" s="10"/>
      <c r="C114" s="62"/>
      <c r="D114" s="62"/>
      <c r="E114" s="12"/>
      <c r="F114" s="12"/>
      <c r="G114" s="67"/>
      <c r="H114" s="63"/>
      <c r="I114" s="63"/>
      <c r="J114" s="64" t="s">
        <v>96</v>
      </c>
      <c r="K114" s="62"/>
      <c r="L114" s="62" t="str">
        <f t="shared" si="4"/>
        <v/>
      </c>
      <c r="M114" s="12"/>
      <c r="N114" s="12"/>
      <c r="O114" s="12"/>
      <c r="P114" s="12"/>
      <c r="Q114" s="12"/>
      <c r="R114" s="12"/>
      <c r="S114" s="12"/>
      <c r="T114" s="12"/>
      <c r="U114" s="12"/>
      <c r="V114" s="62"/>
      <c r="W114" s="44" t="str">
        <f t="shared" si="2"/>
        <v>OK</v>
      </c>
      <c r="X114" s="47" t="str">
        <f t="shared" si="5"/>
        <v/>
      </c>
      <c r="Y114" s="3"/>
      <c r="Z114" s="3"/>
    </row>
    <row r="115" spans="1:26" ht="14.4" hidden="1" outlineLevel="1" x14ac:dyDescent="0.3">
      <c r="A115" s="3"/>
      <c r="B115" s="10"/>
      <c r="C115" s="62"/>
      <c r="D115" s="62"/>
      <c r="E115" s="12"/>
      <c r="F115" s="12"/>
      <c r="G115" s="67"/>
      <c r="H115" s="63"/>
      <c r="I115" s="63"/>
      <c r="J115" s="64" t="s">
        <v>96</v>
      </c>
      <c r="K115" s="62"/>
      <c r="L115" s="62" t="str">
        <f t="shared" si="4"/>
        <v/>
      </c>
      <c r="M115" s="12"/>
      <c r="N115" s="12"/>
      <c r="O115" s="12"/>
      <c r="P115" s="12"/>
      <c r="Q115" s="12"/>
      <c r="R115" s="12"/>
      <c r="S115" s="12"/>
      <c r="T115" s="12"/>
      <c r="U115" s="12"/>
      <c r="V115" s="62"/>
      <c r="W115" s="44" t="str">
        <f t="shared" si="2"/>
        <v>OK</v>
      </c>
      <c r="X115" s="47" t="str">
        <f t="shared" si="5"/>
        <v/>
      </c>
      <c r="Y115" s="3"/>
      <c r="Z115" s="3"/>
    </row>
    <row r="116" spans="1:26" ht="14.4" hidden="1" outlineLevel="1" x14ac:dyDescent="0.3">
      <c r="A116" s="3"/>
      <c r="B116" s="10"/>
      <c r="C116" s="62"/>
      <c r="D116" s="62"/>
      <c r="E116" s="12"/>
      <c r="F116" s="12"/>
      <c r="G116" s="67"/>
      <c r="H116" s="63"/>
      <c r="I116" s="63"/>
      <c r="J116" s="64" t="s">
        <v>96</v>
      </c>
      <c r="K116" s="62"/>
      <c r="L116" s="62" t="str">
        <f t="shared" si="4"/>
        <v/>
      </c>
      <c r="M116" s="12"/>
      <c r="N116" s="12"/>
      <c r="O116" s="12"/>
      <c r="P116" s="12"/>
      <c r="Q116" s="12"/>
      <c r="R116" s="12"/>
      <c r="S116" s="12"/>
      <c r="T116" s="12"/>
      <c r="U116" s="12"/>
      <c r="V116" s="62"/>
      <c r="W116" s="44" t="str">
        <f t="shared" si="2"/>
        <v>OK</v>
      </c>
      <c r="X116" s="47" t="str">
        <f t="shared" si="5"/>
        <v/>
      </c>
      <c r="Y116" s="3"/>
      <c r="Z116" s="3"/>
    </row>
    <row r="117" spans="1:26" ht="14.4" hidden="1" outlineLevel="1" x14ac:dyDescent="0.3">
      <c r="A117" s="3"/>
      <c r="B117" s="10"/>
      <c r="C117" s="62"/>
      <c r="D117" s="62"/>
      <c r="E117" s="12"/>
      <c r="F117" s="12"/>
      <c r="G117" s="67"/>
      <c r="H117" s="63"/>
      <c r="I117" s="63"/>
      <c r="J117" s="64" t="s">
        <v>96</v>
      </c>
      <c r="K117" s="62"/>
      <c r="L117" s="62" t="str">
        <f t="shared" si="4"/>
        <v/>
      </c>
      <c r="M117" s="12"/>
      <c r="N117" s="12"/>
      <c r="O117" s="12"/>
      <c r="P117" s="12"/>
      <c r="Q117" s="12"/>
      <c r="R117" s="12"/>
      <c r="S117" s="12"/>
      <c r="T117" s="12"/>
      <c r="U117" s="12"/>
      <c r="V117" s="62"/>
      <c r="W117" s="44" t="str">
        <f t="shared" si="2"/>
        <v>OK</v>
      </c>
      <c r="X117" s="47" t="str">
        <f t="shared" si="5"/>
        <v/>
      </c>
      <c r="Y117" s="3"/>
      <c r="Z117" s="3"/>
    </row>
    <row r="118" spans="1:26" ht="14.4" hidden="1" outlineLevel="1" x14ac:dyDescent="0.3">
      <c r="A118" s="3"/>
      <c r="B118" s="10"/>
      <c r="C118" s="62"/>
      <c r="D118" s="62"/>
      <c r="E118" s="12"/>
      <c r="F118" s="12"/>
      <c r="G118" s="67"/>
      <c r="H118" s="63"/>
      <c r="I118" s="63"/>
      <c r="J118" s="64" t="s">
        <v>96</v>
      </c>
      <c r="K118" s="62"/>
      <c r="L118" s="62" t="str">
        <f t="shared" si="4"/>
        <v/>
      </c>
      <c r="M118" s="12"/>
      <c r="N118" s="12"/>
      <c r="O118" s="12"/>
      <c r="P118" s="12"/>
      <c r="Q118" s="12"/>
      <c r="R118" s="12"/>
      <c r="S118" s="12"/>
      <c r="T118" s="12"/>
      <c r="U118" s="12"/>
      <c r="V118" s="62"/>
      <c r="W118" s="44" t="str">
        <f t="shared" si="2"/>
        <v>OK</v>
      </c>
      <c r="X118" s="47" t="str">
        <f t="shared" si="5"/>
        <v/>
      </c>
      <c r="Y118" s="3"/>
      <c r="Z118" s="3"/>
    </row>
    <row r="119" spans="1:26" ht="14.4" hidden="1" outlineLevel="1" x14ac:dyDescent="0.3">
      <c r="A119" s="3"/>
      <c r="B119" s="10"/>
      <c r="C119" s="62"/>
      <c r="D119" s="62"/>
      <c r="E119" s="12"/>
      <c r="F119" s="12"/>
      <c r="G119" s="67"/>
      <c r="H119" s="63"/>
      <c r="I119" s="63"/>
      <c r="J119" s="64"/>
      <c r="K119" s="62"/>
      <c r="L119" s="62" t="str">
        <f t="shared" si="4"/>
        <v/>
      </c>
      <c r="M119" s="12"/>
      <c r="N119" s="12"/>
      <c r="O119" s="12"/>
      <c r="P119" s="12"/>
      <c r="Q119" s="12"/>
      <c r="R119" s="12"/>
      <c r="S119" s="12"/>
      <c r="T119" s="12"/>
      <c r="U119" s="12"/>
      <c r="V119" s="62"/>
      <c r="W119" s="44" t="str">
        <f t="shared" si="2"/>
        <v>OK</v>
      </c>
      <c r="X119" s="47" t="str">
        <f t="shared" si="5"/>
        <v/>
      </c>
      <c r="Y119" s="3"/>
      <c r="Z119" s="3"/>
    </row>
    <row r="120" spans="1:26" ht="14.4" hidden="1" outlineLevel="1" x14ac:dyDescent="0.3">
      <c r="A120" s="3"/>
      <c r="B120" s="10"/>
      <c r="C120" s="62"/>
      <c r="D120" s="62"/>
      <c r="E120" s="12"/>
      <c r="F120" s="12"/>
      <c r="G120" s="67"/>
      <c r="H120" s="63"/>
      <c r="I120" s="63"/>
      <c r="J120" s="64"/>
      <c r="K120" s="62"/>
      <c r="L120" s="62" t="str">
        <f t="shared" si="4"/>
        <v/>
      </c>
      <c r="M120" s="12"/>
      <c r="N120" s="12"/>
      <c r="O120" s="12"/>
      <c r="P120" s="12"/>
      <c r="Q120" s="12"/>
      <c r="R120" s="12"/>
      <c r="S120" s="12"/>
      <c r="T120" s="12"/>
      <c r="U120" s="12"/>
      <c r="V120" s="62"/>
      <c r="W120" s="44" t="str">
        <f t="shared" si="2"/>
        <v>OK</v>
      </c>
      <c r="X120" s="47" t="str">
        <f t="shared" si="5"/>
        <v/>
      </c>
      <c r="Y120" s="3"/>
      <c r="Z120" s="3"/>
    </row>
    <row r="121" spans="1:26" ht="14.4" hidden="1" outlineLevel="1" x14ac:dyDescent="0.3">
      <c r="A121" s="3"/>
      <c r="B121" s="10"/>
      <c r="C121" s="62"/>
      <c r="D121" s="62"/>
      <c r="E121" s="12"/>
      <c r="F121" s="12"/>
      <c r="G121" s="67"/>
      <c r="H121" s="63"/>
      <c r="I121" s="63"/>
      <c r="J121" s="64"/>
      <c r="K121" s="62"/>
      <c r="L121" s="62" t="str">
        <f t="shared" si="4"/>
        <v/>
      </c>
      <c r="M121" s="12"/>
      <c r="N121" s="12"/>
      <c r="O121" s="12"/>
      <c r="P121" s="12"/>
      <c r="Q121" s="12"/>
      <c r="R121" s="12"/>
      <c r="S121" s="12"/>
      <c r="T121" s="12"/>
      <c r="U121" s="12"/>
      <c r="V121" s="62"/>
      <c r="W121" s="44" t="str">
        <f t="shared" si="2"/>
        <v>OK</v>
      </c>
      <c r="X121" s="47" t="str">
        <f t="shared" si="5"/>
        <v/>
      </c>
      <c r="Y121" s="3"/>
      <c r="Z121" s="3"/>
    </row>
    <row r="122" spans="1:26" ht="14.4" hidden="1" outlineLevel="1" x14ac:dyDescent="0.3">
      <c r="A122" s="3"/>
      <c r="B122" s="10"/>
      <c r="C122" s="62"/>
      <c r="D122" s="62"/>
      <c r="E122" s="12"/>
      <c r="F122" s="12"/>
      <c r="G122" s="67"/>
      <c r="H122" s="63"/>
      <c r="I122" s="63"/>
      <c r="J122" s="64"/>
      <c r="K122" s="62"/>
      <c r="L122" s="62" t="str">
        <f t="shared" si="4"/>
        <v/>
      </c>
      <c r="M122" s="12"/>
      <c r="N122" s="12"/>
      <c r="O122" s="12"/>
      <c r="P122" s="12"/>
      <c r="Q122" s="12"/>
      <c r="R122" s="12"/>
      <c r="S122" s="12"/>
      <c r="T122" s="12"/>
      <c r="U122" s="12"/>
      <c r="V122" s="62"/>
      <c r="W122" s="44" t="str">
        <f t="shared" si="2"/>
        <v>OK</v>
      </c>
      <c r="X122" s="47" t="str">
        <f t="shared" si="5"/>
        <v/>
      </c>
      <c r="Y122" s="3"/>
      <c r="Z122" s="3"/>
    </row>
    <row r="123" spans="1:26" ht="14.4" hidden="1" outlineLevel="1" x14ac:dyDescent="0.3">
      <c r="A123" s="3"/>
      <c r="B123" s="10"/>
      <c r="C123" s="62"/>
      <c r="D123" s="62"/>
      <c r="E123" s="12"/>
      <c r="F123" s="12"/>
      <c r="G123" s="67"/>
      <c r="H123" s="63"/>
      <c r="I123" s="63"/>
      <c r="J123" s="64"/>
      <c r="K123" s="62"/>
      <c r="L123" s="62" t="str">
        <f t="shared" si="4"/>
        <v/>
      </c>
      <c r="M123" s="12"/>
      <c r="N123" s="12"/>
      <c r="O123" s="12"/>
      <c r="P123" s="12"/>
      <c r="Q123" s="12"/>
      <c r="R123" s="12"/>
      <c r="S123" s="12"/>
      <c r="T123" s="12"/>
      <c r="U123" s="12"/>
      <c r="V123" s="62"/>
      <c r="W123" s="44" t="str">
        <f t="shared" si="2"/>
        <v>OK</v>
      </c>
      <c r="X123" s="47" t="str">
        <f t="shared" si="5"/>
        <v/>
      </c>
      <c r="Y123" s="3"/>
      <c r="Z123" s="3"/>
    </row>
    <row r="124" spans="1:26" ht="14.4" hidden="1" outlineLevel="1" x14ac:dyDescent="0.3">
      <c r="A124" s="3"/>
      <c r="B124" s="10"/>
      <c r="C124" s="62"/>
      <c r="D124" s="62"/>
      <c r="E124" s="12"/>
      <c r="F124" s="12"/>
      <c r="G124" s="67"/>
      <c r="H124" s="63"/>
      <c r="I124" s="63"/>
      <c r="J124" s="64"/>
      <c r="K124" s="62"/>
      <c r="L124" s="62" t="str">
        <f t="shared" si="4"/>
        <v/>
      </c>
      <c r="M124" s="12"/>
      <c r="N124" s="12"/>
      <c r="O124" s="12"/>
      <c r="P124" s="12"/>
      <c r="Q124" s="12"/>
      <c r="R124" s="12"/>
      <c r="S124" s="12"/>
      <c r="T124" s="12"/>
      <c r="U124" s="12"/>
      <c r="V124" s="62"/>
      <c r="W124" s="44" t="str">
        <f t="shared" si="2"/>
        <v>OK</v>
      </c>
      <c r="X124" s="47" t="str">
        <f t="shared" si="5"/>
        <v/>
      </c>
      <c r="Y124" s="3"/>
      <c r="Z124" s="3"/>
    </row>
    <row r="125" spans="1:26" ht="14.4" hidden="1" outlineLevel="1" x14ac:dyDescent="0.3">
      <c r="A125" s="3"/>
      <c r="B125" s="10"/>
      <c r="C125" s="62"/>
      <c r="D125" s="62"/>
      <c r="E125" s="12"/>
      <c r="F125" s="12"/>
      <c r="G125" s="67"/>
      <c r="H125" s="63"/>
      <c r="I125" s="63"/>
      <c r="J125" s="64"/>
      <c r="K125" s="62"/>
      <c r="L125" s="62" t="str">
        <f t="shared" si="4"/>
        <v/>
      </c>
      <c r="M125" s="12"/>
      <c r="N125" s="12"/>
      <c r="O125" s="12"/>
      <c r="P125" s="12"/>
      <c r="Q125" s="12"/>
      <c r="R125" s="12"/>
      <c r="S125" s="12"/>
      <c r="T125" s="12"/>
      <c r="U125" s="12"/>
      <c r="V125" s="62"/>
      <c r="W125" s="44" t="str">
        <f t="shared" si="2"/>
        <v>OK</v>
      </c>
      <c r="X125" s="47" t="str">
        <f t="shared" si="5"/>
        <v/>
      </c>
      <c r="Y125" s="3"/>
      <c r="Z125" s="3"/>
    </row>
    <row r="126" spans="1:26" ht="20.399999999999999" collapsed="1" x14ac:dyDescent="0.3">
      <c r="A126" s="3"/>
      <c r="B126" s="73" t="s">
        <v>62</v>
      </c>
      <c r="C126" s="56" t="s">
        <v>43</v>
      </c>
      <c r="D126" s="56" t="s">
        <v>43</v>
      </c>
      <c r="E126" s="57">
        <f t="shared" ref="E126:F126" si="49">SUM(E127,E130,,E134,E139,E146)</f>
        <v>0</v>
      </c>
      <c r="F126" s="57">
        <f t="shared" si="49"/>
        <v>26966.410000000003</v>
      </c>
      <c r="G126" s="58" t="s">
        <v>43</v>
      </c>
      <c r="H126" s="74"/>
      <c r="I126" s="74"/>
      <c r="J126" s="3"/>
      <c r="K126" s="3"/>
      <c r="L126" s="3"/>
      <c r="M126" s="3"/>
      <c r="N126" s="3"/>
      <c r="O126" s="3"/>
      <c r="P126" s="3"/>
      <c r="Q126" s="3"/>
      <c r="R126" s="3"/>
      <c r="S126" s="3"/>
      <c r="T126" s="3"/>
      <c r="U126" s="3"/>
      <c r="V126" s="3"/>
      <c r="W126" s="44"/>
      <c r="X126" s="41"/>
      <c r="Y126" s="3"/>
      <c r="Z126" s="3"/>
    </row>
    <row r="127" spans="1:26" hidden="1" outlineLevel="1" x14ac:dyDescent="0.3">
      <c r="A127" s="3"/>
      <c r="B127" s="75" t="s">
        <v>230</v>
      </c>
      <c r="C127" s="76" t="s">
        <v>43</v>
      </c>
      <c r="D127" s="76" t="s">
        <v>43</v>
      </c>
      <c r="E127" s="77">
        <f>SUM(E128:E129)</f>
        <v>0</v>
      </c>
      <c r="F127" s="77">
        <f>SUMIF(D128:D129,"OK",F128:F129)</f>
        <v>367.82</v>
      </c>
      <c r="G127" s="78" t="s">
        <v>43</v>
      </c>
      <c r="H127" s="79"/>
      <c r="I127" s="79"/>
      <c r="J127" s="3"/>
      <c r="K127" s="3"/>
      <c r="L127" s="3"/>
      <c r="M127" s="3"/>
      <c r="N127" s="3"/>
      <c r="O127" s="3"/>
      <c r="P127" s="3"/>
      <c r="Q127" s="3"/>
      <c r="R127" s="3"/>
      <c r="S127" s="3"/>
      <c r="T127" s="3"/>
      <c r="U127" s="3"/>
      <c r="V127" s="3"/>
      <c r="W127" s="44"/>
      <c r="X127" s="41"/>
      <c r="Y127" s="3"/>
      <c r="Z127" s="3"/>
    </row>
    <row r="128" spans="1:26" ht="14.4" hidden="1" outlineLevel="1" x14ac:dyDescent="0.3">
      <c r="A128" s="3"/>
      <c r="B128" s="10" t="s">
        <v>231</v>
      </c>
      <c r="C128" s="62">
        <v>9</v>
      </c>
      <c r="D128" s="62" t="s">
        <v>94</v>
      </c>
      <c r="E128" s="12">
        <v>0</v>
      </c>
      <c r="F128" s="12">
        <v>367.82</v>
      </c>
      <c r="G128" s="67"/>
      <c r="H128" s="63" t="s">
        <v>37</v>
      </c>
      <c r="I128" s="63"/>
      <c r="J128" s="3"/>
      <c r="K128" s="3"/>
      <c r="L128" s="3"/>
      <c r="M128" s="3"/>
      <c r="N128" s="3"/>
      <c r="O128" s="3"/>
      <c r="P128" s="3"/>
      <c r="Q128" s="3"/>
      <c r="R128" s="3"/>
      <c r="S128" s="3"/>
      <c r="T128" s="3"/>
      <c r="U128" s="3"/>
      <c r="V128" s="3"/>
      <c r="W128" s="44"/>
      <c r="X128" s="41"/>
      <c r="Y128" s="3"/>
      <c r="Z128" s="3"/>
    </row>
    <row r="129" spans="1:26" ht="14.4" hidden="1" outlineLevel="1" x14ac:dyDescent="0.3">
      <c r="A129" s="3"/>
      <c r="B129" s="10" t="s">
        <v>61</v>
      </c>
      <c r="C129" s="62"/>
      <c r="D129" s="62"/>
      <c r="E129" s="12">
        <v>0</v>
      </c>
      <c r="F129" s="12">
        <v>0</v>
      </c>
      <c r="G129" s="67"/>
      <c r="H129" s="63"/>
      <c r="I129" s="63"/>
      <c r="J129" s="3"/>
      <c r="K129" s="3"/>
      <c r="L129" s="3"/>
      <c r="M129" s="3"/>
      <c r="N129" s="3"/>
      <c r="O129" s="3"/>
      <c r="P129" s="3"/>
      <c r="Q129" s="3"/>
      <c r="R129" s="3"/>
      <c r="S129" s="3"/>
      <c r="T129" s="3"/>
      <c r="U129" s="3"/>
      <c r="V129" s="3"/>
      <c r="W129" s="44"/>
      <c r="X129" s="41"/>
      <c r="Y129" s="3"/>
      <c r="Z129" s="3"/>
    </row>
    <row r="130" spans="1:26" hidden="1" outlineLevel="1" x14ac:dyDescent="0.3">
      <c r="A130" s="3"/>
      <c r="B130" s="75" t="s">
        <v>232</v>
      </c>
      <c r="C130" s="76" t="s">
        <v>43</v>
      </c>
      <c r="D130" s="76" t="s">
        <v>43</v>
      </c>
      <c r="E130" s="77">
        <f>SUM(E131:E133)</f>
        <v>0</v>
      </c>
      <c r="F130" s="77">
        <f>SUMIF(D131:D133,"OK",F131:F133)</f>
        <v>1305.1500000000001</v>
      </c>
      <c r="G130" s="78" t="s">
        <v>43</v>
      </c>
      <c r="H130" s="79"/>
      <c r="I130" s="79"/>
      <c r="J130" s="3"/>
      <c r="K130" s="3"/>
      <c r="L130" s="3"/>
      <c r="M130" s="3"/>
      <c r="N130" s="3"/>
      <c r="O130" s="3"/>
      <c r="P130" s="3"/>
      <c r="Q130" s="3"/>
      <c r="R130" s="3"/>
      <c r="S130" s="3"/>
      <c r="T130" s="3"/>
      <c r="U130" s="3"/>
      <c r="V130" s="3"/>
      <c r="W130" s="44"/>
      <c r="X130" s="41"/>
      <c r="Y130" s="3"/>
      <c r="Z130" s="3"/>
    </row>
    <row r="131" spans="1:26" ht="14.4" hidden="1" outlineLevel="1" x14ac:dyDescent="0.3">
      <c r="A131" s="3"/>
      <c r="B131" s="10" t="s">
        <v>715</v>
      </c>
      <c r="C131" s="62"/>
      <c r="D131" s="62"/>
      <c r="E131" s="12">
        <v>0</v>
      </c>
      <c r="F131" s="12">
        <v>0</v>
      </c>
      <c r="G131" s="69"/>
      <c r="H131" s="63"/>
      <c r="I131" s="63"/>
      <c r="J131" s="3"/>
      <c r="K131" s="3"/>
      <c r="L131" s="3"/>
      <c r="M131" s="3"/>
      <c r="N131" s="3"/>
      <c r="O131" s="3"/>
      <c r="P131" s="3"/>
      <c r="Q131" s="3"/>
      <c r="R131" s="3"/>
      <c r="S131" s="3"/>
      <c r="T131" s="3"/>
      <c r="U131" s="3"/>
      <c r="V131" s="3"/>
      <c r="W131" s="44"/>
      <c r="X131" s="41"/>
      <c r="Y131" s="3"/>
      <c r="Z131" s="3"/>
    </row>
    <row r="132" spans="1:26" ht="14.4" hidden="1" outlineLevel="1" x14ac:dyDescent="0.3">
      <c r="A132" s="3"/>
      <c r="B132" s="10" t="s">
        <v>529</v>
      </c>
      <c r="C132" s="62" t="s">
        <v>713</v>
      </c>
      <c r="D132" s="62" t="s">
        <v>94</v>
      </c>
      <c r="E132" s="12">
        <v>0</v>
      </c>
      <c r="F132" s="12">
        <v>1274.9000000000001</v>
      </c>
      <c r="G132" s="70"/>
      <c r="H132" s="63" t="s">
        <v>39</v>
      </c>
      <c r="I132" s="63"/>
      <c r="J132" s="3"/>
      <c r="K132" s="3"/>
      <c r="L132" s="3"/>
      <c r="M132" s="3"/>
      <c r="N132" s="3"/>
      <c r="O132" s="3"/>
      <c r="P132" s="3"/>
      <c r="Q132" s="3"/>
      <c r="R132" s="3"/>
      <c r="S132" s="3"/>
      <c r="T132" s="3"/>
      <c r="U132" s="3"/>
      <c r="V132" s="3"/>
      <c r="W132" s="44"/>
      <c r="X132" s="41"/>
      <c r="Y132" s="3"/>
      <c r="Z132" s="3"/>
    </row>
    <row r="133" spans="1:26" ht="14.4" hidden="1" outlineLevel="1" x14ac:dyDescent="0.3">
      <c r="A133" s="3"/>
      <c r="B133" s="10" t="s">
        <v>532</v>
      </c>
      <c r="C133" s="62">
        <v>8</v>
      </c>
      <c r="D133" s="62" t="s">
        <v>94</v>
      </c>
      <c r="E133" s="12">
        <v>0</v>
      </c>
      <c r="F133" s="12">
        <f>18.75+11.5</f>
        <v>30.25</v>
      </c>
      <c r="G133" s="69"/>
      <c r="H133" s="63" t="s">
        <v>38</v>
      </c>
      <c r="I133" s="63"/>
      <c r="J133" s="3"/>
      <c r="K133" s="3"/>
      <c r="L133" s="3"/>
      <c r="M133" s="3"/>
      <c r="N133" s="3"/>
      <c r="O133" s="3"/>
      <c r="P133" s="3"/>
      <c r="Q133" s="3"/>
      <c r="R133" s="3"/>
      <c r="S133" s="3"/>
      <c r="T133" s="3"/>
      <c r="U133" s="3"/>
      <c r="V133" s="3"/>
      <c r="W133" s="44"/>
      <c r="X133" s="41"/>
      <c r="Y133" s="3"/>
      <c r="Z133" s="3"/>
    </row>
    <row r="134" spans="1:26" hidden="1" outlineLevel="1" x14ac:dyDescent="0.3">
      <c r="A134" s="3"/>
      <c r="B134" s="75" t="s">
        <v>651</v>
      </c>
      <c r="C134" s="76" t="s">
        <v>43</v>
      </c>
      <c r="D134" s="76" t="s">
        <v>43</v>
      </c>
      <c r="E134" s="77">
        <f>SUM(E135:E137)</f>
        <v>0</v>
      </c>
      <c r="F134" s="77">
        <f>SUMIF(D135:D138,"OK",F135:F138)</f>
        <v>0</v>
      </c>
      <c r="G134" s="78" t="s">
        <v>43</v>
      </c>
      <c r="H134" s="79"/>
      <c r="I134" s="79"/>
      <c r="J134" s="3"/>
      <c r="K134" s="3"/>
      <c r="L134" s="3"/>
      <c r="M134" s="3"/>
      <c r="N134" s="3"/>
      <c r="O134" s="3"/>
      <c r="P134" s="3"/>
      <c r="Q134" s="3"/>
      <c r="R134" s="3"/>
      <c r="S134" s="3"/>
      <c r="T134" s="3"/>
      <c r="U134" s="3"/>
      <c r="V134" s="3"/>
      <c r="W134" s="44"/>
      <c r="X134" s="41"/>
      <c r="Y134" s="3"/>
      <c r="Z134" s="3"/>
    </row>
    <row r="135" spans="1:26" ht="14.4" hidden="1" outlineLevel="1" x14ac:dyDescent="0.3">
      <c r="A135" s="3"/>
      <c r="B135" s="10" t="s">
        <v>715</v>
      </c>
      <c r="C135" s="62"/>
      <c r="D135" s="62"/>
      <c r="E135" s="12">
        <v>0</v>
      </c>
      <c r="F135" s="12">
        <v>0</v>
      </c>
      <c r="G135" s="69"/>
      <c r="H135" s="63"/>
      <c r="I135" s="63"/>
      <c r="J135" s="3"/>
      <c r="K135" s="3"/>
      <c r="L135" s="3"/>
      <c r="M135" s="3"/>
      <c r="N135" s="3"/>
      <c r="O135" s="3"/>
      <c r="P135" s="3"/>
      <c r="Q135" s="3"/>
      <c r="R135" s="3"/>
      <c r="S135" s="3"/>
      <c r="T135" s="3"/>
      <c r="U135" s="3"/>
      <c r="V135" s="3"/>
      <c r="W135" s="44"/>
      <c r="X135" s="41"/>
      <c r="Y135" s="3"/>
      <c r="Z135" s="3"/>
    </row>
    <row r="136" spans="1:26" ht="14.4" hidden="1" outlineLevel="1" x14ac:dyDescent="0.3">
      <c r="A136" s="3"/>
      <c r="B136" s="10" t="s">
        <v>531</v>
      </c>
      <c r="C136" s="62"/>
      <c r="D136" s="62"/>
      <c r="E136" s="12">
        <v>0</v>
      </c>
      <c r="F136" s="12">
        <v>0</v>
      </c>
      <c r="G136" s="70"/>
      <c r="H136" s="63"/>
      <c r="I136" s="63"/>
      <c r="J136" s="3"/>
      <c r="K136" s="3"/>
      <c r="L136" s="3"/>
      <c r="M136" s="3"/>
      <c r="N136" s="3"/>
      <c r="O136" s="3"/>
      <c r="P136" s="3"/>
      <c r="Q136" s="3"/>
      <c r="R136" s="3"/>
      <c r="S136" s="3"/>
      <c r="T136" s="3"/>
      <c r="U136" s="3"/>
      <c r="V136" s="3"/>
      <c r="W136" s="44"/>
      <c r="X136" s="41"/>
      <c r="Y136" s="3"/>
      <c r="Z136" s="3"/>
    </row>
    <row r="137" spans="1:26" ht="14.4" hidden="1" outlineLevel="1" x14ac:dyDescent="0.3">
      <c r="A137" s="3"/>
      <c r="B137" s="10" t="s">
        <v>532</v>
      </c>
      <c r="C137" s="62"/>
      <c r="D137" s="62"/>
      <c r="E137" s="12">
        <v>0</v>
      </c>
      <c r="F137" s="12">
        <v>0</v>
      </c>
      <c r="G137" s="69"/>
      <c r="H137" s="63"/>
      <c r="I137" s="63"/>
      <c r="J137" s="3"/>
      <c r="K137" s="3"/>
      <c r="L137" s="3"/>
      <c r="M137" s="3"/>
      <c r="N137" s="3"/>
      <c r="O137" s="3"/>
      <c r="P137" s="3"/>
      <c r="Q137" s="3"/>
      <c r="R137" s="3"/>
      <c r="S137" s="3"/>
      <c r="T137" s="3"/>
      <c r="U137" s="3"/>
      <c r="V137" s="3"/>
      <c r="W137" s="44"/>
      <c r="X137" s="41"/>
      <c r="Y137" s="3"/>
      <c r="Z137" s="3"/>
    </row>
    <row r="138" spans="1:26" ht="14.4" hidden="1" outlineLevel="1" x14ac:dyDescent="0.3">
      <c r="A138" s="3"/>
      <c r="B138" s="10" t="s">
        <v>529</v>
      </c>
      <c r="C138" s="62"/>
      <c r="D138" s="62"/>
      <c r="E138" s="12">
        <v>0</v>
      </c>
      <c r="F138" s="12">
        <v>0</v>
      </c>
      <c r="G138" s="69"/>
      <c r="H138" s="63"/>
      <c r="I138" s="63"/>
      <c r="J138" s="3"/>
      <c r="K138" s="3"/>
      <c r="L138" s="3"/>
      <c r="M138" s="3"/>
      <c r="N138" s="3"/>
      <c r="O138" s="3"/>
      <c r="P138" s="3"/>
      <c r="Q138" s="3"/>
      <c r="R138" s="3"/>
      <c r="S138" s="3"/>
      <c r="T138" s="3"/>
      <c r="U138" s="3"/>
      <c r="V138" s="3"/>
      <c r="W138" s="44"/>
      <c r="X138" s="41"/>
      <c r="Y138" s="3"/>
      <c r="Z138" s="3"/>
    </row>
    <row r="139" spans="1:26" hidden="1" outlineLevel="1" x14ac:dyDescent="0.3">
      <c r="A139" s="3"/>
      <c r="B139" s="75" t="s">
        <v>901</v>
      </c>
      <c r="C139" s="76" t="s">
        <v>43</v>
      </c>
      <c r="D139" s="76" t="s">
        <v>43</v>
      </c>
      <c r="E139" s="77">
        <f>SUM(E140:E145)</f>
        <v>0</v>
      </c>
      <c r="F139" s="77">
        <f>SUMIF(D140:D145,"OK",F140:F145)</f>
        <v>160</v>
      </c>
      <c r="G139" s="78" t="s">
        <v>43</v>
      </c>
      <c r="H139" s="79"/>
      <c r="I139" s="79"/>
      <c r="J139" s="3"/>
      <c r="K139" s="3"/>
      <c r="L139" s="3"/>
      <c r="M139" s="3"/>
      <c r="N139" s="3"/>
      <c r="O139" s="3"/>
      <c r="P139" s="3"/>
      <c r="Q139" s="3"/>
      <c r="R139" s="3"/>
      <c r="S139" s="3"/>
      <c r="T139" s="3"/>
      <c r="U139" s="3"/>
      <c r="V139" s="3"/>
      <c r="W139" s="44"/>
      <c r="X139" s="41"/>
      <c r="Y139" s="3"/>
      <c r="Z139" s="3"/>
    </row>
    <row r="140" spans="1:26" ht="14.4" hidden="1" outlineLevel="1" x14ac:dyDescent="0.3">
      <c r="A140" s="3"/>
      <c r="B140" s="10" t="s">
        <v>1161</v>
      </c>
      <c r="C140" s="62"/>
      <c r="D140" s="62"/>
      <c r="E140" s="12">
        <v>0</v>
      </c>
      <c r="F140" s="12">
        <v>0</v>
      </c>
      <c r="G140" s="67"/>
      <c r="H140" s="63"/>
      <c r="I140" s="63"/>
      <c r="J140" s="3"/>
      <c r="K140" s="3"/>
      <c r="L140" s="3"/>
      <c r="M140" s="3"/>
      <c r="N140" s="3"/>
      <c r="O140" s="3"/>
      <c r="P140" s="3"/>
      <c r="Q140" s="3"/>
      <c r="R140" s="3"/>
      <c r="S140" s="3"/>
      <c r="T140" s="3"/>
      <c r="U140" s="3"/>
      <c r="V140" s="3"/>
      <c r="W140" s="44"/>
      <c r="X140" s="41"/>
      <c r="Y140" s="3"/>
      <c r="Z140" s="3"/>
    </row>
    <row r="141" spans="1:26" ht="14.4" hidden="1" outlineLevel="1" x14ac:dyDescent="0.3">
      <c r="A141" s="3"/>
      <c r="B141" s="10" t="s">
        <v>532</v>
      </c>
      <c r="C141" s="62">
        <v>3</v>
      </c>
      <c r="D141" s="62" t="s">
        <v>94</v>
      </c>
      <c r="E141" s="12">
        <v>0</v>
      </c>
      <c r="F141" s="12">
        <v>160</v>
      </c>
      <c r="G141" s="70" t="s">
        <v>1319</v>
      </c>
      <c r="H141" s="63" t="s">
        <v>38</v>
      </c>
      <c r="I141" s="63"/>
      <c r="J141" s="3"/>
      <c r="K141" s="3"/>
      <c r="L141" s="3"/>
      <c r="M141" s="3"/>
      <c r="N141" s="3"/>
      <c r="O141" s="3"/>
      <c r="P141" s="3"/>
      <c r="Q141" s="3"/>
      <c r="R141" s="3"/>
      <c r="S141" s="3"/>
      <c r="T141" s="3"/>
      <c r="U141" s="3"/>
      <c r="V141" s="3"/>
      <c r="W141" s="44"/>
      <c r="X141" s="41"/>
      <c r="Y141" s="3"/>
      <c r="Z141" s="3"/>
    </row>
    <row r="142" spans="1:26" ht="14.4" hidden="1" outlineLevel="1" x14ac:dyDescent="0.3">
      <c r="A142" s="3"/>
      <c r="B142" s="10" t="s">
        <v>42</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row>
    <row r="143" spans="1:26" ht="14.4" hidden="1" outlineLevel="1" x14ac:dyDescent="0.3">
      <c r="A143" s="3"/>
      <c r="B143" s="10" t="s">
        <v>42</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4.4" hidden="1" outlineLevel="1" x14ac:dyDescent="0.3">
      <c r="A144" s="3"/>
      <c r="B144" s="10" t="s">
        <v>42</v>
      </c>
      <c r="C144" s="62"/>
      <c r="D144" s="62"/>
      <c r="E144" s="12">
        <v>0</v>
      </c>
      <c r="F144" s="12">
        <v>0</v>
      </c>
      <c r="G144" s="67"/>
      <c r="H144" s="63"/>
      <c r="I144" s="63"/>
      <c r="J144" s="3"/>
      <c r="K144" s="3"/>
      <c r="L144" s="3"/>
      <c r="M144" s="3"/>
      <c r="N144" s="3"/>
      <c r="O144" s="3"/>
      <c r="P144" s="3"/>
      <c r="Q144" s="3"/>
      <c r="R144" s="3"/>
      <c r="S144" s="3"/>
      <c r="T144" s="3"/>
      <c r="U144" s="3"/>
      <c r="V144" s="3"/>
      <c r="W144" s="44"/>
      <c r="X144" s="41"/>
      <c r="Y144" s="3"/>
      <c r="Z144" s="3"/>
    </row>
    <row r="145" spans="1:26" ht="14.4" hidden="1" outlineLevel="1" x14ac:dyDescent="0.3">
      <c r="A145" s="3"/>
      <c r="B145" s="10" t="s">
        <v>42</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row>
    <row r="146" spans="1:26" hidden="1" outlineLevel="1" x14ac:dyDescent="0.3">
      <c r="A146" s="3"/>
      <c r="B146" s="75" t="s">
        <v>689</v>
      </c>
      <c r="C146" s="76" t="s">
        <v>43</v>
      </c>
      <c r="D146" s="76" t="s">
        <v>43</v>
      </c>
      <c r="E146" s="77">
        <f>SUM(E147:E150)</f>
        <v>0</v>
      </c>
      <c r="F146" s="77">
        <f>SUMIF(D147:D151,"OK",F147:F151)</f>
        <v>25133.440000000002</v>
      </c>
      <c r="G146" s="78" t="s">
        <v>43</v>
      </c>
      <c r="H146" s="79"/>
      <c r="I146" s="79"/>
      <c r="J146" s="3"/>
      <c r="K146" s="3"/>
      <c r="L146" s="3"/>
      <c r="M146" s="3"/>
      <c r="N146" s="3"/>
      <c r="O146" s="3"/>
      <c r="P146" s="3"/>
      <c r="Q146" s="3"/>
      <c r="R146" s="3"/>
      <c r="S146" s="3"/>
      <c r="T146" s="3"/>
      <c r="U146" s="3"/>
      <c r="V146" s="3"/>
      <c r="W146" s="44"/>
      <c r="X146" s="41"/>
      <c r="Y146" s="3"/>
      <c r="Z146" s="3"/>
    </row>
    <row r="147" spans="1:26" ht="14.4" hidden="1" outlineLevel="1" x14ac:dyDescent="0.3">
      <c r="A147" s="3"/>
      <c r="B147" s="10" t="s">
        <v>1320</v>
      </c>
      <c r="C147" s="62"/>
      <c r="D147" s="62"/>
      <c r="E147" s="12">
        <v>0</v>
      </c>
      <c r="F147" s="12">
        <v>0</v>
      </c>
      <c r="G147" s="69"/>
      <c r="H147" s="63"/>
      <c r="I147" s="63"/>
      <c r="J147" s="3"/>
      <c r="K147" s="3"/>
      <c r="L147" s="3"/>
      <c r="M147" s="3"/>
      <c r="N147" s="3"/>
      <c r="O147" s="3"/>
      <c r="P147" s="3"/>
      <c r="Q147" s="3"/>
      <c r="R147" s="3"/>
      <c r="S147" s="3"/>
      <c r="T147" s="3"/>
      <c r="U147" s="3"/>
      <c r="V147" s="3"/>
      <c r="W147" s="44"/>
      <c r="X147" s="41"/>
      <c r="Y147" s="3"/>
      <c r="Z147" s="3"/>
    </row>
    <row r="148" spans="1:26" ht="14.4" hidden="1" outlineLevel="1" x14ac:dyDescent="0.3">
      <c r="A148" s="3"/>
      <c r="B148" s="10" t="s">
        <v>1321</v>
      </c>
      <c r="C148" s="62"/>
      <c r="D148" s="62"/>
      <c r="E148" s="12">
        <v>0</v>
      </c>
      <c r="F148" s="12">
        <v>0</v>
      </c>
      <c r="G148" s="69"/>
      <c r="H148" s="63"/>
      <c r="I148" s="63"/>
      <c r="J148" s="3"/>
      <c r="K148" s="3"/>
      <c r="L148" s="3"/>
      <c r="M148" s="3"/>
      <c r="N148" s="3"/>
      <c r="O148" s="3"/>
      <c r="P148" s="3"/>
      <c r="Q148" s="3"/>
      <c r="R148" s="3"/>
      <c r="S148" s="3"/>
      <c r="T148" s="3"/>
      <c r="U148" s="3"/>
      <c r="V148" s="3"/>
      <c r="W148" s="44"/>
      <c r="X148" s="41"/>
      <c r="Y148" s="3"/>
      <c r="Z148" s="3"/>
    </row>
    <row r="149" spans="1:26" ht="14.4" hidden="1" outlineLevel="1" x14ac:dyDescent="0.3">
      <c r="A149" s="3"/>
      <c r="B149" s="10" t="s">
        <v>1322</v>
      </c>
      <c r="C149" s="62"/>
      <c r="D149" s="62"/>
      <c r="E149" s="12">
        <v>0</v>
      </c>
      <c r="F149" s="12">
        <v>0</v>
      </c>
      <c r="G149" s="69"/>
      <c r="H149" s="63"/>
      <c r="I149" s="63"/>
      <c r="J149" s="3"/>
      <c r="K149" s="3"/>
      <c r="L149" s="3"/>
      <c r="M149" s="3"/>
      <c r="N149" s="3"/>
      <c r="O149" s="3"/>
      <c r="P149" s="3"/>
      <c r="Q149" s="3"/>
      <c r="R149" s="3"/>
      <c r="S149" s="3"/>
      <c r="T149" s="3"/>
      <c r="U149" s="3"/>
      <c r="V149" s="3"/>
      <c r="W149" s="44"/>
      <c r="X149" s="41"/>
      <c r="Y149" s="3"/>
      <c r="Z149" s="3"/>
    </row>
    <row r="150" spans="1:26" ht="14.4" hidden="1" outlineLevel="1" x14ac:dyDescent="0.3">
      <c r="A150" s="3"/>
      <c r="B150" s="10" t="s">
        <v>1323</v>
      </c>
      <c r="C150" s="62" t="s">
        <v>713</v>
      </c>
      <c r="D150" s="62" t="s">
        <v>94</v>
      </c>
      <c r="E150" s="12">
        <v>0</v>
      </c>
      <c r="F150" s="12">
        <f>11980.44+13000</f>
        <v>24980.440000000002</v>
      </c>
      <c r="G150" s="69"/>
      <c r="H150" s="63" t="s">
        <v>38</v>
      </c>
      <c r="I150" s="63"/>
      <c r="J150" s="127"/>
      <c r="K150" s="3"/>
      <c r="L150" s="3"/>
      <c r="M150" s="3"/>
      <c r="N150" s="3"/>
      <c r="O150" s="3"/>
      <c r="P150" s="3"/>
      <c r="Q150" s="3"/>
      <c r="R150" s="3"/>
      <c r="S150" s="3"/>
      <c r="T150" s="3"/>
      <c r="U150" s="3"/>
      <c r="V150" s="3"/>
      <c r="W150" s="44"/>
      <c r="X150" s="41"/>
      <c r="Y150" s="3"/>
      <c r="Z150" s="3"/>
    </row>
    <row r="151" spans="1:26" ht="14.4" hidden="1" outlineLevel="1" x14ac:dyDescent="0.3">
      <c r="A151" s="3"/>
      <c r="B151" s="10" t="s">
        <v>1324</v>
      </c>
      <c r="C151" s="62" t="s">
        <v>1325</v>
      </c>
      <c r="D151" s="62" t="s">
        <v>94</v>
      </c>
      <c r="E151" s="12">
        <v>0</v>
      </c>
      <c r="F151" s="12">
        <f>50+103</f>
        <v>153</v>
      </c>
      <c r="G151" s="69"/>
      <c r="H151" s="63" t="s">
        <v>37</v>
      </c>
      <c r="I151" s="63"/>
      <c r="J151" s="3"/>
      <c r="K151" s="3"/>
      <c r="L151" s="3"/>
      <c r="M151" s="3"/>
      <c r="N151" s="3"/>
      <c r="O151" s="3"/>
      <c r="P151" s="3"/>
      <c r="Q151" s="3"/>
      <c r="R151" s="3"/>
      <c r="S151" s="3"/>
      <c r="T151" s="3"/>
      <c r="U151" s="3"/>
      <c r="V151" s="3"/>
      <c r="W151" s="44"/>
      <c r="X151" s="41"/>
      <c r="Y151" s="3"/>
      <c r="Z151" s="3"/>
    </row>
    <row r="152" spans="1:26" ht="20.399999999999999" collapsed="1" x14ac:dyDescent="0.3">
      <c r="A152" s="3"/>
      <c r="B152" s="73" t="s">
        <v>239</v>
      </c>
      <c r="C152" s="56" t="s">
        <v>43</v>
      </c>
      <c r="D152" s="56" t="s">
        <v>43</v>
      </c>
      <c r="E152" s="57">
        <f t="shared" ref="E152:F152" si="50">SUM(E153,E158,E163,E167)</f>
        <v>0</v>
      </c>
      <c r="F152" s="57">
        <f t="shared" si="50"/>
        <v>1907</v>
      </c>
      <c r="G152" s="58" t="s">
        <v>43</v>
      </c>
      <c r="H152" s="74"/>
      <c r="I152" s="74"/>
      <c r="J152" s="3"/>
      <c r="K152" s="3"/>
      <c r="L152" s="3"/>
      <c r="M152" s="3"/>
      <c r="N152" s="3"/>
      <c r="O152" s="3"/>
      <c r="P152" s="3"/>
      <c r="Q152" s="3"/>
      <c r="R152" s="3"/>
      <c r="S152" s="3"/>
      <c r="T152" s="3"/>
      <c r="U152" s="3"/>
      <c r="V152" s="3"/>
      <c r="W152" s="44"/>
      <c r="X152" s="41"/>
      <c r="Y152" s="3"/>
      <c r="Z152" s="3"/>
    </row>
    <row r="153" spans="1:26" hidden="1" outlineLevel="1" x14ac:dyDescent="0.3">
      <c r="A153" s="3"/>
      <c r="B153" s="75" t="s">
        <v>240</v>
      </c>
      <c r="C153" s="76" t="s">
        <v>43</v>
      </c>
      <c r="D153" s="76" t="s">
        <v>43</v>
      </c>
      <c r="E153" s="77">
        <f>SUM(E154:E157)</f>
        <v>0</v>
      </c>
      <c r="F153" s="77">
        <f>SUMIF(D154:D157,"OK",F154:F157)</f>
        <v>717</v>
      </c>
      <c r="G153" s="78" t="s">
        <v>43</v>
      </c>
      <c r="H153" s="79"/>
      <c r="I153" s="79"/>
      <c r="J153" s="3"/>
      <c r="K153" s="3"/>
      <c r="L153" s="3"/>
      <c r="M153" s="3"/>
      <c r="N153" s="3"/>
      <c r="O153" s="3"/>
      <c r="P153" s="3"/>
      <c r="Q153" s="3"/>
      <c r="R153" s="3"/>
      <c r="S153" s="3"/>
      <c r="T153" s="3"/>
      <c r="U153" s="3"/>
      <c r="V153" s="3"/>
      <c r="W153" s="44"/>
      <c r="X153" s="41"/>
      <c r="Y153" s="3"/>
      <c r="Z153" s="3"/>
    </row>
    <row r="154" spans="1:26" ht="14.4" hidden="1" outlineLevel="1" x14ac:dyDescent="0.3">
      <c r="A154" s="3"/>
      <c r="B154" s="10" t="s">
        <v>241</v>
      </c>
      <c r="C154" s="62">
        <v>7</v>
      </c>
      <c r="D154" s="62" t="s">
        <v>94</v>
      </c>
      <c r="E154" s="12">
        <v>0</v>
      </c>
      <c r="F154" s="12">
        <f>5+50+10+5+20+10+5+10+10+5+10+30+20+10+10+20+10+10+10+5+10+10</f>
        <v>285</v>
      </c>
      <c r="G154" s="67"/>
      <c r="H154" s="63" t="s">
        <v>37</v>
      </c>
      <c r="I154" s="63"/>
      <c r="J154" s="3"/>
      <c r="K154" s="3"/>
      <c r="L154" s="3"/>
      <c r="M154" s="3"/>
      <c r="N154" s="3"/>
      <c r="O154" s="3"/>
      <c r="P154" s="3"/>
      <c r="Q154" s="3"/>
      <c r="R154" s="3"/>
      <c r="S154" s="3"/>
      <c r="T154" s="3"/>
      <c r="U154" s="3"/>
      <c r="V154" s="3"/>
      <c r="W154" s="44"/>
      <c r="X154" s="41"/>
      <c r="Y154" s="3"/>
      <c r="Z154" s="3"/>
    </row>
    <row r="155" spans="1:26" ht="14.4" hidden="1" outlineLevel="1" x14ac:dyDescent="0.3">
      <c r="A155" s="3"/>
      <c r="B155" s="10" t="s">
        <v>242</v>
      </c>
      <c r="C155" s="62">
        <v>7</v>
      </c>
      <c r="D155" s="62" t="s">
        <v>94</v>
      </c>
      <c r="E155" s="12">
        <v>0</v>
      </c>
      <c r="F155" s="12">
        <v>40</v>
      </c>
      <c r="G155" s="67"/>
      <c r="H155" s="63" t="s">
        <v>36</v>
      </c>
      <c r="I155" s="63"/>
      <c r="J155" s="3"/>
      <c r="K155" s="3"/>
      <c r="L155" s="3"/>
      <c r="M155" s="3"/>
      <c r="N155" s="3"/>
      <c r="O155" s="3"/>
      <c r="P155" s="3"/>
      <c r="Q155" s="3"/>
      <c r="R155" s="3"/>
      <c r="S155" s="3"/>
      <c r="T155" s="3"/>
      <c r="U155" s="3"/>
      <c r="V155" s="3"/>
      <c r="W155" s="44"/>
      <c r="X155" s="41"/>
      <c r="Y155" s="3"/>
      <c r="Z155" s="3"/>
    </row>
    <row r="156" spans="1:26" ht="14.4" hidden="1" outlineLevel="1" x14ac:dyDescent="0.3">
      <c r="A156" s="3"/>
      <c r="B156" s="10" t="s">
        <v>243</v>
      </c>
      <c r="C156" s="62">
        <v>21</v>
      </c>
      <c r="D156" s="62" t="s">
        <v>94</v>
      </c>
      <c r="E156" s="12">
        <v>0</v>
      </c>
      <c r="F156" s="12">
        <f>10+50+10+25+10+7+20+30+20+10+20+10+10+160</f>
        <v>392</v>
      </c>
      <c r="G156" s="67"/>
      <c r="H156" s="63" t="s">
        <v>37</v>
      </c>
      <c r="I156" s="63"/>
      <c r="J156" s="3"/>
      <c r="K156" s="3"/>
      <c r="L156" s="3"/>
      <c r="M156" s="3"/>
      <c r="N156" s="3"/>
      <c r="O156" s="3"/>
      <c r="P156" s="3"/>
      <c r="Q156" s="3"/>
      <c r="R156" s="3"/>
      <c r="S156" s="3"/>
      <c r="T156" s="3"/>
      <c r="U156" s="3"/>
      <c r="V156" s="3"/>
      <c r="W156" s="44"/>
      <c r="X156" s="41"/>
      <c r="Y156" s="3"/>
      <c r="Z156" s="3"/>
    </row>
    <row r="157" spans="1:26" ht="14.4" hidden="1" outlineLevel="1" x14ac:dyDescent="0.3">
      <c r="A157" s="3"/>
      <c r="B157" s="10" t="s">
        <v>244</v>
      </c>
      <c r="C157" s="62"/>
      <c r="D157" s="62"/>
      <c r="E157" s="12">
        <v>0</v>
      </c>
      <c r="F157" s="12">
        <v>0</v>
      </c>
      <c r="G157" s="131"/>
      <c r="H157" s="63" t="s">
        <v>36</v>
      </c>
      <c r="I157" s="63"/>
      <c r="J157" s="3"/>
      <c r="K157" s="3"/>
      <c r="L157" s="3"/>
      <c r="M157" s="3"/>
      <c r="N157" s="3"/>
      <c r="O157" s="3"/>
      <c r="P157" s="3"/>
      <c r="Q157" s="3"/>
      <c r="R157" s="3"/>
      <c r="S157" s="3"/>
      <c r="T157" s="3"/>
      <c r="U157" s="3"/>
      <c r="V157" s="3"/>
      <c r="W157" s="44"/>
      <c r="X157" s="41"/>
      <c r="Y157" s="3"/>
      <c r="Z157" s="3"/>
    </row>
    <row r="158" spans="1:26" hidden="1" outlineLevel="1" x14ac:dyDescent="0.3">
      <c r="A158" s="3"/>
      <c r="B158" s="75" t="s">
        <v>245</v>
      </c>
      <c r="C158" s="76" t="s">
        <v>43</v>
      </c>
      <c r="D158" s="76" t="s">
        <v>43</v>
      </c>
      <c r="E158" s="77">
        <f>SUM(E159:E162)</f>
        <v>0</v>
      </c>
      <c r="F158" s="77">
        <f>SUMIF(D159:D162,"OK",F159:F162)</f>
        <v>750</v>
      </c>
      <c r="G158" s="78" t="s">
        <v>43</v>
      </c>
      <c r="H158" s="79"/>
      <c r="I158" s="79"/>
      <c r="J158" s="3"/>
      <c r="K158" s="3"/>
      <c r="L158" s="3"/>
      <c r="M158" s="3"/>
      <c r="N158" s="3"/>
      <c r="O158" s="3"/>
      <c r="P158" s="3"/>
      <c r="Q158" s="3"/>
      <c r="R158" s="3"/>
      <c r="S158" s="3"/>
      <c r="T158" s="3"/>
      <c r="U158" s="3"/>
      <c r="V158" s="3"/>
      <c r="W158" s="44"/>
      <c r="X158" s="41"/>
      <c r="Y158" s="3"/>
      <c r="Z158" s="3"/>
    </row>
    <row r="159" spans="1:26" ht="14.4" hidden="1" outlineLevel="1" x14ac:dyDescent="0.3">
      <c r="A159" s="3"/>
      <c r="B159" s="10" t="s">
        <v>241</v>
      </c>
      <c r="C159" s="62">
        <v>7</v>
      </c>
      <c r="D159" s="62" t="s">
        <v>94</v>
      </c>
      <c r="E159" s="12">
        <v>0</v>
      </c>
      <c r="F159" s="12">
        <f>20+10+10+10+20+10+20+50+20+20+20+10+10+10+10+30</f>
        <v>280</v>
      </c>
      <c r="G159" s="69"/>
      <c r="H159" s="63" t="s">
        <v>37</v>
      </c>
      <c r="I159" s="63"/>
      <c r="J159" s="3"/>
      <c r="K159" s="3"/>
      <c r="L159" s="3"/>
      <c r="M159" s="3"/>
      <c r="N159" s="3"/>
      <c r="O159" s="3"/>
      <c r="P159" s="3"/>
      <c r="Q159" s="3"/>
      <c r="R159" s="3"/>
      <c r="S159" s="3"/>
      <c r="T159" s="3"/>
      <c r="U159" s="3"/>
      <c r="V159" s="3"/>
      <c r="W159" s="44"/>
      <c r="X159" s="41"/>
      <c r="Y159" s="3"/>
      <c r="Z159" s="3"/>
    </row>
    <row r="160" spans="1:26" ht="14.4" hidden="1" outlineLevel="1" x14ac:dyDescent="0.3">
      <c r="A160" s="3"/>
      <c r="B160" s="10" t="s">
        <v>242</v>
      </c>
      <c r="C160" s="62">
        <v>7</v>
      </c>
      <c r="D160" s="62" t="s">
        <v>94</v>
      </c>
      <c r="E160" s="12">
        <v>0</v>
      </c>
      <c r="F160" s="12">
        <v>10</v>
      </c>
      <c r="G160" s="67"/>
      <c r="H160" s="63" t="s">
        <v>36</v>
      </c>
      <c r="I160" s="63"/>
      <c r="J160" s="3"/>
      <c r="K160" s="3"/>
      <c r="L160" s="3"/>
      <c r="M160" s="3"/>
      <c r="N160" s="3"/>
      <c r="O160" s="3"/>
      <c r="P160" s="3"/>
      <c r="Q160" s="3"/>
      <c r="R160" s="3"/>
      <c r="S160" s="3"/>
      <c r="T160" s="3"/>
      <c r="U160" s="3"/>
      <c r="V160" s="3"/>
      <c r="W160" s="44"/>
      <c r="X160" s="41"/>
      <c r="Y160" s="3"/>
      <c r="Z160" s="3"/>
    </row>
    <row r="161" spans="1:26" ht="14.4" hidden="1" outlineLevel="1" x14ac:dyDescent="0.3">
      <c r="A161" s="3"/>
      <c r="B161" s="10" t="s">
        <v>243</v>
      </c>
      <c r="C161" s="62" t="s">
        <v>1326</v>
      </c>
      <c r="D161" s="62" t="s">
        <v>94</v>
      </c>
      <c r="E161" s="12">
        <v>0</v>
      </c>
      <c r="F161" s="12">
        <f>20+20+30+10+50+20+10+20+20+10+20+10+20+20+10+10+20+30+30+20+30</f>
        <v>430</v>
      </c>
      <c r="G161" s="67"/>
      <c r="H161" s="63" t="s">
        <v>37</v>
      </c>
      <c r="I161" s="63"/>
      <c r="J161" s="3"/>
      <c r="K161" s="3"/>
      <c r="L161" s="3"/>
      <c r="M161" s="3"/>
      <c r="N161" s="3"/>
      <c r="O161" s="3"/>
      <c r="P161" s="3"/>
      <c r="Q161" s="3"/>
      <c r="R161" s="3"/>
      <c r="S161" s="3"/>
      <c r="T161" s="3"/>
      <c r="U161" s="3"/>
      <c r="V161" s="3"/>
      <c r="W161" s="44"/>
      <c r="X161" s="41"/>
      <c r="Y161" s="3"/>
      <c r="Z161" s="3"/>
    </row>
    <row r="162" spans="1:26" ht="14.4" hidden="1" outlineLevel="1" x14ac:dyDescent="0.3">
      <c r="A162" s="3"/>
      <c r="B162" s="10" t="s">
        <v>244</v>
      </c>
      <c r="C162" s="62">
        <v>21</v>
      </c>
      <c r="D162" s="62" t="s">
        <v>94</v>
      </c>
      <c r="E162" s="12">
        <v>0</v>
      </c>
      <c r="F162" s="12">
        <f>30</f>
        <v>30</v>
      </c>
      <c r="G162" s="67"/>
      <c r="H162" s="63" t="s">
        <v>36</v>
      </c>
      <c r="I162" s="63"/>
      <c r="J162" s="3"/>
      <c r="K162" s="3"/>
      <c r="L162" s="3"/>
      <c r="M162" s="3"/>
      <c r="N162" s="3"/>
      <c r="O162" s="3"/>
      <c r="P162" s="3"/>
      <c r="Q162" s="3"/>
      <c r="R162" s="3"/>
      <c r="S162" s="3"/>
      <c r="T162" s="3"/>
      <c r="U162" s="3"/>
      <c r="V162" s="3"/>
      <c r="W162" s="44"/>
      <c r="X162" s="41"/>
      <c r="Y162" s="3"/>
      <c r="Z162" s="3"/>
    </row>
    <row r="163" spans="1:26" hidden="1" outlineLevel="1" x14ac:dyDescent="0.3">
      <c r="A163" s="3"/>
      <c r="B163" s="75" t="s">
        <v>246</v>
      </c>
      <c r="C163" s="76" t="s">
        <v>43</v>
      </c>
      <c r="D163" s="76" t="s">
        <v>43</v>
      </c>
      <c r="E163" s="77">
        <f>SUM(E164:E166)</f>
        <v>0</v>
      </c>
      <c r="F163" s="77">
        <f>SUMIF(D164:D166,"OK",F164:F166)</f>
        <v>0</v>
      </c>
      <c r="G163" s="78" t="s">
        <v>43</v>
      </c>
      <c r="H163" s="79"/>
      <c r="I163" s="79"/>
      <c r="J163" s="3"/>
      <c r="K163" s="3"/>
      <c r="L163" s="3"/>
      <c r="M163" s="3"/>
      <c r="N163" s="3"/>
      <c r="O163" s="3"/>
      <c r="P163" s="3"/>
      <c r="Q163" s="3"/>
      <c r="R163" s="3"/>
      <c r="S163" s="3"/>
      <c r="T163" s="3"/>
      <c r="U163" s="3"/>
      <c r="V163" s="3"/>
      <c r="W163" s="44"/>
      <c r="X163" s="41"/>
      <c r="Y163" s="3"/>
      <c r="Z163" s="3"/>
    </row>
    <row r="164" spans="1:26" ht="14.4" hidden="1" outlineLevel="1" x14ac:dyDescent="0.3">
      <c r="A164" s="3"/>
      <c r="B164" s="10" t="s">
        <v>42</v>
      </c>
      <c r="C164" s="80"/>
      <c r="D164" s="62"/>
      <c r="E164" s="12">
        <v>0</v>
      </c>
      <c r="F164" s="12">
        <v>0</v>
      </c>
      <c r="G164" s="69"/>
      <c r="H164" s="63"/>
      <c r="I164" s="63"/>
      <c r="J164" s="3"/>
      <c r="K164" s="3"/>
      <c r="L164" s="3"/>
      <c r="M164" s="3"/>
      <c r="N164" s="3"/>
      <c r="O164" s="3"/>
      <c r="P164" s="3"/>
      <c r="Q164" s="3"/>
      <c r="R164" s="3"/>
      <c r="S164" s="3"/>
      <c r="T164" s="3"/>
      <c r="U164" s="3"/>
      <c r="V164" s="3"/>
      <c r="W164" s="44"/>
      <c r="X164" s="41"/>
      <c r="Y164" s="3"/>
      <c r="Z164" s="3"/>
    </row>
    <row r="165" spans="1:26" ht="14.4" hidden="1" outlineLevel="1" x14ac:dyDescent="0.3">
      <c r="A165" s="3"/>
      <c r="B165" s="10" t="s">
        <v>42</v>
      </c>
      <c r="C165" s="80"/>
      <c r="D165" s="62"/>
      <c r="E165" s="12">
        <v>0</v>
      </c>
      <c r="F165" s="12">
        <v>0</v>
      </c>
      <c r="G165" s="69"/>
      <c r="H165" s="63"/>
      <c r="I165" s="63"/>
      <c r="J165" s="3"/>
      <c r="K165" s="3"/>
      <c r="L165" s="3"/>
      <c r="M165" s="3"/>
      <c r="N165" s="3"/>
      <c r="O165" s="3"/>
      <c r="P165" s="3"/>
      <c r="Q165" s="3"/>
      <c r="R165" s="3"/>
      <c r="S165" s="3"/>
      <c r="T165" s="3"/>
      <c r="U165" s="3"/>
      <c r="V165" s="3"/>
      <c r="W165" s="44"/>
      <c r="X165" s="41"/>
      <c r="Y165" s="3"/>
      <c r="Z165" s="3"/>
    </row>
    <row r="166" spans="1:26" ht="14.4" hidden="1" outlineLevel="1" x14ac:dyDescent="0.3">
      <c r="A166" s="3"/>
      <c r="B166" s="10" t="s">
        <v>42</v>
      </c>
      <c r="C166" s="62"/>
      <c r="D166" s="62"/>
      <c r="E166" s="12">
        <v>0</v>
      </c>
      <c r="F166" s="12">
        <v>0</v>
      </c>
      <c r="G166" s="69"/>
      <c r="H166" s="63"/>
      <c r="I166" s="63"/>
      <c r="J166" s="3"/>
      <c r="K166" s="3"/>
      <c r="L166" s="3"/>
      <c r="M166" s="3"/>
      <c r="N166" s="3"/>
      <c r="O166" s="3"/>
      <c r="P166" s="3"/>
      <c r="Q166" s="3"/>
      <c r="R166" s="3"/>
      <c r="S166" s="3"/>
      <c r="T166" s="3"/>
      <c r="U166" s="3"/>
      <c r="V166" s="3"/>
      <c r="W166" s="44"/>
      <c r="X166" s="41"/>
      <c r="Y166" s="3"/>
      <c r="Z166" s="3"/>
    </row>
    <row r="167" spans="1:26" hidden="1" outlineLevel="1" x14ac:dyDescent="0.3">
      <c r="A167" s="3"/>
      <c r="B167" s="75" t="s">
        <v>61</v>
      </c>
      <c r="C167" s="76" t="s">
        <v>43</v>
      </c>
      <c r="D167" s="76" t="s">
        <v>43</v>
      </c>
      <c r="E167" s="77">
        <f>SUM(E168:E175)</f>
        <v>0</v>
      </c>
      <c r="F167" s="77">
        <f>SUMIF(D168:D181,"OK",F168:F181)</f>
        <v>440</v>
      </c>
      <c r="G167" s="78"/>
      <c r="H167" s="79"/>
      <c r="I167" s="79"/>
      <c r="J167" s="3"/>
      <c r="K167" s="3"/>
      <c r="L167" s="3"/>
      <c r="M167" s="3"/>
      <c r="N167" s="3"/>
      <c r="O167" s="3"/>
      <c r="P167" s="3"/>
      <c r="Q167" s="3"/>
      <c r="R167" s="3"/>
      <c r="S167" s="3"/>
      <c r="T167" s="3"/>
      <c r="U167" s="3"/>
      <c r="V167" s="3"/>
      <c r="W167" s="44"/>
      <c r="X167" s="41"/>
      <c r="Y167" s="3"/>
      <c r="Z167" s="3"/>
    </row>
    <row r="168" spans="1:26" ht="24" hidden="1" outlineLevel="1" x14ac:dyDescent="0.3">
      <c r="A168" s="3"/>
      <c r="B168" s="10" t="s">
        <v>1327</v>
      </c>
      <c r="C168" s="80" t="s">
        <v>1328</v>
      </c>
      <c r="D168" s="62" t="s">
        <v>94</v>
      </c>
      <c r="E168" s="12">
        <v>0</v>
      </c>
      <c r="F168" s="12">
        <f>150+80+80+75</f>
        <v>385</v>
      </c>
      <c r="G168" s="69" t="s">
        <v>1329</v>
      </c>
      <c r="H168" s="63" t="s">
        <v>37</v>
      </c>
      <c r="I168" s="63"/>
      <c r="J168" s="3"/>
      <c r="K168" s="3"/>
      <c r="L168" s="3"/>
      <c r="M168" s="3"/>
      <c r="N168" s="3"/>
      <c r="O168" s="3"/>
      <c r="P168" s="3"/>
      <c r="Q168" s="3"/>
      <c r="R168" s="3"/>
      <c r="S168" s="3"/>
      <c r="T168" s="3"/>
      <c r="U168" s="3"/>
      <c r="V168" s="3"/>
      <c r="W168" s="44"/>
      <c r="X168" s="41"/>
      <c r="Y168" s="3"/>
      <c r="Z168" s="3"/>
    </row>
    <row r="169" spans="1:26" ht="14.4" hidden="1" outlineLevel="1" x14ac:dyDescent="0.3">
      <c r="A169" s="3"/>
      <c r="B169" s="10" t="s">
        <v>1330</v>
      </c>
      <c r="C169" s="80">
        <v>14</v>
      </c>
      <c r="D169" s="62" t="s">
        <v>94</v>
      </c>
      <c r="E169" s="12">
        <v>0</v>
      </c>
      <c r="F169" s="12">
        <v>55</v>
      </c>
      <c r="G169" s="70" t="s">
        <v>1331</v>
      </c>
      <c r="H169" s="63" t="s">
        <v>37</v>
      </c>
      <c r="I169" s="63"/>
      <c r="J169" s="3"/>
      <c r="K169" s="3"/>
      <c r="L169" s="3"/>
      <c r="M169" s="3"/>
      <c r="N169" s="3"/>
      <c r="O169" s="3"/>
      <c r="P169" s="3"/>
      <c r="Q169" s="3"/>
      <c r="R169" s="3"/>
      <c r="S169" s="3"/>
      <c r="T169" s="3"/>
      <c r="U169" s="3"/>
      <c r="V169" s="3"/>
      <c r="W169" s="44"/>
      <c r="X169" s="41"/>
      <c r="Y169" s="3"/>
      <c r="Z169" s="3"/>
    </row>
    <row r="170" spans="1:26" ht="14.4" hidden="1" outlineLevel="1" x14ac:dyDescent="0.3">
      <c r="A170" s="3"/>
      <c r="B170" s="10" t="s">
        <v>61</v>
      </c>
      <c r="C170" s="62"/>
      <c r="D170" s="62"/>
      <c r="E170" s="12">
        <v>0</v>
      </c>
      <c r="F170" s="12">
        <v>0</v>
      </c>
      <c r="G170" s="69"/>
      <c r="H170" s="63"/>
      <c r="I170" s="63"/>
      <c r="J170" s="3"/>
      <c r="K170" s="3"/>
      <c r="L170" s="3"/>
      <c r="M170" s="3"/>
      <c r="N170" s="3"/>
      <c r="O170" s="3"/>
      <c r="P170" s="3"/>
      <c r="Q170" s="3"/>
      <c r="R170" s="3"/>
      <c r="S170" s="3"/>
      <c r="T170" s="3"/>
      <c r="U170" s="3"/>
      <c r="V170" s="3"/>
      <c r="W170" s="44"/>
      <c r="X170" s="41"/>
      <c r="Y170" s="3"/>
      <c r="Z170" s="3"/>
    </row>
    <row r="171" spans="1:26" ht="14.4" hidden="1" outlineLevel="1" x14ac:dyDescent="0.3">
      <c r="A171" s="3"/>
      <c r="B171" s="10" t="s">
        <v>61</v>
      </c>
      <c r="C171" s="62"/>
      <c r="D171" s="62"/>
      <c r="E171" s="12">
        <v>0</v>
      </c>
      <c r="F171" s="12">
        <v>0</v>
      </c>
      <c r="G171" s="70"/>
      <c r="H171" s="63"/>
      <c r="I171" s="63"/>
      <c r="J171" s="3"/>
      <c r="K171" s="3"/>
      <c r="L171" s="3"/>
      <c r="M171" s="3"/>
      <c r="N171" s="3"/>
      <c r="O171" s="3"/>
      <c r="P171" s="3"/>
      <c r="Q171" s="3"/>
      <c r="R171" s="3"/>
      <c r="S171" s="3"/>
      <c r="T171" s="3"/>
      <c r="U171" s="3"/>
      <c r="V171" s="3"/>
      <c r="W171" s="44"/>
      <c r="X171" s="41"/>
      <c r="Y171" s="3"/>
      <c r="Z171" s="3"/>
    </row>
    <row r="172" spans="1:26" ht="14.4" hidden="1" outlineLevel="1" x14ac:dyDescent="0.3">
      <c r="A172" s="3"/>
      <c r="B172" s="10" t="s">
        <v>61</v>
      </c>
      <c r="C172" s="62"/>
      <c r="D172" s="62"/>
      <c r="E172" s="12">
        <v>0</v>
      </c>
      <c r="F172" s="12">
        <v>0</v>
      </c>
      <c r="G172" s="69"/>
      <c r="H172" s="63"/>
      <c r="I172" s="63"/>
      <c r="J172" s="3"/>
      <c r="K172" s="3"/>
      <c r="L172" s="3"/>
      <c r="M172" s="3"/>
      <c r="N172" s="3"/>
      <c r="O172" s="3"/>
      <c r="P172" s="3"/>
      <c r="Q172" s="3"/>
      <c r="R172" s="3"/>
      <c r="S172" s="3"/>
      <c r="T172" s="3"/>
      <c r="U172" s="3"/>
      <c r="V172" s="3"/>
      <c r="W172" s="44"/>
      <c r="X172" s="41"/>
      <c r="Y172" s="3"/>
      <c r="Z172" s="3"/>
    </row>
    <row r="173" spans="1:26" ht="14.4" hidden="1" outlineLevel="1" x14ac:dyDescent="0.3">
      <c r="A173" s="3"/>
      <c r="B173" s="10" t="s">
        <v>61</v>
      </c>
      <c r="C173" s="62"/>
      <c r="D173" s="62"/>
      <c r="E173" s="12">
        <v>0</v>
      </c>
      <c r="F173" s="12">
        <v>0</v>
      </c>
      <c r="G173" s="69"/>
      <c r="H173" s="63"/>
      <c r="I173" s="63"/>
      <c r="J173" s="3"/>
      <c r="K173" s="3"/>
      <c r="L173" s="3"/>
      <c r="M173" s="3"/>
      <c r="N173" s="3"/>
      <c r="O173" s="3"/>
      <c r="P173" s="3"/>
      <c r="Q173" s="3"/>
      <c r="R173" s="3"/>
      <c r="S173" s="3"/>
      <c r="T173" s="3"/>
      <c r="U173" s="3"/>
      <c r="V173" s="3"/>
      <c r="W173" s="44"/>
      <c r="X173" s="41"/>
      <c r="Y173" s="3"/>
      <c r="Z173" s="3"/>
    </row>
    <row r="174" spans="1:26" ht="14.4" hidden="1" outlineLevel="1" x14ac:dyDescent="0.3">
      <c r="A174" s="3"/>
      <c r="B174" s="10" t="s">
        <v>61</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row>
    <row r="175" spans="1:26" ht="14.4" hidden="1" outlineLevel="1" x14ac:dyDescent="0.3">
      <c r="A175" s="3"/>
      <c r="B175" s="10" t="s">
        <v>61</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row>
    <row r="176" spans="1:26" ht="14.4" hidden="1" outlineLevel="1" x14ac:dyDescent="0.3">
      <c r="A176" s="3"/>
      <c r="B176" s="10" t="s">
        <v>61</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4.4" hidden="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4.4" hidden="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row>
    <row r="179" spans="1:26" ht="14.4" hidden="1" outlineLevel="1" x14ac:dyDescent="0.3">
      <c r="A179" s="3"/>
      <c r="B179" s="10" t="s">
        <v>61</v>
      </c>
      <c r="C179" s="62"/>
      <c r="D179" s="62"/>
      <c r="E179" s="12">
        <v>0</v>
      </c>
      <c r="F179" s="12">
        <v>0</v>
      </c>
      <c r="G179" s="69"/>
      <c r="H179" s="63"/>
      <c r="I179" s="63"/>
      <c r="J179" s="3"/>
      <c r="K179" s="3"/>
      <c r="L179" s="3"/>
      <c r="M179" s="3"/>
      <c r="N179" s="3"/>
      <c r="O179" s="3"/>
      <c r="P179" s="3"/>
      <c r="Q179" s="3"/>
      <c r="R179" s="3"/>
      <c r="S179" s="3"/>
      <c r="T179" s="3"/>
      <c r="U179" s="3"/>
      <c r="V179" s="3"/>
      <c r="W179" s="44"/>
      <c r="X179" s="41"/>
      <c r="Y179" s="3"/>
      <c r="Z179" s="3"/>
    </row>
    <row r="180" spans="1:26" ht="14.4" hidden="1" outlineLevel="1" x14ac:dyDescent="0.3">
      <c r="A180" s="3"/>
      <c r="B180" s="10" t="s">
        <v>61</v>
      </c>
      <c r="C180" s="62"/>
      <c r="D180" s="62"/>
      <c r="E180" s="12">
        <v>0</v>
      </c>
      <c r="F180" s="12">
        <v>0</v>
      </c>
      <c r="G180" s="69"/>
      <c r="H180" s="63"/>
      <c r="I180" s="63"/>
      <c r="J180" s="3"/>
      <c r="K180" s="3"/>
      <c r="L180" s="3"/>
      <c r="M180" s="3"/>
      <c r="N180" s="3"/>
      <c r="O180" s="3"/>
      <c r="P180" s="3"/>
      <c r="Q180" s="3"/>
      <c r="R180" s="3"/>
      <c r="S180" s="3"/>
      <c r="T180" s="3"/>
      <c r="U180" s="3"/>
      <c r="V180" s="3"/>
      <c r="W180" s="44"/>
      <c r="X180" s="41"/>
      <c r="Y180" s="3"/>
      <c r="Z180" s="3"/>
    </row>
    <row r="181" spans="1:26" ht="14.4" hidden="1" outlineLevel="1" x14ac:dyDescent="0.3">
      <c r="A181" s="3"/>
      <c r="B181" s="10" t="s">
        <v>61</v>
      </c>
      <c r="C181" s="62"/>
      <c r="D181" s="62"/>
      <c r="E181" s="12">
        <v>0</v>
      </c>
      <c r="F181" s="12">
        <v>0</v>
      </c>
      <c r="G181" s="69"/>
      <c r="H181" s="63"/>
      <c r="I181" s="63"/>
      <c r="J181" s="3"/>
      <c r="K181" s="3"/>
      <c r="L181" s="3"/>
      <c r="M181" s="3"/>
      <c r="N181" s="3"/>
      <c r="O181" s="3"/>
      <c r="P181" s="3"/>
      <c r="Q181" s="3"/>
      <c r="R181" s="3"/>
      <c r="S181" s="3"/>
      <c r="T181" s="3"/>
      <c r="U181" s="3"/>
      <c r="V181" s="3"/>
      <c r="W181" s="44"/>
      <c r="X181" s="41"/>
      <c r="Y181" s="3"/>
      <c r="Z181" s="3"/>
    </row>
    <row r="182" spans="1:26" ht="20.399999999999999" collapsed="1" x14ac:dyDescent="0.3">
      <c r="A182" s="3"/>
      <c r="B182" s="73" t="s">
        <v>63</v>
      </c>
      <c r="C182" s="56" t="s">
        <v>43</v>
      </c>
      <c r="D182" s="56" t="s">
        <v>43</v>
      </c>
      <c r="E182" s="57">
        <f>SUM(E183:E185)</f>
        <v>0</v>
      </c>
      <c r="F182" s="57">
        <f>SUMIF(D183:D185,"OK",F183:F185)</f>
        <v>0</v>
      </c>
      <c r="G182" s="58"/>
      <c r="H182" s="74"/>
      <c r="I182" s="74"/>
      <c r="J182" s="3"/>
      <c r="K182" s="3"/>
      <c r="L182" s="3"/>
      <c r="M182" s="3"/>
      <c r="N182" s="3"/>
      <c r="O182" s="3"/>
      <c r="P182" s="3"/>
      <c r="Q182" s="3"/>
      <c r="R182" s="3"/>
      <c r="S182" s="3"/>
      <c r="T182" s="3"/>
      <c r="U182" s="3"/>
      <c r="V182" s="3"/>
      <c r="W182" s="44"/>
      <c r="X182" s="41"/>
      <c r="Y182" s="3"/>
      <c r="Z182" s="3"/>
    </row>
    <row r="183" spans="1:26" ht="14.4" hidden="1" outlineLevel="1" x14ac:dyDescent="0.3">
      <c r="A183" s="3"/>
      <c r="B183" s="10" t="s">
        <v>63</v>
      </c>
      <c r="C183" s="62"/>
      <c r="D183" s="62"/>
      <c r="E183" s="12">
        <v>0</v>
      </c>
      <c r="F183" s="12">
        <v>0</v>
      </c>
      <c r="G183" s="69"/>
      <c r="H183" s="63"/>
      <c r="I183" s="63"/>
      <c r="J183" s="3"/>
      <c r="K183" s="3"/>
      <c r="L183" s="3"/>
      <c r="M183" s="3"/>
      <c r="N183" s="3"/>
      <c r="O183" s="3"/>
      <c r="P183" s="3"/>
      <c r="Q183" s="3"/>
      <c r="R183" s="3"/>
      <c r="S183" s="3"/>
      <c r="T183" s="3"/>
      <c r="U183" s="3"/>
      <c r="V183" s="3"/>
      <c r="W183" s="44"/>
      <c r="X183" s="41"/>
      <c r="Y183" s="3"/>
      <c r="Z183" s="3"/>
    </row>
    <row r="184" spans="1:26" ht="14.4" hidden="1" outlineLevel="1" x14ac:dyDescent="0.3">
      <c r="A184" s="3"/>
      <c r="B184" s="10" t="s">
        <v>63</v>
      </c>
      <c r="C184" s="62"/>
      <c r="D184" s="62"/>
      <c r="E184" s="12">
        <v>0</v>
      </c>
      <c r="F184" s="12">
        <v>0</v>
      </c>
      <c r="G184" s="69"/>
      <c r="H184" s="63"/>
      <c r="I184" s="63"/>
      <c r="J184" s="3"/>
      <c r="K184" s="3"/>
      <c r="L184" s="3"/>
      <c r="M184" s="3"/>
      <c r="N184" s="3"/>
      <c r="O184" s="3"/>
      <c r="P184" s="3"/>
      <c r="Q184" s="3"/>
      <c r="R184" s="3"/>
      <c r="S184" s="3"/>
      <c r="T184" s="3"/>
      <c r="U184" s="3"/>
      <c r="V184" s="3"/>
      <c r="W184" s="44"/>
      <c r="X184" s="41"/>
      <c r="Y184" s="3"/>
      <c r="Z184" s="3"/>
    </row>
    <row r="185" spans="1:26" ht="14.4" hidden="1" outlineLevel="1" x14ac:dyDescent="0.3">
      <c r="A185" s="3"/>
      <c r="B185" s="10" t="s">
        <v>63</v>
      </c>
      <c r="C185" s="62"/>
      <c r="D185" s="62"/>
      <c r="E185" s="12">
        <v>0</v>
      </c>
      <c r="F185" s="12">
        <v>0</v>
      </c>
      <c r="G185" s="67"/>
      <c r="H185" s="63"/>
      <c r="I185" s="63"/>
      <c r="J185" s="3"/>
      <c r="K185" s="3"/>
      <c r="L185" s="3"/>
      <c r="M185" s="3"/>
      <c r="N185" s="3"/>
      <c r="O185" s="3"/>
      <c r="P185" s="3"/>
      <c r="Q185" s="3"/>
      <c r="R185" s="3"/>
      <c r="S185" s="3"/>
      <c r="T185" s="3"/>
      <c r="U185" s="3"/>
      <c r="V185" s="3"/>
      <c r="W185" s="44"/>
      <c r="X185" s="41"/>
      <c r="Y185" s="3"/>
      <c r="Z185" s="3"/>
    </row>
    <row r="186" spans="1:26" ht="20.399999999999999" collapsed="1" x14ac:dyDescent="0.3">
      <c r="A186" s="3"/>
      <c r="B186" s="73" t="s">
        <v>259</v>
      </c>
      <c r="C186" s="56" t="s">
        <v>43</v>
      </c>
      <c r="D186" s="56" t="s">
        <v>43</v>
      </c>
      <c r="E186" s="57">
        <f>SUM(E187:E193)</f>
        <v>0</v>
      </c>
      <c r="F186" s="57">
        <f>SUMIF(D187:D193,"OK",F187:F193)</f>
        <v>0</v>
      </c>
      <c r="G186" s="58" t="s">
        <v>43</v>
      </c>
      <c r="H186" s="74"/>
      <c r="I186" s="74"/>
      <c r="J186" s="3"/>
      <c r="K186" s="3"/>
      <c r="L186" s="3"/>
      <c r="M186" s="3"/>
      <c r="N186" s="3"/>
      <c r="O186" s="3"/>
      <c r="P186" s="3"/>
      <c r="Q186" s="3"/>
      <c r="R186" s="3"/>
      <c r="S186" s="3"/>
      <c r="T186" s="3"/>
      <c r="U186" s="3"/>
      <c r="V186" s="3"/>
      <c r="W186" s="44"/>
      <c r="X186" s="41"/>
      <c r="Y186" s="3"/>
      <c r="Z186" s="3"/>
    </row>
    <row r="187" spans="1:26" ht="14.4" hidden="1" outlineLevel="1" x14ac:dyDescent="0.3">
      <c r="A187" s="3"/>
      <c r="B187" s="10" t="s">
        <v>260</v>
      </c>
      <c r="C187" s="62"/>
      <c r="D187" s="62"/>
      <c r="E187" s="12">
        <v>0</v>
      </c>
      <c r="F187" s="12">
        <v>0</v>
      </c>
      <c r="G187" s="67"/>
      <c r="H187" s="63" t="s">
        <v>37</v>
      </c>
      <c r="I187" s="63"/>
      <c r="J187" s="3"/>
      <c r="K187" s="3"/>
      <c r="L187" s="3"/>
      <c r="M187" s="3"/>
      <c r="N187" s="3"/>
      <c r="O187" s="3"/>
      <c r="P187" s="3"/>
      <c r="Q187" s="3"/>
      <c r="R187" s="3"/>
      <c r="S187" s="3"/>
      <c r="T187" s="3"/>
      <c r="U187" s="3"/>
      <c r="V187" s="3"/>
      <c r="W187" s="44"/>
      <c r="X187" s="41"/>
      <c r="Y187" s="3"/>
      <c r="Z187" s="3"/>
    </row>
    <row r="188" spans="1:26" ht="14.4" hidden="1" outlineLevel="1" x14ac:dyDescent="0.3">
      <c r="A188" s="3"/>
      <c r="B188" s="10" t="s">
        <v>261</v>
      </c>
      <c r="C188" s="62"/>
      <c r="D188" s="62"/>
      <c r="E188" s="12">
        <v>0</v>
      </c>
      <c r="F188" s="12">
        <v>0</v>
      </c>
      <c r="G188" s="69"/>
      <c r="H188" s="63" t="s">
        <v>38</v>
      </c>
      <c r="I188" s="63"/>
      <c r="J188" s="3"/>
      <c r="K188" s="3"/>
      <c r="L188" s="3"/>
      <c r="M188" s="3"/>
      <c r="N188" s="3"/>
      <c r="O188" s="3"/>
      <c r="P188" s="3"/>
      <c r="Q188" s="3"/>
      <c r="R188" s="3"/>
      <c r="S188" s="3"/>
      <c r="T188" s="3"/>
      <c r="U188" s="3"/>
      <c r="V188" s="3"/>
      <c r="W188" s="44"/>
      <c r="X188" s="41"/>
      <c r="Y188" s="3"/>
      <c r="Z188" s="3"/>
    </row>
    <row r="189" spans="1:26" ht="14.4" hidden="1" outlineLevel="1" x14ac:dyDescent="0.3">
      <c r="A189" s="3"/>
      <c r="B189" s="10" t="s">
        <v>263</v>
      </c>
      <c r="C189" s="62"/>
      <c r="D189" s="62"/>
      <c r="E189" s="12">
        <v>0</v>
      </c>
      <c r="F189" s="12">
        <v>0</v>
      </c>
      <c r="G189" s="67"/>
      <c r="H189" s="63" t="s">
        <v>234</v>
      </c>
      <c r="I189" s="63"/>
      <c r="J189" s="3"/>
      <c r="K189" s="3"/>
      <c r="L189" s="3"/>
      <c r="M189" s="3"/>
      <c r="N189" s="3"/>
      <c r="O189" s="3"/>
      <c r="P189" s="3"/>
      <c r="Q189" s="3"/>
      <c r="R189" s="3"/>
      <c r="S189" s="3"/>
      <c r="T189" s="3"/>
      <c r="U189" s="3"/>
      <c r="V189" s="3"/>
      <c r="W189" s="44"/>
      <c r="X189" s="41"/>
      <c r="Y189" s="3"/>
      <c r="Z189" s="3"/>
    </row>
    <row r="190" spans="1:26" ht="14.4" hidden="1" outlineLevel="1" x14ac:dyDescent="0.3">
      <c r="A190" s="3"/>
      <c r="B190" s="10" t="s">
        <v>264</v>
      </c>
      <c r="C190" s="62"/>
      <c r="D190" s="62"/>
      <c r="E190" s="12">
        <v>0</v>
      </c>
      <c r="F190" s="12">
        <v>0</v>
      </c>
      <c r="G190" s="67"/>
      <c r="H190" s="63" t="s">
        <v>265</v>
      </c>
      <c r="I190" s="63"/>
      <c r="J190" s="3"/>
      <c r="K190" s="3"/>
      <c r="L190" s="3"/>
      <c r="M190" s="3"/>
      <c r="N190" s="3"/>
      <c r="O190" s="3"/>
      <c r="P190" s="3"/>
      <c r="Q190" s="3"/>
      <c r="R190" s="3"/>
      <c r="S190" s="3"/>
      <c r="T190" s="3"/>
      <c r="U190" s="3"/>
      <c r="V190" s="3"/>
      <c r="W190" s="44"/>
      <c r="X190" s="41"/>
      <c r="Y190" s="3"/>
      <c r="Z190" s="3"/>
    </row>
    <row r="191" spans="1:26" ht="14.4" hidden="1" outlineLevel="1" x14ac:dyDescent="0.3">
      <c r="A191" s="3"/>
      <c r="B191" s="10" t="s">
        <v>551</v>
      </c>
      <c r="C191" s="62"/>
      <c r="D191" s="62"/>
      <c r="E191" s="12">
        <v>0</v>
      </c>
      <c r="F191" s="12">
        <v>0</v>
      </c>
      <c r="G191" s="67"/>
      <c r="H191" s="63" t="s">
        <v>39</v>
      </c>
      <c r="I191" s="63"/>
      <c r="J191" s="3"/>
      <c r="K191" s="3"/>
      <c r="L191" s="3"/>
      <c r="M191" s="3"/>
      <c r="N191" s="3"/>
      <c r="O191" s="3"/>
      <c r="P191" s="3"/>
      <c r="Q191" s="3"/>
      <c r="R191" s="3"/>
      <c r="S191" s="3"/>
      <c r="T191" s="3"/>
      <c r="U191" s="3"/>
      <c r="V191" s="3"/>
      <c r="W191" s="44"/>
      <c r="X191" s="41"/>
      <c r="Y191" s="3"/>
      <c r="Z191" s="3"/>
    </row>
    <row r="192" spans="1:26" ht="14.4" hidden="1" outlineLevel="1" x14ac:dyDescent="0.3">
      <c r="A192" s="3"/>
      <c r="B192" s="10" t="s">
        <v>916</v>
      </c>
      <c r="C192" s="62"/>
      <c r="D192" s="62"/>
      <c r="E192" s="12">
        <v>0</v>
      </c>
      <c r="F192" s="12">
        <v>0</v>
      </c>
      <c r="G192" s="67"/>
      <c r="H192" s="63"/>
      <c r="I192" s="63"/>
      <c r="J192" s="3"/>
      <c r="K192" s="3"/>
      <c r="L192" s="3"/>
      <c r="M192" s="3"/>
      <c r="N192" s="3"/>
      <c r="O192" s="3"/>
      <c r="P192" s="3"/>
      <c r="Q192" s="3"/>
      <c r="R192" s="3"/>
      <c r="S192" s="3"/>
      <c r="T192" s="3"/>
      <c r="U192" s="3"/>
      <c r="V192" s="3"/>
      <c r="W192" s="44"/>
      <c r="X192" s="41"/>
      <c r="Y192" s="3"/>
      <c r="Z192" s="3"/>
    </row>
    <row r="193" spans="1:26" ht="14.4" hidden="1" outlineLevel="1" x14ac:dyDescent="0.3">
      <c r="A193" s="3"/>
      <c r="B193" s="10" t="s">
        <v>916</v>
      </c>
      <c r="C193" s="62"/>
      <c r="D193" s="62"/>
      <c r="E193" s="12">
        <v>0</v>
      </c>
      <c r="F193" s="12">
        <v>0</v>
      </c>
      <c r="G193" s="67"/>
      <c r="H193" s="63"/>
      <c r="I193" s="63"/>
      <c r="J193" s="3"/>
      <c r="K193" s="3"/>
      <c r="L193" s="3"/>
      <c r="M193" s="3"/>
      <c r="N193" s="3"/>
      <c r="O193" s="3"/>
      <c r="P193" s="3"/>
      <c r="Q193" s="3"/>
      <c r="R193" s="3"/>
      <c r="S193" s="3"/>
      <c r="T193" s="3"/>
      <c r="U193" s="3"/>
      <c r="V193" s="3"/>
      <c r="W193" s="44"/>
      <c r="X193" s="41"/>
      <c r="Y193" s="3"/>
      <c r="Z193" s="3"/>
    </row>
    <row r="194" spans="1:26" ht="14.4" collapsed="1" x14ac:dyDescent="0.3">
      <c r="A194" s="3"/>
      <c r="B194" s="3"/>
      <c r="C194" s="37"/>
      <c r="D194" s="37"/>
      <c r="E194" s="37"/>
      <c r="F194" s="37"/>
      <c r="G194" s="123"/>
      <c r="H194" s="37"/>
      <c r="I194" s="37"/>
      <c r="J194" s="37"/>
      <c r="K194" s="37"/>
      <c r="L194" s="37"/>
      <c r="M194" s="37"/>
      <c r="N194" s="37"/>
      <c r="O194" s="37"/>
      <c r="P194" s="37"/>
      <c r="Q194" s="37"/>
      <c r="R194" s="37"/>
      <c r="S194" s="37"/>
      <c r="T194" s="37"/>
      <c r="U194" s="37"/>
      <c r="V194" s="37"/>
      <c r="W194" s="44"/>
      <c r="X194" s="41"/>
    </row>
    <row r="195" spans="1:26" ht="15.75" customHeight="1" x14ac:dyDescent="0.3">
      <c r="A195" s="3"/>
      <c r="B195" s="3"/>
      <c r="C195" s="37"/>
      <c r="D195" s="37"/>
      <c r="E195" s="37"/>
      <c r="F195" s="111"/>
      <c r="G195" s="123"/>
      <c r="H195" s="37"/>
      <c r="I195" s="37"/>
      <c r="J195" s="37"/>
      <c r="K195" s="37"/>
      <c r="L195" s="37"/>
      <c r="M195" s="37"/>
      <c r="N195" s="37"/>
      <c r="O195" s="37"/>
      <c r="P195" s="37"/>
      <c r="Q195" s="37"/>
      <c r="R195" s="37"/>
      <c r="S195" s="37"/>
      <c r="T195" s="37"/>
      <c r="U195" s="37"/>
      <c r="V195" s="37"/>
      <c r="W195" s="44"/>
      <c r="X195" s="41"/>
    </row>
    <row r="196" spans="1:26" ht="15.75" customHeight="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6" ht="15.75" customHeight="1" x14ac:dyDescent="0.3">
      <c r="A197" s="3"/>
      <c r="B197" s="3"/>
      <c r="C197" s="37"/>
      <c r="D197" s="37"/>
      <c r="E197" s="37"/>
      <c r="F197" s="37"/>
      <c r="G197" s="123"/>
      <c r="H197" s="37"/>
      <c r="I197" s="37"/>
      <c r="J197" s="37"/>
      <c r="K197" s="37"/>
      <c r="L197" s="37"/>
      <c r="M197" s="37"/>
      <c r="N197" s="37"/>
      <c r="O197" s="37"/>
      <c r="P197" s="37"/>
      <c r="Q197" s="37"/>
      <c r="R197" s="37"/>
      <c r="S197" s="37"/>
      <c r="T197" s="37"/>
      <c r="U197" s="37"/>
      <c r="V197" s="37"/>
      <c r="W197" s="44"/>
      <c r="X197" s="41"/>
    </row>
    <row r="198" spans="1:26"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6"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6"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6"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6"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6"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6"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6"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6"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6"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6"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c r="A391" s="3"/>
      <c r="B391" s="3"/>
      <c r="C391" s="37"/>
      <c r="D391" s="37"/>
      <c r="E391" s="37"/>
      <c r="F391" s="37"/>
      <c r="G391" s="123"/>
      <c r="H391" s="37"/>
      <c r="I391" s="37"/>
      <c r="J391" s="37"/>
      <c r="K391" s="37"/>
      <c r="L391" s="37"/>
      <c r="M391" s="37"/>
      <c r="N391" s="37"/>
      <c r="O391" s="37"/>
      <c r="P391" s="37"/>
      <c r="Q391" s="37"/>
      <c r="R391" s="37"/>
      <c r="S391" s="37"/>
      <c r="T391" s="37"/>
      <c r="U391" s="37"/>
      <c r="V391" s="37"/>
      <c r="W391" s="44"/>
      <c r="X391" s="41"/>
    </row>
    <row r="392" spans="1:24" ht="15.75" customHeight="1" x14ac:dyDescent="0.3">
      <c r="A392" s="3"/>
      <c r="B392" s="3"/>
      <c r="C392" s="37"/>
      <c r="D392" s="37"/>
      <c r="E392" s="37"/>
      <c r="F392" s="37"/>
      <c r="G392" s="123"/>
      <c r="H392" s="37"/>
      <c r="I392" s="37"/>
      <c r="J392" s="37"/>
      <c r="K392" s="37"/>
      <c r="L392" s="37"/>
      <c r="M392" s="37"/>
      <c r="N392" s="37"/>
      <c r="O392" s="37"/>
      <c r="P392" s="37"/>
      <c r="Q392" s="37"/>
      <c r="R392" s="37"/>
      <c r="S392" s="37"/>
      <c r="T392" s="37"/>
      <c r="U392" s="37"/>
      <c r="V392" s="37"/>
      <c r="W392" s="44"/>
      <c r="X392" s="41"/>
    </row>
    <row r="393" spans="1:24" ht="15.75" customHeight="1" x14ac:dyDescent="0.3">
      <c r="A393" s="3"/>
      <c r="B393" s="3"/>
      <c r="C393" s="37"/>
      <c r="D393" s="37"/>
      <c r="E393" s="37"/>
      <c r="F393" s="37"/>
      <c r="G393" s="123"/>
      <c r="H393" s="37"/>
      <c r="I393" s="37"/>
      <c r="J393" s="37"/>
      <c r="K393" s="37"/>
      <c r="L393" s="37"/>
      <c r="M393" s="37"/>
      <c r="N393" s="37"/>
      <c r="O393" s="37"/>
      <c r="P393" s="37"/>
      <c r="Q393" s="37"/>
      <c r="R393" s="37"/>
      <c r="S393" s="37"/>
      <c r="T393" s="37"/>
      <c r="U393" s="37"/>
      <c r="V393" s="37"/>
      <c r="W393" s="44"/>
      <c r="X393" s="41"/>
    </row>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3" xr:uid="{00000000-0009-0000-0000-000012000000}"/>
  <mergeCells count="4">
    <mergeCell ref="B2:B3"/>
    <mergeCell ref="B4:B5"/>
    <mergeCell ref="H4:H5"/>
    <mergeCell ref="I4:I5"/>
  </mergeCells>
  <conditionalFormatting sqref="W6:W125">
    <cfRule type="cellIs" dxfId="17" priority="1" operator="equal">
      <formula>"Diferente"</formula>
    </cfRule>
    <cfRule type="cellIs" dxfId="16" priority="2" operator="equal">
      <formula>"OK"</formula>
    </cfRule>
  </conditionalFormatting>
  <dataValidations count="1">
    <dataValidation type="list" allowBlank="1" showErrorMessage="1" sqref="D7:D125 D128:D129 D131:D133 D135:D138 D140:D145 D147:D151 D154:D157 D159:D162 D164:D166 D168:D181 D183:D185 D187:D193" xr:uid="{00000000-0002-0000-12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200-000000000000}">
          <x14:formula1>
            <xm:f>'Plano de contas DG'!$C$5:$C$38</xm:f>
          </x14:formula1>
          <xm:sqref>I6:I193</xm:sqref>
        </x14:dataValidation>
        <x14:dataValidation type="list" allowBlank="1" showErrorMessage="1" xr:uid="{00000000-0002-0000-1200-000001000000}">
          <x14:formula1>
            <xm:f>Caixa!$B$5:$B$8</xm:f>
          </x14:formula1>
          <xm:sqref>H7:H125 H128:H129 H131:H133 H135:H138 H140:H145 H147:H151 H154:H157 H159:H162 H164:H166 H168:H181 H183:H185 H187:H193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A1:Z1001"/>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2"/>
      <c r="H2" s="82"/>
      <c r="I2" s="83"/>
      <c r="J2" s="82"/>
      <c r="K2" s="37"/>
      <c r="L2" s="37"/>
      <c r="M2" s="37"/>
      <c r="N2" s="37"/>
      <c r="O2" s="37"/>
      <c r="P2" s="37"/>
      <c r="Q2" s="37"/>
      <c r="R2" s="37"/>
      <c r="S2" s="37"/>
      <c r="T2" s="37"/>
      <c r="U2" s="3"/>
    </row>
    <row r="3" spans="1:26" ht="14.4" x14ac:dyDescent="0.3">
      <c r="A3" s="3"/>
      <c r="B3" s="206"/>
      <c r="C3" s="240"/>
      <c r="D3" s="241"/>
      <c r="E3" s="241"/>
      <c r="F3" s="242"/>
      <c r="G3" s="82"/>
      <c r="H3" s="82"/>
      <c r="I3" s="83"/>
      <c r="J3" s="82"/>
      <c r="K3" s="37"/>
      <c r="L3" s="37"/>
      <c r="M3" s="37"/>
      <c r="N3" s="37"/>
      <c r="O3" s="37"/>
      <c r="P3" s="37"/>
      <c r="Q3" s="37"/>
      <c r="R3" s="37"/>
      <c r="S3" s="37"/>
      <c r="T3" s="37"/>
      <c r="U3" s="3"/>
    </row>
    <row r="4" spans="1:26" ht="14.4" x14ac:dyDescent="0.3">
      <c r="A4" s="3"/>
      <c r="B4" s="227" t="s">
        <v>73</v>
      </c>
      <c r="C4" s="48" t="s">
        <v>43</v>
      </c>
      <c r="D4" s="48" t="s">
        <v>43</v>
      </c>
      <c r="E4" s="26">
        <f>SUBTOTAL(9,E16,E63,E38,E149,E174,E180,E87,E6,E34,E259,E310,E209,E219,E229,E239,E249,E113)</f>
        <v>0</v>
      </c>
      <c r="F4" s="26">
        <f>SUBTOTAL(9,F16,F63,F38,F139,F149,F174,F180,F87,F6,F34,F259,F310,F209,F219,F229,F239,F249,F113)</f>
        <v>29745.660000000003</v>
      </c>
      <c r="G4" s="48" t="s">
        <v>43</v>
      </c>
      <c r="H4" s="237" t="s">
        <v>1</v>
      </c>
      <c r="I4" s="243" t="s">
        <v>270</v>
      </c>
      <c r="J4" s="237" t="s">
        <v>74</v>
      </c>
      <c r="K4" s="37"/>
      <c r="L4" s="37"/>
      <c r="M4" s="37"/>
      <c r="N4" s="37"/>
      <c r="O4" s="37"/>
      <c r="P4" s="37"/>
      <c r="Q4" s="37"/>
      <c r="R4" s="37"/>
      <c r="S4" s="37"/>
      <c r="T4" s="37"/>
      <c r="U4" s="3"/>
      <c r="W4" s="3"/>
      <c r="X4" s="3"/>
      <c r="Y4" s="3"/>
      <c r="Z4" s="3"/>
    </row>
    <row r="5" spans="1:26" ht="14.4"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1401.65</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v>1</v>
      </c>
      <c r="D7" s="62" t="s">
        <v>94</v>
      </c>
      <c r="E7" s="12">
        <v>0</v>
      </c>
      <c r="F7" s="12">
        <v>612.30999999999995</v>
      </c>
      <c r="G7" s="89"/>
      <c r="H7" s="65" t="s">
        <v>37</v>
      </c>
      <c r="I7" s="112" t="s">
        <v>1332</v>
      </c>
      <c r="J7" s="65"/>
      <c r="K7" s="37"/>
      <c r="L7" s="37"/>
      <c r="M7" s="37"/>
      <c r="N7" s="37"/>
      <c r="O7" s="37"/>
      <c r="P7" s="37"/>
      <c r="Q7" s="37"/>
      <c r="R7" s="37"/>
      <c r="S7" s="37"/>
      <c r="T7" s="37"/>
      <c r="U7" s="3"/>
      <c r="W7" s="3"/>
      <c r="X7" s="3"/>
      <c r="Y7" s="3"/>
      <c r="Z7" s="3"/>
    </row>
    <row r="8" spans="1:26" ht="14.4" hidden="1" outlineLevel="1" x14ac:dyDescent="0.3">
      <c r="A8" s="3"/>
      <c r="B8" s="10" t="s">
        <v>277</v>
      </c>
      <c r="C8" s="62"/>
      <c r="D8" s="62"/>
      <c r="E8" s="12">
        <v>0</v>
      </c>
      <c r="F8" s="12">
        <v>0</v>
      </c>
      <c r="G8" s="89"/>
      <c r="H8" s="65"/>
      <c r="I8" s="112"/>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89"/>
      <c r="H9" s="65"/>
      <c r="I9" s="112"/>
      <c r="J9" s="65"/>
      <c r="K9" s="37"/>
      <c r="L9" s="37"/>
      <c r="M9" s="37"/>
      <c r="N9" s="37"/>
      <c r="O9" s="37"/>
      <c r="P9" s="37"/>
      <c r="Q9" s="37"/>
      <c r="R9" s="37"/>
      <c r="S9" s="37"/>
      <c r="T9" s="37"/>
      <c r="U9" s="3"/>
      <c r="W9" s="3"/>
      <c r="X9" s="3"/>
      <c r="Y9" s="3"/>
      <c r="Z9" s="3"/>
    </row>
    <row r="10" spans="1:26" ht="14.4" hidden="1" outlineLevel="1" x14ac:dyDescent="0.3">
      <c r="A10" s="3"/>
      <c r="B10" s="10" t="s">
        <v>281</v>
      </c>
      <c r="C10" s="62">
        <v>2</v>
      </c>
      <c r="D10" s="62" t="s">
        <v>94</v>
      </c>
      <c r="E10" s="12">
        <v>0</v>
      </c>
      <c r="F10" s="12">
        <v>306.18</v>
      </c>
      <c r="G10" s="89" t="s">
        <v>739</v>
      </c>
      <c r="H10" s="65" t="s">
        <v>37</v>
      </c>
      <c r="I10" s="112" t="s">
        <v>1333</v>
      </c>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v>2</v>
      </c>
      <c r="D11" s="62" t="s">
        <v>94</v>
      </c>
      <c r="E11" s="12">
        <v>0</v>
      </c>
      <c r="F11" s="12">
        <v>69.39</v>
      </c>
      <c r="G11" s="89" t="s">
        <v>737</v>
      </c>
      <c r="H11" s="65" t="s">
        <v>37</v>
      </c>
      <c r="I11" s="112" t="s">
        <v>1334</v>
      </c>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v>2</v>
      </c>
      <c r="D12" s="62" t="s">
        <v>94</v>
      </c>
      <c r="E12" s="12">
        <v>0</v>
      </c>
      <c r="F12" s="12">
        <v>48.78</v>
      </c>
      <c r="G12" s="89" t="s">
        <v>1335</v>
      </c>
      <c r="H12" s="65" t="s">
        <v>37</v>
      </c>
      <c r="I12" s="112" t="s">
        <v>1336</v>
      </c>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v>30</v>
      </c>
      <c r="D14" s="62" t="s">
        <v>94</v>
      </c>
      <c r="E14" s="12">
        <v>0</v>
      </c>
      <c r="F14" s="12">
        <v>64.989999999999995</v>
      </c>
      <c r="G14" s="89"/>
      <c r="H14" s="65" t="s">
        <v>37</v>
      </c>
      <c r="I14" s="112" t="s">
        <v>1337</v>
      </c>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v>20</v>
      </c>
      <c r="D15" s="62" t="s">
        <v>94</v>
      </c>
      <c r="E15" s="12">
        <v>0</v>
      </c>
      <c r="F15" s="12">
        <v>300</v>
      </c>
      <c r="G15" s="89" t="s">
        <v>1338</v>
      </c>
      <c r="H15" s="65" t="s">
        <v>37</v>
      </c>
      <c r="I15" s="112" t="s">
        <v>1339</v>
      </c>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4156.9700000000012</v>
      </c>
      <c r="G16" s="87"/>
      <c r="H16" s="87"/>
      <c r="I16" s="88"/>
      <c r="J16" s="87"/>
      <c r="K16" s="37"/>
      <c r="L16" s="37"/>
      <c r="M16" s="37"/>
      <c r="N16" s="37"/>
      <c r="O16" s="37"/>
      <c r="P16" s="37"/>
      <c r="Q16" s="37"/>
      <c r="R16" s="37"/>
      <c r="S16" s="37"/>
      <c r="T16" s="37"/>
      <c r="U16" s="3"/>
    </row>
    <row r="17" spans="1:22" ht="14.4" hidden="1" outlineLevel="1" x14ac:dyDescent="0.3">
      <c r="A17" s="3"/>
      <c r="B17" s="10" t="s">
        <v>561</v>
      </c>
      <c r="C17" s="62">
        <v>30</v>
      </c>
      <c r="D17" s="62" t="s">
        <v>94</v>
      </c>
      <c r="E17" s="12">
        <v>0</v>
      </c>
      <c r="F17" s="12">
        <v>1380.48</v>
      </c>
      <c r="G17" s="249" t="s">
        <v>1340</v>
      </c>
      <c r="H17" s="65" t="s">
        <v>37</v>
      </c>
      <c r="I17" s="246" t="s">
        <v>1341</v>
      </c>
      <c r="J17" s="65"/>
      <c r="K17" s="37"/>
      <c r="L17" s="37"/>
      <c r="M17" s="37"/>
      <c r="N17" s="37"/>
      <c r="O17" s="37"/>
      <c r="P17" s="37"/>
      <c r="Q17" s="37"/>
      <c r="R17" s="37"/>
      <c r="S17" s="37"/>
      <c r="T17" s="37"/>
      <c r="U17" s="3"/>
    </row>
    <row r="18" spans="1:22" ht="14.4" hidden="1" outlineLevel="1" x14ac:dyDescent="0.3">
      <c r="A18" s="3"/>
      <c r="B18" s="10" t="s">
        <v>563</v>
      </c>
      <c r="C18" s="62">
        <v>30</v>
      </c>
      <c r="D18" s="62" t="s">
        <v>94</v>
      </c>
      <c r="E18" s="12">
        <v>0</v>
      </c>
      <c r="F18" s="12">
        <v>786.24</v>
      </c>
      <c r="G18" s="215"/>
      <c r="H18" s="65" t="s">
        <v>37</v>
      </c>
      <c r="I18" s="215"/>
      <c r="J18" s="65"/>
      <c r="K18" s="37"/>
      <c r="L18" s="37"/>
      <c r="M18" s="37"/>
      <c r="N18" s="37"/>
      <c r="O18" s="37"/>
      <c r="P18" s="37"/>
      <c r="Q18" s="37"/>
      <c r="R18" s="37"/>
      <c r="S18" s="37"/>
      <c r="T18" s="37"/>
      <c r="U18" s="3"/>
    </row>
    <row r="19" spans="1:22" ht="14.4" hidden="1" outlineLevel="1" x14ac:dyDescent="0.3">
      <c r="A19" s="3"/>
      <c r="B19" s="10" t="s">
        <v>564</v>
      </c>
      <c r="C19" s="62">
        <v>30</v>
      </c>
      <c r="D19" s="62" t="s">
        <v>94</v>
      </c>
      <c r="E19" s="12">
        <v>0</v>
      </c>
      <c r="F19" s="12">
        <v>96</v>
      </c>
      <c r="G19" s="215"/>
      <c r="H19" s="65" t="s">
        <v>37</v>
      </c>
      <c r="I19" s="215"/>
      <c r="J19" s="65"/>
      <c r="K19" s="37"/>
      <c r="L19" s="37"/>
      <c r="M19" s="37"/>
      <c r="N19" s="37"/>
      <c r="O19" s="37"/>
      <c r="P19" s="37"/>
      <c r="Q19" s="37"/>
      <c r="R19" s="37"/>
      <c r="S19" s="37"/>
      <c r="T19" s="37"/>
      <c r="U19" s="3"/>
    </row>
    <row r="20" spans="1:22" ht="14.4" hidden="1" outlineLevel="1" x14ac:dyDescent="0.3">
      <c r="A20" s="3"/>
      <c r="B20" s="10" t="s">
        <v>565</v>
      </c>
      <c r="C20" s="62">
        <v>30</v>
      </c>
      <c r="D20" s="62" t="s">
        <v>94</v>
      </c>
      <c r="E20" s="12">
        <v>0</v>
      </c>
      <c r="F20" s="12">
        <v>96</v>
      </c>
      <c r="G20" s="215"/>
      <c r="H20" s="65" t="s">
        <v>37</v>
      </c>
      <c r="I20" s="215"/>
      <c r="J20" s="65"/>
      <c r="K20" s="37"/>
      <c r="L20" s="37"/>
      <c r="M20" s="37"/>
      <c r="N20" s="37"/>
      <c r="O20" s="37"/>
      <c r="P20" s="37"/>
      <c r="Q20" s="37"/>
      <c r="R20" s="37"/>
      <c r="S20" s="37"/>
      <c r="T20" s="37"/>
      <c r="U20" s="3"/>
    </row>
    <row r="21" spans="1:22" ht="14.4" hidden="1" outlineLevel="1" x14ac:dyDescent="0.3">
      <c r="A21" s="3"/>
      <c r="B21" s="10" t="s">
        <v>566</v>
      </c>
      <c r="C21" s="62">
        <v>30</v>
      </c>
      <c r="D21" s="62" t="s">
        <v>94</v>
      </c>
      <c r="E21" s="12">
        <v>0</v>
      </c>
      <c r="F21" s="12">
        <v>384</v>
      </c>
      <c r="G21" s="216"/>
      <c r="H21" s="65" t="s">
        <v>37</v>
      </c>
      <c r="I21" s="216"/>
      <c r="J21" s="65"/>
      <c r="K21" s="37"/>
      <c r="L21" s="37"/>
      <c r="M21" s="37"/>
      <c r="N21" s="37"/>
      <c r="O21" s="37"/>
      <c r="P21" s="37"/>
      <c r="Q21" s="37"/>
      <c r="R21" s="37"/>
      <c r="S21" s="37"/>
      <c r="T21" s="37"/>
      <c r="U21" s="3"/>
    </row>
    <row r="22" spans="1:22" ht="14.4" hidden="1" outlineLevel="1" x14ac:dyDescent="0.3">
      <c r="A22" s="3"/>
      <c r="B22" s="10" t="s">
        <v>567</v>
      </c>
      <c r="C22" s="62">
        <v>15</v>
      </c>
      <c r="D22" s="62" t="s">
        <v>94</v>
      </c>
      <c r="E22" s="12">
        <v>0</v>
      </c>
      <c r="F22" s="12">
        <v>153.6</v>
      </c>
      <c r="G22" s="249" t="s">
        <v>746</v>
      </c>
      <c r="H22" s="65" t="s">
        <v>37</v>
      </c>
      <c r="I22" s="246" t="s">
        <v>1342</v>
      </c>
      <c r="J22" s="65"/>
      <c r="K22" s="37"/>
      <c r="L22" s="37"/>
      <c r="M22" s="37"/>
      <c r="N22" s="37"/>
      <c r="O22" s="37"/>
      <c r="P22" s="37"/>
      <c r="Q22" s="37"/>
      <c r="R22" s="37"/>
      <c r="S22" s="37"/>
      <c r="T22" s="37"/>
      <c r="U22" s="3"/>
      <c r="V22" s="18"/>
    </row>
    <row r="23" spans="1:22" ht="14.4" hidden="1" outlineLevel="1" x14ac:dyDescent="0.3">
      <c r="A23" s="3"/>
      <c r="B23" s="10" t="s">
        <v>570</v>
      </c>
      <c r="C23" s="62">
        <v>15</v>
      </c>
      <c r="D23" s="62" t="s">
        <v>94</v>
      </c>
      <c r="E23" s="12">
        <v>0</v>
      </c>
      <c r="F23" s="12">
        <v>460.8</v>
      </c>
      <c r="G23" s="215"/>
      <c r="H23" s="65" t="s">
        <v>37</v>
      </c>
      <c r="I23" s="215"/>
      <c r="J23" s="65"/>
      <c r="K23" s="37"/>
      <c r="L23" s="37"/>
      <c r="M23" s="37"/>
      <c r="N23" s="37"/>
      <c r="O23" s="37"/>
      <c r="P23" s="37"/>
      <c r="Q23" s="37"/>
      <c r="R23" s="37"/>
      <c r="S23" s="37"/>
      <c r="T23" s="37"/>
      <c r="U23" s="3"/>
      <c r="V23" s="18"/>
    </row>
    <row r="24" spans="1:22" ht="14.4" hidden="1" outlineLevel="1" x14ac:dyDescent="0.3">
      <c r="A24" s="3"/>
      <c r="B24" s="10" t="s">
        <v>571</v>
      </c>
      <c r="C24" s="62">
        <v>15</v>
      </c>
      <c r="D24" s="62" t="s">
        <v>94</v>
      </c>
      <c r="E24" s="12">
        <v>0</v>
      </c>
      <c r="F24" s="12">
        <v>508.8</v>
      </c>
      <c r="G24" s="215"/>
      <c r="H24" s="65" t="s">
        <v>37</v>
      </c>
      <c r="I24" s="215"/>
      <c r="J24" s="65"/>
      <c r="K24" s="37"/>
      <c r="L24" s="37"/>
      <c r="M24" s="37"/>
      <c r="N24" s="37"/>
      <c r="O24" s="37"/>
      <c r="P24" s="37"/>
      <c r="Q24" s="37"/>
      <c r="R24" s="37"/>
      <c r="S24" s="37"/>
      <c r="T24" s="37"/>
      <c r="U24" s="3"/>
      <c r="V24" s="18"/>
    </row>
    <row r="25" spans="1:22" ht="14.4" hidden="1" outlineLevel="1" x14ac:dyDescent="0.3">
      <c r="A25" s="3"/>
      <c r="B25" s="10" t="s">
        <v>572</v>
      </c>
      <c r="C25" s="62">
        <v>15</v>
      </c>
      <c r="D25" s="62" t="s">
        <v>94</v>
      </c>
      <c r="E25" s="12">
        <v>0</v>
      </c>
      <c r="F25" s="12">
        <v>28.8</v>
      </c>
      <c r="G25" s="215"/>
      <c r="H25" s="65" t="s">
        <v>37</v>
      </c>
      <c r="I25" s="215"/>
      <c r="J25" s="65"/>
      <c r="K25" s="37"/>
      <c r="L25" s="37"/>
      <c r="M25" s="37"/>
      <c r="N25" s="37"/>
      <c r="O25" s="37"/>
      <c r="P25" s="37"/>
      <c r="Q25" s="37"/>
      <c r="R25" s="37"/>
      <c r="S25" s="37"/>
      <c r="T25" s="37"/>
      <c r="U25" s="3"/>
      <c r="V25" s="18"/>
    </row>
    <row r="26" spans="1:22" ht="14.4" hidden="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4.4" hidden="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4.4" hidden="1" outlineLevel="1" x14ac:dyDescent="0.3">
      <c r="A28" s="3"/>
      <c r="B28" s="10" t="s">
        <v>575</v>
      </c>
      <c r="C28" s="62"/>
      <c r="D28" s="62"/>
      <c r="E28" s="12">
        <v>0</v>
      </c>
      <c r="F28" s="12">
        <v>0</v>
      </c>
      <c r="G28" s="216"/>
      <c r="H28" s="65"/>
      <c r="I28" s="216"/>
      <c r="J28" s="65"/>
      <c r="K28" s="37"/>
      <c r="L28" s="37"/>
      <c r="M28" s="37"/>
      <c r="N28" s="37"/>
      <c r="O28" s="37"/>
      <c r="P28" s="37"/>
      <c r="Q28" s="37"/>
      <c r="R28" s="37"/>
      <c r="S28" s="37"/>
      <c r="T28" s="37"/>
      <c r="U28" s="3"/>
      <c r="V28" s="18"/>
    </row>
    <row r="29" spans="1:22" ht="14.4" hidden="1" outlineLevel="1" x14ac:dyDescent="0.3">
      <c r="A29" s="3"/>
      <c r="B29" s="10" t="s">
        <v>292</v>
      </c>
      <c r="C29" s="62">
        <v>13</v>
      </c>
      <c r="D29" s="62" t="s">
        <v>94</v>
      </c>
      <c r="E29" s="12">
        <v>0</v>
      </c>
      <c r="F29" s="12">
        <v>108</v>
      </c>
      <c r="G29" s="65"/>
      <c r="H29" s="65" t="s">
        <v>37</v>
      </c>
      <c r="I29" s="112" t="s">
        <v>1343</v>
      </c>
      <c r="J29" s="65"/>
      <c r="K29" s="37"/>
      <c r="L29" s="37"/>
      <c r="M29" s="37"/>
      <c r="N29" s="37"/>
      <c r="O29" s="37"/>
      <c r="P29" s="37"/>
      <c r="Q29" s="37"/>
      <c r="R29" s="37"/>
      <c r="S29" s="37"/>
      <c r="T29" s="37"/>
      <c r="U29" s="3"/>
      <c r="V29" s="18"/>
    </row>
    <row r="30" spans="1:22" ht="14.4" hidden="1" outlineLevel="1" x14ac:dyDescent="0.3">
      <c r="A30" s="3"/>
      <c r="B30" s="10" t="s">
        <v>294</v>
      </c>
      <c r="C30" s="62"/>
      <c r="D30" s="62"/>
      <c r="E30" s="12">
        <v>0</v>
      </c>
      <c r="F30" s="12">
        <v>0</v>
      </c>
      <c r="G30" s="89"/>
      <c r="H30" s="65"/>
      <c r="I30" s="112"/>
      <c r="J30" s="65"/>
      <c r="K30" s="37"/>
      <c r="L30" s="37"/>
      <c r="M30" s="37"/>
      <c r="N30" s="37"/>
      <c r="O30" s="37"/>
      <c r="P30" s="37"/>
      <c r="Q30" s="37"/>
      <c r="R30" s="37"/>
      <c r="S30" s="37"/>
      <c r="T30" s="37"/>
      <c r="U30" s="3"/>
    </row>
    <row r="31" spans="1:22" ht="14.4" hidden="1" outlineLevel="1" x14ac:dyDescent="0.3">
      <c r="A31" s="3"/>
      <c r="B31" s="10" t="s">
        <v>579</v>
      </c>
      <c r="C31" s="62"/>
      <c r="D31" s="62"/>
      <c r="E31" s="12">
        <v>0</v>
      </c>
      <c r="F31" s="12">
        <v>0</v>
      </c>
      <c r="G31" s="65"/>
      <c r="H31" s="65"/>
      <c r="I31" s="112"/>
      <c r="J31" s="65"/>
      <c r="K31" s="37"/>
      <c r="L31" s="37"/>
      <c r="M31" s="37"/>
      <c r="N31" s="37"/>
      <c r="O31" s="37"/>
      <c r="P31" s="37"/>
      <c r="Q31" s="37"/>
      <c r="R31" s="37"/>
      <c r="S31" s="37"/>
      <c r="T31" s="37"/>
      <c r="U31" s="3"/>
    </row>
    <row r="32" spans="1:22" ht="14.4" hidden="1" outlineLevel="1" x14ac:dyDescent="0.3">
      <c r="A32" s="3"/>
      <c r="B32" s="10" t="s">
        <v>582</v>
      </c>
      <c r="C32" s="62"/>
      <c r="D32" s="62"/>
      <c r="E32" s="12">
        <v>0</v>
      </c>
      <c r="F32" s="12">
        <v>0</v>
      </c>
      <c r="G32" s="89"/>
      <c r="H32" s="65"/>
      <c r="I32" s="112"/>
      <c r="J32" s="65"/>
      <c r="K32" s="37"/>
      <c r="L32" s="37"/>
      <c r="M32" s="37"/>
      <c r="N32" s="37"/>
      <c r="O32" s="37"/>
      <c r="P32" s="37"/>
      <c r="Q32" s="37"/>
      <c r="R32" s="37"/>
      <c r="S32" s="37"/>
      <c r="T32" s="37"/>
      <c r="U32" s="3"/>
    </row>
    <row r="33" spans="1:26" ht="14.4" hidden="1" outlineLevel="1" x14ac:dyDescent="0.3">
      <c r="A33" s="3"/>
      <c r="B33" s="10" t="s">
        <v>749</v>
      </c>
      <c r="C33" s="62">
        <v>15</v>
      </c>
      <c r="D33" s="62" t="s">
        <v>94</v>
      </c>
      <c r="E33" s="12">
        <v>0</v>
      </c>
      <c r="F33" s="12">
        <v>154.25</v>
      </c>
      <c r="G33" s="89" t="s">
        <v>1344</v>
      </c>
      <c r="H33" s="65" t="s">
        <v>37</v>
      </c>
      <c r="I33" s="112" t="s">
        <v>1345</v>
      </c>
      <c r="J33" s="65"/>
      <c r="K33" s="37"/>
      <c r="L33" s="37"/>
      <c r="M33" s="37"/>
      <c r="N33" s="37"/>
      <c r="O33" s="37"/>
      <c r="P33" s="37"/>
      <c r="Q33" s="37"/>
      <c r="R33" s="37"/>
      <c r="S33" s="37"/>
      <c r="T33" s="37"/>
      <c r="U33" s="3"/>
    </row>
    <row r="34" spans="1:26" ht="20.399999999999999" collapsed="1" x14ac:dyDescent="0.3">
      <c r="A34" s="3"/>
      <c r="B34" s="84" t="s">
        <v>300</v>
      </c>
      <c r="C34" s="85" t="s">
        <v>43</v>
      </c>
      <c r="D34" s="85" t="s">
        <v>43</v>
      </c>
      <c r="E34" s="86">
        <f>SUM(E35:E37)</f>
        <v>0</v>
      </c>
      <c r="F34" s="86">
        <f>SUMIF(D35:D37,"OK",F35:F37)</f>
        <v>0</v>
      </c>
      <c r="G34" s="87"/>
      <c r="H34" s="87"/>
      <c r="I34" s="88"/>
      <c r="J34" s="87"/>
      <c r="K34" s="37"/>
      <c r="L34" s="37"/>
      <c r="M34" s="37"/>
      <c r="N34" s="37"/>
      <c r="O34" s="37"/>
      <c r="P34" s="37"/>
      <c r="Q34" s="37"/>
      <c r="R34" s="37"/>
      <c r="S34" s="37"/>
      <c r="T34" s="37"/>
      <c r="U34" s="3"/>
      <c r="W34" s="3"/>
      <c r="X34" s="3"/>
      <c r="Y34" s="3"/>
      <c r="Z34" s="3"/>
    </row>
    <row r="35" spans="1:26" ht="14.4" hidden="1" outlineLevel="1" x14ac:dyDescent="0.3">
      <c r="A35" s="3"/>
      <c r="B35" s="10" t="s">
        <v>583</v>
      </c>
      <c r="C35" s="62"/>
      <c r="D35" s="62"/>
      <c r="E35" s="12">
        <v>0</v>
      </c>
      <c r="F35" s="12">
        <v>0</v>
      </c>
      <c r="G35" s="65"/>
      <c r="H35" s="65"/>
      <c r="I35" s="112"/>
      <c r="J35" s="65"/>
      <c r="K35" s="37"/>
      <c r="L35" s="37"/>
      <c r="M35" s="37"/>
      <c r="N35" s="37"/>
      <c r="O35" s="37"/>
      <c r="P35" s="37"/>
      <c r="Q35" s="37"/>
      <c r="R35" s="37"/>
      <c r="S35" s="37"/>
      <c r="T35" s="37"/>
      <c r="U35" s="3"/>
      <c r="W35" s="3"/>
      <c r="X35" s="3"/>
      <c r="Y35" s="3"/>
      <c r="Z35" s="3"/>
    </row>
    <row r="36" spans="1:26" ht="14.4" hidden="1" outlineLevel="1" x14ac:dyDescent="0.3">
      <c r="A36" s="3"/>
      <c r="B36" s="10" t="s">
        <v>753</v>
      </c>
      <c r="C36" s="62"/>
      <c r="D36" s="62"/>
      <c r="E36" s="12">
        <v>0</v>
      </c>
      <c r="F36" s="12">
        <v>0</v>
      </c>
      <c r="G36" s="65"/>
      <c r="H36" s="65"/>
      <c r="I36" s="112"/>
      <c r="J36" s="65"/>
      <c r="K36" s="37"/>
      <c r="L36" s="37"/>
      <c r="M36" s="37"/>
      <c r="N36" s="37"/>
      <c r="O36" s="37"/>
      <c r="P36" s="37"/>
      <c r="Q36" s="37"/>
      <c r="R36" s="37"/>
      <c r="S36" s="37"/>
      <c r="T36" s="37"/>
      <c r="U36" s="3"/>
      <c r="W36" s="3"/>
      <c r="X36" s="3"/>
      <c r="Y36" s="3"/>
      <c r="Z36" s="3"/>
    </row>
    <row r="37" spans="1:26" ht="14.4" hidden="1" outlineLevel="1" x14ac:dyDescent="0.3">
      <c r="A37" s="3"/>
      <c r="B37" s="10" t="s">
        <v>305</v>
      </c>
      <c r="C37" s="62"/>
      <c r="D37" s="62"/>
      <c r="E37" s="12">
        <v>0</v>
      </c>
      <c r="F37" s="12">
        <v>0</v>
      </c>
      <c r="G37" s="65"/>
      <c r="H37" s="65"/>
      <c r="I37" s="112"/>
      <c r="J37" s="65"/>
      <c r="K37" s="37"/>
      <c r="L37" s="37"/>
      <c r="M37" s="37"/>
      <c r="N37" s="37"/>
      <c r="O37" s="37"/>
      <c r="P37" s="37"/>
      <c r="Q37" s="37"/>
      <c r="R37" s="37"/>
      <c r="S37" s="37"/>
      <c r="T37" s="37"/>
      <c r="U37" s="3"/>
      <c r="W37" s="3"/>
      <c r="X37" s="3"/>
      <c r="Y37" s="3"/>
      <c r="Z37" s="3"/>
    </row>
    <row r="38" spans="1:26" ht="20.399999999999999" collapsed="1" x14ac:dyDescent="0.3">
      <c r="A38" s="3"/>
      <c r="B38" s="84" t="s">
        <v>306</v>
      </c>
      <c r="C38" s="85" t="s">
        <v>43</v>
      </c>
      <c r="D38" s="85" t="s">
        <v>43</v>
      </c>
      <c r="E38" s="86">
        <f>SUM(E39:E62)</f>
        <v>0</v>
      </c>
      <c r="F38" s="86">
        <f>SUMIF(D39:D62,"OK",F39:F62)</f>
        <v>5371.13</v>
      </c>
      <c r="G38" s="87"/>
      <c r="H38" s="87"/>
      <c r="I38" s="88"/>
      <c r="J38" s="87"/>
      <c r="K38" s="37"/>
      <c r="L38" s="37"/>
      <c r="M38" s="37"/>
      <c r="N38" s="37"/>
      <c r="O38" s="37"/>
      <c r="P38" s="37"/>
      <c r="Q38" s="37"/>
      <c r="R38" s="37"/>
      <c r="S38" s="37"/>
      <c r="T38" s="37"/>
      <c r="U38" s="3"/>
      <c r="W38" s="3"/>
      <c r="X38" s="3"/>
      <c r="Y38" s="3"/>
      <c r="Z38" s="3"/>
    </row>
    <row r="39" spans="1:26" ht="14.4" hidden="1" outlineLevel="1" x14ac:dyDescent="0.3">
      <c r="A39" s="3"/>
      <c r="B39" s="10" t="s">
        <v>307</v>
      </c>
      <c r="C39" s="62">
        <v>20</v>
      </c>
      <c r="D39" s="62" t="s">
        <v>94</v>
      </c>
      <c r="E39" s="12">
        <v>0</v>
      </c>
      <c r="F39" s="12">
        <v>1098.8800000000001</v>
      </c>
      <c r="G39" s="65"/>
      <c r="H39" s="65" t="s">
        <v>37</v>
      </c>
      <c r="I39" s="112" t="s">
        <v>1346</v>
      </c>
      <c r="J39" s="65"/>
      <c r="K39" s="37"/>
      <c r="L39" s="37"/>
      <c r="M39" s="37"/>
      <c r="N39" s="37"/>
      <c r="O39" s="37"/>
      <c r="P39" s="37"/>
      <c r="Q39" s="37"/>
      <c r="R39" s="37"/>
      <c r="S39" s="37"/>
      <c r="T39" s="37"/>
      <c r="U39" s="3"/>
      <c r="W39" s="3"/>
      <c r="X39" s="3"/>
      <c r="Y39" s="3"/>
      <c r="Z39" s="3"/>
    </row>
    <row r="40" spans="1:26" ht="14.4" hidden="1" outlineLevel="1" x14ac:dyDescent="0.3">
      <c r="A40" s="3"/>
      <c r="B40" s="10" t="s">
        <v>589</v>
      </c>
      <c r="C40" s="62">
        <v>22</v>
      </c>
      <c r="D40" s="62" t="s">
        <v>94</v>
      </c>
      <c r="E40" s="12">
        <v>0</v>
      </c>
      <c r="F40" s="12">
        <v>650</v>
      </c>
      <c r="G40" s="65"/>
      <c r="H40" s="65" t="s">
        <v>37</v>
      </c>
      <c r="I40" s="112" t="s">
        <v>1347</v>
      </c>
      <c r="J40" s="65"/>
      <c r="K40" s="37"/>
      <c r="L40" s="37"/>
      <c r="M40" s="37"/>
      <c r="N40" s="37"/>
      <c r="O40" s="37"/>
      <c r="P40" s="37"/>
      <c r="Q40" s="37"/>
      <c r="R40" s="37"/>
      <c r="S40" s="37"/>
      <c r="T40" s="37"/>
      <c r="U40" s="3"/>
      <c r="W40" s="3"/>
      <c r="X40" s="3"/>
      <c r="Y40" s="3"/>
      <c r="Z40" s="3"/>
    </row>
    <row r="41" spans="1:26" ht="14.4" hidden="1" outlineLevel="1" x14ac:dyDescent="0.3">
      <c r="A41" s="3"/>
      <c r="B41" s="10" t="s">
        <v>756</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4.4" hidden="1" outlineLevel="1" x14ac:dyDescent="0.3">
      <c r="A42" s="3"/>
      <c r="B42" s="10" t="s">
        <v>314</v>
      </c>
      <c r="C42" s="62">
        <v>15</v>
      </c>
      <c r="D42" s="62" t="s">
        <v>94</v>
      </c>
      <c r="E42" s="12">
        <v>0</v>
      </c>
      <c r="F42" s="12">
        <v>84.9</v>
      </c>
      <c r="G42" s="65"/>
      <c r="H42" s="65" t="s">
        <v>37</v>
      </c>
      <c r="I42" s="112" t="s">
        <v>1348</v>
      </c>
      <c r="J42" s="65"/>
      <c r="K42" s="37"/>
      <c r="L42" s="37"/>
      <c r="M42" s="37"/>
      <c r="N42" s="37"/>
      <c r="O42" s="37"/>
      <c r="P42" s="37"/>
      <c r="Q42" s="37"/>
      <c r="R42" s="37"/>
      <c r="S42" s="37"/>
      <c r="T42" s="37"/>
      <c r="U42" s="3"/>
      <c r="W42" s="3"/>
      <c r="X42" s="3"/>
      <c r="Y42" s="3"/>
      <c r="Z42" s="3"/>
    </row>
    <row r="43" spans="1:26" ht="14.4" hidden="1" outlineLevel="1" x14ac:dyDescent="0.3">
      <c r="A43" s="3"/>
      <c r="B43" s="10" t="s">
        <v>1193</v>
      </c>
      <c r="C43" s="62">
        <v>2</v>
      </c>
      <c r="D43" s="62" t="s">
        <v>94</v>
      </c>
      <c r="E43" s="12">
        <v>0</v>
      </c>
      <c r="F43" s="12">
        <v>264.02</v>
      </c>
      <c r="G43" s="65" t="s">
        <v>1349</v>
      </c>
      <c r="H43" s="65" t="s">
        <v>37</v>
      </c>
      <c r="I43" s="112" t="s">
        <v>1350</v>
      </c>
      <c r="J43" s="65"/>
      <c r="K43" s="37"/>
      <c r="L43" s="37"/>
      <c r="M43" s="37"/>
      <c r="N43" s="37"/>
      <c r="O43" s="37"/>
      <c r="P43" s="37"/>
      <c r="Q43" s="37"/>
      <c r="R43" s="37"/>
      <c r="S43" s="37"/>
      <c r="T43" s="37"/>
      <c r="U43" s="3"/>
      <c r="W43" s="3"/>
      <c r="X43" s="3"/>
      <c r="Y43" s="3"/>
      <c r="Z43" s="3"/>
    </row>
    <row r="44" spans="1:26" ht="14.4" hidden="1" outlineLevel="1" x14ac:dyDescent="0.3">
      <c r="A44" s="3"/>
      <c r="B44" s="10" t="s">
        <v>1196</v>
      </c>
      <c r="C44" s="62">
        <v>2</v>
      </c>
      <c r="D44" s="62" t="s">
        <v>94</v>
      </c>
      <c r="E44" s="12">
        <v>0</v>
      </c>
      <c r="F44" s="12">
        <v>448.33</v>
      </c>
      <c r="G44" s="65" t="s">
        <v>1351</v>
      </c>
      <c r="H44" s="65" t="s">
        <v>37</v>
      </c>
      <c r="I44" s="112" t="s">
        <v>1352</v>
      </c>
      <c r="J44" s="65"/>
      <c r="K44" s="37"/>
      <c r="L44" s="37"/>
      <c r="M44" s="37"/>
      <c r="N44" s="37"/>
      <c r="O44" s="37"/>
      <c r="P44" s="37"/>
      <c r="Q44" s="37"/>
      <c r="R44" s="37"/>
      <c r="S44" s="37"/>
      <c r="T44" s="37"/>
      <c r="U44" s="3"/>
      <c r="W44" s="3"/>
      <c r="X44" s="3"/>
      <c r="Y44" s="3"/>
      <c r="Z44" s="3"/>
    </row>
    <row r="45" spans="1:26" ht="14.4" hidden="1" outlineLevel="1" x14ac:dyDescent="0.3">
      <c r="A45" s="3"/>
      <c r="B45" s="10" t="s">
        <v>1353</v>
      </c>
      <c r="C45" s="62">
        <v>12</v>
      </c>
      <c r="D45" s="62" t="s">
        <v>94</v>
      </c>
      <c r="E45" s="12">
        <v>0</v>
      </c>
      <c r="F45" s="12">
        <v>115</v>
      </c>
      <c r="G45" s="65"/>
      <c r="H45" s="65" t="s">
        <v>37</v>
      </c>
      <c r="I45" s="112" t="s">
        <v>1354</v>
      </c>
      <c r="J45" s="65"/>
      <c r="K45" s="37"/>
      <c r="L45" s="37"/>
      <c r="M45" s="37"/>
      <c r="N45" s="37"/>
      <c r="O45" s="37"/>
      <c r="P45" s="37"/>
      <c r="Q45" s="37"/>
      <c r="R45" s="37"/>
      <c r="S45" s="37"/>
      <c r="T45" s="37"/>
      <c r="U45" s="3"/>
      <c r="W45" s="3"/>
      <c r="X45" s="3"/>
      <c r="Y45" s="3"/>
      <c r="Z45" s="3"/>
    </row>
    <row r="46" spans="1:26" ht="14.4" hidden="1" outlineLevel="1" x14ac:dyDescent="0.3">
      <c r="A46" s="3"/>
      <c r="B46" s="10" t="s">
        <v>1355</v>
      </c>
      <c r="C46" s="62">
        <v>19</v>
      </c>
      <c r="D46" s="62" t="s">
        <v>94</v>
      </c>
      <c r="E46" s="12">
        <v>0</v>
      </c>
      <c r="F46" s="12">
        <v>260</v>
      </c>
      <c r="G46" s="65"/>
      <c r="H46" s="65" t="s">
        <v>37</v>
      </c>
      <c r="I46" s="112" t="s">
        <v>1356</v>
      </c>
      <c r="J46" s="65"/>
      <c r="K46" s="37"/>
      <c r="L46" s="37"/>
      <c r="M46" s="37"/>
      <c r="N46" s="37"/>
      <c r="O46" s="37"/>
      <c r="P46" s="37"/>
      <c r="Q46" s="37"/>
      <c r="R46" s="37"/>
      <c r="S46" s="37"/>
      <c r="T46" s="37"/>
      <c r="U46" s="3"/>
      <c r="W46" s="3"/>
      <c r="X46" s="3"/>
      <c r="Y46" s="3"/>
      <c r="Z46" s="3"/>
    </row>
    <row r="47" spans="1:26" ht="14.4" hidden="1" outlineLevel="1" x14ac:dyDescent="0.3">
      <c r="A47" s="3"/>
      <c r="B47" s="10" t="s">
        <v>1357</v>
      </c>
      <c r="C47" s="62">
        <v>4</v>
      </c>
      <c r="D47" s="62" t="s">
        <v>94</v>
      </c>
      <c r="E47" s="12">
        <v>0</v>
      </c>
      <c r="F47" s="12">
        <v>2000</v>
      </c>
      <c r="G47" s="65"/>
      <c r="H47" s="65" t="s">
        <v>39</v>
      </c>
      <c r="I47" s="112" t="s">
        <v>1358</v>
      </c>
      <c r="J47" s="65"/>
      <c r="K47" s="37"/>
      <c r="L47" s="37"/>
      <c r="M47" s="37"/>
      <c r="N47" s="37"/>
      <c r="O47" s="37"/>
      <c r="P47" s="37"/>
      <c r="Q47" s="37"/>
      <c r="R47" s="37"/>
      <c r="S47" s="37"/>
      <c r="T47" s="37"/>
      <c r="U47" s="3"/>
      <c r="W47" s="3"/>
      <c r="X47" s="3"/>
      <c r="Y47" s="3"/>
      <c r="Z47" s="3"/>
    </row>
    <row r="48" spans="1:26" ht="14.4" hidden="1" outlineLevel="1" x14ac:dyDescent="0.3">
      <c r="A48" s="3"/>
      <c r="B48" s="10" t="s">
        <v>1359</v>
      </c>
      <c r="C48" s="62">
        <v>4</v>
      </c>
      <c r="D48" s="62" t="s">
        <v>94</v>
      </c>
      <c r="E48" s="12">
        <v>0</v>
      </c>
      <c r="F48" s="12">
        <v>450</v>
      </c>
      <c r="G48" s="65"/>
      <c r="H48" s="65" t="s">
        <v>39</v>
      </c>
      <c r="I48" s="112" t="s">
        <v>1360</v>
      </c>
      <c r="J48" s="65"/>
      <c r="K48" s="37"/>
      <c r="L48" s="37"/>
      <c r="M48" s="37"/>
      <c r="N48" s="37"/>
      <c r="O48" s="37"/>
      <c r="P48" s="37"/>
      <c r="Q48" s="37"/>
      <c r="R48" s="37"/>
      <c r="S48" s="37"/>
      <c r="T48" s="37"/>
      <c r="U48" s="3"/>
      <c r="W48" s="3"/>
      <c r="X48" s="3"/>
      <c r="Y48" s="3"/>
      <c r="Z48" s="3"/>
    </row>
    <row r="49" spans="1:26" ht="14.4" hidden="1" outlineLevel="1" x14ac:dyDescent="0.3">
      <c r="A49" s="3"/>
      <c r="B49" s="10" t="s">
        <v>50</v>
      </c>
      <c r="C49" s="62"/>
      <c r="D49" s="62"/>
      <c r="E49" s="12">
        <v>0</v>
      </c>
      <c r="F49" s="12">
        <v>0</v>
      </c>
      <c r="G49" s="65"/>
      <c r="H49" s="65"/>
      <c r="I49" s="112"/>
      <c r="J49" s="65"/>
      <c r="K49" s="37"/>
      <c r="L49" s="37"/>
      <c r="M49" s="37"/>
      <c r="N49" s="37"/>
      <c r="O49" s="37"/>
      <c r="P49" s="37"/>
      <c r="Q49" s="37"/>
      <c r="R49" s="37"/>
      <c r="S49" s="37"/>
      <c r="T49" s="37"/>
      <c r="U49" s="3"/>
      <c r="W49" s="3"/>
      <c r="X49" s="3"/>
      <c r="Y49" s="3"/>
      <c r="Z49" s="3"/>
    </row>
    <row r="50" spans="1:26" ht="14.4" hidden="1" outlineLevel="1" x14ac:dyDescent="0.3">
      <c r="A50" s="3"/>
      <c r="B50" s="10" t="s">
        <v>50</v>
      </c>
      <c r="C50" s="62"/>
      <c r="D50" s="62"/>
      <c r="E50" s="12">
        <v>0</v>
      </c>
      <c r="F50" s="12">
        <v>0</v>
      </c>
      <c r="G50" s="65"/>
      <c r="H50" s="65"/>
      <c r="I50" s="112"/>
      <c r="J50" s="65"/>
      <c r="K50" s="37"/>
      <c r="L50" s="37"/>
      <c r="M50" s="37"/>
      <c r="N50" s="37"/>
      <c r="O50" s="37"/>
      <c r="P50" s="37"/>
      <c r="Q50" s="37"/>
      <c r="R50" s="37"/>
      <c r="S50" s="37"/>
      <c r="T50" s="37"/>
      <c r="U50" s="3"/>
      <c r="W50" s="3"/>
      <c r="X50" s="3"/>
      <c r="Y50" s="3"/>
      <c r="Z50" s="3"/>
    </row>
    <row r="51" spans="1:26" ht="14.4" hidden="1" outlineLevel="1" x14ac:dyDescent="0.3">
      <c r="A51" s="3"/>
      <c r="B51" s="10" t="s">
        <v>50</v>
      </c>
      <c r="C51" s="62"/>
      <c r="D51" s="62"/>
      <c r="E51" s="12">
        <v>0</v>
      </c>
      <c r="F51" s="12">
        <v>0</v>
      </c>
      <c r="G51" s="65"/>
      <c r="H51" s="65"/>
      <c r="I51" s="112"/>
      <c r="J51" s="65"/>
      <c r="K51" s="37"/>
      <c r="L51" s="37"/>
      <c r="M51" s="37"/>
      <c r="N51" s="37"/>
      <c r="O51" s="37"/>
      <c r="P51" s="37"/>
      <c r="Q51" s="37"/>
      <c r="R51" s="37"/>
      <c r="S51" s="37"/>
      <c r="T51" s="37"/>
      <c r="U51" s="3"/>
      <c r="W51" s="3"/>
      <c r="X51" s="3"/>
      <c r="Y51" s="3"/>
      <c r="Z51" s="3"/>
    </row>
    <row r="52" spans="1:26" ht="14.4" hidden="1" outlineLevel="1" x14ac:dyDescent="0.3">
      <c r="A52" s="3"/>
      <c r="B52" s="10" t="s">
        <v>50</v>
      </c>
      <c r="C52" s="80"/>
      <c r="D52" s="62"/>
      <c r="E52" s="12">
        <v>0</v>
      </c>
      <c r="F52" s="12">
        <v>0</v>
      </c>
      <c r="G52" s="65"/>
      <c r="H52" s="65"/>
      <c r="I52" s="89"/>
      <c r="J52" s="65"/>
      <c r="K52" s="37"/>
      <c r="L52" s="37"/>
      <c r="M52" s="37"/>
      <c r="N52" s="37"/>
      <c r="O52" s="37"/>
      <c r="P52" s="37"/>
      <c r="Q52" s="37"/>
      <c r="R52" s="37"/>
      <c r="S52" s="37"/>
      <c r="T52" s="37"/>
      <c r="U52" s="3"/>
      <c r="W52" s="3"/>
      <c r="X52" s="3"/>
      <c r="Y52" s="3"/>
      <c r="Z52" s="3"/>
    </row>
    <row r="53" spans="1:26" ht="14.4" hidden="1" outlineLevel="1" x14ac:dyDescent="0.3">
      <c r="A53" s="3"/>
      <c r="B53" s="10" t="s">
        <v>50</v>
      </c>
      <c r="C53" s="62"/>
      <c r="D53" s="62"/>
      <c r="E53" s="12">
        <v>0</v>
      </c>
      <c r="F53" s="12">
        <v>0</v>
      </c>
      <c r="G53" s="65"/>
      <c r="H53" s="65"/>
      <c r="I53" s="112"/>
      <c r="J53" s="65"/>
      <c r="K53" s="37"/>
      <c r="L53" s="37"/>
      <c r="M53" s="37"/>
      <c r="N53" s="37"/>
      <c r="O53" s="37"/>
      <c r="P53" s="37"/>
      <c r="Q53" s="37"/>
      <c r="R53" s="37"/>
      <c r="S53" s="37"/>
      <c r="T53" s="37"/>
      <c r="U53" s="3"/>
      <c r="W53" s="3"/>
      <c r="X53" s="3"/>
      <c r="Y53" s="3"/>
      <c r="Z53" s="3"/>
    </row>
    <row r="54" spans="1:26" ht="14.4" hidden="1" outlineLevel="1" x14ac:dyDescent="0.3">
      <c r="A54" s="3"/>
      <c r="B54" s="10" t="s">
        <v>50</v>
      </c>
      <c r="C54" s="62"/>
      <c r="D54" s="62"/>
      <c r="E54" s="12">
        <v>0</v>
      </c>
      <c r="F54" s="12">
        <v>0</v>
      </c>
      <c r="G54" s="65"/>
      <c r="H54" s="65"/>
      <c r="I54" s="112"/>
      <c r="J54" s="65"/>
      <c r="K54" s="37"/>
      <c r="L54" s="37"/>
      <c r="M54" s="37"/>
      <c r="N54" s="37"/>
      <c r="O54" s="37"/>
      <c r="P54" s="37"/>
      <c r="Q54" s="37"/>
      <c r="R54" s="37"/>
      <c r="S54" s="37"/>
      <c r="T54" s="37"/>
      <c r="U54" s="3"/>
      <c r="W54" s="3"/>
      <c r="X54" s="3"/>
      <c r="Y54" s="3"/>
      <c r="Z54" s="3"/>
    </row>
    <row r="55" spans="1:26" ht="14.4" hidden="1" outlineLevel="1" x14ac:dyDescent="0.3">
      <c r="A55" s="3"/>
      <c r="B55" s="10" t="s">
        <v>50</v>
      </c>
      <c r="C55" s="62"/>
      <c r="D55" s="62"/>
      <c r="E55" s="12">
        <v>0</v>
      </c>
      <c r="F55" s="12">
        <v>0</v>
      </c>
      <c r="G55" s="89"/>
      <c r="H55" s="65"/>
      <c r="I55" s="112"/>
      <c r="J55" s="65"/>
      <c r="K55" s="37"/>
      <c r="L55" s="37"/>
      <c r="M55" s="37"/>
      <c r="N55" s="37"/>
      <c r="O55" s="37"/>
      <c r="P55" s="37"/>
      <c r="Q55" s="37"/>
      <c r="R55" s="37"/>
      <c r="S55" s="37"/>
      <c r="T55" s="37"/>
      <c r="U55" s="3"/>
      <c r="W55" s="3"/>
      <c r="X55" s="3"/>
      <c r="Y55" s="3"/>
      <c r="Z55" s="3"/>
    </row>
    <row r="56" spans="1:26" ht="14.4" hidden="1" outlineLevel="1" x14ac:dyDescent="0.3">
      <c r="A56" s="3"/>
      <c r="B56" s="10" t="s">
        <v>50</v>
      </c>
      <c r="C56" s="62"/>
      <c r="D56" s="62"/>
      <c r="E56" s="12">
        <v>0</v>
      </c>
      <c r="F56" s="12">
        <v>0</v>
      </c>
      <c r="G56" s="89"/>
      <c r="H56" s="65"/>
      <c r="I56" s="112"/>
      <c r="J56" s="65"/>
      <c r="K56" s="37"/>
      <c r="L56" s="37"/>
      <c r="M56" s="37"/>
      <c r="N56" s="37"/>
      <c r="O56" s="37"/>
      <c r="P56" s="37"/>
      <c r="Q56" s="37"/>
      <c r="R56" s="37"/>
      <c r="S56" s="37"/>
      <c r="T56" s="37"/>
      <c r="U56" s="3"/>
      <c r="W56" s="3"/>
      <c r="X56" s="3"/>
      <c r="Y56" s="3"/>
      <c r="Z56" s="3"/>
    </row>
    <row r="57" spans="1:26" ht="14.4" hidden="1" outlineLevel="1" x14ac:dyDescent="0.3">
      <c r="A57" s="3"/>
      <c r="B57" s="10" t="s">
        <v>50</v>
      </c>
      <c r="C57" s="62"/>
      <c r="D57" s="62"/>
      <c r="E57" s="12">
        <v>0</v>
      </c>
      <c r="F57" s="12">
        <v>0</v>
      </c>
      <c r="G57" s="89"/>
      <c r="H57" s="65"/>
      <c r="I57" s="112"/>
      <c r="J57" s="65"/>
      <c r="K57" s="37"/>
      <c r="L57" s="37"/>
      <c r="M57" s="37"/>
      <c r="N57" s="37"/>
      <c r="O57" s="37"/>
      <c r="P57" s="37"/>
      <c r="Q57" s="37"/>
      <c r="R57" s="37"/>
      <c r="S57" s="37"/>
      <c r="T57" s="37"/>
      <c r="U57" s="3"/>
      <c r="W57" s="3"/>
      <c r="X57" s="3"/>
      <c r="Y57" s="3"/>
      <c r="Z57" s="3"/>
    </row>
    <row r="58" spans="1:26" ht="14.4" hidden="1" outlineLevel="1" x14ac:dyDescent="0.3">
      <c r="A58" s="3"/>
      <c r="B58" s="10" t="s">
        <v>50</v>
      </c>
      <c r="C58" s="62"/>
      <c r="D58" s="62"/>
      <c r="E58" s="12">
        <v>0</v>
      </c>
      <c r="F58" s="12">
        <v>0</v>
      </c>
      <c r="G58" s="89"/>
      <c r="H58" s="65"/>
      <c r="I58" s="112"/>
      <c r="J58" s="65"/>
      <c r="K58" s="37"/>
      <c r="L58" s="37"/>
      <c r="M58" s="37"/>
      <c r="N58" s="37"/>
      <c r="O58" s="37"/>
      <c r="P58" s="37"/>
      <c r="Q58" s="37"/>
      <c r="R58" s="37"/>
      <c r="S58" s="37"/>
      <c r="T58" s="37"/>
      <c r="U58" s="3"/>
      <c r="W58" s="3"/>
      <c r="X58" s="3"/>
      <c r="Y58" s="3"/>
      <c r="Z58" s="3"/>
    </row>
    <row r="59" spans="1:26" ht="14.4" hidden="1" outlineLevel="1" x14ac:dyDescent="0.3">
      <c r="A59" s="3"/>
      <c r="B59" s="10" t="s">
        <v>50</v>
      </c>
      <c r="C59" s="62"/>
      <c r="D59" s="62"/>
      <c r="E59" s="12">
        <v>0</v>
      </c>
      <c r="F59" s="12">
        <v>0</v>
      </c>
      <c r="G59" s="89"/>
      <c r="H59" s="65"/>
      <c r="I59" s="112"/>
      <c r="J59" s="65"/>
      <c r="K59" s="37"/>
      <c r="L59" s="37"/>
      <c r="M59" s="37"/>
      <c r="N59" s="37"/>
      <c r="O59" s="37"/>
      <c r="P59" s="37"/>
      <c r="Q59" s="37"/>
      <c r="R59" s="37"/>
      <c r="S59" s="37"/>
      <c r="T59" s="37"/>
      <c r="U59" s="3"/>
      <c r="W59" s="3"/>
      <c r="X59" s="3"/>
      <c r="Y59" s="3"/>
      <c r="Z59" s="3"/>
    </row>
    <row r="60" spans="1:26" ht="14.4" hidden="1" outlineLevel="1" x14ac:dyDescent="0.3">
      <c r="A60" s="3"/>
      <c r="B60" s="10" t="s">
        <v>50</v>
      </c>
      <c r="C60" s="62"/>
      <c r="D60" s="62"/>
      <c r="E60" s="12">
        <v>0</v>
      </c>
      <c r="F60" s="12">
        <v>0</v>
      </c>
      <c r="G60" s="89"/>
      <c r="H60" s="65"/>
      <c r="I60" s="112"/>
      <c r="J60" s="65"/>
      <c r="K60" s="37"/>
      <c r="L60" s="37"/>
      <c r="M60" s="37"/>
      <c r="N60" s="37"/>
      <c r="O60" s="37"/>
      <c r="P60" s="37"/>
      <c r="Q60" s="37"/>
      <c r="R60" s="37"/>
      <c r="S60" s="37"/>
      <c r="T60" s="37"/>
      <c r="U60" s="3"/>
      <c r="W60" s="3"/>
      <c r="X60" s="3"/>
      <c r="Y60" s="3"/>
      <c r="Z60" s="3"/>
    </row>
    <row r="61" spans="1:26" ht="14.4" hidden="1" outlineLevel="1" x14ac:dyDescent="0.3">
      <c r="A61" s="3"/>
      <c r="B61" s="10" t="s">
        <v>50</v>
      </c>
      <c r="C61" s="62"/>
      <c r="D61" s="62"/>
      <c r="E61" s="12">
        <v>0</v>
      </c>
      <c r="F61" s="12">
        <v>0</v>
      </c>
      <c r="G61" s="89"/>
      <c r="H61" s="65"/>
      <c r="I61" s="112"/>
      <c r="J61" s="65"/>
      <c r="K61" s="37"/>
      <c r="L61" s="37"/>
      <c r="M61" s="37"/>
      <c r="N61" s="37"/>
      <c r="O61" s="37"/>
      <c r="P61" s="37"/>
      <c r="Q61" s="37"/>
      <c r="R61" s="37"/>
      <c r="S61" s="37"/>
      <c r="T61" s="37"/>
      <c r="U61" s="3"/>
      <c r="W61" s="3"/>
      <c r="X61" s="3"/>
      <c r="Y61" s="3"/>
      <c r="Z61" s="3"/>
    </row>
    <row r="62" spans="1:26" ht="14.4" hidden="1" outlineLevel="1" x14ac:dyDescent="0.3">
      <c r="A62" s="3"/>
      <c r="B62" s="10" t="s">
        <v>50</v>
      </c>
      <c r="C62" s="62"/>
      <c r="D62" s="62"/>
      <c r="E62" s="12">
        <v>0</v>
      </c>
      <c r="F62" s="12">
        <v>0</v>
      </c>
      <c r="G62" s="65"/>
      <c r="H62" s="65"/>
      <c r="I62" s="112"/>
      <c r="J62" s="65"/>
      <c r="K62" s="37"/>
      <c r="L62" s="37"/>
      <c r="M62" s="37"/>
      <c r="N62" s="37"/>
      <c r="O62" s="37"/>
      <c r="P62" s="37"/>
      <c r="Q62" s="37"/>
      <c r="R62" s="37"/>
      <c r="S62" s="37"/>
      <c r="T62" s="37"/>
      <c r="U62" s="3"/>
      <c r="W62" s="3"/>
      <c r="X62" s="3"/>
      <c r="Y62" s="3"/>
      <c r="Z62" s="3"/>
    </row>
    <row r="63" spans="1:26" ht="20.399999999999999" collapsed="1" x14ac:dyDescent="0.3">
      <c r="A63" s="3"/>
      <c r="B63" s="84" t="s">
        <v>329</v>
      </c>
      <c r="C63" s="85" t="s">
        <v>43</v>
      </c>
      <c r="D63" s="85" t="s">
        <v>43</v>
      </c>
      <c r="E63" s="86">
        <f>SUM(E64:E86)</f>
        <v>0</v>
      </c>
      <c r="F63" s="86">
        <f>SUMIF(D64:D86,"OK",F64:F86)</f>
        <v>2015.98</v>
      </c>
      <c r="G63" s="87"/>
      <c r="H63" s="87"/>
      <c r="I63" s="88"/>
      <c r="J63" s="87"/>
      <c r="K63" s="37"/>
      <c r="L63" s="37"/>
      <c r="M63" s="37"/>
      <c r="N63" s="37"/>
      <c r="O63" s="37"/>
      <c r="P63" s="37"/>
      <c r="Q63" s="37"/>
      <c r="R63" s="37"/>
      <c r="S63" s="37"/>
      <c r="T63" s="37"/>
      <c r="U63" s="3"/>
    </row>
    <row r="64" spans="1:26" ht="14.4" hidden="1" outlineLevel="1" x14ac:dyDescent="0.3">
      <c r="A64" s="3"/>
      <c r="B64" s="10" t="s">
        <v>1199</v>
      </c>
      <c r="C64" s="80">
        <v>6</v>
      </c>
      <c r="D64" s="62" t="s">
        <v>94</v>
      </c>
      <c r="E64" s="12">
        <v>0</v>
      </c>
      <c r="F64" s="12">
        <v>8.5</v>
      </c>
      <c r="G64" s="65"/>
      <c r="H64" s="65" t="s">
        <v>37</v>
      </c>
      <c r="I64" s="112" t="s">
        <v>1361</v>
      </c>
      <c r="J64" s="89"/>
      <c r="K64" s="37"/>
      <c r="L64" s="37"/>
      <c r="M64" s="37"/>
      <c r="N64" s="37"/>
      <c r="O64" s="37"/>
      <c r="P64" s="37"/>
      <c r="Q64" s="37"/>
      <c r="R64" s="37"/>
      <c r="S64" s="37"/>
      <c r="T64" s="37"/>
      <c r="U64" s="3"/>
      <c r="V64" s="18"/>
    </row>
    <row r="65" spans="1:22" ht="14.4" hidden="1" outlineLevel="1" x14ac:dyDescent="0.3">
      <c r="A65" s="3"/>
      <c r="B65" s="10" t="s">
        <v>1199</v>
      </c>
      <c r="C65" s="80">
        <v>6</v>
      </c>
      <c r="D65" s="62" t="s">
        <v>94</v>
      </c>
      <c r="E65" s="12">
        <v>0</v>
      </c>
      <c r="F65" s="12">
        <v>45.56</v>
      </c>
      <c r="G65" s="65"/>
      <c r="H65" s="65" t="s">
        <v>37</v>
      </c>
      <c r="I65" s="112" t="s">
        <v>1362</v>
      </c>
      <c r="J65" s="89"/>
      <c r="K65" s="37"/>
      <c r="L65" s="37"/>
      <c r="M65" s="37"/>
      <c r="N65" s="37"/>
      <c r="O65" s="37"/>
      <c r="P65" s="37"/>
      <c r="Q65" s="37"/>
      <c r="R65" s="37"/>
      <c r="S65" s="37"/>
      <c r="T65" s="37"/>
      <c r="U65" s="3"/>
      <c r="V65" s="18"/>
    </row>
    <row r="66" spans="1:22" ht="14.4" hidden="1" outlineLevel="1" x14ac:dyDescent="0.3">
      <c r="A66" s="3"/>
      <c r="B66" s="10" t="s">
        <v>1199</v>
      </c>
      <c r="C66" s="80">
        <v>7</v>
      </c>
      <c r="D66" s="62" t="s">
        <v>94</v>
      </c>
      <c r="E66" s="12">
        <v>0</v>
      </c>
      <c r="F66" s="12">
        <v>223.35</v>
      </c>
      <c r="G66" s="65"/>
      <c r="H66" s="65" t="s">
        <v>37</v>
      </c>
      <c r="I66" s="112" t="s">
        <v>1363</v>
      </c>
      <c r="J66" s="89"/>
      <c r="K66" s="37"/>
      <c r="L66" s="37"/>
      <c r="M66" s="37"/>
      <c r="N66" s="37"/>
      <c r="O66" s="37"/>
      <c r="P66" s="37"/>
      <c r="Q66" s="37"/>
      <c r="R66" s="37"/>
      <c r="S66" s="37"/>
      <c r="T66" s="37"/>
      <c r="U66" s="3"/>
      <c r="V66" s="18"/>
    </row>
    <row r="67" spans="1:22" ht="14.4" hidden="1" outlineLevel="1" x14ac:dyDescent="0.3">
      <c r="A67" s="3"/>
      <c r="B67" s="10" t="s">
        <v>1199</v>
      </c>
      <c r="C67" s="80">
        <v>8</v>
      </c>
      <c r="D67" s="62" t="s">
        <v>94</v>
      </c>
      <c r="E67" s="12">
        <v>0</v>
      </c>
      <c r="F67" s="12">
        <v>60</v>
      </c>
      <c r="G67" s="65" t="s">
        <v>366</v>
      </c>
      <c r="H67" s="65" t="s">
        <v>37</v>
      </c>
      <c r="I67" s="112" t="s">
        <v>1364</v>
      </c>
      <c r="J67" s="89"/>
      <c r="K67" s="37"/>
      <c r="L67" s="37"/>
      <c r="M67" s="37"/>
      <c r="N67" s="37"/>
      <c r="O67" s="37"/>
      <c r="P67" s="37"/>
      <c r="Q67" s="37"/>
      <c r="R67" s="37"/>
      <c r="S67" s="37"/>
      <c r="T67" s="37"/>
      <c r="U67" s="3"/>
      <c r="V67" s="18"/>
    </row>
    <row r="68" spans="1:22" ht="14.4" hidden="1" outlineLevel="1" x14ac:dyDescent="0.3">
      <c r="A68" s="3"/>
      <c r="B68" s="10" t="s">
        <v>1202</v>
      </c>
      <c r="C68" s="80">
        <v>21</v>
      </c>
      <c r="D68" s="62" t="s">
        <v>94</v>
      </c>
      <c r="E68" s="12">
        <v>0</v>
      </c>
      <c r="F68" s="12">
        <v>435.02</v>
      </c>
      <c r="G68" s="65"/>
      <c r="H68" s="65" t="s">
        <v>37</v>
      </c>
      <c r="I68" s="112" t="s">
        <v>1365</v>
      </c>
      <c r="J68" s="89"/>
      <c r="K68" s="37"/>
      <c r="L68" s="37"/>
      <c r="M68" s="37"/>
      <c r="N68" s="37"/>
      <c r="O68" s="37"/>
      <c r="P68" s="37"/>
      <c r="Q68" s="37"/>
      <c r="R68" s="37"/>
      <c r="S68" s="37"/>
      <c r="T68" s="37"/>
      <c r="U68" s="3"/>
      <c r="V68" s="18"/>
    </row>
    <row r="69" spans="1:22" ht="14.4" hidden="1" outlineLevel="1" x14ac:dyDescent="0.3">
      <c r="A69" s="3"/>
      <c r="B69" s="10" t="s">
        <v>1202</v>
      </c>
      <c r="C69" s="80"/>
      <c r="D69" s="62"/>
      <c r="E69" s="12">
        <v>0</v>
      </c>
      <c r="F69" s="12">
        <v>0</v>
      </c>
      <c r="G69" s="65"/>
      <c r="H69" s="65"/>
      <c r="I69" s="112"/>
      <c r="J69" s="89"/>
      <c r="K69" s="37"/>
      <c r="L69" s="37"/>
      <c r="M69" s="37"/>
      <c r="N69" s="37"/>
      <c r="O69" s="37"/>
      <c r="P69" s="37"/>
      <c r="Q69" s="37"/>
      <c r="R69" s="37"/>
      <c r="S69" s="37"/>
      <c r="T69" s="37"/>
      <c r="U69" s="3"/>
      <c r="V69" s="18"/>
    </row>
    <row r="70" spans="1:22" ht="14.4" hidden="1" outlineLevel="1" x14ac:dyDescent="0.3">
      <c r="A70" s="3"/>
      <c r="B70" s="10" t="s">
        <v>1202</v>
      </c>
      <c r="C70" s="80"/>
      <c r="D70" s="62"/>
      <c r="E70" s="12">
        <v>0</v>
      </c>
      <c r="F70" s="12">
        <v>0</v>
      </c>
      <c r="G70" s="65"/>
      <c r="H70" s="65"/>
      <c r="I70" s="112"/>
      <c r="J70" s="89"/>
      <c r="K70" s="37"/>
      <c r="L70" s="37"/>
      <c r="M70" s="37"/>
      <c r="N70" s="37"/>
      <c r="O70" s="37"/>
      <c r="P70" s="37"/>
      <c r="Q70" s="37"/>
      <c r="R70" s="37"/>
      <c r="S70" s="37"/>
      <c r="T70" s="37"/>
      <c r="U70" s="3"/>
      <c r="V70" s="18"/>
    </row>
    <row r="71" spans="1:22" ht="14.4" hidden="1" outlineLevel="1" x14ac:dyDescent="0.3">
      <c r="A71" s="3"/>
      <c r="B71" s="10" t="s">
        <v>1202</v>
      </c>
      <c r="C71" s="80"/>
      <c r="D71" s="62"/>
      <c r="E71" s="12">
        <v>0</v>
      </c>
      <c r="F71" s="12">
        <v>0</v>
      </c>
      <c r="G71" s="65"/>
      <c r="H71" s="65"/>
      <c r="I71" s="128"/>
      <c r="J71" s="89"/>
      <c r="K71" s="37"/>
      <c r="L71" s="37"/>
      <c r="M71" s="37"/>
      <c r="N71" s="37"/>
      <c r="O71" s="37"/>
      <c r="P71" s="37"/>
      <c r="Q71" s="37"/>
      <c r="R71" s="37"/>
      <c r="S71" s="37"/>
      <c r="T71" s="37"/>
      <c r="U71" s="3"/>
      <c r="V71" s="18"/>
    </row>
    <row r="72" spans="1:22" ht="14.4" hidden="1" outlineLevel="1" x14ac:dyDescent="0.3">
      <c r="A72" s="3"/>
      <c r="B72" s="10" t="s">
        <v>1202</v>
      </c>
      <c r="C72" s="80"/>
      <c r="D72" s="62"/>
      <c r="E72" s="12">
        <v>0</v>
      </c>
      <c r="F72" s="12">
        <v>0</v>
      </c>
      <c r="G72" s="65"/>
      <c r="H72" s="65"/>
      <c r="I72" s="89"/>
      <c r="J72" s="89"/>
      <c r="K72" s="37"/>
      <c r="L72" s="37"/>
      <c r="M72" s="37"/>
      <c r="N72" s="37"/>
      <c r="O72" s="37"/>
      <c r="P72" s="37"/>
      <c r="Q72" s="37"/>
      <c r="R72" s="37"/>
      <c r="S72" s="37"/>
      <c r="T72" s="37"/>
      <c r="U72" s="3"/>
      <c r="V72" s="18"/>
    </row>
    <row r="73" spans="1:22" ht="14.4" hidden="1" outlineLevel="1" x14ac:dyDescent="0.3">
      <c r="A73" s="3"/>
      <c r="B73" s="10" t="s">
        <v>330</v>
      </c>
      <c r="C73" s="80">
        <v>7</v>
      </c>
      <c r="D73" s="62" t="s">
        <v>94</v>
      </c>
      <c r="E73" s="12">
        <v>0</v>
      </c>
      <c r="F73" s="12">
        <v>10.57</v>
      </c>
      <c r="G73" s="65" t="s">
        <v>1366</v>
      </c>
      <c r="H73" s="65" t="s">
        <v>37</v>
      </c>
      <c r="I73" s="112" t="s">
        <v>1367</v>
      </c>
      <c r="J73" s="89"/>
      <c r="K73" s="37"/>
      <c r="L73" s="37"/>
      <c r="M73" s="37"/>
      <c r="N73" s="37"/>
      <c r="O73" s="37"/>
      <c r="P73" s="37"/>
      <c r="Q73" s="37"/>
      <c r="R73" s="37"/>
      <c r="S73" s="37"/>
      <c r="T73" s="37"/>
      <c r="U73" s="3"/>
      <c r="V73" s="18"/>
    </row>
    <row r="74" spans="1:22" ht="14.4" hidden="1" outlineLevel="1" x14ac:dyDescent="0.3">
      <c r="A74" s="3"/>
      <c r="B74" s="10" t="s">
        <v>330</v>
      </c>
      <c r="C74" s="80"/>
      <c r="D74" s="62"/>
      <c r="E74" s="12">
        <v>0</v>
      </c>
      <c r="F74" s="12">
        <v>0</v>
      </c>
      <c r="G74" s="65"/>
      <c r="H74" s="65"/>
      <c r="I74" s="112"/>
      <c r="J74" s="89"/>
      <c r="K74" s="37"/>
      <c r="L74" s="37"/>
      <c r="M74" s="37"/>
      <c r="N74" s="37"/>
      <c r="O74" s="37"/>
      <c r="P74" s="37"/>
      <c r="Q74" s="37"/>
      <c r="R74" s="37"/>
      <c r="S74" s="37"/>
      <c r="T74" s="37"/>
      <c r="U74" s="3"/>
      <c r="V74" s="18"/>
    </row>
    <row r="75" spans="1:22" ht="14.4" hidden="1" outlineLevel="1" x14ac:dyDescent="0.3">
      <c r="A75" s="3"/>
      <c r="B75" s="10" t="s">
        <v>330</v>
      </c>
      <c r="C75" s="80"/>
      <c r="D75" s="62"/>
      <c r="E75" s="12">
        <v>0</v>
      </c>
      <c r="F75" s="12">
        <v>0</v>
      </c>
      <c r="G75" s="65"/>
      <c r="H75" s="65"/>
      <c r="I75" s="89"/>
      <c r="J75" s="89"/>
      <c r="K75" s="37"/>
      <c r="L75" s="37"/>
      <c r="M75" s="37"/>
      <c r="N75" s="37"/>
      <c r="O75" s="37"/>
      <c r="P75" s="37"/>
      <c r="Q75" s="37"/>
      <c r="R75" s="37"/>
      <c r="S75" s="37"/>
      <c r="T75" s="37"/>
      <c r="U75" s="3"/>
      <c r="V75" s="18"/>
    </row>
    <row r="76" spans="1:22" ht="14.4" hidden="1" outlineLevel="1" x14ac:dyDescent="0.3">
      <c r="A76" s="3"/>
      <c r="B76" s="10" t="s">
        <v>330</v>
      </c>
      <c r="C76" s="80"/>
      <c r="D76" s="62"/>
      <c r="E76" s="12">
        <v>0</v>
      </c>
      <c r="F76" s="12">
        <v>0</v>
      </c>
      <c r="G76" s="65"/>
      <c r="H76" s="65"/>
      <c r="I76" s="89"/>
      <c r="J76" s="89"/>
      <c r="K76" s="37"/>
      <c r="L76" s="37"/>
      <c r="M76" s="37"/>
      <c r="N76" s="37"/>
      <c r="O76" s="37"/>
      <c r="P76" s="37"/>
      <c r="Q76" s="37"/>
      <c r="R76" s="37"/>
      <c r="S76" s="37"/>
      <c r="T76" s="37"/>
      <c r="U76" s="3"/>
      <c r="V76" s="18"/>
    </row>
    <row r="77" spans="1:22" ht="14.4" hidden="1" outlineLevel="1" x14ac:dyDescent="0.3">
      <c r="A77" s="3"/>
      <c r="B77" s="10" t="s">
        <v>334</v>
      </c>
      <c r="C77" s="62">
        <v>3</v>
      </c>
      <c r="D77" s="62" t="s">
        <v>94</v>
      </c>
      <c r="E77" s="12">
        <v>0</v>
      </c>
      <c r="F77" s="12">
        <v>176</v>
      </c>
      <c r="G77" s="65"/>
      <c r="H77" s="65" t="s">
        <v>37</v>
      </c>
      <c r="I77" s="112" t="s">
        <v>1368</v>
      </c>
      <c r="J77" s="65"/>
      <c r="K77" s="37"/>
      <c r="L77" s="37"/>
      <c r="M77" s="37"/>
      <c r="N77" s="37"/>
      <c r="O77" s="37"/>
      <c r="P77" s="37"/>
      <c r="Q77" s="37"/>
      <c r="R77" s="37"/>
      <c r="S77" s="37"/>
      <c r="T77" s="37"/>
      <c r="U77" s="3"/>
    </row>
    <row r="78" spans="1:22" ht="14.4" hidden="1" outlineLevel="1" x14ac:dyDescent="0.3">
      <c r="A78" s="3"/>
      <c r="B78" s="10" t="s">
        <v>334</v>
      </c>
      <c r="C78" s="62"/>
      <c r="D78" s="62"/>
      <c r="E78" s="12">
        <v>0</v>
      </c>
      <c r="F78" s="12">
        <v>0</v>
      </c>
      <c r="G78" s="65"/>
      <c r="H78" s="65"/>
      <c r="I78" s="89"/>
      <c r="J78" s="65"/>
      <c r="K78" s="37"/>
      <c r="L78" s="37"/>
      <c r="M78" s="37"/>
      <c r="N78" s="37"/>
      <c r="O78" s="37"/>
      <c r="P78" s="37"/>
      <c r="Q78" s="37"/>
      <c r="R78" s="37"/>
      <c r="S78" s="37"/>
      <c r="T78" s="37"/>
      <c r="U78" s="3"/>
    </row>
    <row r="79" spans="1:22" ht="14.4" hidden="1" outlineLevel="1" x14ac:dyDescent="0.3">
      <c r="A79" s="3"/>
      <c r="B79" s="10" t="s">
        <v>627</v>
      </c>
      <c r="C79" s="80">
        <v>7</v>
      </c>
      <c r="D79" s="62" t="s">
        <v>94</v>
      </c>
      <c r="E79" s="12">
        <v>0</v>
      </c>
      <c r="F79" s="12">
        <v>552.84</v>
      </c>
      <c r="G79" s="65"/>
      <c r="H79" s="65" t="s">
        <v>37</v>
      </c>
      <c r="I79" s="112" t="s">
        <v>1369</v>
      </c>
      <c r="J79" s="89"/>
      <c r="K79" s="37"/>
      <c r="L79" s="37"/>
      <c r="M79" s="37"/>
      <c r="N79" s="37"/>
      <c r="O79" s="37"/>
      <c r="P79" s="37"/>
      <c r="Q79" s="37"/>
      <c r="R79" s="37"/>
      <c r="S79" s="37"/>
      <c r="T79" s="37"/>
      <c r="U79" s="3"/>
    </row>
    <row r="80" spans="1:22" ht="14.4" hidden="1" outlineLevel="1" x14ac:dyDescent="0.3">
      <c r="A80" s="3"/>
      <c r="B80" s="10" t="s">
        <v>627</v>
      </c>
      <c r="C80" s="80"/>
      <c r="D80" s="62"/>
      <c r="E80" s="12">
        <v>0</v>
      </c>
      <c r="F80" s="12">
        <v>0</v>
      </c>
      <c r="G80" s="65"/>
      <c r="H80" s="65"/>
      <c r="I80" s="112"/>
      <c r="J80" s="89"/>
      <c r="K80" s="37"/>
      <c r="L80" s="37"/>
      <c r="M80" s="37"/>
      <c r="N80" s="37"/>
      <c r="O80" s="37"/>
      <c r="P80" s="37"/>
      <c r="Q80" s="37"/>
      <c r="R80" s="37"/>
      <c r="S80" s="37"/>
      <c r="T80" s="37"/>
      <c r="U80" s="3"/>
    </row>
    <row r="81" spans="1:26" ht="14.4" hidden="1" outlineLevel="1" x14ac:dyDescent="0.3">
      <c r="A81" s="3"/>
      <c r="B81" s="10" t="s">
        <v>629</v>
      </c>
      <c r="C81" s="80">
        <v>23</v>
      </c>
      <c r="D81" s="62" t="s">
        <v>94</v>
      </c>
      <c r="E81" s="12">
        <v>0</v>
      </c>
      <c r="F81" s="12">
        <v>397.59</v>
      </c>
      <c r="G81" s="65" t="s">
        <v>1370</v>
      </c>
      <c r="H81" s="65" t="s">
        <v>37</v>
      </c>
      <c r="I81" s="112" t="s">
        <v>1371</v>
      </c>
      <c r="J81" s="89"/>
      <c r="K81" s="37"/>
      <c r="L81" s="37"/>
      <c r="M81" s="37"/>
      <c r="N81" s="37"/>
      <c r="O81" s="37"/>
      <c r="P81" s="37"/>
      <c r="Q81" s="37"/>
      <c r="R81" s="37"/>
      <c r="S81" s="37"/>
      <c r="T81" s="37"/>
      <c r="U81" s="3"/>
    </row>
    <row r="82" spans="1:26" ht="14.4" hidden="1" outlineLevel="1" x14ac:dyDescent="0.3">
      <c r="A82" s="3"/>
      <c r="B82" s="10" t="s">
        <v>629</v>
      </c>
      <c r="C82" s="80">
        <v>23</v>
      </c>
      <c r="D82" s="62" t="s">
        <v>94</v>
      </c>
      <c r="E82" s="12">
        <v>0</v>
      </c>
      <c r="F82" s="12">
        <v>106.55</v>
      </c>
      <c r="G82" s="65" t="s">
        <v>1370</v>
      </c>
      <c r="H82" s="65" t="s">
        <v>37</v>
      </c>
      <c r="I82" s="112" t="s">
        <v>1372</v>
      </c>
      <c r="J82" s="89"/>
      <c r="K82" s="37"/>
      <c r="L82" s="37"/>
      <c r="M82" s="37"/>
      <c r="N82" s="37"/>
      <c r="O82" s="37"/>
      <c r="P82" s="37"/>
      <c r="Q82" s="37"/>
      <c r="R82" s="37"/>
      <c r="S82" s="37"/>
      <c r="T82" s="37"/>
      <c r="U82" s="3"/>
    </row>
    <row r="83" spans="1:26" ht="14.4" hidden="1" outlineLevel="1" x14ac:dyDescent="0.3">
      <c r="A83" s="3"/>
      <c r="B83" s="10" t="s">
        <v>629</v>
      </c>
      <c r="C83" s="80"/>
      <c r="D83" s="62"/>
      <c r="E83" s="12">
        <v>0</v>
      </c>
      <c r="F83" s="12">
        <v>0</v>
      </c>
      <c r="G83" s="65"/>
      <c r="H83" s="65"/>
      <c r="I83" s="112"/>
      <c r="J83" s="89"/>
      <c r="K83" s="37"/>
      <c r="L83" s="37"/>
      <c r="M83" s="37"/>
      <c r="N83" s="37"/>
      <c r="O83" s="37"/>
      <c r="P83" s="37"/>
      <c r="Q83" s="37"/>
      <c r="R83" s="37"/>
      <c r="S83" s="37"/>
      <c r="T83" s="37"/>
      <c r="U83" s="3"/>
    </row>
    <row r="84" spans="1:26" ht="14.4" hidden="1" outlineLevel="1" x14ac:dyDescent="0.3">
      <c r="A84" s="3"/>
      <c r="B84" s="10" t="s">
        <v>65</v>
      </c>
      <c r="C84" s="80"/>
      <c r="D84" s="62"/>
      <c r="E84" s="12">
        <v>0</v>
      </c>
      <c r="F84" s="12">
        <v>0</v>
      </c>
      <c r="G84" s="65"/>
      <c r="H84" s="65"/>
      <c r="I84" s="112"/>
      <c r="J84" s="65"/>
      <c r="K84" s="37"/>
      <c r="L84" s="37"/>
      <c r="M84" s="37"/>
      <c r="N84" s="37"/>
      <c r="O84" s="37"/>
      <c r="P84" s="37"/>
      <c r="Q84" s="37"/>
      <c r="R84" s="37"/>
      <c r="S84" s="37"/>
      <c r="T84" s="37"/>
      <c r="U84" s="3"/>
      <c r="W84" s="3"/>
      <c r="X84" s="3"/>
      <c r="Y84" s="3"/>
      <c r="Z84" s="3"/>
    </row>
    <row r="85" spans="1:26" ht="14.4" hidden="1" outlineLevel="1" x14ac:dyDescent="0.3">
      <c r="A85" s="3"/>
      <c r="B85" s="10" t="s">
        <v>65</v>
      </c>
      <c r="C85" s="62"/>
      <c r="D85" s="62"/>
      <c r="E85" s="12">
        <v>0</v>
      </c>
      <c r="F85" s="12">
        <v>0</v>
      </c>
      <c r="G85" s="65"/>
      <c r="H85" s="65"/>
      <c r="I85" s="112"/>
      <c r="J85" s="65"/>
      <c r="K85" s="37"/>
      <c r="L85" s="37"/>
      <c r="M85" s="37"/>
      <c r="N85" s="37"/>
      <c r="O85" s="37"/>
      <c r="P85" s="37"/>
      <c r="Q85" s="37"/>
      <c r="R85" s="37"/>
      <c r="S85" s="37"/>
      <c r="T85" s="37"/>
      <c r="U85" s="3"/>
      <c r="W85" s="3"/>
      <c r="X85" s="3"/>
      <c r="Y85" s="3"/>
      <c r="Z85" s="3"/>
    </row>
    <row r="86" spans="1:26" ht="14.4" hidden="1" outlineLevel="1" x14ac:dyDescent="0.3">
      <c r="A86" s="3"/>
      <c r="B86" s="10" t="s">
        <v>811</v>
      </c>
      <c r="C86" s="62"/>
      <c r="D86" s="62"/>
      <c r="E86" s="12">
        <v>0</v>
      </c>
      <c r="F86" s="12">
        <v>0</v>
      </c>
      <c r="G86" s="89"/>
      <c r="H86" s="65"/>
      <c r="I86" s="112"/>
      <c r="J86" s="65"/>
      <c r="K86" s="37"/>
      <c r="L86" s="37"/>
      <c r="M86" s="37"/>
      <c r="N86" s="37"/>
      <c r="O86" s="37"/>
      <c r="P86" s="37"/>
      <c r="Q86" s="37"/>
      <c r="R86" s="37"/>
      <c r="S86" s="37"/>
      <c r="T86" s="37"/>
      <c r="U86" s="3"/>
      <c r="W86" s="3"/>
      <c r="X86" s="3"/>
      <c r="Y86" s="3"/>
      <c r="Z86" s="3"/>
    </row>
    <row r="87" spans="1:26" ht="20.399999999999999" collapsed="1" x14ac:dyDescent="0.3">
      <c r="A87" s="3"/>
      <c r="B87" s="84" t="s">
        <v>348</v>
      </c>
      <c r="C87" s="85" t="s">
        <v>43</v>
      </c>
      <c r="D87" s="85" t="s">
        <v>43</v>
      </c>
      <c r="E87" s="86">
        <f t="shared" ref="E87:F87" si="0">SUM(E88,E104,E109)</f>
        <v>0</v>
      </c>
      <c r="F87" s="86">
        <f t="shared" si="0"/>
        <v>0</v>
      </c>
      <c r="G87" s="87"/>
      <c r="H87" s="87"/>
      <c r="I87" s="88"/>
      <c r="J87" s="87"/>
      <c r="K87" s="37"/>
      <c r="L87" s="37"/>
      <c r="M87" s="37"/>
      <c r="N87" s="37"/>
      <c r="O87" s="37"/>
      <c r="P87" s="37"/>
      <c r="Q87" s="37"/>
      <c r="R87" s="37"/>
      <c r="S87" s="37"/>
      <c r="T87" s="37"/>
      <c r="U87" s="3"/>
      <c r="W87" s="3"/>
      <c r="X87" s="3"/>
      <c r="Y87" s="3"/>
      <c r="Z87" s="3"/>
    </row>
    <row r="88" spans="1:26" hidden="1" outlineLevel="1" x14ac:dyDescent="0.3">
      <c r="A88" s="3"/>
      <c r="B88" s="91" t="s">
        <v>349</v>
      </c>
      <c r="C88" s="92"/>
      <c r="D88" s="92"/>
      <c r="E88" s="93">
        <f>SUM(E89:E103)</f>
        <v>0</v>
      </c>
      <c r="F88" s="93">
        <f>SUMIF(D89:D103,"OK",F89:F103)</f>
        <v>0</v>
      </c>
      <c r="G88" s="94"/>
      <c r="H88" s="94"/>
      <c r="I88" s="95"/>
      <c r="J88" s="94"/>
      <c r="K88" s="37"/>
      <c r="L88" s="37"/>
      <c r="M88" s="37"/>
      <c r="N88" s="37"/>
      <c r="O88" s="37"/>
      <c r="P88" s="37"/>
      <c r="Q88" s="37"/>
      <c r="R88" s="37"/>
      <c r="S88" s="37"/>
      <c r="T88" s="37"/>
      <c r="U88" s="3"/>
      <c r="W88" s="3"/>
      <c r="X88" s="3"/>
      <c r="Y88" s="3"/>
      <c r="Z88" s="3"/>
    </row>
    <row r="89" spans="1:26" ht="14.4" hidden="1" outlineLevel="1" x14ac:dyDescent="0.3">
      <c r="A89" s="3"/>
      <c r="B89" s="10" t="s">
        <v>362</v>
      </c>
      <c r="C89" s="62"/>
      <c r="D89" s="62"/>
      <c r="E89" s="12">
        <v>0</v>
      </c>
      <c r="F89" s="12">
        <v>0</v>
      </c>
      <c r="G89" s="65"/>
      <c r="H89" s="65"/>
      <c r="I89" s="112"/>
      <c r="J89" s="65"/>
      <c r="K89" s="37"/>
      <c r="L89" s="37"/>
      <c r="M89" s="37"/>
      <c r="N89" s="37"/>
      <c r="O89" s="37"/>
      <c r="P89" s="37"/>
      <c r="Q89" s="37"/>
      <c r="R89" s="37"/>
      <c r="S89" s="37"/>
      <c r="T89" s="37"/>
      <c r="U89" s="3"/>
      <c r="W89" s="3"/>
      <c r="X89" s="3"/>
      <c r="Y89" s="3"/>
      <c r="Z89" s="3"/>
    </row>
    <row r="90" spans="1:26" ht="14.4" hidden="1" outlineLevel="1" x14ac:dyDescent="0.3">
      <c r="A90" s="3"/>
      <c r="B90" s="10" t="s">
        <v>362</v>
      </c>
      <c r="C90" s="62"/>
      <c r="D90" s="62"/>
      <c r="E90" s="12">
        <v>0</v>
      </c>
      <c r="F90" s="12">
        <v>0</v>
      </c>
      <c r="G90" s="65"/>
      <c r="H90" s="65"/>
      <c r="I90" s="112"/>
      <c r="J90" s="65"/>
      <c r="K90" s="37"/>
      <c r="L90" s="37"/>
      <c r="M90" s="37"/>
      <c r="N90" s="37"/>
      <c r="O90" s="37"/>
      <c r="P90" s="37"/>
      <c r="Q90" s="37"/>
      <c r="R90" s="37"/>
      <c r="S90" s="37"/>
      <c r="T90" s="37"/>
      <c r="U90" s="3"/>
      <c r="W90" s="3"/>
      <c r="X90" s="3"/>
      <c r="Y90" s="3"/>
      <c r="Z90" s="3"/>
    </row>
    <row r="91" spans="1:26" ht="14.4" hidden="1" outlineLevel="1" x14ac:dyDescent="0.3">
      <c r="A91" s="3"/>
      <c r="B91" s="10" t="s">
        <v>362</v>
      </c>
      <c r="C91" s="62"/>
      <c r="D91" s="62"/>
      <c r="E91" s="12">
        <v>0</v>
      </c>
      <c r="F91" s="12">
        <v>0</v>
      </c>
      <c r="G91" s="65"/>
      <c r="H91" s="65"/>
      <c r="I91" s="112"/>
      <c r="J91" s="65"/>
      <c r="K91" s="37"/>
      <c r="L91" s="37"/>
      <c r="M91" s="37"/>
      <c r="N91" s="37"/>
      <c r="O91" s="37"/>
      <c r="P91" s="37"/>
      <c r="Q91" s="37"/>
      <c r="R91" s="37"/>
      <c r="S91" s="37"/>
      <c r="T91" s="37"/>
      <c r="U91" s="3"/>
      <c r="W91" s="3"/>
      <c r="X91" s="3"/>
      <c r="Y91" s="3"/>
      <c r="Z91" s="3"/>
    </row>
    <row r="92" spans="1:26" ht="14.4" hidden="1" outlineLevel="1" x14ac:dyDescent="0.3">
      <c r="A92" s="3"/>
      <c r="B92" s="10" t="s">
        <v>362</v>
      </c>
      <c r="C92" s="62"/>
      <c r="D92" s="62"/>
      <c r="E92" s="12">
        <v>0</v>
      </c>
      <c r="F92" s="12">
        <v>0</v>
      </c>
      <c r="G92" s="65"/>
      <c r="H92" s="65"/>
      <c r="I92" s="112"/>
      <c r="J92" s="65"/>
      <c r="K92" s="37"/>
      <c r="L92" s="37"/>
      <c r="M92" s="37"/>
      <c r="N92" s="37"/>
      <c r="O92" s="37"/>
      <c r="P92" s="37"/>
      <c r="Q92" s="37"/>
      <c r="R92" s="37"/>
      <c r="S92" s="37"/>
      <c r="T92" s="37"/>
      <c r="U92" s="3"/>
      <c r="W92" s="3"/>
      <c r="X92" s="3"/>
      <c r="Y92" s="3"/>
      <c r="Z92" s="3"/>
    </row>
    <row r="93" spans="1:26" ht="14.4" hidden="1" outlineLevel="1" x14ac:dyDescent="0.3">
      <c r="A93" s="3"/>
      <c r="B93" s="10" t="s">
        <v>362</v>
      </c>
      <c r="C93" s="62"/>
      <c r="D93" s="62"/>
      <c r="E93" s="12">
        <v>0</v>
      </c>
      <c r="F93" s="12">
        <v>0</v>
      </c>
      <c r="G93" s="65"/>
      <c r="H93" s="65"/>
      <c r="I93" s="112"/>
      <c r="J93" s="65"/>
      <c r="K93" s="37"/>
      <c r="L93" s="37"/>
      <c r="M93" s="37"/>
      <c r="N93" s="37"/>
      <c r="O93" s="37"/>
      <c r="P93" s="37"/>
      <c r="Q93" s="37"/>
      <c r="R93" s="37"/>
      <c r="S93" s="37"/>
      <c r="T93" s="37"/>
      <c r="U93" s="3"/>
      <c r="W93" s="3"/>
      <c r="X93" s="3"/>
      <c r="Y93" s="3"/>
      <c r="Z93" s="3"/>
    </row>
    <row r="94" spans="1:26" ht="14.4" hidden="1" outlineLevel="1" x14ac:dyDescent="0.3">
      <c r="A94" s="3"/>
      <c r="B94" s="10" t="s">
        <v>362</v>
      </c>
      <c r="C94" s="62"/>
      <c r="D94" s="62"/>
      <c r="E94" s="12">
        <v>0</v>
      </c>
      <c r="F94" s="12">
        <v>0</v>
      </c>
      <c r="G94" s="65"/>
      <c r="H94" s="65"/>
      <c r="I94" s="112"/>
      <c r="J94" s="65"/>
      <c r="K94" s="37"/>
      <c r="L94" s="37"/>
      <c r="M94" s="37"/>
      <c r="N94" s="37"/>
      <c r="O94" s="37"/>
      <c r="P94" s="37"/>
      <c r="Q94" s="37"/>
      <c r="R94" s="37"/>
      <c r="S94" s="37"/>
      <c r="T94" s="37"/>
      <c r="U94" s="3"/>
      <c r="W94" s="3"/>
      <c r="X94" s="3"/>
      <c r="Y94" s="3"/>
      <c r="Z94" s="3"/>
    </row>
    <row r="95" spans="1:26" ht="14.4" hidden="1" outlineLevel="1" x14ac:dyDescent="0.3">
      <c r="A95" s="3"/>
      <c r="B95" s="10" t="s">
        <v>362</v>
      </c>
      <c r="C95" s="62"/>
      <c r="D95" s="62"/>
      <c r="E95" s="12">
        <v>0</v>
      </c>
      <c r="F95" s="12">
        <v>0</v>
      </c>
      <c r="G95" s="65"/>
      <c r="H95" s="65"/>
      <c r="I95" s="112"/>
      <c r="J95" s="65"/>
      <c r="K95" s="37"/>
      <c r="L95" s="37"/>
      <c r="M95" s="37"/>
      <c r="N95" s="37"/>
      <c r="O95" s="37"/>
      <c r="P95" s="37"/>
      <c r="Q95" s="37"/>
      <c r="R95" s="37"/>
      <c r="S95" s="37"/>
      <c r="T95" s="37"/>
      <c r="U95" s="3"/>
      <c r="W95" s="3"/>
      <c r="X95" s="3"/>
      <c r="Y95" s="3"/>
      <c r="Z95" s="3"/>
    </row>
    <row r="96" spans="1:26" ht="14.4" hidden="1" outlineLevel="1" x14ac:dyDescent="0.3">
      <c r="A96" s="3"/>
      <c r="B96" s="10" t="s">
        <v>362</v>
      </c>
      <c r="C96" s="62"/>
      <c r="D96" s="62"/>
      <c r="E96" s="12">
        <v>0</v>
      </c>
      <c r="F96" s="12">
        <v>0</v>
      </c>
      <c r="G96" s="65"/>
      <c r="H96" s="65"/>
      <c r="I96" s="112"/>
      <c r="J96" s="65"/>
      <c r="K96" s="37"/>
      <c r="L96" s="37"/>
      <c r="M96" s="37"/>
      <c r="N96" s="37"/>
      <c r="O96" s="37"/>
      <c r="P96" s="37"/>
      <c r="Q96" s="37"/>
      <c r="R96" s="37"/>
      <c r="S96" s="37"/>
      <c r="T96" s="37"/>
      <c r="U96" s="3"/>
      <c r="W96" s="3"/>
      <c r="X96" s="3"/>
      <c r="Y96" s="3"/>
      <c r="Z96" s="3"/>
    </row>
    <row r="97" spans="1:26" ht="14.4" hidden="1" outlineLevel="1" x14ac:dyDescent="0.3">
      <c r="A97" s="3"/>
      <c r="B97" s="10" t="s">
        <v>362</v>
      </c>
      <c r="C97" s="62"/>
      <c r="D97" s="62"/>
      <c r="E97" s="12">
        <v>0</v>
      </c>
      <c r="F97" s="12">
        <v>0</v>
      </c>
      <c r="G97" s="65"/>
      <c r="H97" s="65"/>
      <c r="I97" s="112"/>
      <c r="J97" s="65"/>
      <c r="K97" s="37"/>
      <c r="L97" s="37"/>
      <c r="M97" s="37"/>
      <c r="N97" s="37"/>
      <c r="O97" s="37"/>
      <c r="P97" s="37"/>
      <c r="Q97" s="37"/>
      <c r="R97" s="37"/>
      <c r="S97" s="37"/>
      <c r="T97" s="37"/>
      <c r="U97" s="3"/>
      <c r="W97" s="3"/>
      <c r="X97" s="3"/>
      <c r="Y97" s="3"/>
      <c r="Z97" s="3"/>
    </row>
    <row r="98" spans="1:26" ht="14.4" hidden="1" outlineLevel="1" x14ac:dyDescent="0.3">
      <c r="A98" s="3"/>
      <c r="B98" s="10" t="s">
        <v>362</v>
      </c>
      <c r="C98" s="62"/>
      <c r="D98" s="62"/>
      <c r="E98" s="12">
        <v>0</v>
      </c>
      <c r="F98" s="12">
        <v>0</v>
      </c>
      <c r="G98" s="65"/>
      <c r="H98" s="65"/>
      <c r="I98" s="112"/>
      <c r="J98" s="65"/>
      <c r="K98" s="37"/>
      <c r="L98" s="37"/>
      <c r="M98" s="37"/>
      <c r="N98" s="37"/>
      <c r="O98" s="37"/>
      <c r="P98" s="37"/>
      <c r="Q98" s="37"/>
      <c r="R98" s="37"/>
      <c r="S98" s="37"/>
      <c r="T98" s="37"/>
      <c r="U98" s="3"/>
      <c r="W98" s="3"/>
      <c r="X98" s="3"/>
      <c r="Y98" s="3"/>
      <c r="Z98" s="3"/>
    </row>
    <row r="99" spans="1:26" ht="14.4" hidden="1" outlineLevel="1" x14ac:dyDescent="0.3">
      <c r="A99" s="3"/>
      <c r="B99" s="10" t="s">
        <v>362</v>
      </c>
      <c r="C99" s="62"/>
      <c r="D99" s="62"/>
      <c r="E99" s="12">
        <v>0</v>
      </c>
      <c r="F99" s="12">
        <v>0</v>
      </c>
      <c r="G99" s="65"/>
      <c r="H99" s="65"/>
      <c r="I99" s="112"/>
      <c r="J99" s="65"/>
      <c r="K99" s="37"/>
      <c r="L99" s="37"/>
      <c r="M99" s="37"/>
      <c r="N99" s="37"/>
      <c r="O99" s="37"/>
      <c r="P99" s="37"/>
      <c r="Q99" s="37"/>
      <c r="R99" s="37"/>
      <c r="S99" s="37"/>
      <c r="T99" s="37"/>
      <c r="U99" s="3"/>
      <c r="W99" s="3"/>
      <c r="X99" s="3"/>
      <c r="Y99" s="3"/>
      <c r="Z99" s="3"/>
    </row>
    <row r="100" spans="1:26" ht="14.4" hidden="1" outlineLevel="1" x14ac:dyDescent="0.3">
      <c r="A100" s="3"/>
      <c r="B100" s="10" t="s">
        <v>362</v>
      </c>
      <c r="C100" s="62"/>
      <c r="D100" s="62"/>
      <c r="E100" s="12">
        <v>0</v>
      </c>
      <c r="F100" s="12">
        <v>0</v>
      </c>
      <c r="G100" s="65"/>
      <c r="H100" s="65"/>
      <c r="I100" s="112"/>
      <c r="J100" s="65"/>
      <c r="K100" s="37"/>
      <c r="L100" s="37"/>
      <c r="M100" s="37"/>
      <c r="N100" s="37"/>
      <c r="O100" s="37"/>
      <c r="P100" s="37"/>
      <c r="Q100" s="37"/>
      <c r="R100" s="37"/>
      <c r="S100" s="37"/>
      <c r="T100" s="37"/>
      <c r="U100" s="3"/>
      <c r="W100" s="3"/>
      <c r="X100" s="3"/>
      <c r="Y100" s="3"/>
      <c r="Z100" s="3"/>
    </row>
    <row r="101" spans="1:26" ht="14.4" hidden="1" outlineLevel="1" x14ac:dyDescent="0.3">
      <c r="A101" s="3"/>
      <c r="B101" s="10" t="s">
        <v>362</v>
      </c>
      <c r="C101" s="62"/>
      <c r="D101" s="62"/>
      <c r="E101" s="12">
        <v>0</v>
      </c>
      <c r="F101" s="12">
        <v>0</v>
      </c>
      <c r="G101" s="65"/>
      <c r="H101" s="65"/>
      <c r="I101" s="112"/>
      <c r="J101" s="65"/>
      <c r="K101" s="37"/>
      <c r="L101" s="37"/>
      <c r="M101" s="37"/>
      <c r="N101" s="37"/>
      <c r="O101" s="37"/>
      <c r="P101" s="37"/>
      <c r="Q101" s="37"/>
      <c r="R101" s="37"/>
      <c r="S101" s="37"/>
      <c r="T101" s="37"/>
      <c r="U101" s="3"/>
      <c r="W101" s="3"/>
      <c r="X101" s="3"/>
      <c r="Y101" s="3"/>
      <c r="Z101" s="3"/>
    </row>
    <row r="102" spans="1:26" ht="14.4" hidden="1" outlineLevel="1" x14ac:dyDescent="0.3">
      <c r="A102" s="3"/>
      <c r="B102" s="10" t="s">
        <v>362</v>
      </c>
      <c r="C102" s="62"/>
      <c r="D102" s="62"/>
      <c r="E102" s="12">
        <v>0</v>
      </c>
      <c r="F102" s="12">
        <v>0</v>
      </c>
      <c r="G102" s="65"/>
      <c r="H102" s="65"/>
      <c r="I102" s="128"/>
      <c r="J102" s="65"/>
      <c r="K102" s="37"/>
      <c r="L102" s="37"/>
      <c r="M102" s="37"/>
      <c r="N102" s="37"/>
      <c r="O102" s="37"/>
      <c r="P102" s="37"/>
      <c r="Q102" s="37"/>
      <c r="R102" s="37"/>
      <c r="S102" s="37"/>
      <c r="T102" s="37"/>
      <c r="U102" s="3"/>
      <c r="W102" s="3"/>
      <c r="X102" s="3"/>
      <c r="Y102" s="3"/>
      <c r="Z102" s="3"/>
    </row>
    <row r="103" spans="1:26" ht="14.4" hidden="1" outlineLevel="1" x14ac:dyDescent="0.3">
      <c r="A103" s="3"/>
      <c r="B103" s="10" t="s">
        <v>362</v>
      </c>
      <c r="C103" s="62"/>
      <c r="D103" s="62"/>
      <c r="E103" s="12">
        <v>0</v>
      </c>
      <c r="F103" s="12">
        <v>0</v>
      </c>
      <c r="G103" s="65"/>
      <c r="H103" s="65"/>
      <c r="I103" s="128"/>
      <c r="J103" s="65"/>
      <c r="K103" s="37"/>
      <c r="L103" s="37"/>
      <c r="M103" s="37"/>
      <c r="N103" s="37"/>
      <c r="O103" s="37"/>
      <c r="P103" s="37"/>
      <c r="Q103" s="37"/>
      <c r="R103" s="37"/>
      <c r="S103" s="37"/>
      <c r="T103" s="37"/>
      <c r="U103" s="3"/>
      <c r="W103" s="3"/>
      <c r="X103" s="3"/>
      <c r="Y103" s="3"/>
      <c r="Z103" s="3"/>
    </row>
    <row r="104" spans="1:26" hidden="1" outlineLevel="1" x14ac:dyDescent="0.3">
      <c r="A104" s="3"/>
      <c r="B104" s="91" t="s">
        <v>352</v>
      </c>
      <c r="C104" s="92"/>
      <c r="D104" s="92"/>
      <c r="E104" s="93">
        <f>SUM(E105:E108)</f>
        <v>0</v>
      </c>
      <c r="F104" s="93">
        <f>SUMIF(D105:D108,"OK",F105:F108)</f>
        <v>0</v>
      </c>
      <c r="G104" s="94"/>
      <c r="H104" s="94"/>
      <c r="I104" s="95"/>
      <c r="J104" s="94"/>
      <c r="K104" s="37"/>
      <c r="L104" s="37"/>
      <c r="M104" s="37"/>
      <c r="N104" s="37"/>
      <c r="O104" s="37"/>
      <c r="P104" s="37"/>
      <c r="Q104" s="37"/>
      <c r="R104" s="37"/>
      <c r="S104" s="37"/>
      <c r="T104" s="37"/>
      <c r="U104" s="3"/>
      <c r="W104" s="3"/>
      <c r="X104" s="3"/>
      <c r="Y104" s="3"/>
      <c r="Z104" s="3"/>
    </row>
    <row r="105" spans="1:26" ht="14.4" hidden="1" outlineLevel="1" x14ac:dyDescent="0.3">
      <c r="A105" s="3"/>
      <c r="B105" s="10" t="s">
        <v>50</v>
      </c>
      <c r="C105" s="62"/>
      <c r="D105" s="62"/>
      <c r="E105" s="12">
        <v>0</v>
      </c>
      <c r="F105" s="12">
        <v>0</v>
      </c>
      <c r="G105" s="65"/>
      <c r="H105" s="65"/>
      <c r="I105" s="112"/>
      <c r="J105" s="65"/>
      <c r="K105" s="37"/>
      <c r="L105" s="37"/>
      <c r="M105" s="37"/>
      <c r="N105" s="37"/>
      <c r="O105" s="37"/>
      <c r="P105" s="37"/>
      <c r="Q105" s="37"/>
      <c r="R105" s="37"/>
      <c r="S105" s="37"/>
      <c r="T105" s="37"/>
      <c r="U105" s="3"/>
      <c r="W105" s="3"/>
      <c r="X105" s="3"/>
      <c r="Y105" s="3"/>
      <c r="Z105" s="3"/>
    </row>
    <row r="106" spans="1:26" ht="14.4" hidden="1" outlineLevel="1" x14ac:dyDescent="0.3">
      <c r="A106" s="3"/>
      <c r="B106" s="10" t="s">
        <v>50</v>
      </c>
      <c r="C106" s="62"/>
      <c r="D106" s="62"/>
      <c r="E106" s="12">
        <v>0</v>
      </c>
      <c r="F106" s="12">
        <v>0</v>
      </c>
      <c r="G106" s="65"/>
      <c r="H106" s="65"/>
      <c r="I106" s="112"/>
      <c r="J106" s="65"/>
      <c r="K106" s="37"/>
      <c r="L106" s="37"/>
      <c r="M106" s="37"/>
      <c r="N106" s="37"/>
      <c r="O106" s="37"/>
      <c r="P106" s="37"/>
      <c r="Q106" s="37"/>
      <c r="R106" s="37"/>
      <c r="S106" s="37"/>
      <c r="T106" s="37"/>
      <c r="U106" s="3"/>
      <c r="W106" s="3"/>
      <c r="X106" s="3"/>
      <c r="Y106" s="3"/>
      <c r="Z106" s="3"/>
    </row>
    <row r="107" spans="1:26" ht="14.4" hidden="1" outlineLevel="1" x14ac:dyDescent="0.3">
      <c r="A107" s="3"/>
      <c r="B107" s="10" t="s">
        <v>50</v>
      </c>
      <c r="C107" s="62"/>
      <c r="D107" s="62"/>
      <c r="E107" s="12">
        <v>0</v>
      </c>
      <c r="F107" s="12">
        <v>0</v>
      </c>
      <c r="G107" s="65"/>
      <c r="H107" s="65"/>
      <c r="I107" s="112"/>
      <c r="J107" s="65"/>
      <c r="K107" s="37"/>
      <c r="L107" s="37"/>
      <c r="M107" s="37"/>
      <c r="N107" s="37"/>
      <c r="O107" s="37"/>
      <c r="P107" s="37"/>
      <c r="Q107" s="37"/>
      <c r="R107" s="37"/>
      <c r="S107" s="37"/>
      <c r="T107" s="37"/>
      <c r="U107" s="3"/>
      <c r="W107" s="3"/>
      <c r="X107" s="3"/>
      <c r="Y107" s="3"/>
      <c r="Z107" s="3"/>
    </row>
    <row r="108" spans="1:26" ht="14.4" hidden="1" outlineLevel="1" x14ac:dyDescent="0.3">
      <c r="A108" s="3"/>
      <c r="B108" s="10" t="s">
        <v>50</v>
      </c>
      <c r="C108" s="62"/>
      <c r="D108" s="62"/>
      <c r="E108" s="12">
        <v>0</v>
      </c>
      <c r="F108" s="12">
        <v>0</v>
      </c>
      <c r="G108" s="89"/>
      <c r="H108" s="65"/>
      <c r="I108" s="112"/>
      <c r="J108" s="65"/>
      <c r="K108" s="37"/>
      <c r="L108" s="37"/>
      <c r="M108" s="37"/>
      <c r="N108" s="37"/>
      <c r="O108" s="37"/>
      <c r="P108" s="37"/>
      <c r="Q108" s="37"/>
      <c r="R108" s="37"/>
      <c r="S108" s="37"/>
      <c r="T108" s="37"/>
      <c r="U108" s="3"/>
      <c r="W108" s="3"/>
      <c r="X108" s="3"/>
      <c r="Y108" s="3"/>
      <c r="Z108" s="3"/>
    </row>
    <row r="109" spans="1:26" hidden="1" outlineLevel="1" x14ac:dyDescent="0.3">
      <c r="A109" s="3"/>
      <c r="B109" s="91" t="s">
        <v>356</v>
      </c>
      <c r="C109" s="92"/>
      <c r="D109" s="92"/>
      <c r="E109" s="93">
        <f>SUM(E110:E112)</f>
        <v>0</v>
      </c>
      <c r="F109" s="93">
        <f>SUMIF(D110:D112,"OK",F110:F112)</f>
        <v>0</v>
      </c>
      <c r="G109" s="94"/>
      <c r="H109" s="94"/>
      <c r="I109" s="95"/>
      <c r="J109" s="94"/>
      <c r="K109" s="37"/>
      <c r="L109" s="37"/>
      <c r="M109" s="37"/>
      <c r="N109" s="37"/>
      <c r="O109" s="37"/>
      <c r="P109" s="37"/>
      <c r="Q109" s="37"/>
      <c r="R109" s="37"/>
      <c r="S109" s="37"/>
      <c r="T109" s="37"/>
      <c r="U109" s="3"/>
      <c r="W109" s="3"/>
      <c r="X109" s="3"/>
      <c r="Y109" s="3"/>
      <c r="Z109" s="3"/>
    </row>
    <row r="110" spans="1:26" ht="14.4" hidden="1" outlineLevel="1" x14ac:dyDescent="0.3">
      <c r="A110" s="3"/>
      <c r="B110" s="10" t="s">
        <v>1373</v>
      </c>
      <c r="C110" s="62"/>
      <c r="D110" s="62"/>
      <c r="E110" s="12">
        <v>0</v>
      </c>
      <c r="F110" s="12">
        <v>0</v>
      </c>
      <c r="G110" s="65"/>
      <c r="H110" s="65"/>
      <c r="I110" s="112"/>
      <c r="J110" s="65"/>
      <c r="K110" s="37"/>
      <c r="L110" s="37"/>
      <c r="M110" s="37"/>
      <c r="N110" s="37"/>
      <c r="O110" s="37"/>
      <c r="P110" s="37"/>
      <c r="Q110" s="37"/>
      <c r="R110" s="37"/>
      <c r="S110" s="37"/>
      <c r="T110" s="37"/>
      <c r="U110" s="3"/>
      <c r="W110" s="3"/>
      <c r="X110" s="3"/>
      <c r="Y110" s="3"/>
      <c r="Z110" s="3"/>
    </row>
    <row r="111" spans="1:26" ht="14.4" hidden="1" outlineLevel="1" x14ac:dyDescent="0.3">
      <c r="A111" s="3"/>
      <c r="B111" s="10" t="s">
        <v>1373</v>
      </c>
      <c r="C111" s="62"/>
      <c r="D111" s="62"/>
      <c r="E111" s="12">
        <v>0</v>
      </c>
      <c r="F111" s="12">
        <v>0</v>
      </c>
      <c r="G111" s="65"/>
      <c r="H111" s="65"/>
      <c r="I111" s="112"/>
      <c r="J111" s="65"/>
      <c r="K111" s="37"/>
      <c r="L111" s="37"/>
      <c r="M111" s="37"/>
      <c r="N111" s="37"/>
      <c r="O111" s="37"/>
      <c r="P111" s="37"/>
      <c r="Q111" s="37"/>
      <c r="R111" s="37"/>
      <c r="S111" s="37"/>
      <c r="T111" s="37"/>
      <c r="U111" s="3"/>
      <c r="W111" s="3"/>
      <c r="X111" s="3"/>
      <c r="Y111" s="3"/>
      <c r="Z111" s="3"/>
    </row>
    <row r="112" spans="1:26" ht="14.4" hidden="1" outlineLevel="1" x14ac:dyDescent="0.3">
      <c r="A112" s="3"/>
      <c r="B112" s="10" t="s">
        <v>1374</v>
      </c>
      <c r="C112" s="62"/>
      <c r="D112" s="62"/>
      <c r="E112" s="12">
        <v>0</v>
      </c>
      <c r="F112" s="12">
        <v>0</v>
      </c>
      <c r="G112" s="65"/>
      <c r="H112" s="65"/>
      <c r="I112" s="112"/>
      <c r="J112" s="65"/>
      <c r="K112" s="37"/>
      <c r="L112" s="37"/>
      <c r="M112" s="37"/>
      <c r="N112" s="37"/>
      <c r="O112" s="37"/>
      <c r="P112" s="37"/>
      <c r="Q112" s="37"/>
      <c r="R112" s="37"/>
      <c r="S112" s="37"/>
      <c r="T112" s="37"/>
      <c r="U112" s="3"/>
      <c r="W112" s="3"/>
      <c r="X112" s="3"/>
      <c r="Y112" s="3"/>
      <c r="Z112" s="3"/>
    </row>
    <row r="113" spans="1:26" ht="20.399999999999999" collapsed="1" x14ac:dyDescent="0.3">
      <c r="A113" s="3"/>
      <c r="B113" s="84" t="s">
        <v>357</v>
      </c>
      <c r="C113" s="85" t="s">
        <v>43</v>
      </c>
      <c r="D113" s="85" t="s">
        <v>43</v>
      </c>
      <c r="E113" s="86">
        <f t="shared" ref="E113:F113" si="1">SUM(E114,E120)</f>
        <v>0</v>
      </c>
      <c r="F113" s="86">
        <f t="shared" si="1"/>
        <v>0</v>
      </c>
      <c r="G113" s="87"/>
      <c r="H113" s="87"/>
      <c r="I113" s="88"/>
      <c r="J113" s="87"/>
      <c r="K113" s="37"/>
      <c r="L113" s="37"/>
      <c r="M113" s="37"/>
      <c r="N113" s="37"/>
      <c r="O113" s="37"/>
      <c r="P113" s="37"/>
      <c r="Q113" s="37"/>
      <c r="R113" s="37"/>
      <c r="S113" s="37"/>
      <c r="T113" s="37"/>
      <c r="U113" s="3"/>
      <c r="W113" s="3"/>
      <c r="X113" s="3"/>
      <c r="Y113" s="3"/>
      <c r="Z113" s="3"/>
    </row>
    <row r="114" spans="1:26" hidden="1" outlineLevel="1" x14ac:dyDescent="0.3">
      <c r="A114" s="3"/>
      <c r="B114" s="91" t="s">
        <v>358</v>
      </c>
      <c r="C114" s="92"/>
      <c r="D114" s="92"/>
      <c r="E114" s="93">
        <f>SUM(E115:E119)</f>
        <v>0</v>
      </c>
      <c r="F114" s="93">
        <f>SUMIF(D115:D119,"OK",F115:F119)</f>
        <v>0</v>
      </c>
      <c r="G114" s="94"/>
      <c r="H114" s="94"/>
      <c r="I114" s="95"/>
      <c r="J114" s="94"/>
      <c r="K114" s="37"/>
      <c r="L114" s="37"/>
      <c r="M114" s="37"/>
      <c r="N114" s="37"/>
      <c r="O114" s="37"/>
      <c r="P114" s="37"/>
      <c r="Q114" s="37"/>
      <c r="R114" s="37"/>
      <c r="S114" s="37"/>
      <c r="T114" s="37"/>
      <c r="U114" s="3"/>
      <c r="W114" s="3"/>
      <c r="X114" s="3"/>
      <c r="Y114" s="3"/>
      <c r="Z114" s="3"/>
    </row>
    <row r="115" spans="1:26" ht="14.4" hidden="1" outlineLevel="1" x14ac:dyDescent="0.3">
      <c r="A115" s="3"/>
      <c r="B115" s="10" t="s">
        <v>353</v>
      </c>
      <c r="C115" s="62"/>
      <c r="D115" s="62"/>
      <c r="E115" s="12">
        <v>0</v>
      </c>
      <c r="F115" s="12">
        <v>0</v>
      </c>
      <c r="G115" s="89"/>
      <c r="H115" s="65"/>
      <c r="I115" s="112"/>
      <c r="J115" s="65"/>
      <c r="K115" s="37"/>
      <c r="L115" s="37"/>
      <c r="M115" s="37"/>
      <c r="N115" s="37"/>
      <c r="O115" s="37"/>
      <c r="P115" s="37"/>
      <c r="Q115" s="37"/>
      <c r="R115" s="37"/>
      <c r="S115" s="37"/>
      <c r="T115" s="37"/>
      <c r="U115" s="3"/>
      <c r="W115" s="3"/>
      <c r="X115" s="3"/>
      <c r="Y115" s="3"/>
      <c r="Z115" s="3"/>
    </row>
    <row r="116" spans="1:26" ht="14.4" hidden="1" outlineLevel="1" x14ac:dyDescent="0.3">
      <c r="A116" s="3"/>
      <c r="B116" s="10" t="s">
        <v>354</v>
      </c>
      <c r="C116" s="62"/>
      <c r="D116" s="62"/>
      <c r="E116" s="12">
        <v>0</v>
      </c>
      <c r="F116" s="12">
        <v>0</v>
      </c>
      <c r="G116" s="65"/>
      <c r="H116" s="65"/>
      <c r="I116" s="112"/>
      <c r="J116" s="65"/>
      <c r="K116" s="37"/>
      <c r="L116" s="37"/>
      <c r="M116" s="37"/>
      <c r="N116" s="37"/>
      <c r="O116" s="37"/>
      <c r="P116" s="37"/>
      <c r="Q116" s="37"/>
      <c r="R116" s="37"/>
      <c r="S116" s="37"/>
      <c r="T116" s="37"/>
      <c r="U116" s="3"/>
      <c r="W116" s="3"/>
      <c r="X116" s="3"/>
      <c r="Y116" s="3"/>
      <c r="Z116" s="3"/>
    </row>
    <row r="117" spans="1:26" ht="14.4" hidden="1" outlineLevel="1" x14ac:dyDescent="0.3">
      <c r="A117" s="3"/>
      <c r="B117" s="10" t="s">
        <v>355</v>
      </c>
      <c r="C117" s="62"/>
      <c r="D117" s="62"/>
      <c r="E117" s="12">
        <v>0</v>
      </c>
      <c r="F117" s="12">
        <v>0</v>
      </c>
      <c r="G117" s="65"/>
      <c r="H117" s="65"/>
      <c r="I117" s="112"/>
      <c r="J117" s="65"/>
      <c r="K117" s="37"/>
      <c r="L117" s="37"/>
      <c r="M117" s="37"/>
      <c r="N117" s="37"/>
      <c r="O117" s="37"/>
      <c r="P117" s="37"/>
      <c r="Q117" s="37"/>
      <c r="R117" s="37"/>
      <c r="S117" s="37"/>
      <c r="T117" s="37"/>
      <c r="U117" s="3"/>
      <c r="W117" s="3"/>
      <c r="X117" s="3"/>
      <c r="Y117" s="3"/>
      <c r="Z117" s="3"/>
    </row>
    <row r="118" spans="1:26" ht="14.4" hidden="1" outlineLevel="1" x14ac:dyDescent="0.3">
      <c r="A118" s="3"/>
      <c r="B118" s="10" t="s">
        <v>369</v>
      </c>
      <c r="C118" s="62"/>
      <c r="D118" s="62"/>
      <c r="E118" s="12">
        <v>0</v>
      </c>
      <c r="F118" s="12">
        <v>0</v>
      </c>
      <c r="G118" s="65"/>
      <c r="H118" s="65"/>
      <c r="I118" s="112"/>
      <c r="J118" s="65"/>
      <c r="K118" s="37"/>
      <c r="L118" s="37"/>
      <c r="M118" s="37"/>
      <c r="N118" s="37"/>
      <c r="O118" s="37"/>
      <c r="P118" s="37"/>
      <c r="Q118" s="37"/>
      <c r="R118" s="37"/>
      <c r="S118" s="37"/>
      <c r="T118" s="37"/>
      <c r="U118" s="3"/>
      <c r="W118" s="3"/>
      <c r="X118" s="3"/>
      <c r="Y118" s="3"/>
      <c r="Z118" s="3"/>
    </row>
    <row r="119" spans="1:26" ht="14.4" hidden="1" outlineLevel="1" x14ac:dyDescent="0.3">
      <c r="A119" s="3"/>
      <c r="B119" s="10" t="s">
        <v>327</v>
      </c>
      <c r="C119" s="62"/>
      <c r="D119" s="62"/>
      <c r="E119" s="12">
        <v>0</v>
      </c>
      <c r="F119" s="12">
        <v>0</v>
      </c>
      <c r="G119" s="65"/>
      <c r="H119" s="65"/>
      <c r="I119" s="89"/>
      <c r="J119" s="65"/>
      <c r="K119" s="37"/>
      <c r="L119" s="37"/>
      <c r="M119" s="37"/>
      <c r="N119" s="37"/>
      <c r="O119" s="37"/>
      <c r="P119" s="37"/>
      <c r="Q119" s="37"/>
      <c r="R119" s="37"/>
      <c r="S119" s="37"/>
      <c r="T119" s="37"/>
      <c r="U119" s="3"/>
      <c r="W119" s="3"/>
      <c r="X119" s="3"/>
      <c r="Y119" s="3"/>
      <c r="Z119" s="3"/>
    </row>
    <row r="120" spans="1:26" hidden="1" outlineLevel="1" x14ac:dyDescent="0.3">
      <c r="A120" s="3"/>
      <c r="B120" s="91" t="s">
        <v>632</v>
      </c>
      <c r="C120" s="92"/>
      <c r="D120" s="92"/>
      <c r="E120" s="93">
        <f>SUM(E121:E138)</f>
        <v>0</v>
      </c>
      <c r="F120" s="93">
        <f>SUMIF(D121:D138,"OK",F121:F138)</f>
        <v>0</v>
      </c>
      <c r="G120" s="94"/>
      <c r="H120" s="94"/>
      <c r="I120" s="95"/>
      <c r="J120" s="94"/>
      <c r="K120" s="37"/>
      <c r="L120" s="37"/>
      <c r="M120" s="37"/>
      <c r="N120" s="37"/>
      <c r="O120" s="37"/>
      <c r="P120" s="37"/>
      <c r="Q120" s="37"/>
      <c r="R120" s="37"/>
      <c r="S120" s="37"/>
      <c r="T120" s="37"/>
      <c r="U120" s="3"/>
      <c r="W120" s="3"/>
      <c r="X120" s="3"/>
      <c r="Y120" s="3"/>
      <c r="Z120" s="3"/>
    </row>
    <row r="121" spans="1:26" ht="14.4" hidden="1" outlineLevel="1" x14ac:dyDescent="0.3">
      <c r="A121" s="3"/>
      <c r="B121" s="10" t="s">
        <v>50</v>
      </c>
      <c r="C121" s="62"/>
      <c r="D121" s="62"/>
      <c r="E121" s="12">
        <v>0</v>
      </c>
      <c r="F121" s="12">
        <v>0</v>
      </c>
      <c r="G121" s="65"/>
      <c r="H121" s="65"/>
      <c r="I121" s="112"/>
      <c r="J121" s="65"/>
      <c r="K121" s="37"/>
      <c r="L121" s="37"/>
      <c r="M121" s="37"/>
      <c r="N121" s="37"/>
      <c r="O121" s="37"/>
      <c r="P121" s="37"/>
      <c r="Q121" s="37"/>
      <c r="R121" s="37"/>
      <c r="S121" s="37"/>
      <c r="T121" s="37"/>
      <c r="U121" s="3"/>
      <c r="W121" s="3"/>
      <c r="X121" s="3"/>
      <c r="Y121" s="3"/>
      <c r="Z121" s="3"/>
    </row>
    <row r="122" spans="1:26" ht="14.4" hidden="1" outlineLevel="1" x14ac:dyDescent="0.3">
      <c r="A122" s="3"/>
      <c r="B122" s="10" t="s">
        <v>50</v>
      </c>
      <c r="C122" s="62"/>
      <c r="D122" s="62"/>
      <c r="E122" s="12">
        <v>0</v>
      </c>
      <c r="F122" s="12">
        <v>0</v>
      </c>
      <c r="G122" s="89"/>
      <c r="H122" s="65"/>
      <c r="I122" s="112"/>
      <c r="J122" s="65"/>
      <c r="K122" s="37"/>
      <c r="L122" s="37"/>
      <c r="M122" s="37"/>
      <c r="N122" s="37"/>
      <c r="O122" s="37"/>
      <c r="P122" s="37"/>
      <c r="Q122" s="37"/>
      <c r="R122" s="37"/>
      <c r="S122" s="37"/>
      <c r="T122" s="37"/>
      <c r="U122" s="3"/>
      <c r="W122" s="3"/>
      <c r="X122" s="3"/>
      <c r="Y122" s="3"/>
      <c r="Z122" s="3"/>
    </row>
    <row r="123" spans="1:26" ht="14.4" hidden="1" outlineLevel="1" x14ac:dyDescent="0.3">
      <c r="A123" s="3"/>
      <c r="B123" s="10" t="s">
        <v>50</v>
      </c>
      <c r="C123" s="62"/>
      <c r="D123" s="62"/>
      <c r="E123" s="12">
        <v>0</v>
      </c>
      <c r="F123" s="12">
        <v>0</v>
      </c>
      <c r="G123" s="89"/>
      <c r="H123" s="65"/>
      <c r="I123" s="112"/>
      <c r="J123" s="65"/>
      <c r="K123" s="37"/>
      <c r="L123" s="37"/>
      <c r="M123" s="37"/>
      <c r="N123" s="37"/>
      <c r="O123" s="37"/>
      <c r="P123" s="37"/>
      <c r="Q123" s="37"/>
      <c r="R123" s="37"/>
      <c r="S123" s="37"/>
      <c r="T123" s="37"/>
      <c r="U123" s="3"/>
      <c r="W123" s="3"/>
      <c r="X123" s="3"/>
      <c r="Y123" s="3"/>
      <c r="Z123" s="3"/>
    </row>
    <row r="124" spans="1:26" ht="14.4" hidden="1" outlineLevel="1" x14ac:dyDescent="0.3">
      <c r="A124" s="3"/>
      <c r="B124" s="10" t="s">
        <v>50</v>
      </c>
      <c r="C124" s="62"/>
      <c r="D124" s="62"/>
      <c r="E124" s="12">
        <v>0</v>
      </c>
      <c r="F124" s="12">
        <v>0</v>
      </c>
      <c r="G124" s="65"/>
      <c r="H124" s="65"/>
      <c r="I124" s="112"/>
      <c r="J124" s="65"/>
      <c r="K124" s="37"/>
      <c r="L124" s="37"/>
      <c r="M124" s="37"/>
      <c r="N124" s="37"/>
      <c r="O124" s="37"/>
      <c r="P124" s="37"/>
      <c r="Q124" s="37"/>
      <c r="R124" s="37"/>
      <c r="S124" s="37"/>
      <c r="T124" s="37"/>
      <c r="U124" s="3"/>
      <c r="W124" s="3"/>
      <c r="X124" s="3"/>
      <c r="Y124" s="3"/>
      <c r="Z124" s="3"/>
    </row>
    <row r="125" spans="1:26" ht="14.4" hidden="1" outlineLevel="1" x14ac:dyDescent="0.3">
      <c r="A125" s="3"/>
      <c r="B125" s="10" t="s">
        <v>50</v>
      </c>
      <c r="C125" s="62"/>
      <c r="D125" s="62"/>
      <c r="E125" s="12">
        <v>0</v>
      </c>
      <c r="F125" s="12">
        <v>0</v>
      </c>
      <c r="G125" s="65"/>
      <c r="H125" s="65"/>
      <c r="I125" s="112"/>
      <c r="J125" s="65"/>
      <c r="K125" s="37"/>
      <c r="L125" s="37"/>
      <c r="M125" s="37"/>
      <c r="N125" s="37"/>
      <c r="O125" s="37"/>
      <c r="P125" s="37"/>
      <c r="Q125" s="37"/>
      <c r="R125" s="37"/>
      <c r="S125" s="37"/>
      <c r="T125" s="37"/>
      <c r="U125" s="3"/>
      <c r="W125" s="3"/>
      <c r="X125" s="3"/>
      <c r="Y125" s="3"/>
      <c r="Z125" s="3"/>
    </row>
    <row r="126" spans="1:26" ht="14.4" hidden="1" outlineLevel="1" x14ac:dyDescent="0.3">
      <c r="A126" s="3"/>
      <c r="B126" s="10" t="s">
        <v>50</v>
      </c>
      <c r="C126" s="62"/>
      <c r="D126" s="62"/>
      <c r="E126" s="12">
        <v>0</v>
      </c>
      <c r="F126" s="12">
        <v>0</v>
      </c>
      <c r="G126" s="65"/>
      <c r="H126" s="65"/>
      <c r="I126" s="112"/>
      <c r="J126" s="65"/>
      <c r="K126" s="37"/>
      <c r="L126" s="37"/>
      <c r="M126" s="37"/>
      <c r="N126" s="37"/>
      <c r="O126" s="37"/>
      <c r="P126" s="37"/>
      <c r="Q126" s="37"/>
      <c r="R126" s="37"/>
      <c r="S126" s="37"/>
      <c r="T126" s="37"/>
      <c r="U126" s="3"/>
      <c r="W126" s="3"/>
      <c r="X126" s="3"/>
      <c r="Y126" s="3"/>
      <c r="Z126" s="3"/>
    </row>
    <row r="127" spans="1:26" ht="14.4" hidden="1" outlineLevel="1" x14ac:dyDescent="0.3">
      <c r="A127" s="3"/>
      <c r="B127" s="10" t="s">
        <v>50</v>
      </c>
      <c r="C127" s="62"/>
      <c r="D127" s="62"/>
      <c r="E127" s="12">
        <v>0</v>
      </c>
      <c r="F127" s="12">
        <v>0</v>
      </c>
      <c r="G127" s="65"/>
      <c r="H127" s="65"/>
      <c r="I127" s="112"/>
      <c r="J127" s="65"/>
      <c r="K127" s="37"/>
      <c r="L127" s="37"/>
      <c r="M127" s="37"/>
      <c r="N127" s="37"/>
      <c r="O127" s="37"/>
      <c r="P127" s="37"/>
      <c r="Q127" s="37"/>
      <c r="R127" s="37"/>
      <c r="S127" s="37"/>
      <c r="T127" s="37"/>
      <c r="U127" s="3"/>
      <c r="W127" s="3"/>
      <c r="X127" s="3"/>
      <c r="Y127" s="3"/>
      <c r="Z127" s="3"/>
    </row>
    <row r="128" spans="1:26" ht="14.4" hidden="1" outlineLevel="1" x14ac:dyDescent="0.3">
      <c r="A128" s="3"/>
      <c r="B128" s="10" t="s">
        <v>50</v>
      </c>
      <c r="C128" s="62"/>
      <c r="D128" s="62"/>
      <c r="E128" s="12">
        <v>0</v>
      </c>
      <c r="F128" s="12">
        <v>0</v>
      </c>
      <c r="G128" s="65"/>
      <c r="H128" s="65"/>
      <c r="I128" s="112"/>
      <c r="J128" s="65"/>
      <c r="K128" s="37"/>
      <c r="L128" s="37"/>
      <c r="M128" s="37"/>
      <c r="N128" s="37"/>
      <c r="O128" s="37"/>
      <c r="P128" s="37"/>
      <c r="Q128" s="37"/>
      <c r="R128" s="37"/>
      <c r="S128" s="37"/>
      <c r="T128" s="37"/>
      <c r="U128" s="3"/>
      <c r="W128" s="3"/>
      <c r="X128" s="3"/>
      <c r="Y128" s="3"/>
      <c r="Z128" s="3"/>
    </row>
    <row r="129" spans="1:26" ht="14.4" hidden="1" outlineLevel="1" x14ac:dyDescent="0.3">
      <c r="A129" s="3"/>
      <c r="B129" s="10" t="s">
        <v>50</v>
      </c>
      <c r="C129" s="62"/>
      <c r="D129" s="62"/>
      <c r="E129" s="12">
        <v>0</v>
      </c>
      <c r="F129" s="12">
        <v>0</v>
      </c>
      <c r="G129" s="65"/>
      <c r="H129" s="65"/>
      <c r="I129" s="112"/>
      <c r="J129" s="65"/>
      <c r="K129" s="37"/>
      <c r="L129" s="37"/>
      <c r="M129" s="37"/>
      <c r="N129" s="37"/>
      <c r="O129" s="37"/>
      <c r="P129" s="37"/>
      <c r="Q129" s="37"/>
      <c r="R129" s="37"/>
      <c r="S129" s="37"/>
      <c r="T129" s="37"/>
      <c r="U129" s="3"/>
      <c r="W129" s="3"/>
      <c r="X129" s="3"/>
      <c r="Y129" s="3"/>
      <c r="Z129" s="3"/>
    </row>
    <row r="130" spans="1:26" ht="14.4" hidden="1" outlineLevel="1" x14ac:dyDescent="0.3">
      <c r="A130" s="3"/>
      <c r="B130" s="10" t="s">
        <v>50</v>
      </c>
      <c r="C130" s="62"/>
      <c r="D130" s="62"/>
      <c r="E130" s="12">
        <v>0</v>
      </c>
      <c r="F130" s="12">
        <v>0</v>
      </c>
      <c r="G130" s="65"/>
      <c r="H130" s="65"/>
      <c r="I130" s="112"/>
      <c r="J130" s="65"/>
      <c r="K130" s="37"/>
      <c r="L130" s="37"/>
      <c r="M130" s="37"/>
      <c r="N130" s="37"/>
      <c r="O130" s="37"/>
      <c r="P130" s="37"/>
      <c r="Q130" s="37"/>
      <c r="R130" s="37"/>
      <c r="S130" s="37"/>
      <c r="T130" s="37"/>
      <c r="U130" s="3"/>
      <c r="W130" s="3"/>
      <c r="X130" s="3"/>
      <c r="Y130" s="3"/>
      <c r="Z130" s="3"/>
    </row>
    <row r="131" spans="1:26" ht="14.4" hidden="1" outlineLevel="1" x14ac:dyDescent="0.3">
      <c r="A131" s="3"/>
      <c r="B131" s="10" t="s">
        <v>50</v>
      </c>
      <c r="C131" s="62"/>
      <c r="D131" s="62"/>
      <c r="E131" s="12">
        <v>0</v>
      </c>
      <c r="F131" s="12">
        <v>0</v>
      </c>
      <c r="G131" s="65"/>
      <c r="H131" s="65"/>
      <c r="I131" s="151"/>
      <c r="J131" s="65"/>
      <c r="K131" s="37"/>
      <c r="L131" s="37"/>
      <c r="M131" s="37"/>
      <c r="N131" s="37"/>
      <c r="O131" s="37"/>
      <c r="P131" s="37"/>
      <c r="Q131" s="37"/>
      <c r="R131" s="37"/>
      <c r="S131" s="37"/>
      <c r="T131" s="37"/>
      <c r="U131" s="3"/>
      <c r="W131" s="3"/>
      <c r="X131" s="3"/>
      <c r="Y131" s="3"/>
      <c r="Z131" s="3"/>
    </row>
    <row r="132" spans="1:26" ht="14.4" hidden="1" outlineLevel="1" x14ac:dyDescent="0.3">
      <c r="A132" s="3"/>
      <c r="B132" s="10" t="s">
        <v>50</v>
      </c>
      <c r="C132" s="62"/>
      <c r="D132" s="62"/>
      <c r="E132" s="12">
        <v>0</v>
      </c>
      <c r="F132" s="12">
        <v>0</v>
      </c>
      <c r="G132" s="65"/>
      <c r="H132" s="65"/>
      <c r="I132" s="112"/>
      <c r="J132" s="65"/>
      <c r="K132" s="37"/>
      <c r="L132" s="37"/>
      <c r="M132" s="37"/>
      <c r="N132" s="37"/>
      <c r="O132" s="37"/>
      <c r="P132" s="37"/>
      <c r="Q132" s="37"/>
      <c r="R132" s="37"/>
      <c r="S132" s="37"/>
      <c r="T132" s="37"/>
      <c r="U132" s="3"/>
      <c r="W132" s="3"/>
      <c r="X132" s="3"/>
      <c r="Y132" s="3"/>
      <c r="Z132" s="3"/>
    </row>
    <row r="133" spans="1:26" ht="14.4" hidden="1" outlineLevel="1" x14ac:dyDescent="0.3">
      <c r="A133" s="3"/>
      <c r="B133" s="10" t="s">
        <v>50</v>
      </c>
      <c r="C133" s="62"/>
      <c r="D133" s="62"/>
      <c r="E133" s="12">
        <v>0</v>
      </c>
      <c r="F133" s="12">
        <v>0</v>
      </c>
      <c r="G133" s="65"/>
      <c r="H133" s="65"/>
      <c r="I133" s="112"/>
      <c r="J133" s="65"/>
      <c r="K133" s="37"/>
      <c r="L133" s="37"/>
      <c r="M133" s="37"/>
      <c r="N133" s="37"/>
      <c r="O133" s="37"/>
      <c r="P133" s="37"/>
      <c r="Q133" s="37"/>
      <c r="R133" s="37"/>
      <c r="S133" s="37"/>
      <c r="T133" s="37"/>
      <c r="U133" s="3"/>
      <c r="W133" s="3"/>
      <c r="X133" s="3"/>
      <c r="Y133" s="3"/>
      <c r="Z133" s="3"/>
    </row>
    <row r="134" spans="1:26" ht="14.4" hidden="1" outlineLevel="1" x14ac:dyDescent="0.3">
      <c r="A134" s="3"/>
      <c r="B134" s="10" t="s">
        <v>50</v>
      </c>
      <c r="C134" s="62"/>
      <c r="D134" s="62"/>
      <c r="E134" s="12">
        <v>0</v>
      </c>
      <c r="F134" s="12">
        <v>0</v>
      </c>
      <c r="G134" s="65"/>
      <c r="H134" s="65"/>
      <c r="I134" s="112"/>
      <c r="J134" s="65"/>
      <c r="K134" s="37"/>
      <c r="L134" s="37"/>
      <c r="M134" s="37"/>
      <c r="N134" s="37"/>
      <c r="O134" s="37"/>
      <c r="P134" s="37"/>
      <c r="Q134" s="37"/>
      <c r="R134" s="37"/>
      <c r="S134" s="37"/>
      <c r="T134" s="37"/>
      <c r="U134" s="3"/>
      <c r="W134" s="3"/>
      <c r="X134" s="3"/>
      <c r="Y134" s="3"/>
      <c r="Z134" s="3"/>
    </row>
    <row r="135" spans="1:26" ht="14.4" hidden="1" outlineLevel="1" x14ac:dyDescent="0.3">
      <c r="A135" s="3"/>
      <c r="B135" s="10" t="s">
        <v>50</v>
      </c>
      <c r="C135" s="62"/>
      <c r="D135" s="62"/>
      <c r="E135" s="12">
        <v>0</v>
      </c>
      <c r="F135" s="12">
        <v>0</v>
      </c>
      <c r="G135" s="65"/>
      <c r="H135" s="65"/>
      <c r="I135" s="112"/>
      <c r="J135" s="65"/>
      <c r="K135" s="37"/>
      <c r="L135" s="37"/>
      <c r="M135" s="37"/>
      <c r="N135" s="37"/>
      <c r="O135" s="37"/>
      <c r="P135" s="37"/>
      <c r="Q135" s="37"/>
      <c r="R135" s="37"/>
      <c r="S135" s="37"/>
      <c r="T135" s="37"/>
      <c r="U135" s="3"/>
      <c r="W135" s="3"/>
      <c r="X135" s="3"/>
      <c r="Y135" s="3"/>
      <c r="Z135" s="3"/>
    </row>
    <row r="136" spans="1:26" ht="14.4" hidden="1" outlineLevel="1" x14ac:dyDescent="0.3">
      <c r="A136" s="3"/>
      <c r="B136" s="10" t="s">
        <v>50</v>
      </c>
      <c r="C136" s="62"/>
      <c r="D136" s="62"/>
      <c r="E136" s="12">
        <v>0</v>
      </c>
      <c r="F136" s="12">
        <v>0</v>
      </c>
      <c r="G136" s="65"/>
      <c r="H136" s="65"/>
      <c r="I136" s="112"/>
      <c r="J136" s="65"/>
      <c r="K136" s="37"/>
      <c r="L136" s="37"/>
      <c r="M136" s="37"/>
      <c r="N136" s="37"/>
      <c r="O136" s="37"/>
      <c r="P136" s="37"/>
      <c r="Q136" s="37"/>
      <c r="R136" s="37"/>
      <c r="S136" s="37"/>
      <c r="T136" s="37"/>
      <c r="U136" s="3"/>
      <c r="W136" s="3"/>
      <c r="X136" s="3"/>
      <c r="Y136" s="3"/>
      <c r="Z136" s="3"/>
    </row>
    <row r="137" spans="1:26" ht="14.4" hidden="1" outlineLevel="1" x14ac:dyDescent="0.3">
      <c r="A137" s="3"/>
      <c r="B137" s="10" t="s">
        <v>50</v>
      </c>
      <c r="C137" s="62"/>
      <c r="D137" s="62"/>
      <c r="E137" s="12">
        <v>0</v>
      </c>
      <c r="F137" s="12">
        <v>0</v>
      </c>
      <c r="G137" s="65"/>
      <c r="H137" s="65"/>
      <c r="I137" s="112"/>
      <c r="J137" s="65"/>
      <c r="K137" s="37"/>
      <c r="L137" s="37"/>
      <c r="M137" s="37"/>
      <c r="N137" s="37"/>
      <c r="O137" s="37"/>
      <c r="P137" s="37"/>
      <c r="Q137" s="37"/>
      <c r="R137" s="37"/>
      <c r="S137" s="37"/>
      <c r="T137" s="37"/>
      <c r="U137" s="3"/>
      <c r="W137" s="3"/>
      <c r="X137" s="3"/>
      <c r="Y137" s="3"/>
      <c r="Z137" s="3"/>
    </row>
    <row r="138" spans="1:26" ht="14.4" hidden="1" outlineLevel="1" x14ac:dyDescent="0.3">
      <c r="A138" s="3"/>
      <c r="B138" s="10" t="s">
        <v>50</v>
      </c>
      <c r="C138" s="62"/>
      <c r="D138" s="62"/>
      <c r="E138" s="12">
        <v>0</v>
      </c>
      <c r="F138" s="12">
        <v>0</v>
      </c>
      <c r="G138" s="65"/>
      <c r="H138" s="65"/>
      <c r="I138" s="112"/>
      <c r="J138" s="65"/>
      <c r="K138" s="37"/>
      <c r="L138" s="37"/>
      <c r="M138" s="37"/>
      <c r="N138" s="37"/>
      <c r="O138" s="37"/>
      <c r="P138" s="37"/>
      <c r="Q138" s="37"/>
      <c r="R138" s="37"/>
      <c r="S138" s="37"/>
      <c r="T138" s="37"/>
      <c r="U138" s="3"/>
      <c r="W138" s="3"/>
      <c r="X138" s="3"/>
      <c r="Y138" s="3"/>
      <c r="Z138" s="3"/>
    </row>
    <row r="139" spans="1:26" ht="20.399999999999999" collapsed="1" x14ac:dyDescent="0.3">
      <c r="A139" s="3"/>
      <c r="B139" s="84" t="s">
        <v>87</v>
      </c>
      <c r="C139" s="85" t="s">
        <v>43</v>
      </c>
      <c r="D139" s="85" t="s">
        <v>43</v>
      </c>
      <c r="E139" s="86">
        <f>SUM(E140:E148)</f>
        <v>0</v>
      </c>
      <c r="F139" s="86">
        <f>SUMIF(D140:D148,"OK",F140:F148)</f>
        <v>0</v>
      </c>
      <c r="G139" s="87"/>
      <c r="H139" s="87"/>
      <c r="I139" s="88"/>
      <c r="J139" s="87"/>
      <c r="K139" s="37"/>
      <c r="L139" s="37"/>
      <c r="M139" s="37"/>
      <c r="N139" s="37"/>
      <c r="O139" s="37"/>
      <c r="P139" s="37"/>
      <c r="Q139" s="37"/>
      <c r="R139" s="37"/>
      <c r="S139" s="37"/>
      <c r="T139" s="37"/>
      <c r="U139" s="3"/>
      <c r="W139" s="3"/>
      <c r="X139" s="3"/>
      <c r="Y139" s="3"/>
      <c r="Z139" s="3"/>
    </row>
    <row r="140" spans="1:26" ht="14.4" hidden="1" outlineLevel="1" x14ac:dyDescent="0.3">
      <c r="A140" s="3"/>
      <c r="B140" s="10" t="s">
        <v>353</v>
      </c>
      <c r="C140" s="80"/>
      <c r="D140" s="62"/>
      <c r="E140" s="12">
        <v>0</v>
      </c>
      <c r="F140" s="12">
        <v>0</v>
      </c>
      <c r="G140" s="89"/>
      <c r="H140" s="65"/>
      <c r="I140" s="112"/>
      <c r="J140" s="89"/>
      <c r="K140" s="37"/>
      <c r="L140" s="37"/>
      <c r="M140" s="37"/>
      <c r="N140" s="37"/>
      <c r="O140" s="37"/>
      <c r="P140" s="37"/>
      <c r="Q140" s="37"/>
      <c r="R140" s="37"/>
      <c r="S140" s="37"/>
      <c r="T140" s="37"/>
      <c r="U140" s="3"/>
      <c r="W140" s="3"/>
      <c r="X140" s="3"/>
      <c r="Y140" s="3"/>
      <c r="Z140" s="3"/>
    </row>
    <row r="141" spans="1:26" ht="14.4" hidden="1" outlineLevel="1" x14ac:dyDescent="0.3">
      <c r="A141" s="3"/>
      <c r="B141" s="10" t="s">
        <v>354</v>
      </c>
      <c r="C141" s="62"/>
      <c r="D141" s="62"/>
      <c r="E141" s="12">
        <v>0</v>
      </c>
      <c r="F141" s="12">
        <v>0</v>
      </c>
      <c r="G141" s="89"/>
      <c r="H141" s="65"/>
      <c r="I141" s="112"/>
      <c r="J141" s="65"/>
      <c r="K141" s="37"/>
      <c r="L141" s="37"/>
      <c r="M141" s="37"/>
      <c r="N141" s="37"/>
      <c r="O141" s="37"/>
      <c r="P141" s="37"/>
      <c r="Q141" s="37"/>
      <c r="R141" s="37"/>
      <c r="S141" s="37"/>
      <c r="T141" s="37"/>
      <c r="U141" s="3"/>
      <c r="W141" s="3"/>
      <c r="X141" s="3"/>
      <c r="Y141" s="3"/>
      <c r="Z141" s="3"/>
    </row>
    <row r="142" spans="1:26" ht="14.4" hidden="1" outlineLevel="1" x14ac:dyDescent="0.3">
      <c r="A142" s="3"/>
      <c r="B142" s="10" t="s">
        <v>355</v>
      </c>
      <c r="C142" s="62"/>
      <c r="D142" s="62"/>
      <c r="E142" s="12">
        <v>0</v>
      </c>
      <c r="F142" s="12">
        <v>0</v>
      </c>
      <c r="G142" s="65"/>
      <c r="H142" s="65"/>
      <c r="I142" s="89"/>
      <c r="J142" s="65"/>
      <c r="K142" s="37"/>
      <c r="L142" s="37"/>
      <c r="M142" s="37"/>
      <c r="N142" s="37"/>
      <c r="O142" s="37"/>
      <c r="P142" s="37"/>
      <c r="Q142" s="37"/>
      <c r="R142" s="37"/>
      <c r="S142" s="37"/>
      <c r="T142" s="37"/>
      <c r="U142" s="3"/>
      <c r="W142" s="3"/>
      <c r="X142" s="3"/>
      <c r="Y142" s="3"/>
      <c r="Z142" s="3"/>
    </row>
    <row r="143" spans="1:26" ht="14.4" hidden="1" outlineLevel="1" x14ac:dyDescent="0.3">
      <c r="A143" s="3"/>
      <c r="B143" s="10" t="s">
        <v>369</v>
      </c>
      <c r="C143" s="62"/>
      <c r="D143" s="62"/>
      <c r="E143" s="12">
        <v>0</v>
      </c>
      <c r="F143" s="12">
        <v>0</v>
      </c>
      <c r="G143" s="65"/>
      <c r="H143" s="65"/>
      <c r="I143" s="89"/>
      <c r="J143" s="65"/>
      <c r="K143" s="37"/>
      <c r="L143" s="37"/>
      <c r="M143" s="37"/>
      <c r="N143" s="37"/>
      <c r="O143" s="37"/>
      <c r="P143" s="37"/>
      <c r="Q143" s="37"/>
      <c r="R143" s="37"/>
      <c r="S143" s="37"/>
      <c r="T143" s="37"/>
      <c r="U143" s="3"/>
      <c r="W143" s="3"/>
      <c r="X143" s="3"/>
      <c r="Y143" s="3"/>
      <c r="Z143" s="3"/>
    </row>
    <row r="144" spans="1:26" ht="14.4" hidden="1" outlineLevel="1" x14ac:dyDescent="0.3">
      <c r="A144" s="3"/>
      <c r="B144" s="10" t="s">
        <v>327</v>
      </c>
      <c r="C144" s="62"/>
      <c r="D144" s="62"/>
      <c r="E144" s="12">
        <v>0</v>
      </c>
      <c r="F144" s="12">
        <v>0</v>
      </c>
      <c r="G144" s="65"/>
      <c r="H144" s="65"/>
      <c r="I144" s="89"/>
      <c r="J144" s="65"/>
      <c r="K144" s="37"/>
      <c r="L144" s="37"/>
      <c r="M144" s="37"/>
      <c r="N144" s="37"/>
      <c r="O144" s="37"/>
      <c r="P144" s="37"/>
      <c r="Q144" s="37"/>
      <c r="R144" s="37"/>
      <c r="S144" s="37"/>
      <c r="T144" s="37"/>
      <c r="U144" s="3"/>
      <c r="W144" s="3"/>
      <c r="X144" s="3"/>
      <c r="Y144" s="3"/>
      <c r="Z144" s="3"/>
    </row>
    <row r="145" spans="1:26" ht="14.4" hidden="1" outlineLevel="1" x14ac:dyDescent="0.3">
      <c r="A145" s="3"/>
      <c r="B145" s="10" t="s">
        <v>328</v>
      </c>
      <c r="C145" s="62"/>
      <c r="D145" s="62"/>
      <c r="E145" s="12">
        <v>0</v>
      </c>
      <c r="F145" s="12">
        <v>0</v>
      </c>
      <c r="G145" s="65"/>
      <c r="H145" s="65"/>
      <c r="I145" s="89"/>
      <c r="J145" s="65"/>
      <c r="K145" s="37"/>
      <c r="L145" s="37"/>
      <c r="M145" s="37"/>
      <c r="N145" s="37"/>
      <c r="O145" s="37"/>
      <c r="P145" s="37"/>
      <c r="Q145" s="37"/>
      <c r="R145" s="37"/>
      <c r="S145" s="37"/>
      <c r="T145" s="37"/>
      <c r="U145" s="3"/>
      <c r="W145" s="3"/>
      <c r="X145" s="3"/>
      <c r="Y145" s="3"/>
      <c r="Z145" s="3"/>
    </row>
    <row r="146" spans="1:26" ht="14.4" hidden="1" outlineLevel="1" x14ac:dyDescent="0.3">
      <c r="A146" s="3"/>
      <c r="B146" s="10" t="s">
        <v>370</v>
      </c>
      <c r="C146" s="62"/>
      <c r="D146" s="62"/>
      <c r="E146" s="12">
        <v>0</v>
      </c>
      <c r="F146" s="12">
        <v>0</v>
      </c>
      <c r="G146" s="65"/>
      <c r="H146" s="65"/>
      <c r="I146" s="89"/>
      <c r="J146" s="65"/>
      <c r="K146" s="37"/>
      <c r="L146" s="37"/>
      <c r="M146" s="37"/>
      <c r="N146" s="37"/>
      <c r="O146" s="37"/>
      <c r="P146" s="37"/>
      <c r="Q146" s="37"/>
      <c r="R146" s="37"/>
      <c r="S146" s="37"/>
      <c r="T146" s="37"/>
      <c r="U146" s="3"/>
      <c r="W146" s="3"/>
      <c r="X146" s="3"/>
      <c r="Y146" s="3"/>
      <c r="Z146" s="3"/>
    </row>
    <row r="147" spans="1:26" ht="14.4" hidden="1" outlineLevel="1" x14ac:dyDescent="0.3">
      <c r="A147" s="3"/>
      <c r="B147" s="10" t="s">
        <v>371</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4.4" hidden="1" outlineLevel="1" x14ac:dyDescent="0.3">
      <c r="A148" s="3"/>
      <c r="B148" s="10" t="s">
        <v>372</v>
      </c>
      <c r="C148" s="62"/>
      <c r="D148" s="62"/>
      <c r="E148" s="12">
        <v>0</v>
      </c>
      <c r="F148" s="12">
        <v>0</v>
      </c>
      <c r="G148" s="65"/>
      <c r="H148" s="65"/>
      <c r="I148" s="89"/>
      <c r="J148" s="65"/>
      <c r="K148" s="37"/>
      <c r="L148" s="37"/>
      <c r="M148" s="37"/>
      <c r="N148" s="37"/>
      <c r="O148" s="37"/>
      <c r="P148" s="37"/>
      <c r="Q148" s="37"/>
      <c r="R148" s="37"/>
      <c r="S148" s="37"/>
      <c r="T148" s="37"/>
      <c r="U148" s="3"/>
      <c r="W148" s="3"/>
      <c r="X148" s="3"/>
      <c r="Y148" s="3"/>
      <c r="Z148" s="3"/>
    </row>
    <row r="149" spans="1:26" ht="20.399999999999999" collapsed="1" x14ac:dyDescent="0.3">
      <c r="A149" s="3"/>
      <c r="B149" s="84" t="s">
        <v>88</v>
      </c>
      <c r="C149" s="85" t="s">
        <v>43</v>
      </c>
      <c r="D149" s="85" t="s">
        <v>43</v>
      </c>
      <c r="E149" s="86">
        <f t="shared" ref="E149:F149" si="2">SUM(E150,E156,E162,E168)</f>
        <v>0</v>
      </c>
      <c r="F149" s="86">
        <f t="shared" si="2"/>
        <v>14202.08</v>
      </c>
      <c r="G149" s="87"/>
      <c r="H149" s="87"/>
      <c r="I149" s="88"/>
      <c r="J149" s="87"/>
      <c r="K149" s="37"/>
      <c r="L149" s="37"/>
      <c r="M149" s="37"/>
      <c r="N149" s="37"/>
      <c r="O149" s="37"/>
      <c r="P149" s="37"/>
      <c r="Q149" s="37"/>
      <c r="R149" s="37"/>
      <c r="S149" s="37"/>
      <c r="T149" s="37"/>
      <c r="U149" s="3"/>
      <c r="W149" s="3"/>
      <c r="X149" s="3"/>
      <c r="Y149" s="3"/>
      <c r="Z149" s="3"/>
    </row>
    <row r="150" spans="1:26" hidden="1" outlineLevel="1" x14ac:dyDescent="0.3">
      <c r="A150" s="3"/>
      <c r="B150" s="91" t="s">
        <v>380</v>
      </c>
      <c r="C150" s="92"/>
      <c r="D150" s="92"/>
      <c r="E150" s="93">
        <f>SUM(E151:E155)</f>
        <v>0</v>
      </c>
      <c r="F150" s="93">
        <f>SUMIF(D151:D155,"OK",F151:F155)</f>
        <v>14202.08</v>
      </c>
      <c r="G150" s="94"/>
      <c r="H150" s="94"/>
      <c r="I150" s="95"/>
      <c r="J150" s="94"/>
      <c r="K150" s="37"/>
      <c r="L150" s="37"/>
      <c r="M150" s="37"/>
      <c r="N150" s="37"/>
      <c r="O150" s="37"/>
      <c r="P150" s="37"/>
      <c r="Q150" s="37"/>
      <c r="R150" s="37"/>
      <c r="S150" s="37"/>
      <c r="T150" s="37"/>
      <c r="U150" s="3"/>
      <c r="W150" s="3"/>
      <c r="X150" s="3"/>
      <c r="Y150" s="3"/>
      <c r="Z150" s="3"/>
    </row>
    <row r="151" spans="1:26" ht="14.4" hidden="1" outlineLevel="1" x14ac:dyDescent="0.3">
      <c r="A151" s="3"/>
      <c r="B151" s="10" t="s">
        <v>844</v>
      </c>
      <c r="C151" s="62">
        <v>2</v>
      </c>
      <c r="D151" s="62" t="s">
        <v>94</v>
      </c>
      <c r="E151" s="12">
        <v>0</v>
      </c>
      <c r="F151" s="12">
        <v>537</v>
      </c>
      <c r="G151" s="65" t="s">
        <v>1375</v>
      </c>
      <c r="H151" s="65" t="s">
        <v>37</v>
      </c>
      <c r="I151" s="112" t="s">
        <v>1376</v>
      </c>
      <c r="J151" s="65"/>
      <c r="K151" s="37"/>
      <c r="L151" s="37"/>
      <c r="M151" s="37"/>
      <c r="N151" s="37"/>
      <c r="O151" s="37"/>
      <c r="P151" s="37"/>
      <c r="Q151" s="37"/>
      <c r="R151" s="37"/>
      <c r="S151" s="37"/>
      <c r="T151" s="37"/>
      <c r="U151" s="3"/>
      <c r="W151" s="3"/>
      <c r="X151" s="3"/>
      <c r="Y151" s="3"/>
      <c r="Z151" s="3"/>
    </row>
    <row r="152" spans="1:26" ht="14.4" hidden="1" outlineLevel="1" x14ac:dyDescent="0.3">
      <c r="A152" s="3"/>
      <c r="B152" s="10" t="s">
        <v>850</v>
      </c>
      <c r="C152" s="62">
        <v>2</v>
      </c>
      <c r="D152" s="62" t="s">
        <v>94</v>
      </c>
      <c r="E152" s="12">
        <v>0</v>
      </c>
      <c r="F152" s="12">
        <v>665.08</v>
      </c>
      <c r="G152" s="65" t="s">
        <v>1377</v>
      </c>
      <c r="H152" s="65" t="s">
        <v>37</v>
      </c>
      <c r="I152" s="112" t="s">
        <v>1378</v>
      </c>
      <c r="J152" s="65"/>
      <c r="K152" s="37"/>
      <c r="L152" s="37"/>
      <c r="M152" s="37"/>
      <c r="N152" s="37"/>
      <c r="O152" s="37"/>
      <c r="P152" s="37"/>
      <c r="Q152" s="37"/>
      <c r="R152" s="37"/>
      <c r="S152" s="37"/>
      <c r="T152" s="37"/>
      <c r="U152" s="3"/>
      <c r="W152" s="3"/>
      <c r="X152" s="3"/>
      <c r="Y152" s="3"/>
      <c r="Z152" s="3"/>
    </row>
    <row r="153" spans="1:26" ht="14.4" hidden="1" outlineLevel="1" x14ac:dyDescent="0.3">
      <c r="A153" s="3"/>
      <c r="B153" s="10" t="s">
        <v>1117</v>
      </c>
      <c r="C153" s="62">
        <v>27</v>
      </c>
      <c r="D153" s="62" t="s">
        <v>94</v>
      </c>
      <c r="E153" s="12">
        <v>0</v>
      </c>
      <c r="F153" s="12">
        <v>10000</v>
      </c>
      <c r="G153" s="65"/>
      <c r="H153" s="65" t="s">
        <v>38</v>
      </c>
      <c r="I153" s="112" t="s">
        <v>1379</v>
      </c>
      <c r="J153" s="65"/>
      <c r="K153" s="37"/>
      <c r="L153" s="37"/>
      <c r="M153" s="37"/>
      <c r="N153" s="37"/>
      <c r="O153" s="37"/>
      <c r="P153" s="37"/>
      <c r="Q153" s="37"/>
      <c r="R153" s="37"/>
      <c r="S153" s="37"/>
      <c r="T153" s="37"/>
      <c r="U153" s="3"/>
      <c r="W153" s="3"/>
      <c r="X153" s="3"/>
      <c r="Y153" s="3"/>
      <c r="Z153" s="3"/>
    </row>
    <row r="154" spans="1:26" ht="14.4" hidden="1" outlineLevel="1" x14ac:dyDescent="0.3">
      <c r="A154" s="3"/>
      <c r="B154" s="10" t="s">
        <v>1380</v>
      </c>
      <c r="C154" s="62">
        <v>27</v>
      </c>
      <c r="D154" s="62" t="s">
        <v>94</v>
      </c>
      <c r="E154" s="12">
        <v>0</v>
      </c>
      <c r="F154" s="12">
        <v>3000</v>
      </c>
      <c r="G154" s="65" t="s">
        <v>1381</v>
      </c>
      <c r="H154" s="65" t="s">
        <v>38</v>
      </c>
      <c r="I154" s="112" t="s">
        <v>1382</v>
      </c>
      <c r="J154" s="65"/>
      <c r="K154" s="37"/>
      <c r="L154" s="37"/>
      <c r="M154" s="37"/>
      <c r="N154" s="37"/>
      <c r="O154" s="37"/>
      <c r="P154" s="37"/>
      <c r="Q154" s="37"/>
      <c r="R154" s="37"/>
      <c r="S154" s="37"/>
      <c r="T154" s="37"/>
      <c r="U154" s="3"/>
      <c r="W154" s="3"/>
      <c r="X154" s="3"/>
      <c r="Y154" s="3"/>
      <c r="Z154" s="3"/>
    </row>
    <row r="155" spans="1:26" ht="14.4" hidden="1" outlineLevel="1" x14ac:dyDescent="0.3">
      <c r="A155" s="3"/>
      <c r="B155" s="10" t="s">
        <v>327</v>
      </c>
      <c r="C155" s="62"/>
      <c r="D155" s="62"/>
      <c r="E155" s="12">
        <v>0</v>
      </c>
      <c r="F155" s="12">
        <v>0</v>
      </c>
      <c r="G155" s="65"/>
      <c r="H155" s="65"/>
      <c r="I155" s="89"/>
      <c r="J155" s="65"/>
      <c r="K155" s="37"/>
      <c r="L155" s="37"/>
      <c r="M155" s="37"/>
      <c r="N155" s="37"/>
      <c r="O155" s="37"/>
      <c r="P155" s="37"/>
      <c r="Q155" s="37"/>
      <c r="R155" s="37"/>
      <c r="S155" s="37"/>
      <c r="T155" s="37"/>
      <c r="U155" s="3"/>
      <c r="W155" s="3"/>
      <c r="X155" s="3"/>
      <c r="Y155" s="3"/>
      <c r="Z155" s="3"/>
    </row>
    <row r="156" spans="1:26" hidden="1" outlineLevel="1" x14ac:dyDescent="0.3">
      <c r="A156" s="3"/>
      <c r="B156" s="91" t="s">
        <v>643</v>
      </c>
      <c r="C156" s="92"/>
      <c r="D156" s="92"/>
      <c r="E156" s="93">
        <f>SUM(E157:E161)</f>
        <v>0</v>
      </c>
      <c r="F156" s="93">
        <f>SUMIF(D157:D161,"OK",F157:F161)</f>
        <v>0</v>
      </c>
      <c r="G156" s="94"/>
      <c r="H156" s="94"/>
      <c r="I156" s="95"/>
      <c r="J156" s="94"/>
      <c r="K156" s="37"/>
      <c r="L156" s="37"/>
      <c r="M156" s="37"/>
      <c r="N156" s="37"/>
      <c r="O156" s="37"/>
      <c r="P156" s="37"/>
      <c r="Q156" s="37"/>
      <c r="R156" s="37"/>
      <c r="S156" s="37"/>
      <c r="T156" s="37"/>
      <c r="U156" s="3"/>
      <c r="W156" s="3"/>
      <c r="X156" s="3"/>
      <c r="Y156" s="3"/>
      <c r="Z156" s="3"/>
    </row>
    <row r="157" spans="1:26" ht="14.4" hidden="1" outlineLevel="1" x14ac:dyDescent="0.3">
      <c r="A157" s="3"/>
      <c r="B157" s="10" t="s">
        <v>353</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4.4" hidden="1" outlineLevel="1" x14ac:dyDescent="0.3">
      <c r="A158" s="3"/>
      <c r="B158" s="10" t="s">
        <v>354</v>
      </c>
      <c r="C158" s="62"/>
      <c r="D158" s="62"/>
      <c r="E158" s="12">
        <v>0</v>
      </c>
      <c r="F158" s="12">
        <v>0</v>
      </c>
      <c r="G158" s="65"/>
      <c r="H158" s="65"/>
      <c r="I158" s="89"/>
      <c r="J158" s="65"/>
      <c r="K158" s="37"/>
      <c r="L158" s="37"/>
      <c r="M158" s="37"/>
      <c r="N158" s="37"/>
      <c r="O158" s="37"/>
      <c r="P158" s="37"/>
      <c r="Q158" s="37"/>
      <c r="R158" s="37"/>
      <c r="S158" s="37"/>
      <c r="T158" s="37"/>
      <c r="U158" s="3"/>
      <c r="W158" s="3"/>
      <c r="X158" s="3"/>
      <c r="Y158" s="3"/>
      <c r="Z158" s="3"/>
    </row>
    <row r="159" spans="1:26" ht="14.4" hidden="1" outlineLevel="1" x14ac:dyDescent="0.3">
      <c r="A159" s="3"/>
      <c r="B159" s="10" t="s">
        <v>355</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4.4" hidden="1" outlineLevel="1" x14ac:dyDescent="0.3">
      <c r="A160" s="3"/>
      <c r="B160" s="10" t="s">
        <v>369</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4.4" hidden="1" outlineLevel="1" x14ac:dyDescent="0.3">
      <c r="A161" s="3"/>
      <c r="B161" s="10" t="s">
        <v>327</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idden="1" outlineLevel="1" x14ac:dyDescent="0.3">
      <c r="A162" s="3"/>
      <c r="B162" s="91" t="s">
        <v>381</v>
      </c>
      <c r="C162" s="92"/>
      <c r="D162" s="92"/>
      <c r="E162" s="93">
        <f>SUM(E163:E167)</f>
        <v>0</v>
      </c>
      <c r="F162" s="93">
        <f>SUMIF(D163:D167,"OK",F163:F167)</f>
        <v>0</v>
      </c>
      <c r="G162" s="94"/>
      <c r="H162" s="94"/>
      <c r="I162" s="95"/>
      <c r="J162" s="94"/>
      <c r="K162" s="37"/>
      <c r="L162" s="37"/>
      <c r="M162" s="37"/>
      <c r="N162" s="37"/>
      <c r="O162" s="37"/>
      <c r="P162" s="37"/>
      <c r="Q162" s="37"/>
      <c r="R162" s="37"/>
      <c r="S162" s="37"/>
      <c r="T162" s="37"/>
      <c r="U162" s="3"/>
      <c r="W162" s="3"/>
      <c r="X162" s="3"/>
      <c r="Y162" s="3"/>
      <c r="Z162" s="3"/>
    </row>
    <row r="163" spans="1:26" ht="14.4" hidden="1" outlineLevel="1" x14ac:dyDescent="0.3">
      <c r="A163" s="3"/>
      <c r="B163" s="10" t="s">
        <v>353</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4.4" hidden="1" outlineLevel="1" x14ac:dyDescent="0.3">
      <c r="A164" s="3"/>
      <c r="B164" s="10" t="s">
        <v>354</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4.4" hidden="1" outlineLevel="1" x14ac:dyDescent="0.3">
      <c r="A165" s="3"/>
      <c r="B165" s="10" t="s">
        <v>355</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4.4" hidden="1" outlineLevel="1" x14ac:dyDescent="0.3">
      <c r="A166" s="3"/>
      <c r="B166" s="10" t="s">
        <v>369</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4.4" hidden="1" outlineLevel="1" x14ac:dyDescent="0.3">
      <c r="A167" s="3"/>
      <c r="B167" s="10" t="s">
        <v>327</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idden="1" outlineLevel="1" x14ac:dyDescent="0.3">
      <c r="A168" s="3"/>
      <c r="B168" s="91" t="s">
        <v>382</v>
      </c>
      <c r="C168" s="92"/>
      <c r="D168" s="92"/>
      <c r="E168" s="93">
        <f>SUM(E169:E173)</f>
        <v>0</v>
      </c>
      <c r="F168" s="93">
        <f>SUMIF(D169:D173,"OK",F169:F173)</f>
        <v>0</v>
      </c>
      <c r="G168" s="94"/>
      <c r="H168" s="94"/>
      <c r="I168" s="95"/>
      <c r="J168" s="94"/>
      <c r="K168" s="37"/>
      <c r="L168" s="37"/>
      <c r="M168" s="37"/>
      <c r="N168" s="37"/>
      <c r="O168" s="37"/>
      <c r="P168" s="37"/>
      <c r="Q168" s="37"/>
      <c r="R168" s="37"/>
      <c r="S168" s="37"/>
      <c r="T168" s="37"/>
      <c r="U168" s="3"/>
      <c r="W168" s="3"/>
      <c r="X168" s="3"/>
      <c r="Y168" s="3"/>
      <c r="Z168" s="3"/>
    </row>
    <row r="169" spans="1:26" ht="14.4" hidden="1" outlineLevel="1" x14ac:dyDescent="0.3">
      <c r="A169" s="3"/>
      <c r="B169" s="10" t="s">
        <v>353</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4.4" hidden="1" outlineLevel="1" x14ac:dyDescent="0.3">
      <c r="A170" s="3"/>
      <c r="B170" s="10" t="s">
        <v>354</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4.4" hidden="1" outlineLevel="1" x14ac:dyDescent="0.3">
      <c r="A171" s="3"/>
      <c r="B171" s="10" t="s">
        <v>355</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4.4" hidden="1" outlineLevel="1" x14ac:dyDescent="0.3">
      <c r="A172" s="3"/>
      <c r="B172" s="10" t="s">
        <v>369</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4.4" hidden="1" outlineLevel="1" x14ac:dyDescent="0.3">
      <c r="A173" s="3"/>
      <c r="B173" s="10" t="s">
        <v>327</v>
      </c>
      <c r="C173" s="62"/>
      <c r="D173" s="62"/>
      <c r="E173" s="12">
        <v>0</v>
      </c>
      <c r="F173" s="12">
        <v>0</v>
      </c>
      <c r="G173" s="65"/>
      <c r="H173" s="65"/>
      <c r="I173" s="89"/>
      <c r="J173" s="65"/>
      <c r="K173" s="37"/>
      <c r="L173" s="37"/>
      <c r="M173" s="37"/>
      <c r="N173" s="37"/>
      <c r="O173" s="37"/>
      <c r="P173" s="37"/>
      <c r="Q173" s="37"/>
      <c r="R173" s="37"/>
      <c r="S173" s="37"/>
      <c r="T173" s="37"/>
      <c r="U173" s="3"/>
      <c r="W173" s="3"/>
      <c r="X173" s="3"/>
      <c r="Y173" s="3"/>
      <c r="Z173" s="3"/>
    </row>
    <row r="174" spans="1:26" ht="20.399999999999999" collapsed="1" x14ac:dyDescent="0.3">
      <c r="A174" s="3"/>
      <c r="B174" s="84" t="s">
        <v>383</v>
      </c>
      <c r="C174" s="85" t="s">
        <v>43</v>
      </c>
      <c r="D174" s="85" t="s">
        <v>43</v>
      </c>
      <c r="E174" s="86">
        <f>SUM(E175:E179)</f>
        <v>0</v>
      </c>
      <c r="F174" s="86">
        <f>SUMIF(D175:D179,"OK",F175:F179)</f>
        <v>0</v>
      </c>
      <c r="G174" s="87"/>
      <c r="H174" s="87"/>
      <c r="I174" s="88"/>
      <c r="J174" s="87"/>
      <c r="K174" s="37"/>
      <c r="L174" s="37"/>
      <c r="M174" s="37"/>
      <c r="N174" s="37"/>
      <c r="O174" s="37"/>
      <c r="P174" s="37"/>
      <c r="Q174" s="37"/>
      <c r="R174" s="37"/>
      <c r="S174" s="37"/>
      <c r="T174" s="37"/>
      <c r="U174" s="3"/>
      <c r="W174" s="3"/>
      <c r="X174" s="3"/>
      <c r="Y174" s="3"/>
      <c r="Z174" s="3"/>
    </row>
    <row r="175" spans="1:26" ht="14.4" hidden="1" outlineLevel="1" x14ac:dyDescent="0.3">
      <c r="A175" s="3"/>
      <c r="B175" s="10" t="s">
        <v>1383</v>
      </c>
      <c r="C175" s="62"/>
      <c r="D175" s="62"/>
      <c r="E175" s="12">
        <v>0</v>
      </c>
      <c r="F175" s="12">
        <v>0</v>
      </c>
      <c r="G175" s="65"/>
      <c r="H175" s="65"/>
      <c r="I175" s="112"/>
      <c r="J175" s="65"/>
      <c r="K175" s="37"/>
      <c r="L175" s="37"/>
      <c r="M175" s="37"/>
      <c r="N175" s="37"/>
      <c r="O175" s="37"/>
      <c r="P175" s="37"/>
      <c r="Q175" s="37"/>
      <c r="R175" s="37"/>
      <c r="S175" s="37"/>
      <c r="T175" s="37"/>
      <c r="U175" s="3"/>
      <c r="W175" s="3"/>
      <c r="X175" s="3"/>
      <c r="Y175" s="3"/>
      <c r="Z175" s="3"/>
    </row>
    <row r="176" spans="1:26" ht="14.4" hidden="1" outlineLevel="1" x14ac:dyDescent="0.3">
      <c r="A176" s="3"/>
      <c r="B176" s="10" t="s">
        <v>354</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t="14.4" hidden="1" outlineLevel="1" x14ac:dyDescent="0.3">
      <c r="A177" s="3"/>
      <c r="B177" s="10" t="s">
        <v>355</v>
      </c>
      <c r="C177" s="62"/>
      <c r="D177" s="62"/>
      <c r="E177" s="12">
        <v>0</v>
      </c>
      <c r="F177" s="12">
        <v>0</v>
      </c>
      <c r="G177" s="65"/>
      <c r="H177" s="65"/>
      <c r="I177" s="89"/>
      <c r="J177" s="65"/>
      <c r="K177" s="37"/>
      <c r="L177" s="37"/>
      <c r="M177" s="37"/>
      <c r="N177" s="37"/>
      <c r="O177" s="37"/>
      <c r="P177" s="37"/>
      <c r="Q177" s="37"/>
      <c r="R177" s="37"/>
      <c r="S177" s="37"/>
      <c r="T177" s="37"/>
      <c r="U177" s="3"/>
      <c r="W177" s="3"/>
      <c r="X177" s="3"/>
      <c r="Y177" s="3"/>
      <c r="Z177" s="3"/>
    </row>
    <row r="178" spans="1:26" ht="14.4" hidden="1" outlineLevel="1" x14ac:dyDescent="0.3">
      <c r="A178" s="3"/>
      <c r="B178" s="10" t="s">
        <v>369</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4.4" hidden="1" outlineLevel="1" x14ac:dyDescent="0.3">
      <c r="A179" s="3"/>
      <c r="B179" s="10" t="s">
        <v>327</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20.399999999999999" collapsed="1" x14ac:dyDescent="0.3">
      <c r="A180" s="3"/>
      <c r="B180" s="84" t="s">
        <v>384</v>
      </c>
      <c r="C180" s="85" t="s">
        <v>43</v>
      </c>
      <c r="D180" s="85" t="s">
        <v>43</v>
      </c>
      <c r="E180" s="86">
        <f>SUM(E181:E208)</f>
        <v>0</v>
      </c>
      <c r="F180" s="86">
        <f>SUMIF(D181:D208,"OK",F181:F208)</f>
        <v>1447.62</v>
      </c>
      <c r="G180" s="87"/>
      <c r="H180" s="87"/>
      <c r="I180" s="88"/>
      <c r="J180" s="87"/>
      <c r="K180" s="37"/>
      <c r="L180" s="37"/>
      <c r="M180" s="37"/>
      <c r="N180" s="37"/>
      <c r="O180" s="37"/>
      <c r="P180" s="37"/>
      <c r="Q180" s="37"/>
      <c r="R180" s="37"/>
      <c r="S180" s="37"/>
      <c r="T180" s="37"/>
      <c r="U180" s="3"/>
      <c r="W180" s="3"/>
      <c r="X180" s="3"/>
      <c r="Y180" s="3"/>
      <c r="Z180" s="3"/>
    </row>
    <row r="181" spans="1:26" ht="14.4" hidden="1" outlineLevel="1" x14ac:dyDescent="0.3">
      <c r="A181" s="3"/>
      <c r="B181" s="10" t="s">
        <v>1137</v>
      </c>
      <c r="C181" s="80">
        <v>7</v>
      </c>
      <c r="D181" s="62" t="s">
        <v>94</v>
      </c>
      <c r="E181" s="12">
        <v>0</v>
      </c>
      <c r="F181" s="12">
        <v>354.62</v>
      </c>
      <c r="G181" s="89"/>
      <c r="H181" s="65" t="s">
        <v>37</v>
      </c>
      <c r="I181" s="112" t="s">
        <v>1384</v>
      </c>
      <c r="J181" s="65"/>
      <c r="K181" s="37"/>
      <c r="L181" s="37"/>
      <c r="M181" s="37"/>
      <c r="N181" s="37"/>
      <c r="O181" s="37"/>
      <c r="P181" s="37"/>
      <c r="Q181" s="37"/>
      <c r="R181" s="37"/>
      <c r="S181" s="37"/>
      <c r="T181" s="37"/>
      <c r="U181" s="3"/>
      <c r="W181" s="3"/>
      <c r="X181" s="3"/>
      <c r="Y181" s="3"/>
      <c r="Z181" s="3"/>
    </row>
    <row r="182" spans="1:26" ht="14.4" hidden="1" outlineLevel="1" x14ac:dyDescent="0.3">
      <c r="A182" s="3"/>
      <c r="B182" s="10" t="s">
        <v>864</v>
      </c>
      <c r="C182" s="62">
        <v>17</v>
      </c>
      <c r="D182" s="62" t="s">
        <v>94</v>
      </c>
      <c r="E182" s="12">
        <v>0</v>
      </c>
      <c r="F182" s="12">
        <v>30</v>
      </c>
      <c r="G182" s="89" t="s">
        <v>1385</v>
      </c>
      <c r="H182" s="65" t="s">
        <v>37</v>
      </c>
      <c r="I182" s="112" t="s">
        <v>1386</v>
      </c>
      <c r="J182" s="89"/>
      <c r="K182" s="37"/>
      <c r="L182" s="37"/>
      <c r="M182" s="37"/>
      <c r="N182" s="37"/>
      <c r="O182" s="37"/>
      <c r="P182" s="37"/>
      <c r="Q182" s="37"/>
      <c r="R182" s="37"/>
      <c r="S182" s="37"/>
      <c r="T182" s="37"/>
      <c r="U182" s="3"/>
      <c r="W182" s="3"/>
      <c r="X182" s="3"/>
      <c r="Y182" s="3"/>
      <c r="Z182" s="3"/>
    </row>
    <row r="183" spans="1:26" ht="14.4" hidden="1" outlineLevel="1" x14ac:dyDescent="0.3">
      <c r="A183" s="3"/>
      <c r="B183" s="10" t="s">
        <v>1387</v>
      </c>
      <c r="C183" s="62">
        <v>18</v>
      </c>
      <c r="D183" s="62" t="s">
        <v>94</v>
      </c>
      <c r="E183" s="12">
        <v>0</v>
      </c>
      <c r="F183" s="12">
        <v>400</v>
      </c>
      <c r="G183" s="65" t="s">
        <v>1388</v>
      </c>
      <c r="H183" s="65" t="s">
        <v>37</v>
      </c>
      <c r="I183" s="112" t="s">
        <v>1389</v>
      </c>
      <c r="J183" s="65"/>
      <c r="K183" s="37"/>
      <c r="L183" s="37"/>
      <c r="M183" s="37"/>
      <c r="N183" s="37"/>
      <c r="O183" s="37"/>
      <c r="P183" s="37"/>
      <c r="Q183" s="37"/>
      <c r="R183" s="37"/>
      <c r="S183" s="37"/>
      <c r="T183" s="37"/>
      <c r="U183" s="3"/>
      <c r="W183" s="3"/>
      <c r="X183" s="3"/>
      <c r="Y183" s="3"/>
      <c r="Z183" s="3"/>
    </row>
    <row r="184" spans="1:26" ht="14.4" hidden="1" outlineLevel="1" x14ac:dyDescent="0.3">
      <c r="A184" s="3"/>
      <c r="B184" s="10" t="s">
        <v>1390</v>
      </c>
      <c r="C184" s="62">
        <v>28</v>
      </c>
      <c r="D184" s="62" t="s">
        <v>94</v>
      </c>
      <c r="E184" s="12">
        <v>0</v>
      </c>
      <c r="F184" s="12">
        <v>663</v>
      </c>
      <c r="G184" s="89"/>
      <c r="H184" s="65" t="s">
        <v>37</v>
      </c>
      <c r="I184" s="112" t="s">
        <v>1391</v>
      </c>
      <c r="J184" s="65"/>
      <c r="K184" s="37"/>
      <c r="L184" s="37"/>
      <c r="M184" s="37"/>
      <c r="N184" s="37"/>
      <c r="O184" s="37"/>
      <c r="P184" s="37"/>
      <c r="Q184" s="37"/>
      <c r="R184" s="37"/>
      <c r="S184" s="37"/>
      <c r="T184" s="37"/>
      <c r="U184" s="3"/>
      <c r="W184" s="3"/>
      <c r="X184" s="3"/>
      <c r="Y184" s="3"/>
      <c r="Z184" s="3"/>
    </row>
    <row r="185" spans="1:26" ht="14.4" hidden="1" outlineLevel="1" x14ac:dyDescent="0.3">
      <c r="A185" s="3"/>
      <c r="B185" s="10" t="s">
        <v>50</v>
      </c>
      <c r="C185" s="62"/>
      <c r="D185" s="62"/>
      <c r="E185" s="12">
        <v>0</v>
      </c>
      <c r="F185" s="12">
        <v>0</v>
      </c>
      <c r="G185" s="65"/>
      <c r="H185" s="65"/>
      <c r="I185" s="112"/>
      <c r="J185" s="65"/>
      <c r="K185" s="37"/>
      <c r="L185" s="37"/>
      <c r="M185" s="37"/>
      <c r="N185" s="37"/>
      <c r="O185" s="37"/>
      <c r="P185" s="37"/>
      <c r="Q185" s="37"/>
      <c r="R185" s="37"/>
      <c r="S185" s="37"/>
      <c r="T185" s="37"/>
      <c r="U185" s="3"/>
      <c r="W185" s="3"/>
      <c r="X185" s="3"/>
      <c r="Y185" s="3"/>
      <c r="Z185" s="3"/>
    </row>
    <row r="186" spans="1:26" ht="14.4" hidden="1" outlineLevel="1" x14ac:dyDescent="0.3">
      <c r="A186" s="3"/>
      <c r="B186" s="10" t="s">
        <v>50</v>
      </c>
      <c r="C186" s="62"/>
      <c r="D186" s="62"/>
      <c r="E186" s="12">
        <v>0</v>
      </c>
      <c r="F186" s="12">
        <v>0</v>
      </c>
      <c r="G186" s="65"/>
      <c r="H186" s="65"/>
      <c r="I186" s="112"/>
      <c r="J186" s="65"/>
      <c r="K186" s="37"/>
      <c r="L186" s="37"/>
      <c r="M186" s="37"/>
      <c r="N186" s="37"/>
      <c r="O186" s="37"/>
      <c r="P186" s="37"/>
      <c r="Q186" s="37"/>
      <c r="R186" s="37"/>
      <c r="S186" s="37"/>
      <c r="T186" s="37"/>
      <c r="U186" s="3"/>
      <c r="W186" s="3"/>
      <c r="X186" s="3"/>
      <c r="Y186" s="3"/>
      <c r="Z186" s="3"/>
    </row>
    <row r="187" spans="1:26" ht="14.4" hidden="1" outlineLevel="1" x14ac:dyDescent="0.3">
      <c r="A187" s="3"/>
      <c r="B187" s="10" t="s">
        <v>50</v>
      </c>
      <c r="C187" s="62"/>
      <c r="D187" s="62"/>
      <c r="E187" s="12">
        <v>0</v>
      </c>
      <c r="F187" s="12">
        <v>0</v>
      </c>
      <c r="G187" s="65"/>
      <c r="H187" s="65"/>
      <c r="I187" s="112"/>
      <c r="J187" s="65"/>
      <c r="K187" s="37"/>
      <c r="L187" s="37"/>
      <c r="M187" s="37"/>
      <c r="N187" s="37"/>
      <c r="O187" s="37"/>
      <c r="P187" s="37"/>
      <c r="Q187" s="37"/>
      <c r="R187" s="37"/>
      <c r="S187" s="37"/>
      <c r="T187" s="37"/>
      <c r="U187" s="3"/>
      <c r="W187" s="3"/>
      <c r="X187" s="3"/>
      <c r="Y187" s="3"/>
      <c r="Z187" s="3"/>
    </row>
    <row r="188" spans="1:26" ht="14.4" hidden="1" outlineLevel="1" x14ac:dyDescent="0.3">
      <c r="A188" s="3"/>
      <c r="B188" s="10" t="s">
        <v>50</v>
      </c>
      <c r="C188" s="62"/>
      <c r="D188" s="62"/>
      <c r="E188" s="12">
        <v>0</v>
      </c>
      <c r="F188" s="12">
        <v>0</v>
      </c>
      <c r="G188" s="65"/>
      <c r="H188" s="65"/>
      <c r="I188" s="112"/>
      <c r="J188" s="65"/>
      <c r="K188" s="37"/>
      <c r="L188" s="37"/>
      <c r="M188" s="37"/>
      <c r="N188" s="37"/>
      <c r="O188" s="37"/>
      <c r="P188" s="37"/>
      <c r="Q188" s="37"/>
      <c r="R188" s="37"/>
      <c r="S188" s="37"/>
      <c r="T188" s="37"/>
      <c r="U188" s="3"/>
      <c r="W188" s="3"/>
      <c r="X188" s="3"/>
      <c r="Y188" s="3"/>
      <c r="Z188" s="3"/>
    </row>
    <row r="189" spans="1:26" ht="14.4" hidden="1" outlineLevel="1" x14ac:dyDescent="0.3">
      <c r="A189" s="3"/>
      <c r="B189" s="10" t="s">
        <v>50</v>
      </c>
      <c r="C189" s="62"/>
      <c r="D189" s="62"/>
      <c r="E189" s="12">
        <v>0</v>
      </c>
      <c r="F189" s="12">
        <v>0</v>
      </c>
      <c r="G189" s="65"/>
      <c r="H189" s="65"/>
      <c r="I189" s="112"/>
      <c r="J189" s="65"/>
      <c r="K189" s="37"/>
      <c r="L189" s="37"/>
      <c r="M189" s="37"/>
      <c r="N189" s="37"/>
      <c r="O189" s="37"/>
      <c r="P189" s="37"/>
      <c r="Q189" s="37"/>
      <c r="R189" s="37"/>
      <c r="S189" s="37"/>
      <c r="T189" s="37"/>
      <c r="U189" s="3"/>
      <c r="W189" s="3"/>
      <c r="X189" s="3"/>
      <c r="Y189" s="3"/>
      <c r="Z189" s="3"/>
    </row>
    <row r="190" spans="1:26" ht="14.4" hidden="1" outlineLevel="1" x14ac:dyDescent="0.3">
      <c r="A190" s="3"/>
      <c r="B190" s="10" t="s">
        <v>50</v>
      </c>
      <c r="C190" s="62"/>
      <c r="D190" s="62"/>
      <c r="E190" s="12">
        <v>0</v>
      </c>
      <c r="F190" s="12">
        <v>0</v>
      </c>
      <c r="G190" s="65"/>
      <c r="H190" s="65"/>
      <c r="I190" s="112"/>
      <c r="J190" s="65"/>
      <c r="K190" s="37"/>
      <c r="L190" s="37"/>
      <c r="M190" s="37"/>
      <c r="N190" s="37"/>
      <c r="O190" s="37"/>
      <c r="P190" s="37"/>
      <c r="Q190" s="37"/>
      <c r="R190" s="37"/>
      <c r="S190" s="37"/>
      <c r="T190" s="37"/>
      <c r="U190" s="3"/>
      <c r="W190" s="3"/>
      <c r="X190" s="3"/>
      <c r="Y190" s="3"/>
      <c r="Z190" s="3"/>
    </row>
    <row r="191" spans="1:26" ht="14.4" hidden="1" outlineLevel="1" x14ac:dyDescent="0.3">
      <c r="A191" s="3"/>
      <c r="B191" s="10" t="s">
        <v>50</v>
      </c>
      <c r="C191" s="62"/>
      <c r="D191" s="62"/>
      <c r="E191" s="12">
        <v>0</v>
      </c>
      <c r="F191" s="12">
        <v>0</v>
      </c>
      <c r="G191" s="65"/>
      <c r="H191" s="65"/>
      <c r="I191" s="112"/>
      <c r="J191" s="65"/>
      <c r="K191" s="37"/>
      <c r="L191" s="37"/>
      <c r="M191" s="37"/>
      <c r="N191" s="37"/>
      <c r="O191" s="37"/>
      <c r="P191" s="37"/>
      <c r="Q191" s="37"/>
      <c r="R191" s="37"/>
      <c r="S191" s="37"/>
      <c r="T191" s="37"/>
      <c r="U191" s="3"/>
      <c r="W191" s="3"/>
      <c r="X191" s="3"/>
      <c r="Y191" s="3"/>
      <c r="Z191" s="3"/>
    </row>
    <row r="192" spans="1:26" ht="14.4" hidden="1" outlineLevel="1" x14ac:dyDescent="0.3">
      <c r="A192" s="3"/>
      <c r="B192" s="10" t="s">
        <v>50</v>
      </c>
      <c r="C192" s="62"/>
      <c r="D192" s="62"/>
      <c r="E192" s="12">
        <v>0</v>
      </c>
      <c r="F192" s="12">
        <v>0</v>
      </c>
      <c r="G192" s="65"/>
      <c r="H192" s="65"/>
      <c r="I192" s="112"/>
      <c r="J192" s="65"/>
      <c r="K192" s="37"/>
      <c r="L192" s="37"/>
      <c r="M192" s="37"/>
      <c r="N192" s="37"/>
      <c r="O192" s="37"/>
      <c r="P192" s="37"/>
      <c r="Q192" s="37"/>
      <c r="R192" s="37"/>
      <c r="S192" s="37"/>
      <c r="T192" s="37"/>
      <c r="U192" s="3"/>
      <c r="W192" s="3"/>
      <c r="X192" s="3"/>
      <c r="Y192" s="3"/>
      <c r="Z192" s="3"/>
    </row>
    <row r="193" spans="1:26" ht="14.4" hidden="1" outlineLevel="1" x14ac:dyDescent="0.3">
      <c r="A193" s="3"/>
      <c r="B193" s="10" t="s">
        <v>50</v>
      </c>
      <c r="C193" s="62"/>
      <c r="D193" s="62"/>
      <c r="E193" s="12">
        <v>0</v>
      </c>
      <c r="F193" s="12">
        <v>0</v>
      </c>
      <c r="G193" s="65"/>
      <c r="H193" s="65"/>
      <c r="I193" s="128"/>
      <c r="J193" s="65"/>
      <c r="K193" s="37"/>
      <c r="L193" s="37"/>
      <c r="M193" s="37"/>
      <c r="N193" s="37"/>
      <c r="O193" s="37"/>
      <c r="P193" s="37"/>
      <c r="Q193" s="37"/>
      <c r="R193" s="37"/>
      <c r="S193" s="37"/>
      <c r="T193" s="37"/>
      <c r="U193" s="3"/>
      <c r="W193" s="3"/>
      <c r="X193" s="3"/>
      <c r="Y193" s="3"/>
      <c r="Z193" s="3"/>
    </row>
    <row r="194" spans="1:26" ht="14.4" hidden="1" outlineLevel="1" x14ac:dyDescent="0.3">
      <c r="A194" s="3"/>
      <c r="B194" s="10" t="s">
        <v>50</v>
      </c>
      <c r="C194" s="62"/>
      <c r="D194" s="62"/>
      <c r="E194" s="12">
        <v>0</v>
      </c>
      <c r="F194" s="12">
        <v>0</v>
      </c>
      <c r="G194" s="65"/>
      <c r="H194" s="65"/>
      <c r="I194" s="128"/>
      <c r="J194" s="65"/>
      <c r="K194" s="37"/>
      <c r="L194" s="37"/>
      <c r="M194" s="37"/>
      <c r="N194" s="37"/>
      <c r="O194" s="37"/>
      <c r="P194" s="37"/>
      <c r="Q194" s="37"/>
      <c r="R194" s="37"/>
      <c r="S194" s="37"/>
      <c r="T194" s="37"/>
      <c r="U194" s="3"/>
      <c r="W194" s="3"/>
      <c r="X194" s="3"/>
      <c r="Y194" s="3"/>
      <c r="Z194" s="3"/>
    </row>
    <row r="195" spans="1:26" ht="14.4" hidden="1" outlineLevel="1" x14ac:dyDescent="0.3">
      <c r="A195" s="3"/>
      <c r="B195" s="10" t="s">
        <v>50</v>
      </c>
      <c r="C195" s="62"/>
      <c r="D195" s="62"/>
      <c r="E195" s="12">
        <v>0</v>
      </c>
      <c r="F195" s="12">
        <v>0</v>
      </c>
      <c r="G195" s="65"/>
      <c r="H195" s="65"/>
      <c r="I195" s="112"/>
      <c r="J195" s="65"/>
      <c r="K195" s="37"/>
      <c r="L195" s="37"/>
      <c r="M195" s="37"/>
      <c r="N195" s="37"/>
      <c r="O195" s="37"/>
      <c r="P195" s="37"/>
      <c r="Q195" s="37"/>
      <c r="R195" s="37"/>
      <c r="S195" s="37"/>
      <c r="T195" s="37"/>
      <c r="U195" s="3"/>
      <c r="W195" s="3"/>
      <c r="X195" s="3"/>
      <c r="Y195" s="3"/>
      <c r="Z195" s="3"/>
    </row>
    <row r="196" spans="1:26" ht="14.4" hidden="1" outlineLevel="1" x14ac:dyDescent="0.3">
      <c r="A196" s="3"/>
      <c r="B196" s="10" t="s">
        <v>50</v>
      </c>
      <c r="C196" s="62"/>
      <c r="D196" s="62"/>
      <c r="E196" s="12">
        <v>0</v>
      </c>
      <c r="F196" s="12">
        <v>0</v>
      </c>
      <c r="G196" s="65"/>
      <c r="H196" s="65"/>
      <c r="I196" s="112"/>
      <c r="J196" s="65"/>
      <c r="K196" s="37"/>
      <c r="L196" s="37"/>
      <c r="M196" s="37"/>
      <c r="N196" s="37"/>
      <c r="O196" s="37"/>
      <c r="P196" s="37"/>
      <c r="Q196" s="37"/>
      <c r="R196" s="37"/>
      <c r="S196" s="37"/>
      <c r="T196" s="37"/>
      <c r="U196" s="3"/>
      <c r="W196" s="3"/>
      <c r="X196" s="3"/>
      <c r="Y196" s="3"/>
      <c r="Z196" s="3"/>
    </row>
    <row r="197" spans="1:26" ht="14.4" hidden="1" outlineLevel="1" x14ac:dyDescent="0.3">
      <c r="A197" s="3"/>
      <c r="B197" s="10" t="s">
        <v>50</v>
      </c>
      <c r="C197" s="62"/>
      <c r="D197" s="62"/>
      <c r="E197" s="12">
        <v>0</v>
      </c>
      <c r="F197" s="12">
        <v>0</v>
      </c>
      <c r="G197" s="65"/>
      <c r="H197" s="65"/>
      <c r="I197" s="112"/>
      <c r="J197" s="65"/>
      <c r="K197" s="37"/>
      <c r="L197" s="37"/>
      <c r="M197" s="37"/>
      <c r="N197" s="37"/>
      <c r="O197" s="37"/>
      <c r="P197" s="37"/>
      <c r="Q197" s="37"/>
      <c r="R197" s="37"/>
      <c r="S197" s="37"/>
      <c r="T197" s="37"/>
      <c r="U197" s="3"/>
      <c r="W197" s="3"/>
      <c r="X197" s="3"/>
      <c r="Y197" s="3"/>
      <c r="Z197" s="3"/>
    </row>
    <row r="198" spans="1:26" ht="14.4" hidden="1" outlineLevel="1" x14ac:dyDescent="0.3">
      <c r="A198" s="3"/>
      <c r="B198" s="10" t="s">
        <v>50</v>
      </c>
      <c r="C198" s="62"/>
      <c r="D198" s="62"/>
      <c r="E198" s="12">
        <v>0</v>
      </c>
      <c r="F198" s="12">
        <v>0</v>
      </c>
      <c r="G198" s="65"/>
      <c r="H198" s="65"/>
      <c r="I198" s="112"/>
      <c r="J198" s="65"/>
      <c r="K198" s="37"/>
      <c r="L198" s="37"/>
      <c r="M198" s="37"/>
      <c r="N198" s="37"/>
      <c r="O198" s="37"/>
      <c r="P198" s="37"/>
      <c r="Q198" s="37"/>
      <c r="R198" s="37"/>
      <c r="S198" s="37"/>
      <c r="T198" s="37"/>
      <c r="U198" s="3"/>
      <c r="W198" s="3"/>
      <c r="X198" s="3"/>
      <c r="Y198" s="3"/>
      <c r="Z198" s="3"/>
    </row>
    <row r="199" spans="1:26" ht="14.4" hidden="1" outlineLevel="1" x14ac:dyDescent="0.3">
      <c r="A199" s="3"/>
      <c r="B199" s="10" t="s">
        <v>50</v>
      </c>
      <c r="C199" s="62"/>
      <c r="D199" s="62"/>
      <c r="E199" s="12">
        <v>0</v>
      </c>
      <c r="F199" s="12">
        <v>0</v>
      </c>
      <c r="G199" s="65"/>
      <c r="H199" s="65"/>
      <c r="I199" s="112"/>
      <c r="J199" s="65"/>
      <c r="K199" s="37"/>
      <c r="L199" s="37"/>
      <c r="M199" s="37"/>
      <c r="N199" s="37"/>
      <c r="O199" s="37"/>
      <c r="P199" s="37"/>
      <c r="Q199" s="37"/>
      <c r="R199" s="37"/>
      <c r="S199" s="37"/>
      <c r="T199" s="37"/>
      <c r="U199" s="3"/>
      <c r="W199" s="3"/>
      <c r="X199" s="3"/>
      <c r="Y199" s="3"/>
      <c r="Z199" s="3"/>
    </row>
    <row r="200" spans="1:26" ht="14.4" hidden="1" outlineLevel="1" x14ac:dyDescent="0.3">
      <c r="A200" s="3"/>
      <c r="B200" s="10" t="s">
        <v>50</v>
      </c>
      <c r="C200" s="62"/>
      <c r="D200" s="62"/>
      <c r="E200" s="12">
        <v>0</v>
      </c>
      <c r="F200" s="12">
        <v>0</v>
      </c>
      <c r="G200" s="65"/>
      <c r="H200" s="65"/>
      <c r="I200" s="128"/>
      <c r="J200" s="65"/>
      <c r="K200" s="37"/>
      <c r="L200" s="37"/>
      <c r="M200" s="37"/>
      <c r="N200" s="37"/>
      <c r="O200" s="37"/>
      <c r="P200" s="37"/>
      <c r="Q200" s="37"/>
      <c r="R200" s="37"/>
      <c r="S200" s="37"/>
      <c r="T200" s="37"/>
      <c r="U200" s="3"/>
      <c r="W200" s="3"/>
      <c r="X200" s="3"/>
      <c r="Y200" s="3"/>
      <c r="Z200" s="3"/>
    </row>
    <row r="201" spans="1:26" ht="14.4" hidden="1" outlineLevel="1" x14ac:dyDescent="0.3">
      <c r="A201" s="3"/>
      <c r="B201" s="10" t="s">
        <v>50</v>
      </c>
      <c r="C201" s="62"/>
      <c r="D201" s="62"/>
      <c r="E201" s="12">
        <v>0</v>
      </c>
      <c r="F201" s="12">
        <v>0</v>
      </c>
      <c r="G201" s="65"/>
      <c r="H201" s="65"/>
      <c r="I201" s="112"/>
      <c r="J201" s="65"/>
      <c r="K201" s="37"/>
      <c r="L201" s="37"/>
      <c r="M201" s="37"/>
      <c r="N201" s="37"/>
      <c r="O201" s="37"/>
      <c r="P201" s="37"/>
      <c r="Q201" s="37"/>
      <c r="R201" s="37"/>
      <c r="S201" s="37"/>
      <c r="T201" s="37"/>
      <c r="U201" s="3"/>
      <c r="W201" s="3"/>
      <c r="X201" s="3"/>
      <c r="Y201" s="3"/>
      <c r="Z201" s="3"/>
    </row>
    <row r="202" spans="1:26" ht="14.4" hidden="1" outlineLevel="1" x14ac:dyDescent="0.3">
      <c r="A202" s="3"/>
      <c r="B202" s="10" t="s">
        <v>50</v>
      </c>
      <c r="C202" s="62"/>
      <c r="D202" s="62"/>
      <c r="E202" s="12">
        <v>0</v>
      </c>
      <c r="F202" s="12">
        <v>0</v>
      </c>
      <c r="G202" s="65"/>
      <c r="H202" s="65"/>
      <c r="I202" s="128"/>
      <c r="J202" s="65"/>
      <c r="K202" s="37"/>
      <c r="L202" s="37"/>
      <c r="M202" s="37"/>
      <c r="N202" s="37"/>
      <c r="O202" s="37"/>
      <c r="P202" s="37"/>
      <c r="Q202" s="37"/>
      <c r="R202" s="37"/>
      <c r="S202" s="37"/>
      <c r="T202" s="37"/>
      <c r="U202" s="3"/>
      <c r="W202" s="3"/>
      <c r="X202" s="3"/>
      <c r="Y202" s="3"/>
      <c r="Z202" s="3"/>
    </row>
    <row r="203" spans="1:26" ht="14.4" hidden="1" outlineLevel="1" x14ac:dyDescent="0.3">
      <c r="A203" s="3"/>
      <c r="B203" s="10" t="s">
        <v>50</v>
      </c>
      <c r="C203" s="62"/>
      <c r="D203" s="62"/>
      <c r="E203" s="12">
        <v>0</v>
      </c>
      <c r="F203" s="12">
        <v>0</v>
      </c>
      <c r="G203" s="65"/>
      <c r="H203" s="65"/>
      <c r="I203" s="128"/>
      <c r="J203" s="65"/>
      <c r="K203" s="37"/>
      <c r="L203" s="37"/>
      <c r="M203" s="37"/>
      <c r="N203" s="37"/>
      <c r="O203" s="37"/>
      <c r="P203" s="37"/>
      <c r="Q203" s="37"/>
      <c r="R203" s="37"/>
      <c r="S203" s="37"/>
      <c r="T203" s="37"/>
      <c r="U203" s="3"/>
      <c r="W203" s="3"/>
      <c r="X203" s="3"/>
      <c r="Y203" s="3"/>
      <c r="Z203" s="3"/>
    </row>
    <row r="204" spans="1:26" ht="14.4" hidden="1" outlineLevel="1" x14ac:dyDescent="0.3">
      <c r="A204" s="3"/>
      <c r="B204" s="10" t="s">
        <v>50</v>
      </c>
      <c r="C204" s="62"/>
      <c r="D204" s="62"/>
      <c r="E204" s="12">
        <v>0</v>
      </c>
      <c r="F204" s="12">
        <v>0</v>
      </c>
      <c r="G204" s="65"/>
      <c r="H204" s="65"/>
      <c r="I204" s="89"/>
      <c r="J204" s="65"/>
      <c r="K204" s="37"/>
      <c r="L204" s="37"/>
      <c r="M204" s="37"/>
      <c r="N204" s="37"/>
      <c r="O204" s="37"/>
      <c r="P204" s="37"/>
      <c r="Q204" s="37"/>
      <c r="R204" s="37"/>
      <c r="S204" s="37"/>
      <c r="T204" s="37"/>
      <c r="U204" s="3"/>
      <c r="W204" s="3"/>
      <c r="X204" s="3"/>
      <c r="Y204" s="3"/>
      <c r="Z204" s="3"/>
    </row>
    <row r="205" spans="1:26" ht="14.4" hidden="1" outlineLevel="1" x14ac:dyDescent="0.3">
      <c r="A205" s="3"/>
      <c r="B205" s="10" t="s">
        <v>50</v>
      </c>
      <c r="C205" s="62"/>
      <c r="D205" s="62"/>
      <c r="E205" s="12">
        <v>0</v>
      </c>
      <c r="F205" s="12">
        <v>0</v>
      </c>
      <c r="G205" s="65"/>
      <c r="H205" s="65"/>
      <c r="I205" s="89"/>
      <c r="J205" s="65"/>
      <c r="K205" s="37"/>
      <c r="L205" s="37"/>
      <c r="M205" s="37"/>
      <c r="N205" s="37"/>
      <c r="O205" s="37"/>
      <c r="P205" s="37"/>
      <c r="Q205" s="37"/>
      <c r="R205" s="37"/>
      <c r="S205" s="37"/>
      <c r="T205" s="37"/>
      <c r="U205" s="3"/>
      <c r="W205" s="3"/>
      <c r="X205" s="3"/>
      <c r="Y205" s="3"/>
      <c r="Z205" s="3"/>
    </row>
    <row r="206" spans="1:26" ht="14.4" hidden="1" outlineLevel="1" x14ac:dyDescent="0.3">
      <c r="A206" s="3"/>
      <c r="B206" s="10" t="s">
        <v>50</v>
      </c>
      <c r="C206" s="62"/>
      <c r="D206" s="62"/>
      <c r="E206" s="12">
        <v>0</v>
      </c>
      <c r="F206" s="12">
        <v>0</v>
      </c>
      <c r="G206" s="65"/>
      <c r="H206" s="65"/>
      <c r="I206" s="89"/>
      <c r="J206" s="65"/>
      <c r="K206" s="37"/>
      <c r="L206" s="37"/>
      <c r="M206" s="37"/>
      <c r="N206" s="37"/>
      <c r="O206" s="37"/>
      <c r="P206" s="37"/>
      <c r="Q206" s="37"/>
      <c r="R206" s="37"/>
      <c r="S206" s="37"/>
      <c r="T206" s="37"/>
      <c r="U206" s="3"/>
      <c r="W206" s="3"/>
      <c r="X206" s="3"/>
      <c r="Y206" s="3"/>
      <c r="Z206" s="3"/>
    </row>
    <row r="207" spans="1:26" ht="14.4" hidden="1" outlineLevel="1" x14ac:dyDescent="0.3">
      <c r="A207" s="3"/>
      <c r="B207" s="10" t="s">
        <v>50</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4.4" hidden="1" outlineLevel="1" x14ac:dyDescent="0.3">
      <c r="A208" s="3"/>
      <c r="B208" s="10" t="s">
        <v>50</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20.399999999999999" collapsed="1" x14ac:dyDescent="0.3">
      <c r="A209" s="3"/>
      <c r="B209" s="84" t="s">
        <v>394</v>
      </c>
      <c r="C209" s="85" t="s">
        <v>43</v>
      </c>
      <c r="D209" s="85" t="s">
        <v>43</v>
      </c>
      <c r="E209" s="86">
        <f>SUM(E210:E218)</f>
        <v>0</v>
      </c>
      <c r="F209" s="86">
        <f>SUMIF(D210:D218,"OK",F210:F218)</f>
        <v>630.13</v>
      </c>
      <c r="G209" s="87"/>
      <c r="H209" s="87"/>
      <c r="I209" s="88"/>
      <c r="J209" s="87"/>
      <c r="K209" s="37"/>
      <c r="L209" s="37"/>
      <c r="M209" s="37"/>
      <c r="N209" s="37"/>
      <c r="O209" s="37"/>
      <c r="P209" s="37"/>
      <c r="Q209" s="37"/>
      <c r="R209" s="37"/>
      <c r="S209" s="37"/>
      <c r="T209" s="37"/>
      <c r="U209" s="3"/>
      <c r="W209" s="3"/>
      <c r="X209" s="3"/>
      <c r="Y209" s="3"/>
      <c r="Z209" s="3"/>
    </row>
    <row r="210" spans="1:26" ht="14.4" hidden="1" outlineLevel="1" x14ac:dyDescent="0.3">
      <c r="A210" s="3"/>
      <c r="B210" s="10" t="s">
        <v>1392</v>
      </c>
      <c r="C210" s="62">
        <v>8</v>
      </c>
      <c r="D210" s="62" t="s">
        <v>94</v>
      </c>
      <c r="E210" s="12">
        <v>0</v>
      </c>
      <c r="F210" s="12">
        <v>330.13</v>
      </c>
      <c r="G210" s="65"/>
      <c r="H210" s="65" t="s">
        <v>37</v>
      </c>
      <c r="I210" s="112" t="s">
        <v>1393</v>
      </c>
      <c r="J210" s="65"/>
      <c r="K210" s="37"/>
      <c r="L210" s="37"/>
      <c r="M210" s="37"/>
      <c r="N210" s="37"/>
      <c r="O210" s="37"/>
      <c r="P210" s="37"/>
      <c r="Q210" s="37"/>
      <c r="R210" s="37"/>
      <c r="S210" s="37"/>
      <c r="T210" s="37"/>
      <c r="U210" s="3"/>
      <c r="W210" s="3"/>
      <c r="X210" s="3"/>
      <c r="Y210" s="3"/>
      <c r="Z210" s="3"/>
    </row>
    <row r="211" spans="1:26" ht="14.4" hidden="1" outlineLevel="1" x14ac:dyDescent="0.3">
      <c r="A211" s="3"/>
      <c r="B211" s="10" t="s">
        <v>866</v>
      </c>
      <c r="C211" s="62">
        <v>11</v>
      </c>
      <c r="D211" s="62" t="s">
        <v>94</v>
      </c>
      <c r="E211" s="12">
        <v>0</v>
      </c>
      <c r="F211" s="12">
        <v>100</v>
      </c>
      <c r="G211" s="65"/>
      <c r="H211" s="65" t="s">
        <v>37</v>
      </c>
      <c r="I211" s="112" t="s">
        <v>1394</v>
      </c>
      <c r="J211" s="65"/>
      <c r="K211" s="37"/>
      <c r="L211" s="37"/>
      <c r="M211" s="37"/>
      <c r="N211" s="37"/>
      <c r="O211" s="37"/>
      <c r="P211" s="37"/>
      <c r="Q211" s="37"/>
      <c r="R211" s="37"/>
      <c r="S211" s="37"/>
      <c r="T211" s="37"/>
      <c r="U211" s="3"/>
      <c r="W211" s="3"/>
      <c r="X211" s="3"/>
      <c r="Y211" s="3"/>
      <c r="Z211" s="3"/>
    </row>
    <row r="212" spans="1:26" ht="14.4" hidden="1" outlineLevel="1" x14ac:dyDescent="0.3">
      <c r="A212" s="3"/>
      <c r="B212" s="10" t="s">
        <v>1395</v>
      </c>
      <c r="C212" s="62">
        <v>12</v>
      </c>
      <c r="D212" s="62" t="s">
        <v>94</v>
      </c>
      <c r="E212" s="12">
        <v>0</v>
      </c>
      <c r="F212" s="12">
        <v>200</v>
      </c>
      <c r="G212" s="65"/>
      <c r="H212" s="65" t="s">
        <v>37</v>
      </c>
      <c r="I212" s="112" t="s">
        <v>1396</v>
      </c>
      <c r="J212" s="65"/>
      <c r="K212" s="37"/>
      <c r="L212" s="37"/>
      <c r="M212" s="37"/>
      <c r="N212" s="37"/>
      <c r="O212" s="37"/>
      <c r="P212" s="37"/>
      <c r="Q212" s="37"/>
      <c r="R212" s="37"/>
      <c r="S212" s="37"/>
      <c r="T212" s="37"/>
      <c r="U212" s="3"/>
      <c r="W212" s="3"/>
      <c r="X212" s="3"/>
      <c r="Y212" s="3"/>
      <c r="Z212" s="3"/>
    </row>
    <row r="213" spans="1:26" ht="14.4" hidden="1" outlineLevel="1" x14ac:dyDescent="0.3">
      <c r="A213" s="3"/>
      <c r="B213" s="10" t="s">
        <v>369</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4.4" hidden="1" outlineLevel="1" x14ac:dyDescent="0.3">
      <c r="A214" s="3"/>
      <c r="B214" s="10" t="s">
        <v>327</v>
      </c>
      <c r="C214" s="62"/>
      <c r="D214" s="62"/>
      <c r="E214" s="12">
        <v>0</v>
      </c>
      <c r="F214" s="12">
        <v>0</v>
      </c>
      <c r="G214" s="65"/>
      <c r="H214" s="65"/>
      <c r="I214" s="89"/>
      <c r="J214" s="65"/>
      <c r="K214" s="37"/>
      <c r="L214" s="37"/>
      <c r="M214" s="37"/>
      <c r="N214" s="37"/>
      <c r="O214" s="37"/>
      <c r="P214" s="37"/>
      <c r="Q214" s="37"/>
      <c r="R214" s="37"/>
      <c r="S214" s="37"/>
      <c r="T214" s="37"/>
      <c r="U214" s="3"/>
      <c r="W214" s="3"/>
      <c r="X214" s="3"/>
      <c r="Y214" s="3"/>
      <c r="Z214" s="3"/>
    </row>
    <row r="215" spans="1:26" ht="14.4" hidden="1" outlineLevel="1" x14ac:dyDescent="0.3">
      <c r="A215" s="3"/>
      <c r="B215" s="10" t="s">
        <v>328</v>
      </c>
      <c r="C215" s="62"/>
      <c r="D215" s="62"/>
      <c r="E215" s="12">
        <v>0</v>
      </c>
      <c r="F215" s="12">
        <v>0</v>
      </c>
      <c r="G215" s="65"/>
      <c r="H215" s="65"/>
      <c r="I215" s="89"/>
      <c r="J215" s="65"/>
      <c r="K215" s="37"/>
      <c r="L215" s="37"/>
      <c r="M215" s="37"/>
      <c r="N215" s="37"/>
      <c r="O215" s="37"/>
      <c r="P215" s="37"/>
      <c r="Q215" s="37"/>
      <c r="R215" s="37"/>
      <c r="S215" s="37"/>
      <c r="T215" s="37"/>
      <c r="U215" s="3"/>
      <c r="W215" s="3"/>
      <c r="X215" s="3"/>
      <c r="Y215" s="3"/>
      <c r="Z215" s="3"/>
    </row>
    <row r="216" spans="1:26" ht="14.4" hidden="1" outlineLevel="1" x14ac:dyDescent="0.3">
      <c r="A216" s="3"/>
      <c r="B216" s="10" t="s">
        <v>370</v>
      </c>
      <c r="C216" s="62"/>
      <c r="D216" s="62"/>
      <c r="E216" s="12">
        <v>0</v>
      </c>
      <c r="F216" s="12">
        <v>0</v>
      </c>
      <c r="G216" s="65"/>
      <c r="H216" s="65"/>
      <c r="I216" s="89"/>
      <c r="J216" s="65"/>
      <c r="K216" s="37"/>
      <c r="L216" s="37"/>
      <c r="M216" s="37"/>
      <c r="N216" s="37"/>
      <c r="O216" s="37"/>
      <c r="P216" s="37"/>
      <c r="Q216" s="37"/>
      <c r="R216" s="37"/>
      <c r="S216" s="37"/>
      <c r="T216" s="37"/>
      <c r="U216" s="3"/>
      <c r="W216" s="3"/>
      <c r="X216" s="3"/>
      <c r="Y216" s="3"/>
      <c r="Z216" s="3"/>
    </row>
    <row r="217" spans="1:26" ht="14.4" hidden="1" outlineLevel="1" x14ac:dyDescent="0.3">
      <c r="A217" s="3"/>
      <c r="B217" s="10" t="s">
        <v>371</v>
      </c>
      <c r="C217" s="62"/>
      <c r="D217" s="62"/>
      <c r="E217" s="12">
        <v>0</v>
      </c>
      <c r="F217" s="12">
        <v>0</v>
      </c>
      <c r="G217" s="65"/>
      <c r="H217" s="65"/>
      <c r="I217" s="89"/>
      <c r="J217" s="65"/>
      <c r="K217" s="37"/>
      <c r="L217" s="37"/>
      <c r="M217" s="37"/>
      <c r="N217" s="37"/>
      <c r="O217" s="37"/>
      <c r="P217" s="37"/>
      <c r="Q217" s="37"/>
      <c r="R217" s="37"/>
      <c r="S217" s="37"/>
      <c r="T217" s="37"/>
      <c r="U217" s="3"/>
      <c r="W217" s="3"/>
      <c r="X217" s="3"/>
      <c r="Y217" s="3"/>
      <c r="Z217" s="3"/>
    </row>
    <row r="218" spans="1:26" ht="14.4" hidden="1" outlineLevel="1" x14ac:dyDescent="0.3">
      <c r="A218" s="3"/>
      <c r="B218" s="10" t="s">
        <v>372</v>
      </c>
      <c r="C218" s="62"/>
      <c r="D218" s="62"/>
      <c r="E218" s="12">
        <v>0</v>
      </c>
      <c r="F218" s="12">
        <v>0</v>
      </c>
      <c r="G218" s="65"/>
      <c r="H218" s="65"/>
      <c r="I218" s="89"/>
      <c r="J218" s="65"/>
      <c r="K218" s="37"/>
      <c r="L218" s="37"/>
      <c r="M218" s="37"/>
      <c r="N218" s="37"/>
      <c r="O218" s="37"/>
      <c r="P218" s="37"/>
      <c r="Q218" s="37"/>
      <c r="R218" s="37"/>
      <c r="S218" s="37"/>
      <c r="T218" s="37"/>
      <c r="U218" s="3"/>
      <c r="W218" s="3"/>
      <c r="X218" s="3"/>
      <c r="Y218" s="3"/>
      <c r="Z218" s="3"/>
    </row>
    <row r="219" spans="1:26" ht="20.399999999999999" collapsed="1" x14ac:dyDescent="0.3">
      <c r="A219" s="3"/>
      <c r="B219" s="84" t="s">
        <v>401</v>
      </c>
      <c r="C219" s="85" t="s">
        <v>43</v>
      </c>
      <c r="D219" s="85" t="s">
        <v>43</v>
      </c>
      <c r="E219" s="86">
        <f>SUM(E220:E228)</f>
        <v>0</v>
      </c>
      <c r="F219" s="86">
        <f>SUMIF(D220:D228,"OK",F220:F228)</f>
        <v>0</v>
      </c>
      <c r="G219" s="87"/>
      <c r="H219" s="87"/>
      <c r="I219" s="88"/>
      <c r="J219" s="87"/>
      <c r="K219" s="37"/>
      <c r="L219" s="37"/>
      <c r="M219" s="37"/>
      <c r="N219" s="37"/>
      <c r="O219" s="37"/>
      <c r="P219" s="37"/>
      <c r="Q219" s="37"/>
      <c r="R219" s="37"/>
      <c r="S219" s="37"/>
      <c r="T219" s="37"/>
      <c r="U219" s="3"/>
      <c r="W219" s="3"/>
      <c r="X219" s="3"/>
      <c r="Y219" s="3"/>
      <c r="Z219" s="3"/>
    </row>
    <row r="220" spans="1:26" ht="14.4" hidden="1" outlineLevel="1" x14ac:dyDescent="0.3">
      <c r="A220" s="3"/>
      <c r="B220" s="10" t="s">
        <v>353</v>
      </c>
      <c r="C220" s="62"/>
      <c r="D220" s="62"/>
      <c r="E220" s="12">
        <v>0</v>
      </c>
      <c r="F220" s="12">
        <v>0</v>
      </c>
      <c r="G220" s="65"/>
      <c r="H220" s="65"/>
      <c r="I220" s="112"/>
      <c r="J220" s="65"/>
      <c r="K220" s="37"/>
      <c r="L220" s="37"/>
      <c r="M220" s="37"/>
      <c r="N220" s="37"/>
      <c r="O220" s="37"/>
      <c r="P220" s="37"/>
      <c r="Q220" s="37"/>
      <c r="R220" s="37"/>
      <c r="S220" s="37"/>
      <c r="T220" s="37"/>
      <c r="U220" s="3"/>
      <c r="W220" s="3"/>
      <c r="X220" s="3"/>
      <c r="Y220" s="3"/>
      <c r="Z220" s="3"/>
    </row>
    <row r="221" spans="1:26" ht="14.4" hidden="1" outlineLevel="1" x14ac:dyDescent="0.3">
      <c r="A221" s="3"/>
      <c r="B221" s="10" t="s">
        <v>354</v>
      </c>
      <c r="C221" s="62"/>
      <c r="D221" s="62"/>
      <c r="E221" s="12">
        <v>0</v>
      </c>
      <c r="F221" s="12">
        <v>0</v>
      </c>
      <c r="G221" s="65"/>
      <c r="H221" s="65"/>
      <c r="I221" s="112"/>
      <c r="J221" s="65"/>
      <c r="K221" s="37"/>
      <c r="L221" s="37"/>
      <c r="M221" s="37"/>
      <c r="N221" s="37"/>
      <c r="O221" s="37"/>
      <c r="P221" s="37"/>
      <c r="Q221" s="37"/>
      <c r="R221" s="37"/>
      <c r="S221" s="37"/>
      <c r="T221" s="37"/>
      <c r="U221" s="3"/>
      <c r="W221" s="3"/>
      <c r="X221" s="3"/>
      <c r="Y221" s="3"/>
      <c r="Z221" s="3"/>
    </row>
    <row r="222" spans="1:26" ht="14.4" hidden="1" outlineLevel="1" x14ac:dyDescent="0.3">
      <c r="A222" s="3"/>
      <c r="B222" s="10" t="s">
        <v>355</v>
      </c>
      <c r="C222" s="62"/>
      <c r="D222" s="62"/>
      <c r="E222" s="12">
        <v>0</v>
      </c>
      <c r="F222" s="12">
        <v>0</v>
      </c>
      <c r="G222" s="65"/>
      <c r="H222" s="65"/>
      <c r="I222" s="112"/>
      <c r="J222" s="65"/>
      <c r="K222" s="37"/>
      <c r="L222" s="37"/>
      <c r="M222" s="37"/>
      <c r="N222" s="37"/>
      <c r="O222" s="37"/>
      <c r="P222" s="37"/>
      <c r="Q222" s="37"/>
      <c r="R222" s="37"/>
      <c r="S222" s="37"/>
      <c r="T222" s="37"/>
      <c r="U222" s="3"/>
      <c r="W222" s="3"/>
      <c r="X222" s="3"/>
      <c r="Y222" s="3"/>
      <c r="Z222" s="3"/>
    </row>
    <row r="223" spans="1:26" ht="14.4" hidden="1" outlineLevel="1" x14ac:dyDescent="0.3">
      <c r="A223" s="3"/>
      <c r="B223" s="10" t="s">
        <v>369</v>
      </c>
      <c r="C223" s="62"/>
      <c r="D223" s="62"/>
      <c r="E223" s="12">
        <v>0</v>
      </c>
      <c r="F223" s="12">
        <v>0</v>
      </c>
      <c r="G223" s="65"/>
      <c r="H223" s="65"/>
      <c r="I223" s="112"/>
      <c r="J223" s="65"/>
      <c r="K223" s="37"/>
      <c r="L223" s="37"/>
      <c r="M223" s="37"/>
      <c r="N223" s="37"/>
      <c r="O223" s="37"/>
      <c r="P223" s="37"/>
      <c r="Q223" s="37"/>
      <c r="R223" s="37"/>
      <c r="S223" s="37"/>
      <c r="T223" s="37"/>
      <c r="U223" s="3"/>
      <c r="W223" s="3"/>
      <c r="X223" s="3"/>
      <c r="Y223" s="3"/>
      <c r="Z223" s="3"/>
    </row>
    <row r="224" spans="1:26" ht="14.4" hidden="1" outlineLevel="1" x14ac:dyDescent="0.3">
      <c r="A224" s="3"/>
      <c r="B224" s="10" t="s">
        <v>327</v>
      </c>
      <c r="C224" s="62"/>
      <c r="D224" s="62"/>
      <c r="E224" s="12">
        <v>0</v>
      </c>
      <c r="F224" s="12">
        <v>0</v>
      </c>
      <c r="G224" s="65"/>
      <c r="H224" s="65"/>
      <c r="I224" s="112"/>
      <c r="J224" s="65"/>
      <c r="K224" s="37"/>
      <c r="L224" s="37"/>
      <c r="M224" s="37"/>
      <c r="N224" s="37"/>
      <c r="O224" s="37"/>
      <c r="P224" s="37"/>
      <c r="Q224" s="37"/>
      <c r="R224" s="37"/>
      <c r="S224" s="37"/>
      <c r="T224" s="37"/>
      <c r="U224" s="3"/>
      <c r="W224" s="3"/>
      <c r="X224" s="3"/>
      <c r="Y224" s="3"/>
      <c r="Z224" s="3"/>
    </row>
    <row r="225" spans="1:26" ht="14.4" hidden="1" outlineLevel="1" x14ac:dyDescent="0.3">
      <c r="A225" s="3"/>
      <c r="B225" s="10" t="s">
        <v>328</v>
      </c>
      <c r="C225" s="62"/>
      <c r="D225" s="62"/>
      <c r="E225" s="12">
        <v>0</v>
      </c>
      <c r="F225" s="12">
        <v>0</v>
      </c>
      <c r="G225" s="65"/>
      <c r="H225" s="65"/>
      <c r="I225" s="112"/>
      <c r="J225" s="65"/>
      <c r="K225" s="37"/>
      <c r="L225" s="37"/>
      <c r="M225" s="37"/>
      <c r="N225" s="37"/>
      <c r="O225" s="37"/>
      <c r="P225" s="37"/>
      <c r="Q225" s="37"/>
      <c r="R225" s="37"/>
      <c r="S225" s="37"/>
      <c r="T225" s="37"/>
      <c r="U225" s="3"/>
      <c r="W225" s="3"/>
      <c r="X225" s="3"/>
      <c r="Y225" s="3"/>
      <c r="Z225" s="3"/>
    </row>
    <row r="226" spans="1:26" ht="14.4" hidden="1" outlineLevel="1" x14ac:dyDescent="0.3">
      <c r="A226" s="3"/>
      <c r="B226" s="10" t="s">
        <v>370</v>
      </c>
      <c r="C226" s="62"/>
      <c r="D226" s="62"/>
      <c r="E226" s="12">
        <v>0</v>
      </c>
      <c r="F226" s="12">
        <v>0</v>
      </c>
      <c r="G226" s="65"/>
      <c r="H226" s="65"/>
      <c r="I226" s="112"/>
      <c r="J226" s="65"/>
      <c r="K226" s="37"/>
      <c r="L226" s="37"/>
      <c r="M226" s="37"/>
      <c r="N226" s="37"/>
      <c r="O226" s="37"/>
      <c r="P226" s="37"/>
      <c r="Q226" s="37"/>
      <c r="R226" s="37"/>
      <c r="S226" s="37"/>
      <c r="T226" s="37"/>
      <c r="U226" s="3"/>
      <c r="W226" s="3"/>
      <c r="X226" s="3"/>
      <c r="Y226" s="3"/>
      <c r="Z226" s="3"/>
    </row>
    <row r="227" spans="1:26" ht="14.4" hidden="1" outlineLevel="1" x14ac:dyDescent="0.3">
      <c r="A227" s="3"/>
      <c r="B227" s="10" t="s">
        <v>371</v>
      </c>
      <c r="C227" s="62"/>
      <c r="D227" s="62"/>
      <c r="E227" s="12">
        <v>0</v>
      </c>
      <c r="F227" s="12">
        <v>0</v>
      </c>
      <c r="G227" s="89"/>
      <c r="H227" s="65"/>
      <c r="I227" s="112"/>
      <c r="J227" s="65"/>
      <c r="K227" s="37"/>
      <c r="L227" s="37"/>
      <c r="M227" s="37"/>
      <c r="N227" s="37"/>
      <c r="O227" s="37"/>
      <c r="P227" s="37"/>
      <c r="Q227" s="37"/>
      <c r="R227" s="37"/>
      <c r="S227" s="37"/>
      <c r="T227" s="37"/>
      <c r="U227" s="3"/>
      <c r="W227" s="3"/>
      <c r="X227" s="3"/>
      <c r="Y227" s="3"/>
      <c r="Z227" s="3"/>
    </row>
    <row r="228" spans="1:26" ht="14.4" hidden="1" outlineLevel="1" x14ac:dyDescent="0.3">
      <c r="A228" s="3"/>
      <c r="B228" s="10" t="s">
        <v>372</v>
      </c>
      <c r="C228" s="62"/>
      <c r="D228" s="62"/>
      <c r="E228" s="12">
        <v>0</v>
      </c>
      <c r="F228" s="12">
        <v>0</v>
      </c>
      <c r="G228" s="89"/>
      <c r="H228" s="65"/>
      <c r="I228" s="112"/>
      <c r="J228" s="65"/>
      <c r="K228" s="37"/>
      <c r="L228" s="37"/>
      <c r="M228" s="37"/>
      <c r="N228" s="37"/>
      <c r="O228" s="37"/>
      <c r="P228" s="37"/>
      <c r="Q228" s="37"/>
      <c r="R228" s="37"/>
      <c r="S228" s="37"/>
      <c r="T228" s="37"/>
      <c r="U228" s="3"/>
      <c r="W228" s="3"/>
      <c r="X228" s="3"/>
      <c r="Y228" s="3"/>
      <c r="Z228" s="3"/>
    </row>
    <row r="229" spans="1:26" ht="20.399999999999999" collapsed="1" x14ac:dyDescent="0.3">
      <c r="A229" s="3"/>
      <c r="B229" s="84" t="s">
        <v>402</v>
      </c>
      <c r="C229" s="85" t="s">
        <v>43</v>
      </c>
      <c r="D229" s="85" t="s">
        <v>43</v>
      </c>
      <c r="E229" s="86">
        <f>SUM(E230:E238)</f>
        <v>0</v>
      </c>
      <c r="F229" s="86">
        <f>SUMIF(D230:D238,"OK",F230:F238)</f>
        <v>0</v>
      </c>
      <c r="G229" s="87"/>
      <c r="H229" s="87"/>
      <c r="I229" s="88"/>
      <c r="J229" s="87"/>
      <c r="K229" s="37"/>
      <c r="L229" s="37"/>
      <c r="M229" s="37"/>
      <c r="N229" s="37"/>
      <c r="O229" s="37"/>
      <c r="P229" s="37"/>
      <c r="Q229" s="37"/>
      <c r="R229" s="37"/>
      <c r="S229" s="37"/>
      <c r="T229" s="37"/>
      <c r="U229" s="3"/>
      <c r="W229" s="3"/>
      <c r="X229" s="3"/>
      <c r="Y229" s="3"/>
      <c r="Z229" s="3"/>
    </row>
    <row r="230" spans="1:26" ht="14.4" hidden="1" outlineLevel="1" x14ac:dyDescent="0.3">
      <c r="A230" s="3"/>
      <c r="B230" s="10" t="s">
        <v>1397</v>
      </c>
      <c r="C230" s="62"/>
      <c r="D230" s="62"/>
      <c r="E230" s="12">
        <v>0</v>
      </c>
      <c r="F230" s="12">
        <v>0</v>
      </c>
      <c r="G230" s="65"/>
      <c r="H230" s="65"/>
      <c r="I230" s="112"/>
      <c r="J230" s="65"/>
      <c r="K230" s="37"/>
      <c r="L230" s="37"/>
      <c r="M230" s="37"/>
      <c r="N230" s="37"/>
      <c r="O230" s="37"/>
      <c r="P230" s="37"/>
      <c r="Q230" s="37"/>
      <c r="R230" s="37"/>
      <c r="S230" s="37"/>
      <c r="T230" s="37"/>
      <c r="U230" s="3"/>
      <c r="W230" s="3"/>
      <c r="X230" s="3"/>
      <c r="Y230" s="3"/>
      <c r="Z230" s="3"/>
    </row>
    <row r="231" spans="1:26" ht="14.4" hidden="1" outlineLevel="1" x14ac:dyDescent="0.3">
      <c r="A231" s="3"/>
      <c r="B231" s="10" t="s">
        <v>1397</v>
      </c>
      <c r="C231" s="62"/>
      <c r="D231" s="62"/>
      <c r="E231" s="12">
        <v>0</v>
      </c>
      <c r="F231" s="12">
        <v>0</v>
      </c>
      <c r="G231" s="65"/>
      <c r="H231" s="65"/>
      <c r="I231" s="112"/>
      <c r="J231" s="65"/>
      <c r="K231" s="37"/>
      <c r="L231" s="37"/>
      <c r="M231" s="37"/>
      <c r="N231" s="37"/>
      <c r="O231" s="37"/>
      <c r="P231" s="37"/>
      <c r="Q231" s="37"/>
      <c r="R231" s="37"/>
      <c r="S231" s="37"/>
      <c r="T231" s="37"/>
      <c r="U231" s="3"/>
      <c r="W231" s="3"/>
      <c r="X231" s="3"/>
      <c r="Y231" s="3"/>
      <c r="Z231" s="3"/>
    </row>
    <row r="232" spans="1:26" ht="14.4" hidden="1" outlineLevel="1" x14ac:dyDescent="0.3">
      <c r="A232" s="3"/>
      <c r="B232" s="10" t="s">
        <v>355</v>
      </c>
      <c r="C232" s="62"/>
      <c r="D232" s="62"/>
      <c r="E232" s="12">
        <v>0</v>
      </c>
      <c r="F232" s="12">
        <v>0</v>
      </c>
      <c r="G232" s="65"/>
      <c r="H232" s="65"/>
      <c r="I232" s="89"/>
      <c r="J232" s="65"/>
      <c r="K232" s="37"/>
      <c r="L232" s="37"/>
      <c r="M232" s="37"/>
      <c r="N232" s="37"/>
      <c r="O232" s="37"/>
      <c r="P232" s="37"/>
      <c r="Q232" s="37"/>
      <c r="R232" s="37"/>
      <c r="S232" s="37"/>
      <c r="T232" s="37"/>
      <c r="U232" s="3"/>
      <c r="W232" s="3"/>
      <c r="X232" s="3"/>
      <c r="Y232" s="3"/>
      <c r="Z232" s="3"/>
    </row>
    <row r="233" spans="1:26" ht="14.4" hidden="1" outlineLevel="1" x14ac:dyDescent="0.3">
      <c r="A233" s="3"/>
      <c r="B233" s="10" t="s">
        <v>369</v>
      </c>
      <c r="C233" s="62"/>
      <c r="D233" s="62"/>
      <c r="E233" s="12">
        <v>0</v>
      </c>
      <c r="F233" s="12">
        <v>0</v>
      </c>
      <c r="G233" s="65"/>
      <c r="H233" s="65"/>
      <c r="I233" s="89"/>
      <c r="J233" s="65"/>
      <c r="K233" s="37"/>
      <c r="L233" s="37"/>
      <c r="M233" s="37"/>
      <c r="N233" s="37"/>
      <c r="O233" s="37"/>
      <c r="P233" s="37"/>
      <c r="Q233" s="37"/>
      <c r="R233" s="37"/>
      <c r="S233" s="37"/>
      <c r="T233" s="37"/>
      <c r="U233" s="3"/>
      <c r="W233" s="3"/>
      <c r="X233" s="3"/>
      <c r="Y233" s="3"/>
      <c r="Z233" s="3"/>
    </row>
    <row r="234" spans="1:26" ht="14.4" hidden="1" outlineLevel="1" x14ac:dyDescent="0.3">
      <c r="A234" s="3"/>
      <c r="B234" s="10" t="s">
        <v>327</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14.4" hidden="1" outlineLevel="1" x14ac:dyDescent="0.3">
      <c r="A235" s="3"/>
      <c r="B235" s="10" t="s">
        <v>328</v>
      </c>
      <c r="C235" s="62"/>
      <c r="D235" s="62"/>
      <c r="E235" s="12">
        <v>0</v>
      </c>
      <c r="F235" s="12">
        <v>0</v>
      </c>
      <c r="G235" s="65"/>
      <c r="H235" s="65"/>
      <c r="I235" s="89"/>
      <c r="J235" s="65"/>
      <c r="K235" s="37"/>
      <c r="L235" s="37"/>
      <c r="M235" s="37"/>
      <c r="N235" s="37"/>
      <c r="O235" s="37"/>
      <c r="P235" s="37"/>
      <c r="Q235" s="37"/>
      <c r="R235" s="37"/>
      <c r="S235" s="37"/>
      <c r="T235" s="37"/>
      <c r="U235" s="3"/>
      <c r="W235" s="3"/>
      <c r="X235" s="3"/>
      <c r="Y235" s="3"/>
      <c r="Z235" s="3"/>
    </row>
    <row r="236" spans="1:26" ht="14.4" hidden="1" outlineLevel="1" x14ac:dyDescent="0.3">
      <c r="A236" s="3"/>
      <c r="B236" s="10" t="s">
        <v>370</v>
      </c>
      <c r="C236" s="62"/>
      <c r="D236" s="62"/>
      <c r="E236" s="12">
        <v>0</v>
      </c>
      <c r="F236" s="12">
        <v>0</v>
      </c>
      <c r="G236" s="65"/>
      <c r="H236" s="65"/>
      <c r="I236" s="89"/>
      <c r="J236" s="65"/>
      <c r="K236" s="37"/>
      <c r="L236" s="37"/>
      <c r="M236" s="37"/>
      <c r="N236" s="37"/>
      <c r="O236" s="37"/>
      <c r="P236" s="37"/>
      <c r="Q236" s="37"/>
      <c r="R236" s="37"/>
      <c r="S236" s="37"/>
      <c r="T236" s="37"/>
      <c r="U236" s="3"/>
      <c r="W236" s="3"/>
      <c r="X236" s="3"/>
      <c r="Y236" s="3"/>
      <c r="Z236" s="3"/>
    </row>
    <row r="237" spans="1:26" ht="14.4" hidden="1" outlineLevel="1" x14ac:dyDescent="0.3">
      <c r="A237" s="3"/>
      <c r="B237" s="10" t="s">
        <v>371</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4.4" hidden="1" outlineLevel="1" x14ac:dyDescent="0.3">
      <c r="A238" s="3"/>
      <c r="B238" s="10" t="s">
        <v>372</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20.399999999999999" collapsed="1" x14ac:dyDescent="0.3">
      <c r="A239" s="3"/>
      <c r="B239" s="84" t="s">
        <v>403</v>
      </c>
      <c r="C239" s="85" t="s">
        <v>43</v>
      </c>
      <c r="D239" s="85" t="s">
        <v>43</v>
      </c>
      <c r="E239" s="86">
        <f>SUM(E240:E248)</f>
        <v>0</v>
      </c>
      <c r="F239" s="86">
        <f>SUMIF(D240:D248,"OK",F240:F248)</f>
        <v>400</v>
      </c>
      <c r="G239" s="87"/>
      <c r="H239" s="87"/>
      <c r="I239" s="88"/>
      <c r="J239" s="87"/>
      <c r="K239" s="37"/>
      <c r="L239" s="37"/>
      <c r="M239" s="37"/>
      <c r="N239" s="37"/>
      <c r="O239" s="37"/>
      <c r="P239" s="37"/>
      <c r="Q239" s="37"/>
      <c r="R239" s="37"/>
      <c r="S239" s="37"/>
      <c r="T239" s="37"/>
      <c r="U239" s="3"/>
      <c r="W239" s="3"/>
      <c r="X239" s="3"/>
      <c r="Y239" s="3"/>
      <c r="Z239" s="3"/>
    </row>
    <row r="240" spans="1:26" ht="14.4" hidden="1" outlineLevel="1" x14ac:dyDescent="0.3">
      <c r="A240" s="3"/>
      <c r="B240" s="10" t="s">
        <v>353</v>
      </c>
      <c r="C240" s="62"/>
      <c r="D240" s="62"/>
      <c r="E240" s="12">
        <v>0</v>
      </c>
      <c r="F240" s="12">
        <v>0</v>
      </c>
      <c r="G240" s="89"/>
      <c r="H240" s="65"/>
      <c r="I240" s="112"/>
      <c r="J240" s="65"/>
      <c r="K240" s="37"/>
      <c r="L240" s="37"/>
      <c r="M240" s="37"/>
      <c r="N240" s="37"/>
      <c r="O240" s="37"/>
      <c r="P240" s="37"/>
      <c r="Q240" s="37"/>
      <c r="R240" s="37"/>
      <c r="S240" s="37"/>
      <c r="T240" s="37"/>
      <c r="U240" s="3"/>
      <c r="W240" s="3"/>
      <c r="X240" s="3"/>
      <c r="Y240" s="3"/>
      <c r="Z240" s="3"/>
    </row>
    <row r="241" spans="1:26" ht="14.4" hidden="1" outlineLevel="1" x14ac:dyDescent="0.3">
      <c r="A241" s="3"/>
      <c r="B241" s="10" t="s">
        <v>1398</v>
      </c>
      <c r="C241" s="62">
        <v>28</v>
      </c>
      <c r="D241" s="62" t="s">
        <v>94</v>
      </c>
      <c r="E241" s="12">
        <v>0</v>
      </c>
      <c r="F241" s="12">
        <v>400</v>
      </c>
      <c r="G241" s="65" t="s">
        <v>1399</v>
      </c>
      <c r="H241" s="65" t="s">
        <v>37</v>
      </c>
      <c r="I241" s="112" t="s">
        <v>1400</v>
      </c>
      <c r="J241" s="65"/>
      <c r="K241" s="37"/>
      <c r="L241" s="37"/>
      <c r="M241" s="37"/>
      <c r="N241" s="37"/>
      <c r="O241" s="37"/>
      <c r="P241" s="37"/>
      <c r="Q241" s="37"/>
      <c r="R241" s="37"/>
      <c r="S241" s="37"/>
      <c r="T241" s="37"/>
      <c r="U241" s="3"/>
      <c r="W241" s="3"/>
      <c r="X241" s="3"/>
      <c r="Y241" s="3"/>
      <c r="Z241" s="3"/>
    </row>
    <row r="242" spans="1:26" ht="14.4" hidden="1" outlineLevel="1" x14ac:dyDescent="0.3">
      <c r="A242" s="3"/>
      <c r="B242" s="10" t="s">
        <v>355</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4.4" hidden="1" outlineLevel="1" x14ac:dyDescent="0.3">
      <c r="A243" s="3"/>
      <c r="B243" s="10" t="s">
        <v>369</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14.4" hidden="1" outlineLevel="1" x14ac:dyDescent="0.3">
      <c r="A244" s="3"/>
      <c r="B244" s="10" t="s">
        <v>327</v>
      </c>
      <c r="C244" s="62"/>
      <c r="D244" s="62"/>
      <c r="E244" s="12">
        <v>0</v>
      </c>
      <c r="F244" s="12">
        <v>0</v>
      </c>
      <c r="G244" s="65"/>
      <c r="H244" s="65"/>
      <c r="I244" s="89"/>
      <c r="J244" s="65"/>
      <c r="K244" s="37"/>
      <c r="L244" s="37"/>
      <c r="M244" s="37"/>
      <c r="N244" s="37"/>
      <c r="O244" s="37"/>
      <c r="P244" s="37"/>
      <c r="Q244" s="37"/>
      <c r="R244" s="37"/>
      <c r="S244" s="37"/>
      <c r="T244" s="37"/>
      <c r="U244" s="3"/>
      <c r="W244" s="3"/>
      <c r="X244" s="3"/>
      <c r="Y244" s="3"/>
      <c r="Z244" s="3"/>
    </row>
    <row r="245" spans="1:26" ht="14.4" hidden="1" outlineLevel="1" x14ac:dyDescent="0.3">
      <c r="A245" s="3"/>
      <c r="B245" s="10" t="s">
        <v>328</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t="14.4" hidden="1" outlineLevel="1" x14ac:dyDescent="0.3">
      <c r="A246" s="3"/>
      <c r="B246" s="10" t="s">
        <v>370</v>
      </c>
      <c r="C246" s="62"/>
      <c r="D246" s="62"/>
      <c r="E246" s="12">
        <v>0</v>
      </c>
      <c r="F246" s="12">
        <v>0</v>
      </c>
      <c r="G246" s="65"/>
      <c r="H246" s="65"/>
      <c r="I246" s="89"/>
      <c r="J246" s="65"/>
      <c r="K246" s="37"/>
      <c r="L246" s="37"/>
      <c r="M246" s="37"/>
      <c r="N246" s="37"/>
      <c r="O246" s="37"/>
      <c r="P246" s="37"/>
      <c r="Q246" s="37"/>
      <c r="R246" s="37"/>
      <c r="S246" s="37"/>
      <c r="T246" s="37"/>
      <c r="U246" s="3"/>
      <c r="W246" s="3"/>
      <c r="X246" s="3"/>
      <c r="Y246" s="3"/>
      <c r="Z246" s="3"/>
    </row>
    <row r="247" spans="1:26" ht="14.4" hidden="1" outlineLevel="1" x14ac:dyDescent="0.3">
      <c r="A247" s="3"/>
      <c r="B247" s="10" t="s">
        <v>371</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14.4" hidden="1" outlineLevel="1" x14ac:dyDescent="0.3">
      <c r="A248" s="3"/>
      <c r="B248" s="10" t="s">
        <v>372</v>
      </c>
      <c r="C248" s="62"/>
      <c r="D248" s="62"/>
      <c r="E248" s="12">
        <v>0</v>
      </c>
      <c r="F248" s="12">
        <v>0</v>
      </c>
      <c r="G248" s="65"/>
      <c r="H248" s="65"/>
      <c r="I248" s="89"/>
      <c r="J248" s="65"/>
      <c r="K248" s="37"/>
      <c r="L248" s="37"/>
      <c r="M248" s="37"/>
      <c r="N248" s="37"/>
      <c r="O248" s="37"/>
      <c r="P248" s="37"/>
      <c r="Q248" s="37"/>
      <c r="R248" s="37"/>
      <c r="S248" s="37"/>
      <c r="T248" s="37"/>
      <c r="U248" s="3"/>
      <c r="W248" s="3"/>
      <c r="X248" s="3"/>
      <c r="Y248" s="3"/>
      <c r="Z248" s="3"/>
    </row>
    <row r="249" spans="1:26" ht="20.399999999999999" collapsed="1" x14ac:dyDescent="0.3">
      <c r="A249" s="3"/>
      <c r="B249" s="84" t="s">
        <v>405</v>
      </c>
      <c r="C249" s="85" t="s">
        <v>43</v>
      </c>
      <c r="D249" s="85" t="s">
        <v>43</v>
      </c>
      <c r="E249" s="86">
        <f>SUM(E250:E258)</f>
        <v>0</v>
      </c>
      <c r="F249" s="86">
        <f>SUMIF(D250:D258,"OK",F250:F258)</f>
        <v>0</v>
      </c>
      <c r="G249" s="87"/>
      <c r="H249" s="87"/>
      <c r="I249" s="88"/>
      <c r="J249" s="87"/>
      <c r="K249" s="37"/>
      <c r="L249" s="37"/>
      <c r="M249" s="37"/>
      <c r="N249" s="37"/>
      <c r="O249" s="37"/>
      <c r="P249" s="37"/>
      <c r="Q249" s="37"/>
      <c r="R249" s="37"/>
      <c r="S249" s="37"/>
      <c r="T249" s="37"/>
      <c r="U249" s="3"/>
      <c r="W249" s="3"/>
      <c r="X249" s="3"/>
      <c r="Y249" s="3"/>
      <c r="Z249" s="3"/>
    </row>
    <row r="250" spans="1:26" ht="14.4" hidden="1" outlineLevel="1" x14ac:dyDescent="0.3">
      <c r="A250" s="3"/>
      <c r="B250" s="10" t="s">
        <v>353</v>
      </c>
      <c r="C250" s="62"/>
      <c r="D250" s="62"/>
      <c r="E250" s="12">
        <v>0</v>
      </c>
      <c r="F250" s="12">
        <v>0</v>
      </c>
      <c r="G250" s="65"/>
      <c r="H250" s="65"/>
      <c r="I250" s="112"/>
      <c r="J250" s="65"/>
      <c r="K250" s="37"/>
      <c r="L250" s="37"/>
      <c r="M250" s="37"/>
      <c r="N250" s="37"/>
      <c r="O250" s="37"/>
      <c r="P250" s="37"/>
      <c r="Q250" s="37"/>
      <c r="R250" s="37"/>
      <c r="S250" s="37"/>
      <c r="T250" s="37"/>
      <c r="U250" s="3"/>
      <c r="W250" s="3"/>
      <c r="X250" s="3"/>
      <c r="Y250" s="3"/>
      <c r="Z250" s="3"/>
    </row>
    <row r="251" spans="1:26" ht="14.4" hidden="1" outlineLevel="1" x14ac:dyDescent="0.3">
      <c r="A251" s="3"/>
      <c r="B251" s="10" t="s">
        <v>354</v>
      </c>
      <c r="C251" s="62"/>
      <c r="D251" s="62"/>
      <c r="E251" s="12">
        <v>0</v>
      </c>
      <c r="F251" s="12">
        <v>0</v>
      </c>
      <c r="G251" s="65"/>
      <c r="H251" s="65"/>
      <c r="I251" s="89"/>
      <c r="J251" s="65"/>
      <c r="K251" s="37"/>
      <c r="L251" s="37"/>
      <c r="M251" s="37"/>
      <c r="N251" s="37"/>
      <c r="O251" s="37"/>
      <c r="P251" s="37"/>
      <c r="Q251" s="37"/>
      <c r="R251" s="37"/>
      <c r="S251" s="37"/>
      <c r="T251" s="37"/>
      <c r="U251" s="3"/>
      <c r="W251" s="3"/>
      <c r="X251" s="3"/>
      <c r="Y251" s="3"/>
      <c r="Z251" s="3"/>
    </row>
    <row r="252" spans="1:26" ht="14.4" hidden="1" outlineLevel="1" x14ac:dyDescent="0.3">
      <c r="A252" s="3"/>
      <c r="B252" s="10" t="s">
        <v>355</v>
      </c>
      <c r="C252" s="62"/>
      <c r="D252" s="62"/>
      <c r="E252" s="12">
        <v>0</v>
      </c>
      <c r="F252" s="12">
        <v>0</v>
      </c>
      <c r="G252" s="65"/>
      <c r="H252" s="65"/>
      <c r="I252" s="89"/>
      <c r="J252" s="65"/>
      <c r="K252" s="37"/>
      <c r="L252" s="37"/>
      <c r="M252" s="37"/>
      <c r="N252" s="37"/>
      <c r="O252" s="37"/>
      <c r="P252" s="37"/>
      <c r="Q252" s="37"/>
      <c r="R252" s="37"/>
      <c r="S252" s="37"/>
      <c r="T252" s="37"/>
      <c r="U252" s="3"/>
      <c r="W252" s="3"/>
      <c r="X252" s="3"/>
      <c r="Y252" s="3"/>
      <c r="Z252" s="3"/>
    </row>
    <row r="253" spans="1:26" ht="14.4" hidden="1" outlineLevel="1" x14ac:dyDescent="0.3">
      <c r="A253" s="3"/>
      <c r="B253" s="10" t="s">
        <v>369</v>
      </c>
      <c r="C253" s="62"/>
      <c r="D253" s="62"/>
      <c r="E253" s="12">
        <v>0</v>
      </c>
      <c r="F253" s="12">
        <v>0</v>
      </c>
      <c r="G253" s="65"/>
      <c r="H253" s="65"/>
      <c r="I253" s="89"/>
      <c r="J253" s="65"/>
      <c r="K253" s="37"/>
      <c r="L253" s="37"/>
      <c r="M253" s="37"/>
      <c r="N253" s="37"/>
      <c r="O253" s="37"/>
      <c r="P253" s="37"/>
      <c r="Q253" s="37"/>
      <c r="R253" s="37"/>
      <c r="S253" s="37"/>
      <c r="T253" s="37"/>
      <c r="U253" s="3"/>
      <c r="W253" s="3"/>
      <c r="X253" s="3"/>
      <c r="Y253" s="3"/>
      <c r="Z253" s="3"/>
    </row>
    <row r="254" spans="1:26" ht="14.4" hidden="1" outlineLevel="1" x14ac:dyDescent="0.3">
      <c r="A254" s="3"/>
      <c r="B254" s="10" t="s">
        <v>327</v>
      </c>
      <c r="C254" s="62"/>
      <c r="D254" s="62"/>
      <c r="E254" s="12">
        <v>0</v>
      </c>
      <c r="F254" s="12">
        <v>0</v>
      </c>
      <c r="G254" s="65"/>
      <c r="H254" s="65"/>
      <c r="I254" s="89"/>
      <c r="J254" s="65"/>
      <c r="K254" s="37"/>
      <c r="L254" s="37"/>
      <c r="M254" s="37"/>
      <c r="N254" s="37"/>
      <c r="O254" s="37"/>
      <c r="P254" s="37"/>
      <c r="Q254" s="37"/>
      <c r="R254" s="37"/>
      <c r="S254" s="37"/>
      <c r="T254" s="37"/>
      <c r="U254" s="3"/>
      <c r="W254" s="3"/>
      <c r="X254" s="3"/>
      <c r="Y254" s="3"/>
      <c r="Z254" s="3"/>
    </row>
    <row r="255" spans="1:26" ht="14.4" hidden="1" outlineLevel="1" x14ac:dyDescent="0.3">
      <c r="A255" s="3"/>
      <c r="B255" s="10" t="s">
        <v>328</v>
      </c>
      <c r="C255" s="62"/>
      <c r="D255" s="62"/>
      <c r="E255" s="12">
        <v>0</v>
      </c>
      <c r="F255" s="12">
        <v>0</v>
      </c>
      <c r="G255" s="65"/>
      <c r="H255" s="65"/>
      <c r="I255" s="89"/>
      <c r="J255" s="65"/>
      <c r="K255" s="37"/>
      <c r="L255" s="37"/>
      <c r="M255" s="37"/>
      <c r="N255" s="37"/>
      <c r="O255" s="37"/>
      <c r="P255" s="37"/>
      <c r="Q255" s="37"/>
      <c r="R255" s="37"/>
      <c r="S255" s="37"/>
      <c r="T255" s="37"/>
      <c r="U255" s="3"/>
      <c r="W255" s="3"/>
      <c r="X255" s="3"/>
      <c r="Y255" s="3"/>
      <c r="Z255" s="3"/>
    </row>
    <row r="256" spans="1:26" ht="14.4" hidden="1" outlineLevel="1" x14ac:dyDescent="0.3">
      <c r="A256" s="3"/>
      <c r="B256" s="10" t="s">
        <v>370</v>
      </c>
      <c r="C256" s="62"/>
      <c r="D256" s="62"/>
      <c r="E256" s="12">
        <v>0</v>
      </c>
      <c r="F256" s="12">
        <v>0</v>
      </c>
      <c r="G256" s="65"/>
      <c r="H256" s="65"/>
      <c r="I256" s="89"/>
      <c r="J256" s="65"/>
      <c r="K256" s="37"/>
      <c r="L256" s="37"/>
      <c r="M256" s="37"/>
      <c r="N256" s="37"/>
      <c r="O256" s="37"/>
      <c r="P256" s="37"/>
      <c r="Q256" s="37"/>
      <c r="R256" s="37"/>
      <c r="S256" s="37"/>
      <c r="T256" s="37"/>
      <c r="U256" s="3"/>
      <c r="W256" s="3"/>
      <c r="X256" s="3"/>
      <c r="Y256" s="3"/>
      <c r="Z256" s="3"/>
    </row>
    <row r="257" spans="1:26" ht="14.4" hidden="1" outlineLevel="1" x14ac:dyDescent="0.3">
      <c r="A257" s="3"/>
      <c r="B257" s="10" t="s">
        <v>371</v>
      </c>
      <c r="C257" s="62"/>
      <c r="D257" s="62"/>
      <c r="E257" s="12">
        <v>0</v>
      </c>
      <c r="F257" s="12">
        <v>0</v>
      </c>
      <c r="G257" s="65"/>
      <c r="H257" s="65"/>
      <c r="I257" s="89"/>
      <c r="J257" s="65"/>
      <c r="K257" s="37"/>
      <c r="L257" s="37"/>
      <c r="M257" s="37"/>
      <c r="N257" s="37"/>
      <c r="O257" s="37"/>
      <c r="P257" s="37"/>
      <c r="Q257" s="37"/>
      <c r="R257" s="37"/>
      <c r="S257" s="37"/>
      <c r="T257" s="37"/>
      <c r="U257" s="3"/>
      <c r="W257" s="3"/>
      <c r="X257" s="3"/>
      <c r="Y257" s="3"/>
      <c r="Z257" s="3"/>
    </row>
    <row r="258" spans="1:26" ht="14.4" hidden="1" outlineLevel="1" x14ac:dyDescent="0.3">
      <c r="A258" s="3"/>
      <c r="B258" s="10" t="s">
        <v>372</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20.399999999999999" collapsed="1" x14ac:dyDescent="0.3">
      <c r="A259" s="3"/>
      <c r="B259" s="84" t="s">
        <v>408</v>
      </c>
      <c r="C259" s="85" t="s">
        <v>43</v>
      </c>
      <c r="D259" s="85" t="s">
        <v>43</v>
      </c>
      <c r="E259" s="86">
        <f>SUM(E260,E270,E280,E290)</f>
        <v>0</v>
      </c>
      <c r="F259" s="86">
        <f>SUM(F260,F270,F280,F290,F300)</f>
        <v>0</v>
      </c>
      <c r="G259" s="87"/>
      <c r="H259" s="87"/>
      <c r="I259" s="88"/>
      <c r="J259" s="87"/>
      <c r="K259" s="37"/>
      <c r="L259" s="37"/>
      <c r="M259" s="37"/>
      <c r="N259" s="37"/>
      <c r="O259" s="37"/>
      <c r="P259" s="37"/>
      <c r="Q259" s="37"/>
      <c r="R259" s="37"/>
      <c r="S259" s="37"/>
      <c r="T259" s="37"/>
      <c r="U259" s="3"/>
      <c r="W259" s="3"/>
      <c r="X259" s="3"/>
      <c r="Y259" s="3"/>
      <c r="Z259" s="3"/>
    </row>
    <row r="260" spans="1:26" hidden="1" outlineLevel="1" x14ac:dyDescent="0.3">
      <c r="A260" s="3"/>
      <c r="B260" s="91" t="s">
        <v>232</v>
      </c>
      <c r="C260" s="92"/>
      <c r="D260" s="92"/>
      <c r="E260" s="93">
        <f>SUM(E261:E269)</f>
        <v>0</v>
      </c>
      <c r="F260" s="93">
        <f>SUMIF(D261:D269,"OK",F261:F269)</f>
        <v>0</v>
      </c>
      <c r="G260" s="94"/>
      <c r="H260" s="94"/>
      <c r="I260" s="95"/>
      <c r="J260" s="94"/>
      <c r="K260" s="37"/>
      <c r="L260" s="37"/>
      <c r="M260" s="37"/>
      <c r="N260" s="37"/>
      <c r="O260" s="37"/>
      <c r="P260" s="37"/>
      <c r="Q260" s="37"/>
      <c r="R260" s="37"/>
      <c r="S260" s="37"/>
      <c r="T260" s="37"/>
      <c r="U260" s="3"/>
      <c r="W260" s="3"/>
      <c r="X260" s="3"/>
      <c r="Y260" s="3"/>
      <c r="Z260" s="3"/>
    </row>
    <row r="261" spans="1:26" ht="14.4" hidden="1" outlineLevel="1" x14ac:dyDescent="0.3">
      <c r="A261" s="3"/>
      <c r="B261" s="10" t="s">
        <v>353</v>
      </c>
      <c r="C261" s="62"/>
      <c r="D261" s="62"/>
      <c r="E261" s="12">
        <v>0</v>
      </c>
      <c r="F261" s="12">
        <v>0</v>
      </c>
      <c r="G261" s="65"/>
      <c r="H261" s="65"/>
      <c r="I261" s="126"/>
      <c r="J261" s="65"/>
      <c r="K261" s="37"/>
      <c r="L261" s="37"/>
      <c r="M261" s="37"/>
      <c r="N261" s="37"/>
      <c r="O261" s="37"/>
      <c r="P261" s="37"/>
      <c r="Q261" s="37"/>
      <c r="R261" s="37"/>
      <c r="S261" s="37"/>
      <c r="T261" s="37"/>
      <c r="U261" s="3"/>
      <c r="W261" s="3"/>
      <c r="X261" s="3"/>
      <c r="Y261" s="3"/>
      <c r="Z261" s="3"/>
    </row>
    <row r="262" spans="1:26" ht="14.4" hidden="1" outlineLevel="1" x14ac:dyDescent="0.3">
      <c r="A262" s="3"/>
      <c r="B262" s="10" t="s">
        <v>354</v>
      </c>
      <c r="C262" s="62"/>
      <c r="D262" s="62"/>
      <c r="E262" s="12">
        <v>0</v>
      </c>
      <c r="F262" s="12">
        <v>0</v>
      </c>
      <c r="G262" s="65"/>
      <c r="H262" s="65"/>
      <c r="I262" s="126"/>
      <c r="J262" s="65"/>
      <c r="K262" s="37"/>
      <c r="L262" s="37"/>
      <c r="M262" s="37"/>
      <c r="N262" s="37"/>
      <c r="O262" s="37"/>
      <c r="P262" s="37"/>
      <c r="Q262" s="37"/>
      <c r="R262" s="37"/>
      <c r="S262" s="37"/>
      <c r="T262" s="37"/>
      <c r="U262" s="3"/>
      <c r="W262" s="3"/>
      <c r="X262" s="3"/>
      <c r="Y262" s="3"/>
      <c r="Z262" s="3"/>
    </row>
    <row r="263" spans="1:26" ht="14.4" hidden="1" outlineLevel="1" x14ac:dyDescent="0.3">
      <c r="A263" s="3"/>
      <c r="B263" s="10" t="s">
        <v>355</v>
      </c>
      <c r="C263" s="62"/>
      <c r="D263" s="62"/>
      <c r="E263" s="12">
        <v>0</v>
      </c>
      <c r="F263" s="12">
        <v>0</v>
      </c>
      <c r="G263" s="65"/>
      <c r="H263" s="65"/>
      <c r="I263" s="126"/>
      <c r="J263" s="65"/>
      <c r="K263" s="37"/>
      <c r="L263" s="37"/>
      <c r="M263" s="37"/>
      <c r="N263" s="37"/>
      <c r="O263" s="37"/>
      <c r="P263" s="37"/>
      <c r="Q263" s="37"/>
      <c r="R263" s="37"/>
      <c r="S263" s="37"/>
      <c r="T263" s="37"/>
      <c r="U263" s="3"/>
      <c r="W263" s="3"/>
      <c r="X263" s="3"/>
      <c r="Y263" s="3"/>
      <c r="Z263" s="3"/>
    </row>
    <row r="264" spans="1:26" ht="14.4" hidden="1" outlineLevel="1" x14ac:dyDescent="0.3">
      <c r="A264" s="3"/>
      <c r="B264" s="10" t="s">
        <v>369</v>
      </c>
      <c r="C264" s="62"/>
      <c r="D264" s="62"/>
      <c r="E264" s="12">
        <v>0</v>
      </c>
      <c r="F264" s="12">
        <v>0</v>
      </c>
      <c r="G264" s="65"/>
      <c r="H264" s="65"/>
      <c r="I264" s="112"/>
      <c r="J264" s="65"/>
      <c r="K264" s="37"/>
      <c r="L264" s="37"/>
      <c r="M264" s="37"/>
      <c r="N264" s="37"/>
      <c r="O264" s="37"/>
      <c r="P264" s="37"/>
      <c r="Q264" s="37"/>
      <c r="R264" s="37"/>
      <c r="S264" s="37"/>
      <c r="T264" s="37"/>
      <c r="U264" s="3"/>
      <c r="W264" s="3"/>
      <c r="X264" s="3"/>
      <c r="Y264" s="3"/>
      <c r="Z264" s="3"/>
    </row>
    <row r="265" spans="1:26" ht="14.4" hidden="1" outlineLevel="1" x14ac:dyDescent="0.3">
      <c r="A265" s="3"/>
      <c r="B265" s="10" t="s">
        <v>327</v>
      </c>
      <c r="C265" s="62"/>
      <c r="D265" s="62"/>
      <c r="E265" s="12">
        <v>0</v>
      </c>
      <c r="F265" s="12">
        <v>0</v>
      </c>
      <c r="G265" s="65"/>
      <c r="H265" s="65"/>
      <c r="I265" s="112"/>
      <c r="J265" s="65"/>
      <c r="K265" s="37"/>
      <c r="L265" s="37"/>
      <c r="M265" s="37"/>
      <c r="N265" s="37"/>
      <c r="O265" s="37"/>
      <c r="P265" s="37"/>
      <c r="Q265" s="37"/>
      <c r="R265" s="37"/>
      <c r="S265" s="37"/>
      <c r="T265" s="37"/>
      <c r="U265" s="3"/>
      <c r="W265" s="3"/>
      <c r="X265" s="3"/>
      <c r="Y265" s="3"/>
      <c r="Z265" s="3"/>
    </row>
    <row r="266" spans="1:26" ht="14.4" hidden="1" outlineLevel="1" x14ac:dyDescent="0.3">
      <c r="A266" s="3"/>
      <c r="B266" s="10" t="s">
        <v>328</v>
      </c>
      <c r="C266" s="62"/>
      <c r="D266" s="62"/>
      <c r="E266" s="12">
        <v>0</v>
      </c>
      <c r="F266" s="12">
        <v>0</v>
      </c>
      <c r="G266" s="65"/>
      <c r="H266" s="65"/>
      <c r="I266" s="89"/>
      <c r="J266" s="65"/>
      <c r="K266" s="37"/>
      <c r="L266" s="37"/>
      <c r="M266" s="37"/>
      <c r="N266" s="37"/>
      <c r="O266" s="37"/>
      <c r="P266" s="37"/>
      <c r="Q266" s="37"/>
      <c r="R266" s="37"/>
      <c r="S266" s="37"/>
      <c r="T266" s="37"/>
      <c r="U266" s="3"/>
      <c r="W266" s="3"/>
      <c r="X266" s="3"/>
      <c r="Y266" s="3"/>
      <c r="Z266" s="3"/>
    </row>
    <row r="267" spans="1:26" ht="14.4" hidden="1" outlineLevel="1" x14ac:dyDescent="0.3">
      <c r="A267" s="3"/>
      <c r="B267" s="10" t="s">
        <v>370</v>
      </c>
      <c r="C267" s="62"/>
      <c r="D267" s="62"/>
      <c r="E267" s="12">
        <v>0</v>
      </c>
      <c r="F267" s="12">
        <v>0</v>
      </c>
      <c r="G267" s="65"/>
      <c r="H267" s="65"/>
      <c r="I267" s="89"/>
      <c r="J267" s="65"/>
      <c r="K267" s="37"/>
      <c r="L267" s="37"/>
      <c r="M267" s="37"/>
      <c r="N267" s="37"/>
      <c r="O267" s="37"/>
      <c r="P267" s="37"/>
      <c r="Q267" s="37"/>
      <c r="R267" s="37"/>
      <c r="S267" s="37"/>
      <c r="T267" s="37"/>
      <c r="U267" s="3"/>
      <c r="W267" s="3"/>
      <c r="X267" s="3"/>
      <c r="Y267" s="3"/>
      <c r="Z267" s="3"/>
    </row>
    <row r="268" spans="1:26" ht="14.4" hidden="1" outlineLevel="1" x14ac:dyDescent="0.3">
      <c r="A268" s="3"/>
      <c r="B268" s="10" t="s">
        <v>371</v>
      </c>
      <c r="C268" s="62"/>
      <c r="D268" s="62"/>
      <c r="E268" s="12">
        <v>0</v>
      </c>
      <c r="F268" s="12">
        <v>0</v>
      </c>
      <c r="G268" s="65"/>
      <c r="H268" s="65"/>
      <c r="I268" s="89"/>
      <c r="J268" s="65"/>
      <c r="K268" s="37"/>
      <c r="L268" s="37"/>
      <c r="M268" s="37"/>
      <c r="N268" s="37"/>
      <c r="O268" s="37"/>
      <c r="P268" s="37"/>
      <c r="Q268" s="37"/>
      <c r="R268" s="37"/>
      <c r="S268" s="37"/>
      <c r="T268" s="37"/>
      <c r="U268" s="3"/>
      <c r="W268" s="3"/>
      <c r="X268" s="3"/>
      <c r="Y268" s="3"/>
      <c r="Z268" s="3"/>
    </row>
    <row r="269" spans="1:26" ht="14.4" hidden="1" outlineLevel="1" x14ac:dyDescent="0.3">
      <c r="A269" s="3"/>
      <c r="B269" s="10" t="s">
        <v>372</v>
      </c>
      <c r="C269" s="62"/>
      <c r="D269" s="62"/>
      <c r="E269" s="12">
        <v>0</v>
      </c>
      <c r="F269" s="12">
        <v>0</v>
      </c>
      <c r="G269" s="65"/>
      <c r="H269" s="65"/>
      <c r="I269" s="89"/>
      <c r="J269" s="65"/>
      <c r="K269" s="37"/>
      <c r="L269" s="37"/>
      <c r="M269" s="37"/>
      <c r="N269" s="37"/>
      <c r="O269" s="37"/>
      <c r="P269" s="37"/>
      <c r="Q269" s="37"/>
      <c r="R269" s="37"/>
      <c r="S269" s="37"/>
      <c r="T269" s="37"/>
      <c r="U269" s="3"/>
      <c r="W269" s="3"/>
      <c r="X269" s="3"/>
      <c r="Y269" s="3"/>
      <c r="Z269" s="3"/>
    </row>
    <row r="270" spans="1:26" hidden="1" outlineLevel="1" x14ac:dyDescent="0.3">
      <c r="A270" s="3"/>
      <c r="B270" s="91" t="s">
        <v>651</v>
      </c>
      <c r="C270" s="92"/>
      <c r="D270" s="92"/>
      <c r="E270" s="93">
        <f>SUM(E271:E279)</f>
        <v>0</v>
      </c>
      <c r="F270" s="93">
        <f>SUMIF(D271:D279,"OK",F271:F279)</f>
        <v>0</v>
      </c>
      <c r="G270" s="94"/>
      <c r="H270" s="94"/>
      <c r="I270" s="95"/>
      <c r="J270" s="94"/>
      <c r="K270" s="37"/>
      <c r="L270" s="37"/>
      <c r="M270" s="37"/>
      <c r="N270" s="37"/>
      <c r="O270" s="37"/>
      <c r="P270" s="37"/>
      <c r="Q270" s="37"/>
      <c r="R270" s="37"/>
      <c r="S270" s="37"/>
      <c r="T270" s="37"/>
      <c r="U270" s="3"/>
      <c r="W270" s="3"/>
      <c r="X270" s="3"/>
      <c r="Y270" s="3"/>
      <c r="Z270" s="3"/>
    </row>
    <row r="271" spans="1:26" ht="14.4" hidden="1" outlineLevel="1" x14ac:dyDescent="0.3">
      <c r="A271" s="3"/>
      <c r="B271" s="10" t="s">
        <v>353</v>
      </c>
      <c r="C271" s="62"/>
      <c r="D271" s="62"/>
      <c r="E271" s="12">
        <v>0</v>
      </c>
      <c r="F271" s="12">
        <v>0</v>
      </c>
      <c r="G271" s="65"/>
      <c r="H271" s="65"/>
      <c r="I271" s="112"/>
      <c r="J271" s="65"/>
      <c r="K271" s="37"/>
      <c r="L271" s="37"/>
      <c r="M271" s="37"/>
      <c r="N271" s="37"/>
      <c r="O271" s="37"/>
      <c r="P271" s="37"/>
      <c r="Q271" s="37"/>
      <c r="R271" s="37"/>
      <c r="S271" s="37"/>
      <c r="T271" s="37"/>
      <c r="U271" s="3"/>
      <c r="W271" s="3"/>
      <c r="X271" s="3"/>
      <c r="Y271" s="3"/>
      <c r="Z271" s="3"/>
    </row>
    <row r="272" spans="1:26" ht="14.4" hidden="1" outlineLevel="1" x14ac:dyDescent="0.3">
      <c r="A272" s="3"/>
      <c r="B272" s="10" t="s">
        <v>354</v>
      </c>
      <c r="C272" s="62"/>
      <c r="D272" s="62"/>
      <c r="E272" s="12">
        <v>0</v>
      </c>
      <c r="F272" s="12">
        <v>0</v>
      </c>
      <c r="G272" s="65"/>
      <c r="H272" s="65"/>
      <c r="I272" s="112"/>
      <c r="J272" s="65"/>
      <c r="K272" s="37"/>
      <c r="L272" s="37"/>
      <c r="M272" s="37"/>
      <c r="N272" s="37"/>
      <c r="O272" s="37"/>
      <c r="P272" s="37"/>
      <c r="Q272" s="37"/>
      <c r="R272" s="37"/>
      <c r="S272" s="37"/>
      <c r="T272" s="37"/>
      <c r="U272" s="3"/>
      <c r="W272" s="3"/>
      <c r="X272" s="3"/>
      <c r="Y272" s="3"/>
      <c r="Z272" s="3"/>
    </row>
    <row r="273" spans="1:26" ht="14.4" hidden="1" outlineLevel="1" x14ac:dyDescent="0.3">
      <c r="A273" s="3"/>
      <c r="B273" s="10" t="s">
        <v>355</v>
      </c>
      <c r="C273" s="62"/>
      <c r="D273" s="62"/>
      <c r="E273" s="12">
        <v>0</v>
      </c>
      <c r="F273" s="12">
        <v>0</v>
      </c>
      <c r="G273" s="65"/>
      <c r="H273" s="65"/>
      <c r="I273" s="112"/>
      <c r="J273" s="65"/>
      <c r="K273" s="37"/>
      <c r="L273" s="37"/>
      <c r="M273" s="37"/>
      <c r="N273" s="37"/>
      <c r="O273" s="37"/>
      <c r="P273" s="37"/>
      <c r="Q273" s="37"/>
      <c r="R273" s="37"/>
      <c r="S273" s="37"/>
      <c r="T273" s="37"/>
      <c r="U273" s="3"/>
      <c r="W273" s="3"/>
      <c r="X273" s="3"/>
      <c r="Y273" s="3"/>
      <c r="Z273" s="3"/>
    </row>
    <row r="274" spans="1:26" ht="14.4" hidden="1" outlineLevel="1" x14ac:dyDescent="0.3">
      <c r="A274" s="3"/>
      <c r="B274" s="10" t="s">
        <v>369</v>
      </c>
      <c r="C274" s="62"/>
      <c r="D274" s="62"/>
      <c r="E274" s="12">
        <v>0</v>
      </c>
      <c r="F274" s="12">
        <v>0</v>
      </c>
      <c r="G274" s="65"/>
      <c r="H274" s="65"/>
      <c r="I274" s="112"/>
      <c r="J274" s="65"/>
      <c r="K274" s="37"/>
      <c r="L274" s="37"/>
      <c r="M274" s="37"/>
      <c r="N274" s="37"/>
      <c r="O274" s="37"/>
      <c r="P274" s="37"/>
      <c r="Q274" s="37"/>
      <c r="R274" s="37"/>
      <c r="S274" s="37"/>
      <c r="T274" s="37"/>
      <c r="U274" s="3"/>
      <c r="W274" s="3"/>
      <c r="X274" s="3"/>
      <c r="Y274" s="3"/>
      <c r="Z274" s="3"/>
    </row>
    <row r="275" spans="1:26" ht="14.4" hidden="1" outlineLevel="1" x14ac:dyDescent="0.3">
      <c r="A275" s="3"/>
      <c r="B275" s="10" t="s">
        <v>327</v>
      </c>
      <c r="C275" s="62"/>
      <c r="D275" s="62"/>
      <c r="E275" s="12">
        <v>0</v>
      </c>
      <c r="F275" s="12">
        <v>0</v>
      </c>
      <c r="G275" s="65"/>
      <c r="H275" s="65"/>
      <c r="I275" s="112"/>
      <c r="J275" s="65"/>
      <c r="K275" s="37"/>
      <c r="L275" s="37"/>
      <c r="M275" s="37"/>
      <c r="N275" s="37"/>
      <c r="O275" s="37"/>
      <c r="P275" s="37"/>
      <c r="Q275" s="37"/>
      <c r="R275" s="37"/>
      <c r="S275" s="37"/>
      <c r="T275" s="37"/>
      <c r="U275" s="3"/>
      <c r="W275" s="3"/>
      <c r="X275" s="3"/>
      <c r="Y275" s="3"/>
      <c r="Z275" s="3"/>
    </row>
    <row r="276" spans="1:26" ht="14.4" hidden="1" outlineLevel="1" x14ac:dyDescent="0.3">
      <c r="A276" s="3"/>
      <c r="B276" s="10" t="s">
        <v>328</v>
      </c>
      <c r="C276" s="62"/>
      <c r="D276" s="62"/>
      <c r="E276" s="12">
        <v>0</v>
      </c>
      <c r="F276" s="12">
        <v>0</v>
      </c>
      <c r="G276" s="65"/>
      <c r="H276" s="65"/>
      <c r="I276" s="112"/>
      <c r="J276" s="65"/>
      <c r="K276" s="37"/>
      <c r="L276" s="37"/>
      <c r="M276" s="37"/>
      <c r="N276" s="37"/>
      <c r="O276" s="37"/>
      <c r="P276" s="37"/>
      <c r="Q276" s="37"/>
      <c r="R276" s="37"/>
      <c r="S276" s="37"/>
      <c r="T276" s="37"/>
      <c r="U276" s="3"/>
      <c r="W276" s="3"/>
      <c r="X276" s="3"/>
      <c r="Y276" s="3"/>
      <c r="Z276" s="3"/>
    </row>
    <row r="277" spans="1:26" ht="14.4" hidden="1" outlineLevel="1" x14ac:dyDescent="0.3">
      <c r="A277" s="3"/>
      <c r="B277" s="10" t="s">
        <v>370</v>
      </c>
      <c r="C277" s="62"/>
      <c r="D277" s="62"/>
      <c r="E277" s="12">
        <v>0</v>
      </c>
      <c r="F277" s="12">
        <v>0</v>
      </c>
      <c r="G277" s="65"/>
      <c r="H277" s="65"/>
      <c r="I277" s="112"/>
      <c r="J277" s="65"/>
      <c r="K277" s="37"/>
      <c r="L277" s="37"/>
      <c r="M277" s="37"/>
      <c r="N277" s="37"/>
      <c r="O277" s="37"/>
      <c r="P277" s="37"/>
      <c r="Q277" s="37"/>
      <c r="R277" s="37"/>
      <c r="S277" s="37"/>
      <c r="T277" s="37"/>
      <c r="U277" s="3"/>
      <c r="W277" s="3"/>
      <c r="X277" s="3"/>
      <c r="Y277" s="3"/>
      <c r="Z277" s="3"/>
    </row>
    <row r="278" spans="1:26" ht="14.4" hidden="1" outlineLevel="1" x14ac:dyDescent="0.3">
      <c r="A278" s="3"/>
      <c r="B278" s="10" t="s">
        <v>371</v>
      </c>
      <c r="C278" s="62"/>
      <c r="D278" s="62"/>
      <c r="E278" s="12">
        <v>0</v>
      </c>
      <c r="F278" s="12">
        <v>0</v>
      </c>
      <c r="G278" s="65"/>
      <c r="H278" s="65"/>
      <c r="I278" s="112"/>
      <c r="J278" s="65"/>
      <c r="K278" s="37"/>
      <c r="L278" s="37"/>
      <c r="M278" s="37"/>
      <c r="N278" s="37"/>
      <c r="O278" s="37"/>
      <c r="P278" s="37"/>
      <c r="Q278" s="37"/>
      <c r="R278" s="37"/>
      <c r="S278" s="37"/>
      <c r="T278" s="37"/>
      <c r="U278" s="3"/>
      <c r="W278" s="3"/>
      <c r="X278" s="3"/>
      <c r="Y278" s="3"/>
      <c r="Z278" s="3"/>
    </row>
    <row r="279" spans="1:26" ht="14.4" hidden="1" outlineLevel="1" x14ac:dyDescent="0.3">
      <c r="A279" s="3"/>
      <c r="B279" s="10" t="s">
        <v>372</v>
      </c>
      <c r="C279" s="62"/>
      <c r="D279" s="62"/>
      <c r="E279" s="12">
        <v>0</v>
      </c>
      <c r="F279" s="12">
        <v>0</v>
      </c>
      <c r="G279" s="65"/>
      <c r="H279" s="65"/>
      <c r="I279" s="89"/>
      <c r="J279" s="65"/>
      <c r="K279" s="37"/>
      <c r="L279" s="37"/>
      <c r="M279" s="37"/>
      <c r="N279" s="37"/>
      <c r="O279" s="37"/>
      <c r="P279" s="37"/>
      <c r="Q279" s="37"/>
      <c r="R279" s="37"/>
      <c r="S279" s="37"/>
      <c r="T279" s="37"/>
      <c r="U279" s="3"/>
      <c r="W279" s="3"/>
      <c r="X279" s="3"/>
      <c r="Y279" s="3"/>
      <c r="Z279" s="3"/>
    </row>
    <row r="280" spans="1:26" hidden="1" outlineLevel="1" x14ac:dyDescent="0.3">
      <c r="A280" s="3"/>
      <c r="B280" s="91" t="s">
        <v>1024</v>
      </c>
      <c r="C280" s="92"/>
      <c r="D280" s="92"/>
      <c r="E280" s="93">
        <f>SUM(E281:E289)</f>
        <v>0</v>
      </c>
      <c r="F280" s="93">
        <f>SUMIF(D281:D289,"OK",F281:F289)</f>
        <v>0</v>
      </c>
      <c r="G280" s="94"/>
      <c r="H280" s="94"/>
      <c r="I280" s="95"/>
      <c r="J280" s="94"/>
      <c r="K280" s="37"/>
      <c r="L280" s="37"/>
      <c r="M280" s="37"/>
      <c r="N280" s="37"/>
      <c r="O280" s="37"/>
      <c r="P280" s="37"/>
      <c r="Q280" s="37"/>
      <c r="R280" s="37"/>
      <c r="S280" s="37"/>
      <c r="T280" s="37"/>
      <c r="U280" s="3"/>
      <c r="W280" s="3"/>
      <c r="X280" s="3"/>
      <c r="Y280" s="3"/>
      <c r="Z280" s="3"/>
    </row>
    <row r="281" spans="1:26" ht="14.4" hidden="1" outlineLevel="1" x14ac:dyDescent="0.3">
      <c r="A281" s="3"/>
      <c r="B281" s="10" t="s">
        <v>353</v>
      </c>
      <c r="C281" s="62"/>
      <c r="D281" s="62"/>
      <c r="E281" s="12">
        <v>0</v>
      </c>
      <c r="F281" s="12">
        <v>0</v>
      </c>
      <c r="G281" s="65"/>
      <c r="H281" s="65"/>
      <c r="I281" s="89"/>
      <c r="J281" s="65"/>
      <c r="K281" s="37"/>
      <c r="L281" s="37"/>
      <c r="M281" s="37"/>
      <c r="N281" s="37"/>
      <c r="O281" s="37"/>
      <c r="P281" s="37"/>
      <c r="Q281" s="37"/>
      <c r="R281" s="37"/>
      <c r="S281" s="37"/>
      <c r="T281" s="37"/>
      <c r="U281" s="3"/>
      <c r="W281" s="3"/>
      <c r="X281" s="3"/>
      <c r="Y281" s="3"/>
      <c r="Z281" s="3"/>
    </row>
    <row r="282" spans="1:26" ht="14.4" hidden="1" outlineLevel="1" x14ac:dyDescent="0.3">
      <c r="A282" s="3"/>
      <c r="B282" s="10" t="s">
        <v>354</v>
      </c>
      <c r="C282" s="62"/>
      <c r="D282" s="62"/>
      <c r="E282" s="12">
        <v>0</v>
      </c>
      <c r="F282" s="12">
        <v>0</v>
      </c>
      <c r="G282" s="65"/>
      <c r="H282" s="65"/>
      <c r="I282" s="89"/>
      <c r="J282" s="65"/>
      <c r="K282" s="37"/>
      <c r="L282" s="37"/>
      <c r="M282" s="37"/>
      <c r="N282" s="37"/>
      <c r="O282" s="37"/>
      <c r="P282" s="37"/>
      <c r="Q282" s="37"/>
      <c r="R282" s="37"/>
      <c r="S282" s="37"/>
      <c r="T282" s="37"/>
      <c r="U282" s="3"/>
      <c r="W282" s="3"/>
      <c r="X282" s="3"/>
      <c r="Y282" s="3"/>
      <c r="Z282" s="3"/>
    </row>
    <row r="283" spans="1:26" ht="14.4" hidden="1" outlineLevel="1" x14ac:dyDescent="0.3">
      <c r="A283" s="3"/>
      <c r="B283" s="10" t="s">
        <v>355</v>
      </c>
      <c r="C283" s="62"/>
      <c r="D283" s="62"/>
      <c r="E283" s="12">
        <v>0</v>
      </c>
      <c r="F283" s="12">
        <v>0</v>
      </c>
      <c r="G283" s="65"/>
      <c r="H283" s="65"/>
      <c r="I283" s="89"/>
      <c r="J283" s="65"/>
      <c r="K283" s="37"/>
      <c r="L283" s="37"/>
      <c r="M283" s="37"/>
      <c r="N283" s="37"/>
      <c r="O283" s="37"/>
      <c r="P283" s="37"/>
      <c r="Q283" s="37"/>
      <c r="R283" s="37"/>
      <c r="S283" s="37"/>
      <c r="T283" s="37"/>
      <c r="U283" s="3"/>
      <c r="W283" s="3"/>
      <c r="X283" s="3"/>
      <c r="Y283" s="3"/>
      <c r="Z283" s="3"/>
    </row>
    <row r="284" spans="1:26" ht="14.4" hidden="1" outlineLevel="1" x14ac:dyDescent="0.3">
      <c r="A284" s="3"/>
      <c r="B284" s="10" t="s">
        <v>369</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4.4" hidden="1" outlineLevel="1" x14ac:dyDescent="0.3">
      <c r="A285" s="3"/>
      <c r="B285" s="10" t="s">
        <v>327</v>
      </c>
      <c r="C285" s="62"/>
      <c r="D285" s="62"/>
      <c r="E285" s="12">
        <v>0</v>
      </c>
      <c r="F285" s="12">
        <v>0</v>
      </c>
      <c r="G285" s="65"/>
      <c r="H285" s="65"/>
      <c r="I285" s="89"/>
      <c r="J285" s="65"/>
      <c r="K285" s="37"/>
      <c r="L285" s="37"/>
      <c r="M285" s="37"/>
      <c r="N285" s="37"/>
      <c r="O285" s="37"/>
      <c r="P285" s="37"/>
      <c r="Q285" s="37"/>
      <c r="R285" s="37"/>
      <c r="S285" s="37"/>
      <c r="T285" s="37"/>
      <c r="U285" s="3"/>
      <c r="W285" s="3"/>
      <c r="X285" s="3"/>
      <c r="Y285" s="3"/>
      <c r="Z285" s="3"/>
    </row>
    <row r="286" spans="1:26" ht="14.4" hidden="1" outlineLevel="1" x14ac:dyDescent="0.3">
      <c r="A286" s="3"/>
      <c r="B286" s="10" t="s">
        <v>328</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4.4" hidden="1" outlineLevel="1" x14ac:dyDescent="0.3">
      <c r="A287" s="3"/>
      <c r="B287" s="10" t="s">
        <v>370</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4.4" hidden="1" outlineLevel="1" x14ac:dyDescent="0.3">
      <c r="A288" s="3"/>
      <c r="B288" s="10" t="s">
        <v>371</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4.4" hidden="1" outlineLevel="1" x14ac:dyDescent="0.3">
      <c r="A289" s="3"/>
      <c r="B289" s="10" t="s">
        <v>372</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idden="1" outlineLevel="1" x14ac:dyDescent="0.3">
      <c r="A290" s="3"/>
      <c r="B290" s="91" t="s">
        <v>689</v>
      </c>
      <c r="C290" s="92"/>
      <c r="D290" s="92"/>
      <c r="E290" s="93">
        <f>SUM(E291:E299)</f>
        <v>0</v>
      </c>
      <c r="F290" s="93">
        <f>SUMIF(D291:D299,"OK",F291:F299)</f>
        <v>0</v>
      </c>
      <c r="G290" s="94"/>
      <c r="H290" s="94"/>
      <c r="I290" s="95"/>
      <c r="J290" s="94"/>
      <c r="K290" s="37"/>
      <c r="L290" s="37"/>
      <c r="M290" s="37"/>
      <c r="N290" s="37"/>
      <c r="O290" s="37"/>
      <c r="P290" s="37"/>
      <c r="Q290" s="37"/>
      <c r="R290" s="37"/>
      <c r="S290" s="37"/>
      <c r="T290" s="37"/>
      <c r="U290" s="3"/>
      <c r="W290" s="3"/>
      <c r="X290" s="3"/>
      <c r="Y290" s="3"/>
      <c r="Z290" s="3"/>
    </row>
    <row r="291" spans="1:26" ht="14.4" hidden="1" outlineLevel="1" x14ac:dyDescent="0.3">
      <c r="A291" s="3"/>
      <c r="B291" s="10" t="s">
        <v>1401</v>
      </c>
      <c r="C291" s="62"/>
      <c r="D291" s="62"/>
      <c r="E291" s="12">
        <v>0</v>
      </c>
      <c r="F291" s="12">
        <v>0</v>
      </c>
      <c r="G291" s="65"/>
      <c r="H291" s="65"/>
      <c r="I291" s="112"/>
      <c r="J291" s="65"/>
      <c r="K291" s="37"/>
      <c r="L291" s="37"/>
      <c r="M291" s="37"/>
      <c r="N291" s="37"/>
      <c r="O291" s="37"/>
      <c r="P291" s="37"/>
      <c r="Q291" s="37"/>
      <c r="R291" s="37"/>
      <c r="S291" s="37"/>
      <c r="T291" s="37"/>
      <c r="U291" s="3"/>
      <c r="W291" s="3"/>
      <c r="X291" s="3"/>
      <c r="Y291" s="3"/>
      <c r="Z291" s="3"/>
    </row>
    <row r="292" spans="1:26" ht="14.4" hidden="1" outlineLevel="1" x14ac:dyDescent="0.3">
      <c r="A292" s="3"/>
      <c r="B292" s="10" t="s">
        <v>1402</v>
      </c>
      <c r="C292" s="62"/>
      <c r="D292" s="62"/>
      <c r="E292" s="12">
        <v>0</v>
      </c>
      <c r="F292" s="12">
        <v>0</v>
      </c>
      <c r="G292" s="65"/>
      <c r="H292" s="65"/>
      <c r="I292" s="112"/>
      <c r="J292" s="65"/>
      <c r="K292" s="37"/>
      <c r="L292" s="37"/>
      <c r="M292" s="37"/>
      <c r="N292" s="37"/>
      <c r="O292" s="37"/>
      <c r="P292" s="37"/>
      <c r="Q292" s="37"/>
      <c r="R292" s="37"/>
      <c r="S292" s="37"/>
      <c r="T292" s="37"/>
      <c r="U292" s="3"/>
      <c r="W292" s="3"/>
      <c r="X292" s="3"/>
      <c r="Y292" s="3"/>
      <c r="Z292" s="3"/>
    </row>
    <row r="293" spans="1:26" ht="14.4" hidden="1" outlineLevel="1" x14ac:dyDescent="0.3">
      <c r="A293" s="3"/>
      <c r="B293" s="10" t="s">
        <v>355</v>
      </c>
      <c r="C293" s="62"/>
      <c r="D293" s="62"/>
      <c r="E293" s="12">
        <v>0</v>
      </c>
      <c r="F293" s="12">
        <v>0</v>
      </c>
      <c r="G293" s="65"/>
      <c r="H293" s="65"/>
      <c r="I293" s="89"/>
      <c r="J293" s="65"/>
      <c r="K293" s="37"/>
      <c r="L293" s="37"/>
      <c r="M293" s="37"/>
      <c r="N293" s="37"/>
      <c r="O293" s="37"/>
      <c r="P293" s="37"/>
      <c r="Q293" s="37"/>
      <c r="R293" s="37"/>
      <c r="S293" s="37"/>
      <c r="T293" s="37"/>
      <c r="U293" s="3"/>
      <c r="W293" s="3"/>
      <c r="X293" s="3"/>
      <c r="Y293" s="3"/>
      <c r="Z293" s="3"/>
    </row>
    <row r="294" spans="1:26" ht="14.4" hidden="1" outlineLevel="1" x14ac:dyDescent="0.3">
      <c r="A294" s="3"/>
      <c r="B294" s="10" t="s">
        <v>369</v>
      </c>
      <c r="C294" s="62"/>
      <c r="D294" s="62"/>
      <c r="E294" s="12">
        <v>0</v>
      </c>
      <c r="F294" s="12">
        <v>0</v>
      </c>
      <c r="G294" s="65"/>
      <c r="H294" s="65"/>
      <c r="I294" s="89"/>
      <c r="J294" s="65"/>
      <c r="K294" s="37"/>
      <c r="L294" s="37"/>
      <c r="M294" s="37"/>
      <c r="N294" s="37"/>
      <c r="O294" s="37"/>
      <c r="P294" s="37"/>
      <c r="Q294" s="37"/>
      <c r="R294" s="37"/>
      <c r="S294" s="37"/>
      <c r="T294" s="37"/>
      <c r="U294" s="3"/>
      <c r="W294" s="3"/>
      <c r="X294" s="3"/>
      <c r="Y294" s="3"/>
      <c r="Z294" s="3"/>
    </row>
    <row r="295" spans="1:26" ht="14.4" hidden="1" outlineLevel="1" x14ac:dyDescent="0.3">
      <c r="A295" s="3"/>
      <c r="B295" s="10" t="s">
        <v>327</v>
      </c>
      <c r="C295" s="62"/>
      <c r="D295" s="62"/>
      <c r="E295" s="12">
        <v>0</v>
      </c>
      <c r="F295" s="12">
        <v>0</v>
      </c>
      <c r="G295" s="65"/>
      <c r="H295" s="65"/>
      <c r="I295" s="89"/>
      <c r="J295" s="65"/>
      <c r="K295" s="37"/>
      <c r="L295" s="37"/>
      <c r="M295" s="37"/>
      <c r="N295" s="37"/>
      <c r="O295" s="37"/>
      <c r="P295" s="37"/>
      <c r="Q295" s="37"/>
      <c r="R295" s="37"/>
      <c r="S295" s="37"/>
      <c r="T295" s="37"/>
      <c r="U295" s="3"/>
      <c r="W295" s="3"/>
      <c r="X295" s="3"/>
      <c r="Y295" s="3"/>
      <c r="Z295" s="3"/>
    </row>
    <row r="296" spans="1:26" ht="14.4" hidden="1" outlineLevel="1" x14ac:dyDescent="0.3">
      <c r="A296" s="3"/>
      <c r="B296" s="10" t="s">
        <v>328</v>
      </c>
      <c r="C296" s="62"/>
      <c r="D296" s="62"/>
      <c r="E296" s="12">
        <v>0</v>
      </c>
      <c r="F296" s="12">
        <v>0</v>
      </c>
      <c r="G296" s="65"/>
      <c r="H296" s="65"/>
      <c r="I296" s="89"/>
      <c r="J296" s="65"/>
      <c r="K296" s="37"/>
      <c r="L296" s="37"/>
      <c r="M296" s="37"/>
      <c r="N296" s="37"/>
      <c r="O296" s="37"/>
      <c r="P296" s="37"/>
      <c r="Q296" s="37"/>
      <c r="R296" s="37"/>
      <c r="S296" s="37"/>
      <c r="T296" s="37"/>
      <c r="U296" s="3"/>
      <c r="W296" s="3"/>
      <c r="X296" s="3"/>
      <c r="Y296" s="3"/>
      <c r="Z296" s="3"/>
    </row>
    <row r="297" spans="1:26" ht="14.4" hidden="1" outlineLevel="1" x14ac:dyDescent="0.3">
      <c r="A297" s="3"/>
      <c r="B297" s="10" t="s">
        <v>370</v>
      </c>
      <c r="C297" s="62"/>
      <c r="D297" s="62"/>
      <c r="E297" s="12">
        <v>0</v>
      </c>
      <c r="F297" s="12">
        <v>0</v>
      </c>
      <c r="G297" s="65"/>
      <c r="H297" s="65"/>
      <c r="I297" s="89"/>
      <c r="J297" s="65"/>
      <c r="K297" s="37"/>
      <c r="L297" s="37"/>
      <c r="M297" s="37"/>
      <c r="N297" s="37"/>
      <c r="O297" s="37"/>
      <c r="P297" s="37"/>
      <c r="Q297" s="37"/>
      <c r="R297" s="37"/>
      <c r="S297" s="37"/>
      <c r="T297" s="37"/>
      <c r="U297" s="3"/>
      <c r="W297" s="3"/>
      <c r="X297" s="3"/>
      <c r="Y297" s="3"/>
      <c r="Z297" s="3"/>
    </row>
    <row r="298" spans="1:26" ht="14.4" hidden="1" outlineLevel="1" x14ac:dyDescent="0.3">
      <c r="A298" s="3"/>
      <c r="B298" s="10" t="s">
        <v>371</v>
      </c>
      <c r="C298" s="62"/>
      <c r="D298" s="62"/>
      <c r="E298" s="12">
        <v>0</v>
      </c>
      <c r="F298" s="12">
        <v>0</v>
      </c>
      <c r="G298" s="65"/>
      <c r="H298" s="65"/>
      <c r="I298" s="89"/>
      <c r="J298" s="65"/>
      <c r="K298" s="37"/>
      <c r="L298" s="37"/>
      <c r="M298" s="37"/>
      <c r="N298" s="37"/>
      <c r="O298" s="37"/>
      <c r="P298" s="37"/>
      <c r="Q298" s="37"/>
      <c r="R298" s="37"/>
      <c r="S298" s="37"/>
      <c r="T298" s="37"/>
      <c r="U298" s="3"/>
      <c r="W298" s="3"/>
      <c r="X298" s="3"/>
      <c r="Y298" s="3"/>
      <c r="Z298" s="3"/>
    </row>
    <row r="299" spans="1:26" ht="14.4" hidden="1" outlineLevel="1" x14ac:dyDescent="0.3">
      <c r="A299" s="3"/>
      <c r="B299" s="10" t="s">
        <v>372</v>
      </c>
      <c r="C299" s="62"/>
      <c r="D299" s="62"/>
      <c r="E299" s="12">
        <v>0</v>
      </c>
      <c r="F299" s="12">
        <v>0</v>
      </c>
      <c r="G299" s="65"/>
      <c r="H299" s="65"/>
      <c r="I299" s="89"/>
      <c r="J299" s="65"/>
      <c r="K299" s="37"/>
      <c r="L299" s="37"/>
      <c r="M299" s="37"/>
      <c r="N299" s="37"/>
      <c r="O299" s="37"/>
      <c r="P299" s="37"/>
      <c r="Q299" s="37"/>
      <c r="R299" s="37"/>
      <c r="S299" s="37"/>
      <c r="T299" s="37"/>
      <c r="U299" s="3"/>
      <c r="W299" s="3"/>
      <c r="X299" s="3"/>
      <c r="Y299" s="3"/>
      <c r="Z299" s="3"/>
    </row>
    <row r="300" spans="1:26" hidden="1" outlineLevel="1" x14ac:dyDescent="0.3">
      <c r="A300" s="3"/>
      <c r="B300" s="91" t="s">
        <v>689</v>
      </c>
      <c r="C300" s="92"/>
      <c r="D300" s="92"/>
      <c r="E300" s="93">
        <f>SUM(E301:E309)</f>
        <v>0</v>
      </c>
      <c r="F300" s="93">
        <f>SUMIF(D301:D309,"OK",F301:F309)</f>
        <v>0</v>
      </c>
      <c r="G300" s="94"/>
      <c r="H300" s="94"/>
      <c r="I300" s="95"/>
      <c r="J300" s="94"/>
      <c r="K300" s="37"/>
      <c r="L300" s="37"/>
      <c r="M300" s="37"/>
      <c r="N300" s="37"/>
      <c r="O300" s="37"/>
      <c r="P300" s="37"/>
      <c r="Q300" s="37"/>
      <c r="R300" s="37"/>
      <c r="S300" s="37"/>
      <c r="T300" s="37"/>
      <c r="U300" s="3"/>
      <c r="W300" s="3"/>
      <c r="X300" s="3"/>
      <c r="Y300" s="3"/>
      <c r="Z300" s="3"/>
    </row>
    <row r="301" spans="1:26" ht="14.4" hidden="1" outlineLevel="1" x14ac:dyDescent="0.3">
      <c r="A301" s="3"/>
      <c r="B301" s="10" t="s">
        <v>353</v>
      </c>
      <c r="C301" s="62"/>
      <c r="D301" s="62"/>
      <c r="E301" s="12">
        <v>0</v>
      </c>
      <c r="F301" s="12">
        <v>0</v>
      </c>
      <c r="G301" s="65"/>
      <c r="H301" s="65"/>
      <c r="I301" s="112"/>
      <c r="J301" s="65"/>
      <c r="K301" s="37"/>
      <c r="L301" s="37"/>
      <c r="M301" s="37"/>
      <c r="N301" s="37"/>
      <c r="O301" s="37"/>
      <c r="P301" s="37"/>
      <c r="Q301" s="37"/>
      <c r="R301" s="37"/>
      <c r="S301" s="37"/>
      <c r="T301" s="37"/>
      <c r="U301" s="3"/>
      <c r="W301" s="3"/>
      <c r="X301" s="3"/>
      <c r="Y301" s="3"/>
      <c r="Z301" s="3"/>
    </row>
    <row r="302" spans="1:26" ht="14.4" hidden="1" outlineLevel="1" x14ac:dyDescent="0.3">
      <c r="A302" s="3"/>
      <c r="B302" s="10" t="s">
        <v>354</v>
      </c>
      <c r="C302" s="62"/>
      <c r="D302" s="62"/>
      <c r="E302" s="12">
        <v>0</v>
      </c>
      <c r="F302" s="12">
        <v>0</v>
      </c>
      <c r="G302" s="65"/>
      <c r="H302" s="65"/>
      <c r="I302" s="112"/>
      <c r="J302" s="65"/>
      <c r="K302" s="37"/>
      <c r="L302" s="37"/>
      <c r="M302" s="37"/>
      <c r="N302" s="37"/>
      <c r="O302" s="37"/>
      <c r="P302" s="37"/>
      <c r="Q302" s="37"/>
      <c r="R302" s="37"/>
      <c r="S302" s="37"/>
      <c r="T302" s="37"/>
      <c r="U302" s="3"/>
      <c r="W302" s="3"/>
      <c r="X302" s="3"/>
      <c r="Y302" s="3"/>
      <c r="Z302" s="3"/>
    </row>
    <row r="303" spans="1:26" ht="14.4" hidden="1" outlineLevel="1" x14ac:dyDescent="0.3">
      <c r="A303" s="3"/>
      <c r="B303" s="10" t="s">
        <v>355</v>
      </c>
      <c r="C303" s="62"/>
      <c r="D303" s="62"/>
      <c r="E303" s="12">
        <v>0</v>
      </c>
      <c r="F303" s="12">
        <v>0</v>
      </c>
      <c r="G303" s="65"/>
      <c r="H303" s="65"/>
      <c r="I303" s="89"/>
      <c r="J303" s="65"/>
      <c r="K303" s="37"/>
      <c r="L303" s="37"/>
      <c r="M303" s="37"/>
      <c r="N303" s="37"/>
      <c r="O303" s="37"/>
      <c r="P303" s="37"/>
      <c r="Q303" s="37"/>
      <c r="R303" s="37"/>
      <c r="S303" s="37"/>
      <c r="T303" s="37"/>
      <c r="U303" s="3"/>
      <c r="W303" s="3"/>
      <c r="X303" s="3"/>
      <c r="Y303" s="3"/>
      <c r="Z303" s="3"/>
    </row>
    <row r="304" spans="1:26" ht="14.4" hidden="1" outlineLevel="1" x14ac:dyDescent="0.3">
      <c r="A304" s="3"/>
      <c r="B304" s="10" t="s">
        <v>369</v>
      </c>
      <c r="C304" s="62"/>
      <c r="D304" s="62"/>
      <c r="E304" s="12">
        <v>0</v>
      </c>
      <c r="F304" s="12">
        <v>0</v>
      </c>
      <c r="G304" s="65"/>
      <c r="H304" s="65"/>
      <c r="I304" s="89"/>
      <c r="J304" s="65"/>
      <c r="K304" s="37"/>
      <c r="L304" s="37"/>
      <c r="M304" s="37"/>
      <c r="N304" s="37"/>
      <c r="O304" s="37"/>
      <c r="P304" s="37"/>
      <c r="Q304" s="37"/>
      <c r="R304" s="37"/>
      <c r="S304" s="37"/>
      <c r="T304" s="37"/>
      <c r="U304" s="3"/>
      <c r="W304" s="3"/>
      <c r="X304" s="3"/>
      <c r="Y304" s="3"/>
      <c r="Z304" s="3"/>
    </row>
    <row r="305" spans="1:26" ht="14.4" hidden="1" outlineLevel="1" x14ac:dyDescent="0.3">
      <c r="A305" s="3"/>
      <c r="B305" s="10" t="s">
        <v>327</v>
      </c>
      <c r="C305" s="62"/>
      <c r="D305" s="62"/>
      <c r="E305" s="12">
        <v>0</v>
      </c>
      <c r="F305" s="12">
        <v>0</v>
      </c>
      <c r="G305" s="65"/>
      <c r="H305" s="65"/>
      <c r="I305" s="89"/>
      <c r="J305" s="65"/>
      <c r="K305" s="37"/>
      <c r="L305" s="37"/>
      <c r="M305" s="37"/>
      <c r="N305" s="37"/>
      <c r="O305" s="37"/>
      <c r="P305" s="37"/>
      <c r="Q305" s="37"/>
      <c r="R305" s="37"/>
      <c r="S305" s="37"/>
      <c r="T305" s="37"/>
      <c r="U305" s="3"/>
      <c r="W305" s="3"/>
      <c r="X305" s="3"/>
      <c r="Y305" s="3"/>
      <c r="Z305" s="3"/>
    </row>
    <row r="306" spans="1:26" ht="14.4" hidden="1" outlineLevel="1" x14ac:dyDescent="0.3">
      <c r="A306" s="3"/>
      <c r="B306" s="10" t="s">
        <v>328</v>
      </c>
      <c r="C306" s="62"/>
      <c r="D306" s="62"/>
      <c r="E306" s="12">
        <v>0</v>
      </c>
      <c r="F306" s="12">
        <v>0</v>
      </c>
      <c r="G306" s="65"/>
      <c r="H306" s="65"/>
      <c r="I306" s="89"/>
      <c r="J306" s="65"/>
      <c r="K306" s="37"/>
      <c r="L306" s="37"/>
      <c r="M306" s="37"/>
      <c r="N306" s="37"/>
      <c r="O306" s="37"/>
      <c r="P306" s="37"/>
      <c r="Q306" s="37"/>
      <c r="R306" s="37"/>
      <c r="S306" s="37"/>
      <c r="T306" s="37"/>
      <c r="U306" s="3"/>
      <c r="W306" s="3"/>
      <c r="X306" s="3"/>
      <c r="Y306" s="3"/>
      <c r="Z306" s="3"/>
    </row>
    <row r="307" spans="1:26" ht="14.4" hidden="1" outlineLevel="1" x14ac:dyDescent="0.3">
      <c r="A307" s="3"/>
      <c r="B307" s="10" t="s">
        <v>370</v>
      </c>
      <c r="C307" s="62"/>
      <c r="D307" s="62"/>
      <c r="E307" s="12">
        <v>0</v>
      </c>
      <c r="F307" s="12">
        <v>0</v>
      </c>
      <c r="G307" s="65"/>
      <c r="H307" s="65"/>
      <c r="I307" s="89"/>
      <c r="J307" s="65"/>
      <c r="K307" s="37"/>
      <c r="L307" s="37"/>
      <c r="M307" s="37"/>
      <c r="N307" s="37"/>
      <c r="O307" s="37"/>
      <c r="P307" s="37"/>
      <c r="Q307" s="37"/>
      <c r="R307" s="37"/>
      <c r="S307" s="37"/>
      <c r="T307" s="37"/>
      <c r="U307" s="3"/>
      <c r="W307" s="3"/>
      <c r="X307" s="3"/>
      <c r="Y307" s="3"/>
      <c r="Z307" s="3"/>
    </row>
    <row r="308" spans="1:26" ht="14.4" hidden="1" outlineLevel="1" x14ac:dyDescent="0.3">
      <c r="A308" s="3"/>
      <c r="B308" s="10" t="s">
        <v>371</v>
      </c>
      <c r="C308" s="62"/>
      <c r="D308" s="62"/>
      <c r="E308" s="12">
        <v>0</v>
      </c>
      <c r="F308" s="12">
        <v>0</v>
      </c>
      <c r="G308" s="65"/>
      <c r="H308" s="65"/>
      <c r="I308" s="89"/>
      <c r="J308" s="65"/>
      <c r="K308" s="37"/>
      <c r="L308" s="37"/>
      <c r="M308" s="37"/>
      <c r="N308" s="37"/>
      <c r="O308" s="37"/>
      <c r="P308" s="37"/>
      <c r="Q308" s="37"/>
      <c r="R308" s="37"/>
      <c r="S308" s="37"/>
      <c r="T308" s="37"/>
      <c r="U308" s="3"/>
      <c r="W308" s="3"/>
      <c r="X308" s="3"/>
      <c r="Y308" s="3"/>
      <c r="Z308" s="3"/>
    </row>
    <row r="309" spans="1:26" ht="14.4" hidden="1" outlineLevel="1" x14ac:dyDescent="0.3">
      <c r="A309" s="3"/>
      <c r="B309" s="10" t="s">
        <v>372</v>
      </c>
      <c r="C309" s="62"/>
      <c r="D309" s="62"/>
      <c r="E309" s="12">
        <v>0</v>
      </c>
      <c r="F309" s="12">
        <v>0</v>
      </c>
      <c r="G309" s="65"/>
      <c r="H309" s="65"/>
      <c r="I309" s="89"/>
      <c r="J309" s="65"/>
      <c r="K309" s="37"/>
      <c r="L309" s="37"/>
      <c r="M309" s="37"/>
      <c r="N309" s="37"/>
      <c r="O309" s="37"/>
      <c r="P309" s="37"/>
      <c r="Q309" s="37"/>
      <c r="R309" s="37"/>
      <c r="S309" s="37"/>
      <c r="T309" s="37"/>
      <c r="U309" s="3"/>
      <c r="W309" s="3"/>
      <c r="X309" s="3"/>
      <c r="Y309" s="3"/>
      <c r="Z309" s="3"/>
    </row>
    <row r="310" spans="1:26" ht="20.399999999999999" collapsed="1" x14ac:dyDescent="0.3">
      <c r="A310" s="3"/>
      <c r="B310" s="84" t="s">
        <v>411</v>
      </c>
      <c r="C310" s="85" t="s">
        <v>43</v>
      </c>
      <c r="D310" s="85" t="s">
        <v>43</v>
      </c>
      <c r="E310" s="86">
        <f>SUM(E311:E328)</f>
        <v>0</v>
      </c>
      <c r="F310" s="86">
        <f>SUMIF(D311:D328,"OK",F311:F328)</f>
        <v>120.1</v>
      </c>
      <c r="G310" s="87"/>
      <c r="H310" s="87"/>
      <c r="I310" s="88"/>
      <c r="J310" s="87"/>
      <c r="K310" s="37"/>
      <c r="L310" s="37"/>
      <c r="M310" s="37"/>
      <c r="N310" s="37"/>
      <c r="O310" s="37"/>
      <c r="P310" s="37"/>
      <c r="Q310" s="37"/>
      <c r="R310" s="37"/>
      <c r="S310" s="37"/>
      <c r="T310" s="37"/>
      <c r="U310" s="3"/>
      <c r="W310" s="3"/>
      <c r="X310" s="3"/>
      <c r="Y310" s="3"/>
      <c r="Z310" s="3"/>
    </row>
    <row r="311" spans="1:26" ht="14.4" hidden="1" outlineLevel="1" x14ac:dyDescent="0.3">
      <c r="A311" s="3"/>
      <c r="B311" s="10" t="s">
        <v>412</v>
      </c>
      <c r="C311" s="62"/>
      <c r="D311" s="62"/>
      <c r="E311" s="12">
        <v>0</v>
      </c>
      <c r="F311" s="12">
        <v>0</v>
      </c>
      <c r="G311" s="65"/>
      <c r="H311" s="65"/>
      <c r="I311" s="89"/>
      <c r="J311" s="65"/>
      <c r="K311" s="37"/>
      <c r="L311" s="37"/>
      <c r="M311" s="37"/>
      <c r="N311" s="37"/>
      <c r="O311" s="37"/>
      <c r="P311" s="37"/>
      <c r="Q311" s="37"/>
      <c r="R311" s="37"/>
      <c r="S311" s="37"/>
      <c r="T311" s="37"/>
      <c r="U311" s="3"/>
      <c r="W311" s="3"/>
      <c r="X311" s="3"/>
      <c r="Y311" s="3"/>
      <c r="Z311" s="3"/>
    </row>
    <row r="312" spans="1:26" ht="14.4" hidden="1" outlineLevel="1" x14ac:dyDescent="0.3">
      <c r="A312" s="3"/>
      <c r="B312" s="10" t="s">
        <v>413</v>
      </c>
      <c r="C312" s="62"/>
      <c r="D312" s="62"/>
      <c r="E312" s="12">
        <v>0</v>
      </c>
      <c r="F312" s="12">
        <v>0</v>
      </c>
      <c r="G312" s="89"/>
      <c r="H312" s="65"/>
      <c r="I312" s="112"/>
      <c r="J312" s="65"/>
      <c r="K312" s="37"/>
      <c r="L312" s="37"/>
      <c r="M312" s="37"/>
      <c r="N312" s="37"/>
      <c r="O312" s="37"/>
      <c r="P312" s="37"/>
      <c r="Q312" s="37"/>
      <c r="R312" s="37"/>
      <c r="S312" s="37"/>
      <c r="T312" s="37"/>
      <c r="U312" s="3"/>
      <c r="W312" s="3"/>
      <c r="X312" s="3"/>
      <c r="Y312" s="3"/>
      <c r="Z312" s="3"/>
    </row>
    <row r="313" spans="1:26" ht="14.4" hidden="1" outlineLevel="1" x14ac:dyDescent="0.3">
      <c r="A313" s="3"/>
      <c r="B313" s="10" t="s">
        <v>413</v>
      </c>
      <c r="C313" s="62"/>
      <c r="D313" s="62"/>
      <c r="E313" s="12">
        <v>0</v>
      </c>
      <c r="F313" s="12">
        <v>0</v>
      </c>
      <c r="G313" s="65"/>
      <c r="H313" s="65"/>
      <c r="I313" s="112"/>
      <c r="J313" s="65"/>
      <c r="K313" s="37"/>
      <c r="L313" s="37"/>
      <c r="M313" s="37"/>
      <c r="N313" s="37"/>
      <c r="O313" s="37"/>
      <c r="P313" s="37"/>
      <c r="Q313" s="37"/>
      <c r="R313" s="37"/>
      <c r="S313" s="37"/>
      <c r="T313" s="37"/>
      <c r="U313" s="3"/>
      <c r="W313" s="3"/>
      <c r="X313" s="3"/>
      <c r="Y313" s="3"/>
      <c r="Z313" s="3"/>
    </row>
    <row r="314" spans="1:26" ht="14.4" hidden="1" outlineLevel="1" x14ac:dyDescent="0.3">
      <c r="A314" s="3"/>
      <c r="B314" s="10" t="s">
        <v>414</v>
      </c>
      <c r="C314" s="62"/>
      <c r="D314" s="62"/>
      <c r="E314" s="12">
        <v>0</v>
      </c>
      <c r="F314" s="12">
        <v>0</v>
      </c>
      <c r="G314" s="65"/>
      <c r="H314" s="65"/>
      <c r="I314" s="89"/>
      <c r="J314" s="65"/>
      <c r="K314" s="37"/>
      <c r="L314" s="37"/>
      <c r="M314" s="37"/>
      <c r="N314" s="37"/>
      <c r="O314" s="37"/>
      <c r="P314" s="37"/>
      <c r="Q314" s="37"/>
      <c r="R314" s="37"/>
      <c r="S314" s="37"/>
      <c r="T314" s="37"/>
      <c r="U314" s="3"/>
      <c r="W314" s="3"/>
      <c r="X314" s="3"/>
      <c r="Y314" s="3"/>
      <c r="Z314" s="3"/>
    </row>
    <row r="315" spans="1:26" ht="14.4" hidden="1" outlineLevel="1" x14ac:dyDescent="0.3">
      <c r="A315" s="3"/>
      <c r="B315" s="10" t="s">
        <v>414</v>
      </c>
      <c r="C315" s="62"/>
      <c r="D315" s="62"/>
      <c r="E315" s="12">
        <v>0</v>
      </c>
      <c r="F315" s="12">
        <v>0</v>
      </c>
      <c r="G315" s="65"/>
      <c r="H315" s="65"/>
      <c r="I315" s="89"/>
      <c r="J315" s="65"/>
      <c r="K315" s="37"/>
      <c r="L315" s="37"/>
      <c r="M315" s="37"/>
      <c r="N315" s="37"/>
      <c r="O315" s="37"/>
      <c r="P315" s="37"/>
      <c r="Q315" s="37"/>
      <c r="R315" s="37"/>
      <c r="S315" s="37"/>
      <c r="T315" s="37"/>
      <c r="U315" s="3"/>
      <c r="W315" s="3"/>
      <c r="X315" s="3"/>
      <c r="Y315" s="3"/>
      <c r="Z315" s="3"/>
    </row>
    <row r="316" spans="1:26" ht="14.4" hidden="1" outlineLevel="1" x14ac:dyDescent="0.3">
      <c r="A316" s="3"/>
      <c r="B316" s="10" t="s">
        <v>414</v>
      </c>
      <c r="C316" s="62"/>
      <c r="D316" s="62"/>
      <c r="E316" s="12">
        <v>0</v>
      </c>
      <c r="F316" s="12">
        <v>0</v>
      </c>
      <c r="G316" s="65"/>
      <c r="H316" s="65"/>
      <c r="I316" s="89"/>
      <c r="J316" s="65"/>
      <c r="K316" s="37"/>
      <c r="L316" s="37"/>
      <c r="M316" s="37"/>
      <c r="N316" s="37"/>
      <c r="O316" s="37"/>
      <c r="P316" s="37"/>
      <c r="Q316" s="37"/>
      <c r="R316" s="37"/>
      <c r="S316" s="37"/>
      <c r="T316" s="37"/>
      <c r="U316" s="3"/>
      <c r="W316" s="3"/>
      <c r="X316" s="3"/>
      <c r="Y316" s="3"/>
      <c r="Z316" s="3"/>
    </row>
    <row r="317" spans="1:26" ht="14.4" hidden="1" outlineLevel="1" x14ac:dyDescent="0.3">
      <c r="A317" s="3"/>
      <c r="B317" s="10" t="s">
        <v>415</v>
      </c>
      <c r="C317" s="62"/>
      <c r="D317" s="62"/>
      <c r="E317" s="12">
        <v>0</v>
      </c>
      <c r="F317" s="12">
        <v>0</v>
      </c>
      <c r="G317" s="65"/>
      <c r="H317" s="65"/>
      <c r="I317" s="112"/>
      <c r="J317" s="65"/>
      <c r="K317" s="37"/>
      <c r="L317" s="37"/>
      <c r="M317" s="37"/>
      <c r="N317" s="37"/>
      <c r="O317" s="37"/>
      <c r="P317" s="37"/>
      <c r="Q317" s="37"/>
      <c r="R317" s="37"/>
      <c r="S317" s="37"/>
      <c r="T317" s="37"/>
      <c r="U317" s="3"/>
      <c r="W317" s="3"/>
      <c r="X317" s="3"/>
      <c r="Y317" s="3"/>
      <c r="Z317" s="3"/>
    </row>
    <row r="318" spans="1:26" ht="14.4" hidden="1" outlineLevel="1" x14ac:dyDescent="0.3">
      <c r="A318" s="3"/>
      <c r="B318" s="10" t="s">
        <v>415</v>
      </c>
      <c r="C318" s="62"/>
      <c r="D318" s="62"/>
      <c r="E318" s="12">
        <v>0</v>
      </c>
      <c r="F318" s="12">
        <v>0</v>
      </c>
      <c r="G318" s="65"/>
      <c r="H318" s="65"/>
      <c r="I318" s="112"/>
      <c r="J318" s="65"/>
      <c r="K318" s="37"/>
      <c r="L318" s="37"/>
      <c r="M318" s="37"/>
      <c r="N318" s="37"/>
      <c r="O318" s="37"/>
      <c r="P318" s="37"/>
      <c r="Q318" s="37"/>
      <c r="R318" s="37"/>
      <c r="S318" s="37"/>
      <c r="T318" s="37"/>
      <c r="U318" s="3"/>
      <c r="W318" s="3"/>
      <c r="X318" s="3"/>
      <c r="Y318" s="3"/>
      <c r="Z318" s="3"/>
    </row>
    <row r="319" spans="1:26" ht="14.4" hidden="1" outlineLevel="1" x14ac:dyDescent="0.3">
      <c r="A319" s="3"/>
      <c r="B319" s="10" t="s">
        <v>415</v>
      </c>
      <c r="C319" s="62"/>
      <c r="D319" s="62"/>
      <c r="E319" s="12">
        <v>0</v>
      </c>
      <c r="F319" s="12">
        <v>0</v>
      </c>
      <c r="G319" s="65"/>
      <c r="H319" s="65"/>
      <c r="I319" s="112"/>
      <c r="J319" s="65"/>
      <c r="K319" s="37"/>
      <c r="L319" s="37"/>
      <c r="M319" s="37"/>
      <c r="N319" s="37"/>
      <c r="O319" s="37"/>
      <c r="P319" s="37"/>
      <c r="Q319" s="37"/>
      <c r="R319" s="37"/>
      <c r="S319" s="37"/>
      <c r="T319" s="37"/>
      <c r="U319" s="3"/>
      <c r="W319" s="3"/>
      <c r="X319" s="3"/>
      <c r="Y319" s="3"/>
      <c r="Z319" s="3"/>
    </row>
    <row r="320" spans="1:26" ht="14.4" hidden="1" outlineLevel="1" x14ac:dyDescent="0.3">
      <c r="A320" s="3"/>
      <c r="B320" s="10" t="s">
        <v>416</v>
      </c>
      <c r="C320" s="62">
        <v>8</v>
      </c>
      <c r="D320" s="62" t="s">
        <v>94</v>
      </c>
      <c r="E320" s="12">
        <v>0</v>
      </c>
      <c r="F320" s="12">
        <v>120.1</v>
      </c>
      <c r="G320" s="65"/>
      <c r="H320" s="65" t="s">
        <v>37</v>
      </c>
      <c r="I320" s="112" t="s">
        <v>1403</v>
      </c>
      <c r="J320" s="65"/>
      <c r="K320" s="37"/>
      <c r="L320" s="37"/>
      <c r="M320" s="37"/>
      <c r="N320" s="37"/>
      <c r="O320" s="37"/>
      <c r="P320" s="37"/>
      <c r="Q320" s="37"/>
      <c r="R320" s="37"/>
      <c r="S320" s="37"/>
      <c r="T320" s="37"/>
      <c r="U320" s="3"/>
      <c r="W320" s="3"/>
      <c r="X320" s="3"/>
      <c r="Y320" s="3"/>
      <c r="Z320" s="3"/>
    </row>
    <row r="321" spans="1:26" ht="14.4" hidden="1" outlineLevel="1" x14ac:dyDescent="0.3">
      <c r="A321" s="3"/>
      <c r="B321" s="10" t="s">
        <v>416</v>
      </c>
      <c r="C321" s="62"/>
      <c r="D321" s="62"/>
      <c r="E321" s="12">
        <v>0</v>
      </c>
      <c r="F321" s="12">
        <v>0</v>
      </c>
      <c r="G321" s="65"/>
      <c r="H321" s="65"/>
      <c r="I321" s="112"/>
      <c r="J321" s="65"/>
      <c r="K321" s="37"/>
      <c r="L321" s="37"/>
      <c r="M321" s="37"/>
      <c r="N321" s="37"/>
      <c r="O321" s="37"/>
      <c r="P321" s="37"/>
      <c r="Q321" s="37"/>
      <c r="R321" s="37"/>
      <c r="S321" s="37"/>
      <c r="T321" s="37"/>
      <c r="U321" s="3"/>
      <c r="W321" s="3"/>
      <c r="X321" s="3"/>
      <c r="Y321" s="3"/>
      <c r="Z321" s="3"/>
    </row>
    <row r="322" spans="1:26" ht="14.4" hidden="1" outlineLevel="1" x14ac:dyDescent="0.3">
      <c r="A322" s="3"/>
      <c r="B322" s="10" t="s">
        <v>416</v>
      </c>
      <c r="C322" s="62"/>
      <c r="D322" s="62"/>
      <c r="E322" s="12">
        <v>0</v>
      </c>
      <c r="F322" s="12">
        <v>0</v>
      </c>
      <c r="G322" s="65"/>
      <c r="H322" s="65"/>
      <c r="I322" s="112"/>
      <c r="J322" s="65"/>
      <c r="K322" s="37"/>
      <c r="L322" s="37"/>
      <c r="M322" s="37"/>
      <c r="N322" s="37"/>
      <c r="O322" s="37"/>
      <c r="P322" s="37"/>
      <c r="Q322" s="37"/>
      <c r="R322" s="37"/>
      <c r="S322" s="37"/>
      <c r="T322" s="37"/>
      <c r="U322" s="3"/>
      <c r="W322" s="3"/>
      <c r="X322" s="3"/>
      <c r="Y322" s="3"/>
      <c r="Z322" s="3"/>
    </row>
    <row r="323" spans="1:26" ht="14.4" hidden="1" outlineLevel="1" x14ac:dyDescent="0.3">
      <c r="A323" s="3"/>
      <c r="B323" s="10" t="s">
        <v>416</v>
      </c>
      <c r="C323" s="62"/>
      <c r="D323" s="62"/>
      <c r="E323" s="12">
        <v>0</v>
      </c>
      <c r="F323" s="12">
        <v>0</v>
      </c>
      <c r="G323" s="65"/>
      <c r="H323" s="65"/>
      <c r="I323" s="112"/>
      <c r="J323" s="65"/>
      <c r="K323" s="37"/>
      <c r="L323" s="37"/>
      <c r="M323" s="37"/>
      <c r="N323" s="37"/>
      <c r="O323" s="37"/>
      <c r="P323" s="37"/>
      <c r="Q323" s="37"/>
      <c r="R323" s="37"/>
      <c r="S323" s="37"/>
      <c r="T323" s="37"/>
      <c r="U323" s="3"/>
      <c r="W323" s="3"/>
      <c r="X323" s="3"/>
      <c r="Y323" s="3"/>
      <c r="Z323" s="3"/>
    </row>
    <row r="324" spans="1:26" ht="14.4" hidden="1" outlineLevel="1" x14ac:dyDescent="0.3">
      <c r="A324" s="3"/>
      <c r="B324" s="10" t="s">
        <v>417</v>
      </c>
      <c r="C324" s="62"/>
      <c r="D324" s="62"/>
      <c r="E324" s="12">
        <v>0</v>
      </c>
      <c r="F324" s="12">
        <v>0</v>
      </c>
      <c r="G324" s="65"/>
      <c r="H324" s="65"/>
      <c r="I324" s="89"/>
      <c r="J324" s="65"/>
      <c r="K324" s="37"/>
      <c r="L324" s="37"/>
      <c r="M324" s="37"/>
      <c r="N324" s="37"/>
      <c r="O324" s="37"/>
      <c r="P324" s="37"/>
      <c r="Q324" s="37"/>
      <c r="R324" s="37"/>
      <c r="S324" s="37"/>
      <c r="T324" s="37"/>
      <c r="U324" s="3"/>
      <c r="W324" s="3"/>
      <c r="X324" s="3"/>
      <c r="Y324" s="3"/>
      <c r="Z324" s="3"/>
    </row>
    <row r="325" spans="1:26" ht="14.4" hidden="1" outlineLevel="1" x14ac:dyDescent="0.3">
      <c r="A325" s="3"/>
      <c r="B325" s="10" t="s">
        <v>418</v>
      </c>
      <c r="C325" s="62"/>
      <c r="D325" s="62"/>
      <c r="E325" s="12">
        <v>0</v>
      </c>
      <c r="F325" s="12">
        <v>0</v>
      </c>
      <c r="G325" s="65"/>
      <c r="H325" s="65"/>
      <c r="I325" s="89"/>
      <c r="J325" s="65"/>
      <c r="K325" s="37"/>
      <c r="L325" s="37"/>
      <c r="M325" s="37"/>
      <c r="N325" s="37"/>
      <c r="O325" s="37"/>
      <c r="P325" s="37"/>
      <c r="Q325" s="37"/>
      <c r="R325" s="37"/>
      <c r="S325" s="37"/>
      <c r="T325" s="37"/>
      <c r="U325" s="3"/>
      <c r="W325" s="3"/>
      <c r="X325" s="3"/>
      <c r="Y325" s="3"/>
      <c r="Z325" s="3"/>
    </row>
    <row r="326" spans="1:26" ht="14.4" hidden="1" outlineLevel="1" x14ac:dyDescent="0.3">
      <c r="A326" s="3"/>
      <c r="B326" s="10" t="s">
        <v>419</v>
      </c>
      <c r="C326" s="62"/>
      <c r="D326" s="62"/>
      <c r="E326" s="12">
        <v>0</v>
      </c>
      <c r="F326" s="12">
        <v>0</v>
      </c>
      <c r="G326" s="65"/>
      <c r="H326" s="65"/>
      <c r="I326" s="89"/>
      <c r="J326" s="65"/>
      <c r="K326" s="37"/>
      <c r="L326" s="37"/>
      <c r="M326" s="37"/>
      <c r="N326" s="37"/>
      <c r="O326" s="37"/>
      <c r="P326" s="37"/>
      <c r="Q326" s="37"/>
      <c r="R326" s="37"/>
      <c r="S326" s="37"/>
      <c r="T326" s="37"/>
      <c r="U326" s="3"/>
      <c r="W326" s="3"/>
      <c r="X326" s="3"/>
      <c r="Y326" s="3"/>
      <c r="Z326" s="3"/>
    </row>
    <row r="327" spans="1:26" ht="14.4" hidden="1" outlineLevel="1" x14ac:dyDescent="0.3">
      <c r="A327" s="3"/>
      <c r="B327" s="10" t="s">
        <v>420</v>
      </c>
      <c r="C327" s="62"/>
      <c r="D327" s="62"/>
      <c r="E327" s="12">
        <v>0</v>
      </c>
      <c r="F327" s="12">
        <v>0</v>
      </c>
      <c r="G327" s="65"/>
      <c r="H327" s="65"/>
      <c r="I327" s="89"/>
      <c r="J327" s="65"/>
      <c r="K327" s="37"/>
      <c r="L327" s="37"/>
      <c r="M327" s="37"/>
      <c r="N327" s="37"/>
      <c r="O327" s="37"/>
      <c r="P327" s="37"/>
      <c r="Q327" s="37"/>
      <c r="R327" s="37"/>
      <c r="S327" s="37"/>
      <c r="T327" s="37"/>
      <c r="U327" s="3"/>
      <c r="W327" s="3"/>
      <c r="X327" s="3"/>
      <c r="Y327" s="3"/>
      <c r="Z327" s="3"/>
    </row>
    <row r="328" spans="1:26" ht="14.4" hidden="1" outlineLevel="1" x14ac:dyDescent="0.3">
      <c r="A328" s="3"/>
      <c r="B328" s="10" t="s">
        <v>65</v>
      </c>
      <c r="C328" s="62"/>
      <c r="D328" s="62"/>
      <c r="E328" s="12">
        <v>0</v>
      </c>
      <c r="F328" s="12">
        <v>0</v>
      </c>
      <c r="G328" s="65"/>
      <c r="H328" s="65"/>
      <c r="I328" s="89"/>
      <c r="J328" s="65"/>
      <c r="K328" s="37"/>
      <c r="L328" s="37"/>
      <c r="M328" s="37"/>
      <c r="N328" s="37"/>
      <c r="O328" s="37"/>
      <c r="P328" s="37"/>
      <c r="Q328" s="37"/>
      <c r="R328" s="37"/>
      <c r="S328" s="37"/>
      <c r="T328" s="37"/>
      <c r="U328" s="3"/>
      <c r="W328" s="3"/>
      <c r="X328" s="3"/>
      <c r="Y328" s="3"/>
      <c r="Z328" s="3"/>
    </row>
    <row r="329" spans="1:26" ht="14.4" collapsed="1" x14ac:dyDescent="0.3">
      <c r="A329" s="3"/>
      <c r="B329" s="3"/>
      <c r="C329" s="37"/>
      <c r="D329" s="37"/>
      <c r="E329" s="37"/>
      <c r="F329" s="37"/>
      <c r="G329" s="98"/>
      <c r="H329" s="98"/>
      <c r="I329" s="99"/>
      <c r="J329" s="98"/>
      <c r="K329" s="37"/>
      <c r="L329" s="37"/>
      <c r="M329" s="37"/>
      <c r="N329" s="37"/>
      <c r="O329" s="37"/>
      <c r="P329" s="37"/>
      <c r="Q329" s="37"/>
      <c r="R329" s="37"/>
      <c r="S329" s="37"/>
      <c r="T329" s="37"/>
      <c r="U329" s="3"/>
    </row>
    <row r="330" spans="1:26" ht="15.75" customHeight="1" x14ac:dyDescent="0.3">
      <c r="A330" s="3"/>
      <c r="B330" s="3"/>
      <c r="C330" s="37"/>
      <c r="D330" s="37"/>
      <c r="E330" s="37"/>
      <c r="F330" s="37"/>
      <c r="G330" s="98"/>
      <c r="H330" s="98"/>
      <c r="I330" s="99"/>
      <c r="J330" s="98"/>
      <c r="K330" s="37"/>
      <c r="L330" s="37"/>
      <c r="M330" s="37"/>
      <c r="N330" s="37"/>
      <c r="O330" s="37"/>
      <c r="P330" s="37"/>
      <c r="Q330" s="37"/>
      <c r="R330" s="37"/>
      <c r="S330" s="37"/>
      <c r="T330" s="37"/>
      <c r="U330" s="3"/>
    </row>
    <row r="331" spans="1:26" ht="15.75" customHeight="1" x14ac:dyDescent="0.3">
      <c r="A331" s="3"/>
      <c r="B331" s="3"/>
      <c r="C331" s="37"/>
      <c r="D331" s="37"/>
      <c r="E331" s="37"/>
      <c r="F331" s="37"/>
      <c r="G331" s="98"/>
      <c r="H331" s="98"/>
      <c r="I331" s="99"/>
      <c r="J331" s="98"/>
      <c r="K331" s="37"/>
      <c r="L331" s="37"/>
      <c r="M331" s="37"/>
      <c r="N331" s="37"/>
      <c r="O331" s="37"/>
      <c r="P331" s="37"/>
      <c r="Q331" s="37"/>
      <c r="R331" s="37"/>
      <c r="S331" s="37"/>
      <c r="T331" s="37"/>
      <c r="U331" s="3"/>
    </row>
    <row r="332" spans="1:26" ht="15.75" customHeight="1" x14ac:dyDescent="0.3">
      <c r="A332" s="3"/>
      <c r="B332" s="3"/>
      <c r="C332" s="37"/>
      <c r="D332" s="37"/>
      <c r="E332" s="37"/>
      <c r="F332" s="37"/>
      <c r="G332" s="98"/>
      <c r="H332" s="98"/>
      <c r="I332" s="99"/>
      <c r="J332" s="98"/>
      <c r="K332" s="37"/>
      <c r="L332" s="37"/>
      <c r="M332" s="37"/>
      <c r="N332" s="37"/>
      <c r="O332" s="37"/>
      <c r="P332" s="37"/>
      <c r="Q332" s="37"/>
      <c r="R332" s="37"/>
      <c r="S332" s="37"/>
      <c r="T332" s="37"/>
      <c r="U332" s="3"/>
    </row>
    <row r="333" spans="1:26" ht="15.75" customHeight="1" x14ac:dyDescent="0.3">
      <c r="A333" s="3"/>
      <c r="B333" s="3"/>
      <c r="C333" s="37"/>
      <c r="D333" s="37"/>
      <c r="E333" s="37"/>
      <c r="F333" s="37"/>
      <c r="G333" s="98"/>
      <c r="H333" s="98"/>
      <c r="I333" s="99"/>
      <c r="J333" s="98"/>
      <c r="K333" s="37"/>
      <c r="L333" s="37"/>
      <c r="M333" s="37"/>
      <c r="N333" s="37"/>
      <c r="O333" s="37"/>
      <c r="P333" s="37"/>
      <c r="Q333" s="37"/>
      <c r="R333" s="37"/>
      <c r="S333" s="37"/>
      <c r="T333" s="37"/>
      <c r="U333" s="3"/>
    </row>
    <row r="334" spans="1:26" ht="15.75" customHeight="1" x14ac:dyDescent="0.3">
      <c r="A334" s="3"/>
      <c r="B334" s="3"/>
      <c r="C334" s="37"/>
      <c r="D334" s="37"/>
      <c r="E334" s="37"/>
      <c r="F334" s="37"/>
      <c r="G334" s="98"/>
      <c r="H334" s="98"/>
      <c r="I334" s="99"/>
      <c r="J334" s="98"/>
      <c r="K334" s="37"/>
      <c r="L334" s="37"/>
      <c r="M334" s="37"/>
      <c r="N334" s="37"/>
      <c r="O334" s="37"/>
      <c r="P334" s="37"/>
      <c r="Q334" s="37"/>
      <c r="R334" s="37"/>
      <c r="S334" s="37"/>
      <c r="T334" s="37"/>
      <c r="U334" s="3"/>
    </row>
    <row r="335" spans="1:26" ht="15.75" customHeight="1" x14ac:dyDescent="0.3">
      <c r="A335" s="3"/>
      <c r="B335" s="3"/>
      <c r="C335" s="37"/>
      <c r="D335" s="37"/>
      <c r="E335" s="37"/>
      <c r="F335" s="37"/>
      <c r="G335" s="98"/>
      <c r="H335" s="98"/>
      <c r="I335" s="99"/>
      <c r="J335" s="98"/>
      <c r="K335" s="37"/>
      <c r="L335" s="37"/>
      <c r="M335" s="37"/>
      <c r="N335" s="37"/>
      <c r="O335" s="37"/>
      <c r="P335" s="37"/>
      <c r="Q335" s="37"/>
      <c r="R335" s="37"/>
      <c r="S335" s="37"/>
      <c r="T335" s="37"/>
      <c r="U335" s="3"/>
    </row>
    <row r="336" spans="1:26" ht="15.75" customHeight="1" x14ac:dyDescent="0.3">
      <c r="A336" s="3"/>
      <c r="B336" s="3"/>
      <c r="C336" s="37"/>
      <c r="D336" s="37"/>
      <c r="E336" s="37"/>
      <c r="F336" s="37"/>
      <c r="G336" s="98"/>
      <c r="H336" s="98"/>
      <c r="I336" s="99"/>
      <c r="J336" s="98"/>
      <c r="K336" s="37"/>
      <c r="L336" s="37"/>
      <c r="M336" s="37"/>
      <c r="N336" s="37"/>
      <c r="O336" s="37"/>
      <c r="P336" s="37"/>
      <c r="Q336" s="37"/>
      <c r="R336" s="37"/>
      <c r="S336" s="37"/>
      <c r="T336" s="37"/>
      <c r="U336" s="3"/>
    </row>
    <row r="337" spans="1:21" ht="15.75" customHeight="1" x14ac:dyDescent="0.3">
      <c r="A337" s="3"/>
      <c r="B337" s="3"/>
      <c r="C337" s="37"/>
      <c r="D337" s="37"/>
      <c r="E337" s="37"/>
      <c r="F337" s="37"/>
      <c r="G337" s="98"/>
      <c r="H337" s="98"/>
      <c r="I337" s="99"/>
      <c r="J337" s="98"/>
      <c r="K337" s="37"/>
      <c r="L337" s="37"/>
      <c r="M337" s="37"/>
      <c r="N337" s="37"/>
      <c r="O337" s="37"/>
      <c r="P337" s="37"/>
      <c r="Q337" s="37"/>
      <c r="R337" s="37"/>
      <c r="S337" s="37"/>
      <c r="T337" s="37"/>
      <c r="U337" s="3"/>
    </row>
    <row r="338" spans="1:21" ht="15.75" customHeight="1" x14ac:dyDescent="0.3">
      <c r="A338" s="3"/>
      <c r="B338" s="3"/>
      <c r="C338" s="37"/>
      <c r="D338" s="37"/>
      <c r="E338" s="37"/>
      <c r="F338" s="37"/>
      <c r="G338" s="98"/>
      <c r="H338" s="98"/>
      <c r="I338" s="99"/>
      <c r="J338" s="98"/>
      <c r="K338" s="37"/>
      <c r="L338" s="37"/>
      <c r="M338" s="37"/>
      <c r="N338" s="37"/>
      <c r="O338" s="37"/>
      <c r="P338" s="37"/>
      <c r="Q338" s="37"/>
      <c r="R338" s="37"/>
      <c r="S338" s="37"/>
      <c r="T338" s="37"/>
      <c r="U338" s="3"/>
    </row>
    <row r="339" spans="1:21" ht="15.75" customHeight="1" x14ac:dyDescent="0.3">
      <c r="A339" s="3"/>
      <c r="B339" s="3"/>
      <c r="C339" s="37"/>
      <c r="D339" s="37"/>
      <c r="E339" s="37"/>
      <c r="F339" s="37"/>
      <c r="G339" s="98"/>
      <c r="H339" s="98"/>
      <c r="I339" s="99"/>
      <c r="J339" s="98"/>
      <c r="K339" s="37"/>
      <c r="L339" s="37"/>
      <c r="M339" s="37"/>
      <c r="N339" s="37"/>
      <c r="O339" s="37"/>
      <c r="P339" s="37"/>
      <c r="Q339" s="37"/>
      <c r="R339" s="37"/>
      <c r="S339" s="37"/>
      <c r="T339" s="37"/>
      <c r="U339" s="3"/>
    </row>
    <row r="340" spans="1:21" ht="15.75" customHeight="1" x14ac:dyDescent="0.3">
      <c r="A340" s="3"/>
      <c r="B340" s="3"/>
      <c r="C340" s="37"/>
      <c r="D340" s="37"/>
      <c r="E340" s="37"/>
      <c r="F340" s="37"/>
      <c r="G340" s="98"/>
      <c r="H340" s="98"/>
      <c r="I340" s="99"/>
      <c r="J340" s="98"/>
      <c r="K340" s="37"/>
      <c r="L340" s="37"/>
      <c r="M340" s="37"/>
      <c r="N340" s="37"/>
      <c r="O340" s="37"/>
      <c r="P340" s="37"/>
      <c r="Q340" s="37"/>
      <c r="R340" s="37"/>
      <c r="S340" s="37"/>
      <c r="T340" s="37"/>
      <c r="U340" s="3"/>
    </row>
    <row r="341" spans="1:21" ht="15.75" customHeight="1" x14ac:dyDescent="0.3">
      <c r="A341" s="3"/>
      <c r="B341" s="3"/>
      <c r="C341" s="37"/>
      <c r="D341" s="37"/>
      <c r="E341" s="37"/>
      <c r="F341" s="37"/>
      <c r="G341" s="98"/>
      <c r="H341" s="98"/>
      <c r="I341" s="99"/>
      <c r="J341" s="98"/>
      <c r="K341" s="37"/>
      <c r="L341" s="37"/>
      <c r="M341" s="37"/>
      <c r="N341" s="37"/>
      <c r="O341" s="37"/>
      <c r="P341" s="37"/>
      <c r="Q341" s="37"/>
      <c r="R341" s="37"/>
      <c r="S341" s="37"/>
      <c r="T341" s="37"/>
      <c r="U341" s="3"/>
    </row>
    <row r="342" spans="1:21" ht="15.75" customHeight="1" x14ac:dyDescent="0.3">
      <c r="A342" s="3"/>
      <c r="B342" s="3"/>
      <c r="C342" s="37"/>
      <c r="D342" s="37"/>
      <c r="E342" s="37"/>
      <c r="F342" s="37"/>
      <c r="G342" s="98"/>
      <c r="H342" s="98"/>
      <c r="I342" s="99"/>
      <c r="J342" s="98"/>
      <c r="K342" s="37"/>
      <c r="L342" s="37"/>
      <c r="M342" s="37"/>
      <c r="N342" s="37"/>
      <c r="O342" s="37"/>
      <c r="P342" s="37"/>
      <c r="Q342" s="37"/>
      <c r="R342" s="37"/>
      <c r="S342" s="37"/>
      <c r="T342" s="37"/>
      <c r="U342" s="3"/>
    </row>
    <row r="343" spans="1:21" ht="15.75" customHeight="1" x14ac:dyDescent="0.3">
      <c r="A343" s="3"/>
      <c r="B343" s="3"/>
      <c r="C343" s="37"/>
      <c r="D343" s="37"/>
      <c r="E343" s="37"/>
      <c r="F343" s="37"/>
      <c r="G343" s="98"/>
      <c r="H343" s="98"/>
      <c r="I343" s="99"/>
      <c r="J343" s="98"/>
      <c r="K343" s="37"/>
      <c r="L343" s="37"/>
      <c r="M343" s="37"/>
      <c r="N343" s="37"/>
      <c r="O343" s="37"/>
      <c r="P343" s="37"/>
      <c r="Q343" s="37"/>
      <c r="R343" s="37"/>
      <c r="S343" s="37"/>
      <c r="T343" s="37"/>
      <c r="U343" s="3"/>
    </row>
    <row r="344" spans="1:21" ht="15.75" customHeight="1" x14ac:dyDescent="0.3">
      <c r="A344" s="3"/>
      <c r="B344" s="3"/>
      <c r="C344" s="37"/>
      <c r="D344" s="37"/>
      <c r="E344" s="37"/>
      <c r="F344" s="37"/>
      <c r="G344" s="98"/>
      <c r="H344" s="98"/>
      <c r="I344" s="99"/>
      <c r="J344" s="98"/>
      <c r="K344" s="37"/>
      <c r="L344" s="37"/>
      <c r="M344" s="37"/>
      <c r="N344" s="37"/>
      <c r="O344" s="37"/>
      <c r="P344" s="37"/>
      <c r="Q344" s="37"/>
      <c r="R344" s="37"/>
      <c r="S344" s="37"/>
      <c r="T344" s="37"/>
      <c r="U344" s="3"/>
    </row>
    <row r="345" spans="1:21" ht="15.75" customHeight="1" x14ac:dyDescent="0.3">
      <c r="A345" s="3"/>
      <c r="B345" s="3"/>
      <c r="C345" s="37"/>
      <c r="D345" s="37"/>
      <c r="E345" s="37"/>
      <c r="F345" s="37"/>
      <c r="G345" s="98"/>
      <c r="H345" s="98"/>
      <c r="I345" s="99"/>
      <c r="J345" s="98"/>
      <c r="K345" s="37"/>
      <c r="L345" s="37"/>
      <c r="M345" s="37"/>
      <c r="N345" s="37"/>
      <c r="O345" s="37"/>
      <c r="P345" s="37"/>
      <c r="Q345" s="37"/>
      <c r="R345" s="37"/>
      <c r="S345" s="37"/>
      <c r="T345" s="37"/>
      <c r="U345" s="3"/>
    </row>
    <row r="346" spans="1:21" ht="15.75" customHeight="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1" ht="15.7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1" ht="15.7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1" ht="15.7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1" ht="15.7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1" ht="15.7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1" ht="15.7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5.7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5.7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5.7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5.7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5.7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5.7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5.7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5.7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5.7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5.7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5.7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5.7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5.7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5.7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5.7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5.7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5.7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5.7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5.7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5.7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5.7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5.7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5.7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5.7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5.7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5.7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5.7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5.7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5.7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5.7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5.7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5.7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5.7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5.7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5.7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5.7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5.7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5.7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5.7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5.7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5.7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5.7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5.7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5.7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5.7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5.7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5.7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5.7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5.7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5.7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5.7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5.7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5.7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5.7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5.7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5.7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5.7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5.7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5.7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5.7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5.7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5.7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5.7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5.7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5.7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5.7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5.7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5.7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5.7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5.7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5.7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5.7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5.7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5.7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5.7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5.7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5.7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5.7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5.7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5.7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5.7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5.7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5.7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5.7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5.7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5.7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5.7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5.7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5.7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5.7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5.7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5.7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5.7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5.7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5.7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5.7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5.7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5.7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5.7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5.7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5.7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5.7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5.7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5.7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5.7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5.7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5.7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5.7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5.7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5.7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5.7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5.7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5.7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5.7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5.7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5.7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5.7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5.7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5.7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5.7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5.7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5.7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5.7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5.7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5.7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5.7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5.7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5.7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5.7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5.7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5.7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5.7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5.7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5.7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5.7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5.7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5.7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5.7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5.7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5.7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5.7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5.7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5.7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5.7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5.7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5.7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5.7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5.7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5.7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5.7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5.7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5.7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5.7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5.7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5.7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5.7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5.7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5.7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5.7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5.7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5.7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5.7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5.7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5.7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5.7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5.7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5.7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5.7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5.75" customHeight="1" x14ac:dyDescent="0.3">
      <c r="A521" s="3"/>
      <c r="B521" s="3"/>
      <c r="C521" s="37"/>
      <c r="D521" s="37"/>
      <c r="E521" s="37"/>
      <c r="F521" s="37"/>
      <c r="G521" s="98"/>
      <c r="H521" s="98"/>
      <c r="I521" s="99"/>
      <c r="J521" s="98"/>
      <c r="K521" s="37"/>
      <c r="L521" s="37"/>
      <c r="M521" s="37"/>
      <c r="N521" s="37"/>
      <c r="O521" s="37"/>
      <c r="P521" s="37"/>
      <c r="Q521" s="37"/>
      <c r="R521" s="37"/>
      <c r="S521" s="37"/>
      <c r="T521" s="37"/>
      <c r="U521" s="3"/>
    </row>
    <row r="522" spans="1:21" ht="15.75" customHeight="1" x14ac:dyDescent="0.3">
      <c r="A522" s="3"/>
      <c r="B522" s="3"/>
      <c r="C522" s="37"/>
      <c r="D522" s="37"/>
      <c r="E522" s="37"/>
      <c r="F522" s="37"/>
      <c r="G522" s="98"/>
      <c r="H522" s="98"/>
      <c r="I522" s="99"/>
      <c r="J522" s="98"/>
      <c r="K522" s="37"/>
      <c r="L522" s="37"/>
      <c r="M522" s="37"/>
      <c r="N522" s="37"/>
      <c r="O522" s="37"/>
      <c r="P522" s="37"/>
      <c r="Q522" s="37"/>
      <c r="R522" s="37"/>
      <c r="S522" s="37"/>
      <c r="T522" s="37"/>
      <c r="U522" s="3"/>
    </row>
    <row r="523" spans="1:21" ht="15.75" customHeight="1" x14ac:dyDescent="0.3">
      <c r="A523" s="3"/>
      <c r="B523" s="3"/>
      <c r="C523" s="37"/>
      <c r="D523" s="37"/>
      <c r="E523" s="37"/>
      <c r="F523" s="37"/>
      <c r="G523" s="98"/>
      <c r="H523" s="98"/>
      <c r="I523" s="99"/>
      <c r="J523" s="98"/>
      <c r="K523" s="37"/>
      <c r="L523" s="37"/>
      <c r="M523" s="37"/>
      <c r="N523" s="37"/>
      <c r="O523" s="37"/>
      <c r="P523" s="37"/>
      <c r="Q523" s="37"/>
      <c r="R523" s="37"/>
      <c r="S523" s="37"/>
      <c r="T523" s="37"/>
      <c r="U523" s="3"/>
    </row>
    <row r="524" spans="1:21" ht="15.75" customHeight="1" x14ac:dyDescent="0.3">
      <c r="A524" s="3"/>
      <c r="B524" s="3"/>
      <c r="C524" s="37"/>
      <c r="D524" s="37"/>
      <c r="E524" s="37"/>
      <c r="F524" s="37"/>
      <c r="G524" s="98"/>
      <c r="H524" s="98"/>
      <c r="I524" s="99"/>
      <c r="J524" s="98"/>
      <c r="K524" s="37"/>
      <c r="L524" s="37"/>
      <c r="M524" s="37"/>
      <c r="N524" s="37"/>
      <c r="O524" s="37"/>
      <c r="P524" s="37"/>
      <c r="Q524" s="37"/>
      <c r="R524" s="37"/>
      <c r="S524" s="37"/>
      <c r="T524" s="37"/>
      <c r="U524" s="3"/>
    </row>
    <row r="525" spans="1:21" ht="15.75" customHeight="1" x14ac:dyDescent="0.3">
      <c r="A525" s="3"/>
      <c r="B525" s="3"/>
      <c r="C525" s="37"/>
      <c r="D525" s="37"/>
      <c r="E525" s="37"/>
      <c r="F525" s="37"/>
      <c r="G525" s="98"/>
      <c r="H525" s="98"/>
      <c r="I525" s="99"/>
      <c r="J525" s="98"/>
      <c r="K525" s="37"/>
      <c r="L525" s="37"/>
      <c r="M525" s="37"/>
      <c r="N525" s="37"/>
      <c r="O525" s="37"/>
      <c r="P525" s="37"/>
      <c r="Q525" s="37"/>
      <c r="R525" s="37"/>
      <c r="S525" s="37"/>
      <c r="T525" s="37"/>
      <c r="U525" s="3"/>
    </row>
    <row r="526" spans="1:21" ht="15.75" customHeight="1" x14ac:dyDescent="0.3">
      <c r="A526" s="3"/>
      <c r="B526" s="3"/>
      <c r="C526" s="37"/>
      <c r="D526" s="37"/>
      <c r="E526" s="37"/>
      <c r="F526" s="37"/>
      <c r="G526" s="98"/>
      <c r="H526" s="98"/>
      <c r="I526" s="99"/>
      <c r="J526" s="98"/>
      <c r="K526" s="37"/>
      <c r="L526" s="37"/>
      <c r="M526" s="37"/>
      <c r="N526" s="37"/>
      <c r="O526" s="37"/>
      <c r="P526" s="37"/>
      <c r="Q526" s="37"/>
      <c r="R526" s="37"/>
      <c r="S526" s="37"/>
      <c r="T526" s="37"/>
      <c r="U526" s="3"/>
    </row>
    <row r="527" spans="1:21" ht="15.75" customHeight="1" x14ac:dyDescent="0.3">
      <c r="A527" s="3"/>
      <c r="B527" s="3"/>
      <c r="C527" s="37"/>
      <c r="D527" s="37"/>
      <c r="E527" s="37"/>
      <c r="F527" s="37"/>
      <c r="G527" s="98"/>
      <c r="H527" s="98"/>
      <c r="I527" s="99"/>
      <c r="J527" s="98"/>
      <c r="K527" s="37"/>
      <c r="L527" s="37"/>
      <c r="M527" s="37"/>
      <c r="N527" s="37"/>
      <c r="O527" s="37"/>
      <c r="P527" s="37"/>
      <c r="Q527" s="37"/>
      <c r="R527" s="37"/>
      <c r="S527" s="37"/>
      <c r="T527" s="37"/>
      <c r="U527" s="3"/>
    </row>
    <row r="528" spans="1:21" ht="15.75" customHeight="1" x14ac:dyDescent="0.3">
      <c r="A528" s="3"/>
      <c r="B528" s="3"/>
      <c r="C528" s="37"/>
      <c r="D528" s="37"/>
      <c r="E528" s="37"/>
      <c r="F528" s="37"/>
      <c r="G528" s="98"/>
      <c r="H528" s="98"/>
      <c r="I528" s="99"/>
      <c r="J528" s="98"/>
      <c r="K528" s="37"/>
      <c r="L528" s="37"/>
      <c r="M528" s="37"/>
      <c r="N528" s="37"/>
      <c r="O528" s="37"/>
      <c r="P528" s="37"/>
      <c r="Q528" s="37"/>
      <c r="R528" s="37"/>
      <c r="S528" s="37"/>
      <c r="T528" s="37"/>
      <c r="U528" s="3"/>
    </row>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autoFilter ref="C5:F328" xr:uid="{00000000-0009-0000-0000-000013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8 D140:D148 D151:D155 D157:D161 D163:D167 D169:D173 D175:D179 D181:D258 D261:D269 D271:D279 D281:D289 D291:D299 D301:D309 D311:D328" xr:uid="{00000000-0002-0000-1300-000001000000}">
      <formula1>"OK,Parcial,Pendente"</formula1>
    </dataValidation>
  </dataValidations>
  <hyperlinks>
    <hyperlink ref="I7" r:id="rId1" xr:uid="{00000000-0004-0000-1300-000000000000}"/>
    <hyperlink ref="I10" r:id="rId2" xr:uid="{00000000-0004-0000-1300-000001000000}"/>
    <hyperlink ref="I11" r:id="rId3" xr:uid="{00000000-0004-0000-1300-000002000000}"/>
    <hyperlink ref="I12" r:id="rId4" xr:uid="{00000000-0004-0000-1300-000003000000}"/>
    <hyperlink ref="I15" r:id="rId5" xr:uid="{00000000-0004-0000-1300-000004000000}"/>
    <hyperlink ref="I17" r:id="rId6" xr:uid="{00000000-0004-0000-1300-000005000000}"/>
    <hyperlink ref="I22" r:id="rId7" xr:uid="{00000000-0004-0000-1300-000006000000}"/>
    <hyperlink ref="I29" r:id="rId8" xr:uid="{00000000-0004-0000-1300-000007000000}"/>
    <hyperlink ref="I33" r:id="rId9" xr:uid="{00000000-0004-0000-1300-000008000000}"/>
    <hyperlink ref="I39" r:id="rId10" xr:uid="{00000000-0004-0000-1300-000009000000}"/>
    <hyperlink ref="I40" r:id="rId11" xr:uid="{00000000-0004-0000-1300-00000A000000}"/>
    <hyperlink ref="I42" r:id="rId12" xr:uid="{00000000-0004-0000-1300-00000B000000}"/>
    <hyperlink ref="I43" r:id="rId13" xr:uid="{00000000-0004-0000-1300-00000C000000}"/>
    <hyperlink ref="I44" r:id="rId14" xr:uid="{00000000-0004-0000-1300-00000D000000}"/>
    <hyperlink ref="I45" r:id="rId15" xr:uid="{00000000-0004-0000-1300-00000E000000}"/>
    <hyperlink ref="I46" r:id="rId16" xr:uid="{00000000-0004-0000-1300-00000F000000}"/>
    <hyperlink ref="I47" r:id="rId17" xr:uid="{00000000-0004-0000-1300-000010000000}"/>
    <hyperlink ref="I48" r:id="rId18" xr:uid="{00000000-0004-0000-1300-000011000000}"/>
    <hyperlink ref="I64" r:id="rId19" xr:uid="{00000000-0004-0000-1300-000012000000}"/>
    <hyperlink ref="I65" r:id="rId20" xr:uid="{00000000-0004-0000-1300-000013000000}"/>
    <hyperlink ref="I66" r:id="rId21" xr:uid="{00000000-0004-0000-1300-000014000000}"/>
    <hyperlink ref="I67" r:id="rId22" xr:uid="{00000000-0004-0000-1300-000015000000}"/>
    <hyperlink ref="I68" r:id="rId23" xr:uid="{00000000-0004-0000-1300-000016000000}"/>
    <hyperlink ref="I73" r:id="rId24" xr:uid="{00000000-0004-0000-1300-000017000000}"/>
    <hyperlink ref="I77" r:id="rId25" xr:uid="{00000000-0004-0000-1300-000018000000}"/>
    <hyperlink ref="I79" r:id="rId26" xr:uid="{00000000-0004-0000-1300-000019000000}"/>
    <hyperlink ref="I81" r:id="rId27" xr:uid="{00000000-0004-0000-1300-00001A000000}"/>
    <hyperlink ref="I82" r:id="rId28" xr:uid="{00000000-0004-0000-1300-00001B000000}"/>
    <hyperlink ref="I151" r:id="rId29" xr:uid="{00000000-0004-0000-1300-00001C000000}"/>
    <hyperlink ref="I152" r:id="rId30" xr:uid="{00000000-0004-0000-1300-00001D000000}"/>
    <hyperlink ref="I153" r:id="rId31" xr:uid="{00000000-0004-0000-1300-00001E000000}"/>
    <hyperlink ref="I154" r:id="rId32" xr:uid="{00000000-0004-0000-1300-00001F000000}"/>
    <hyperlink ref="I181" r:id="rId33" xr:uid="{00000000-0004-0000-1300-000020000000}"/>
    <hyperlink ref="I182" r:id="rId34" xr:uid="{00000000-0004-0000-1300-000021000000}"/>
    <hyperlink ref="I183" r:id="rId35" xr:uid="{00000000-0004-0000-1300-000022000000}"/>
    <hyperlink ref="I184" r:id="rId36" xr:uid="{00000000-0004-0000-1300-000023000000}"/>
    <hyperlink ref="I210" r:id="rId37" xr:uid="{00000000-0004-0000-1300-000024000000}"/>
    <hyperlink ref="I211" r:id="rId38" xr:uid="{00000000-0004-0000-1300-000025000000}"/>
    <hyperlink ref="I212" r:id="rId39" xr:uid="{00000000-0004-0000-1300-000026000000}"/>
    <hyperlink ref="I241" r:id="rId40" xr:uid="{00000000-0004-0000-1300-000027000000}"/>
    <hyperlink ref="I320" r:id="rId41" xr:uid="{00000000-0004-0000-1300-000028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300-000000000000}">
          <x14:formula1>
            <xm:f>Caixa!$B$5:$B$8</xm:f>
          </x14:formula1>
          <xm:sqref>H7:H15 H17:H29 H31:H33 H35:H37 H39:H62 H64:H86 H89:H103 H105:H108 H110:H112 H115:H119 H121:H138 H140:H148 H151:H155 H157:H161 H163:H167 H169:H173 H175:H179 H181:H208 H210:H218 H220:H228 H230:H238 H240:H248 H250:H258 H261:H269 H271:H279 H281:H289 H291:H299 H301:H309 H311:H328</xm:sqref>
        </x14:dataValidation>
        <x14:dataValidation type="list" allowBlank="1" showErrorMessage="1" xr:uid="{00000000-0002-0000-1300-000002000000}">
          <x14:formula1>
            <xm:f>'Plano de contas DG'!$C$43:$C$145</xm:f>
          </x14:formula1>
          <xm:sqref>J241</xm:sqref>
        </x14:dataValidation>
        <x14:dataValidation type="list" allowBlank="1" showErrorMessage="1" xr:uid="{00000000-0002-0000-1300-000003000000}">
          <x14:formula1>
            <xm:f>'Plano de contas DG'!$C$5:$C$145</xm:f>
          </x14:formula1>
          <xm:sqref>J6:J240 J242:J328</xm:sqref>
        </x14:dataValidation>
        <x14:dataValidation type="list" allowBlank="1" showErrorMessage="1" xr:uid="{00000000-0002-0000-1300-000004000000}">
          <x14:formula1>
            <xm:f>Caixa!$B$5:$B$7</xm:f>
          </x14:formula1>
          <xm:sqref>H16 H34 H87:H88 H104 H109 H113:H114 H120 H209 H219 H229 H239 H249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Z835"/>
  <sheetViews>
    <sheetView showGridLines="0" workbookViewId="0">
      <pane xSplit="2" ySplit="5" topLeftCell="C6" activePane="bottomRight" state="frozen"/>
      <selection pane="topRight" activeCell="C1" sqref="C1"/>
      <selection pane="bottomLeft" activeCell="A6" sqref="A6"/>
      <selection pane="bottomRight" activeCell="F16" sqref="F16"/>
    </sheetView>
  </sheetViews>
  <sheetFormatPr defaultColWidth="14.44140625" defaultRowHeight="15" customHeight="1" outlineLevelRow="1" x14ac:dyDescent="0.3"/>
  <cols>
    <col min="1" max="1" width="0.44140625" customWidth="1"/>
    <col min="2" max="2" width="40" customWidth="1"/>
    <col min="3" max="3" width="10.109375" customWidth="1"/>
    <col min="4" max="4" width="10.109375" hidden="1" customWidth="1"/>
    <col min="5" max="5" width="14.109375" hidden="1" customWidth="1"/>
    <col min="6" max="6" width="14.109375" customWidth="1"/>
    <col min="7" max="7" width="48.33203125" customWidth="1"/>
    <col min="8" max="8" width="19" customWidth="1"/>
    <col min="9" max="9" width="20.6640625"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v>15312.679999999997</v>
      </c>
      <c r="F4" s="26">
        <v>35715</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v>15312.679999999997</v>
      </c>
      <c r="F6" s="57">
        <v>15910.830000000002</v>
      </c>
      <c r="G6" s="118" t="s">
        <v>43</v>
      </c>
      <c r="H6" s="59"/>
      <c r="I6" s="59"/>
      <c r="J6" s="60">
        <v>0.10309278350515463</v>
      </c>
      <c r="K6" s="60">
        <v>6.3412152542859923E-2</v>
      </c>
      <c r="L6" s="100">
        <v>0.20618556701030927</v>
      </c>
      <c r="M6" s="57">
        <v>9372.4900000000034</v>
      </c>
      <c r="N6" s="57">
        <v>2063.8799999999983</v>
      </c>
      <c r="O6" s="57">
        <v>1008</v>
      </c>
      <c r="P6" s="57">
        <v>179.05999999999995</v>
      </c>
      <c r="Q6" s="57">
        <v>160</v>
      </c>
      <c r="R6" s="57">
        <v>160</v>
      </c>
      <c r="S6" s="57">
        <v>232</v>
      </c>
      <c r="T6" s="57">
        <v>600</v>
      </c>
      <c r="U6" s="57">
        <v>2015.4</v>
      </c>
      <c r="V6" s="56" t="s">
        <v>43</v>
      </c>
      <c r="W6" s="44" t="s">
        <v>1404</v>
      </c>
      <c r="X6" s="47">
        <v>-971.0100000000001</v>
      </c>
      <c r="Y6" s="18">
        <v>-120</v>
      </c>
      <c r="Z6" s="3"/>
    </row>
    <row r="7" spans="1:26" ht="19.5" customHeight="1" x14ac:dyDescent="0.3">
      <c r="A7" s="3"/>
      <c r="B7" s="73" t="s">
        <v>62</v>
      </c>
      <c r="C7" s="56" t="s">
        <v>43</v>
      </c>
      <c r="D7" s="56" t="s">
        <v>43</v>
      </c>
      <c r="E7" s="57">
        <v>0</v>
      </c>
      <c r="F7" s="57">
        <v>14550.029999999999</v>
      </c>
      <c r="G7" s="58" t="s">
        <v>43</v>
      </c>
      <c r="H7" s="74"/>
      <c r="I7" s="74"/>
      <c r="J7" s="3"/>
      <c r="K7" s="3"/>
      <c r="L7" s="3"/>
      <c r="M7" s="3"/>
      <c r="N7" s="3"/>
      <c r="O7" s="3"/>
      <c r="P7" s="3"/>
      <c r="Q7" s="3"/>
      <c r="R7" s="3"/>
      <c r="S7" s="3"/>
      <c r="T7" s="3"/>
      <c r="U7" s="3"/>
      <c r="V7" s="3"/>
      <c r="W7" s="44"/>
      <c r="X7" s="41"/>
      <c r="Y7" s="3"/>
      <c r="Z7" s="3"/>
    </row>
    <row r="8" spans="1:26" ht="15.75" hidden="1" customHeight="1" outlineLevel="1" x14ac:dyDescent="0.3">
      <c r="A8" s="3"/>
      <c r="B8" s="75" t="s">
        <v>230</v>
      </c>
      <c r="C8" s="76" t="s">
        <v>43</v>
      </c>
      <c r="D8" s="76" t="s">
        <v>43</v>
      </c>
      <c r="E8" s="77">
        <v>0</v>
      </c>
      <c r="F8" s="77">
        <v>368.83</v>
      </c>
      <c r="G8" s="78" t="s">
        <v>43</v>
      </c>
      <c r="H8" s="79"/>
      <c r="I8" s="79"/>
      <c r="J8" s="3"/>
      <c r="K8" s="3"/>
      <c r="L8" s="3"/>
      <c r="M8" s="3"/>
      <c r="N8" s="3"/>
      <c r="O8" s="3"/>
      <c r="P8" s="3"/>
      <c r="Q8" s="3"/>
      <c r="R8" s="3"/>
      <c r="S8" s="3"/>
      <c r="T8" s="3"/>
      <c r="U8" s="3"/>
      <c r="V8" s="3"/>
      <c r="W8" s="44"/>
      <c r="X8" s="41"/>
      <c r="Y8" s="3"/>
      <c r="Z8" s="3"/>
    </row>
    <row r="9" spans="1:26" ht="15.75" hidden="1" customHeight="1" outlineLevel="1" x14ac:dyDescent="0.3">
      <c r="A9" s="3"/>
      <c r="B9" s="10" t="s">
        <v>231</v>
      </c>
      <c r="C9" s="62">
        <v>8</v>
      </c>
      <c r="D9" s="62" t="s">
        <v>94</v>
      </c>
      <c r="E9" s="12">
        <v>0</v>
      </c>
      <c r="F9" s="12">
        <v>368.83</v>
      </c>
      <c r="G9" s="67"/>
      <c r="H9" s="63" t="s">
        <v>37</v>
      </c>
      <c r="I9" s="63"/>
      <c r="J9" s="3"/>
      <c r="K9" s="3"/>
      <c r="L9" s="3"/>
      <c r="M9" s="3"/>
      <c r="N9" s="3"/>
      <c r="O9" s="3"/>
      <c r="P9" s="3"/>
      <c r="Q9" s="3"/>
      <c r="R9" s="3"/>
      <c r="S9" s="3"/>
      <c r="T9" s="3"/>
      <c r="U9" s="3"/>
      <c r="V9" s="3"/>
      <c r="W9" s="44"/>
      <c r="X9" s="41"/>
      <c r="Y9" s="3"/>
      <c r="Z9" s="3"/>
    </row>
    <row r="10" spans="1:26" ht="15.75" hidden="1" customHeight="1" outlineLevel="1" x14ac:dyDescent="0.3">
      <c r="A10" s="3"/>
      <c r="B10" s="75" t="s">
        <v>232</v>
      </c>
      <c r="C10" s="76" t="s">
        <v>43</v>
      </c>
      <c r="D10" s="76" t="s">
        <v>43</v>
      </c>
      <c r="E10" s="77">
        <v>0</v>
      </c>
      <c r="F10" s="77">
        <v>1237.2</v>
      </c>
      <c r="G10" s="78" t="s">
        <v>43</v>
      </c>
      <c r="H10" s="79"/>
      <c r="I10" s="79"/>
      <c r="J10" s="3"/>
      <c r="K10" s="3"/>
      <c r="L10" s="3"/>
      <c r="M10" s="3"/>
      <c r="N10" s="3"/>
      <c r="O10" s="3"/>
      <c r="P10" s="3"/>
      <c r="Q10" s="3"/>
      <c r="R10" s="3"/>
      <c r="S10" s="3"/>
      <c r="T10" s="3"/>
      <c r="U10" s="3"/>
      <c r="V10" s="3"/>
      <c r="W10" s="44"/>
      <c r="X10" s="41"/>
      <c r="Y10" s="3"/>
      <c r="Z10" s="3"/>
    </row>
    <row r="11" spans="1:26" ht="15.75" hidden="1" customHeight="1" outlineLevel="1" x14ac:dyDescent="0.3">
      <c r="A11" s="3"/>
      <c r="B11" s="10" t="s">
        <v>529</v>
      </c>
      <c r="C11" s="62" t="s">
        <v>713</v>
      </c>
      <c r="D11" s="62" t="s">
        <v>94</v>
      </c>
      <c r="E11" s="12">
        <v>0</v>
      </c>
      <c r="F11" s="12">
        <v>1237.2</v>
      </c>
      <c r="G11" s="70"/>
      <c r="H11" s="63" t="s">
        <v>39</v>
      </c>
      <c r="I11" s="63"/>
      <c r="J11" s="3"/>
      <c r="K11" s="3"/>
      <c r="L11" s="3"/>
      <c r="M11" s="3"/>
      <c r="N11" s="3"/>
      <c r="O11" s="3"/>
      <c r="P11" s="3"/>
      <c r="Q11" s="3"/>
      <c r="R11" s="3"/>
      <c r="S11" s="3"/>
      <c r="T11" s="3"/>
      <c r="U11" s="3"/>
      <c r="V11" s="3"/>
      <c r="W11" s="44"/>
      <c r="X11" s="41"/>
      <c r="Y11" s="3"/>
      <c r="Z11" s="3"/>
    </row>
    <row r="12" spans="1:26" ht="15.75" hidden="1" customHeight="1" outlineLevel="1" x14ac:dyDescent="0.3">
      <c r="A12" s="3"/>
      <c r="B12" s="75" t="s">
        <v>689</v>
      </c>
      <c r="C12" s="76" t="s">
        <v>43</v>
      </c>
      <c r="D12" s="76" t="s">
        <v>43</v>
      </c>
      <c r="E12" s="77">
        <v>0</v>
      </c>
      <c r="F12" s="77">
        <v>12943.999999999998</v>
      </c>
      <c r="G12" s="78" t="s">
        <v>43</v>
      </c>
      <c r="H12" s="79"/>
      <c r="I12" s="79"/>
      <c r="J12" s="3"/>
      <c r="K12" s="3"/>
      <c r="L12" s="3"/>
      <c r="M12" s="3"/>
      <c r="N12" s="3"/>
      <c r="O12" s="3"/>
      <c r="P12" s="3"/>
      <c r="Q12" s="3"/>
      <c r="R12" s="3"/>
      <c r="S12" s="3"/>
      <c r="T12" s="3"/>
      <c r="U12" s="3"/>
      <c r="V12" s="3"/>
      <c r="W12" s="44"/>
      <c r="X12" s="41"/>
      <c r="Y12" s="3"/>
      <c r="Z12" s="3"/>
    </row>
    <row r="13" spans="1:26" ht="15.75" hidden="1" customHeight="1" outlineLevel="1" x14ac:dyDescent="0.3">
      <c r="A13" s="3"/>
      <c r="B13" s="10" t="s">
        <v>1323</v>
      </c>
      <c r="C13" s="62" t="s">
        <v>1405</v>
      </c>
      <c r="D13" s="62" t="s">
        <v>94</v>
      </c>
      <c r="E13" s="12">
        <v>0</v>
      </c>
      <c r="F13" s="12">
        <v>12235.999999999998</v>
      </c>
      <c r="G13" s="69"/>
      <c r="H13" s="63" t="s">
        <v>38</v>
      </c>
      <c r="I13" s="63"/>
      <c r="J13" s="3"/>
      <c r="K13" s="3"/>
      <c r="L13" s="3"/>
      <c r="M13" s="3"/>
      <c r="N13" s="3"/>
      <c r="O13" s="3"/>
      <c r="P13" s="3"/>
      <c r="Q13" s="3"/>
      <c r="R13" s="3"/>
      <c r="S13" s="3"/>
      <c r="T13" s="3"/>
      <c r="U13" s="3"/>
      <c r="V13" s="3"/>
      <c r="W13" s="44"/>
      <c r="X13" s="41"/>
      <c r="Y13" s="3"/>
      <c r="Z13" s="3"/>
    </row>
    <row r="14" spans="1:26" ht="15.75" hidden="1" customHeight="1" outlineLevel="1" x14ac:dyDescent="0.3">
      <c r="A14" s="3"/>
      <c r="B14" s="10" t="s">
        <v>1324</v>
      </c>
      <c r="C14" s="62">
        <v>9</v>
      </c>
      <c r="D14" s="62" t="s">
        <v>94</v>
      </c>
      <c r="E14" s="12">
        <v>0</v>
      </c>
      <c r="F14" s="12">
        <v>404</v>
      </c>
      <c r="G14" s="69" t="s">
        <v>1406</v>
      </c>
      <c r="H14" s="63" t="s">
        <v>37</v>
      </c>
      <c r="I14" s="63"/>
      <c r="J14" s="3"/>
      <c r="K14" s="3"/>
      <c r="L14" s="3"/>
      <c r="M14" s="3"/>
      <c r="N14" s="3"/>
      <c r="O14" s="3"/>
      <c r="P14" s="3"/>
      <c r="Q14" s="3"/>
      <c r="R14" s="3"/>
      <c r="S14" s="3"/>
      <c r="T14" s="3"/>
      <c r="U14" s="3"/>
      <c r="V14" s="3"/>
      <c r="W14" s="44"/>
      <c r="X14" s="41"/>
      <c r="Y14" s="3"/>
      <c r="Z14" s="3"/>
    </row>
    <row r="15" spans="1:26" ht="15.75" hidden="1" customHeight="1" outlineLevel="1" x14ac:dyDescent="0.3">
      <c r="A15" s="3"/>
      <c r="B15" s="10" t="s">
        <v>1407</v>
      </c>
      <c r="C15" s="62" t="s">
        <v>1408</v>
      </c>
      <c r="D15" s="62" t="s">
        <v>94</v>
      </c>
      <c r="E15" s="12">
        <v>0</v>
      </c>
      <c r="F15" s="12">
        <v>304</v>
      </c>
      <c r="G15" s="69"/>
      <c r="H15" s="63" t="s">
        <v>38</v>
      </c>
      <c r="I15" s="63"/>
      <c r="J15" s="3"/>
      <c r="K15" s="3"/>
      <c r="L15" s="3"/>
      <c r="M15" s="3"/>
      <c r="N15" s="3"/>
      <c r="O15" s="3"/>
      <c r="P15" s="3"/>
      <c r="Q15" s="3"/>
      <c r="R15" s="3"/>
      <c r="S15" s="3"/>
      <c r="T15" s="3"/>
      <c r="U15" s="3"/>
      <c r="V15" s="3"/>
      <c r="W15" s="44"/>
      <c r="X15" s="41"/>
      <c r="Y15" s="3"/>
      <c r="Z15" s="3"/>
    </row>
    <row r="16" spans="1:26" ht="19.5" customHeight="1" collapsed="1" x14ac:dyDescent="0.3">
      <c r="A16" s="3"/>
      <c r="B16" s="73" t="s">
        <v>239</v>
      </c>
      <c r="C16" s="56" t="s">
        <v>43</v>
      </c>
      <c r="D16" s="56" t="s">
        <v>43</v>
      </c>
      <c r="E16" s="57">
        <v>0</v>
      </c>
      <c r="F16" s="57">
        <v>4165</v>
      </c>
      <c r="G16" s="58" t="s">
        <v>43</v>
      </c>
      <c r="H16" s="74"/>
      <c r="I16" s="74"/>
      <c r="J16" s="3"/>
      <c r="K16" s="3"/>
      <c r="L16" s="3"/>
      <c r="M16" s="3"/>
      <c r="N16" s="3"/>
      <c r="O16" s="3"/>
      <c r="P16" s="3"/>
      <c r="Q16" s="3"/>
      <c r="R16" s="3"/>
      <c r="S16" s="3"/>
      <c r="T16" s="3"/>
      <c r="U16" s="3"/>
      <c r="V16" s="3"/>
      <c r="W16" s="44"/>
      <c r="X16" s="41"/>
      <c r="Y16" s="3"/>
      <c r="Z16" s="3"/>
    </row>
    <row r="17" spans="1:26" ht="15.75" hidden="1" customHeight="1" outlineLevel="1" x14ac:dyDescent="0.3">
      <c r="A17" s="3"/>
      <c r="B17" s="75" t="s">
        <v>240</v>
      </c>
      <c r="C17" s="76" t="s">
        <v>43</v>
      </c>
      <c r="D17" s="76" t="s">
        <v>43</v>
      </c>
      <c r="E17" s="77">
        <v>0</v>
      </c>
      <c r="F17" s="77">
        <v>685</v>
      </c>
      <c r="G17" s="78" t="s">
        <v>43</v>
      </c>
      <c r="H17" s="79"/>
      <c r="I17" s="79"/>
      <c r="J17" s="3"/>
      <c r="K17" s="3"/>
      <c r="L17" s="3"/>
      <c r="M17" s="3"/>
      <c r="N17" s="3"/>
      <c r="O17" s="3"/>
      <c r="P17" s="3"/>
      <c r="Q17" s="3"/>
      <c r="R17" s="3"/>
      <c r="S17" s="3"/>
      <c r="T17" s="3"/>
      <c r="U17" s="3"/>
      <c r="V17" s="3"/>
      <c r="W17" s="44"/>
      <c r="X17" s="41"/>
      <c r="Y17" s="3"/>
      <c r="Z17" s="3"/>
    </row>
    <row r="18" spans="1:26" ht="15.75" hidden="1" customHeight="1" outlineLevel="1" x14ac:dyDescent="0.3">
      <c r="A18" s="3"/>
      <c r="B18" s="10" t="s">
        <v>241</v>
      </c>
      <c r="C18" s="62">
        <v>5</v>
      </c>
      <c r="D18" s="62" t="s">
        <v>94</v>
      </c>
      <c r="E18" s="12">
        <v>0</v>
      </c>
      <c r="F18" s="12">
        <v>357</v>
      </c>
      <c r="G18" s="70"/>
      <c r="H18" s="63" t="s">
        <v>37</v>
      </c>
      <c r="I18" s="63"/>
      <c r="J18" s="3"/>
      <c r="K18" s="3"/>
      <c r="L18" s="3"/>
      <c r="M18" s="3"/>
      <c r="N18" s="3"/>
      <c r="O18" s="3"/>
      <c r="P18" s="3"/>
      <c r="Q18" s="3"/>
      <c r="R18" s="3"/>
      <c r="S18" s="3"/>
      <c r="T18" s="3"/>
      <c r="U18" s="3"/>
      <c r="V18" s="3"/>
      <c r="W18" s="44"/>
      <c r="X18" s="41"/>
      <c r="Y18" s="3"/>
      <c r="Z18" s="3"/>
    </row>
    <row r="19" spans="1:26" ht="15.75" hidden="1" customHeight="1" outlineLevel="1" x14ac:dyDescent="0.3">
      <c r="A19" s="3"/>
      <c r="B19" s="10" t="s">
        <v>243</v>
      </c>
      <c r="C19" s="62" t="s">
        <v>1409</v>
      </c>
      <c r="D19" s="62" t="s">
        <v>94</v>
      </c>
      <c r="E19" s="12">
        <v>0</v>
      </c>
      <c r="F19" s="12">
        <v>328</v>
      </c>
      <c r="G19" s="67"/>
      <c r="H19" s="63" t="s">
        <v>37</v>
      </c>
      <c r="I19" s="63"/>
      <c r="J19" s="3"/>
      <c r="K19" s="3"/>
      <c r="L19" s="3"/>
      <c r="M19" s="3"/>
      <c r="N19" s="3"/>
      <c r="O19" s="3"/>
      <c r="P19" s="3"/>
      <c r="Q19" s="3"/>
      <c r="R19" s="3"/>
      <c r="S19" s="3"/>
      <c r="T19" s="3"/>
      <c r="U19" s="3"/>
      <c r="V19" s="3"/>
      <c r="W19" s="44"/>
      <c r="X19" s="41"/>
      <c r="Y19" s="3"/>
      <c r="Z19" s="3"/>
    </row>
    <row r="20" spans="1:26" ht="15.75" hidden="1" customHeight="1" outlineLevel="1" x14ac:dyDescent="0.3">
      <c r="A20" s="3"/>
      <c r="B20" s="75" t="s">
        <v>245</v>
      </c>
      <c r="C20" s="76" t="s">
        <v>43</v>
      </c>
      <c r="D20" s="76" t="s">
        <v>43</v>
      </c>
      <c r="E20" s="77">
        <v>0</v>
      </c>
      <c r="F20" s="77">
        <v>480</v>
      </c>
      <c r="G20" s="78" t="s">
        <v>43</v>
      </c>
      <c r="H20" s="79"/>
      <c r="I20" s="79"/>
      <c r="J20" s="3"/>
      <c r="K20" s="3"/>
      <c r="L20" s="3"/>
      <c r="M20" s="3"/>
      <c r="N20" s="3"/>
      <c r="O20" s="3"/>
      <c r="P20" s="3"/>
      <c r="Q20" s="3"/>
      <c r="R20" s="3"/>
      <c r="S20" s="3"/>
      <c r="T20" s="3"/>
      <c r="U20" s="3"/>
      <c r="V20" s="3"/>
      <c r="W20" s="44"/>
      <c r="X20" s="41"/>
      <c r="Y20" s="3"/>
      <c r="Z20" s="3"/>
    </row>
    <row r="21" spans="1:26" ht="15.75" hidden="1" customHeight="1" outlineLevel="1" x14ac:dyDescent="0.3">
      <c r="A21" s="3"/>
      <c r="B21" s="10" t="s">
        <v>241</v>
      </c>
      <c r="C21" s="62">
        <v>5</v>
      </c>
      <c r="D21" s="62" t="s">
        <v>94</v>
      </c>
      <c r="E21" s="12">
        <v>0</v>
      </c>
      <c r="F21" s="12">
        <v>480</v>
      </c>
      <c r="G21" s="69"/>
      <c r="H21" s="63" t="s">
        <v>37</v>
      </c>
      <c r="I21" s="63"/>
      <c r="J21" s="3"/>
      <c r="K21" s="3"/>
      <c r="L21" s="3"/>
      <c r="M21" s="3"/>
      <c r="N21" s="3"/>
      <c r="O21" s="3"/>
      <c r="P21" s="3"/>
      <c r="Q21" s="3"/>
      <c r="R21" s="3"/>
      <c r="S21" s="3"/>
      <c r="T21" s="3"/>
      <c r="U21" s="3"/>
      <c r="V21" s="3"/>
      <c r="W21" s="44"/>
      <c r="X21" s="41"/>
      <c r="Y21" s="3"/>
      <c r="Z21" s="3"/>
    </row>
    <row r="22" spans="1:26" ht="15.75" hidden="1" customHeight="1" outlineLevel="1" x14ac:dyDescent="0.3">
      <c r="A22" s="3"/>
      <c r="B22" s="75" t="s">
        <v>61</v>
      </c>
      <c r="C22" s="76" t="s">
        <v>43</v>
      </c>
      <c r="D22" s="76" t="s">
        <v>43</v>
      </c>
      <c r="E22" s="77">
        <v>0</v>
      </c>
      <c r="F22" s="77">
        <v>3000</v>
      </c>
      <c r="G22" s="78"/>
      <c r="H22" s="79"/>
      <c r="I22" s="79"/>
      <c r="J22" s="3"/>
      <c r="K22" s="3"/>
      <c r="L22" s="3"/>
      <c r="M22" s="3"/>
      <c r="N22" s="3"/>
      <c r="O22" s="3"/>
      <c r="P22" s="3"/>
      <c r="Q22" s="3"/>
      <c r="R22" s="3"/>
      <c r="S22" s="3"/>
      <c r="T22" s="3"/>
      <c r="U22" s="3"/>
      <c r="V22" s="3"/>
      <c r="W22" s="44"/>
      <c r="X22" s="41"/>
      <c r="Y22" s="3"/>
      <c r="Z22" s="3"/>
    </row>
    <row r="23" spans="1:26" ht="15.75" hidden="1" customHeight="1" outlineLevel="1" x14ac:dyDescent="0.3">
      <c r="A23" s="3"/>
      <c r="B23" s="10" t="s">
        <v>1410</v>
      </c>
      <c r="C23" s="80">
        <v>17</v>
      </c>
      <c r="D23" s="62" t="s">
        <v>94</v>
      </c>
      <c r="E23" s="12">
        <v>0</v>
      </c>
      <c r="F23" s="12">
        <v>2800</v>
      </c>
      <c r="G23" s="70" t="s">
        <v>1411</v>
      </c>
      <c r="H23" s="63" t="s">
        <v>37</v>
      </c>
      <c r="I23" s="63"/>
      <c r="J23" s="3"/>
      <c r="K23" s="3"/>
      <c r="L23" s="3"/>
      <c r="M23" s="3"/>
      <c r="N23" s="3"/>
      <c r="O23" s="3"/>
      <c r="P23" s="3"/>
      <c r="Q23" s="3"/>
      <c r="R23" s="3"/>
      <c r="S23" s="3"/>
      <c r="T23" s="3"/>
      <c r="U23" s="3"/>
      <c r="V23" s="3"/>
      <c r="W23" s="44"/>
      <c r="X23" s="41"/>
      <c r="Y23" s="3"/>
      <c r="Z23" s="3"/>
    </row>
    <row r="24" spans="1:26" ht="15.75" hidden="1" customHeight="1" outlineLevel="1" x14ac:dyDescent="0.3">
      <c r="A24" s="3"/>
      <c r="B24" s="10" t="s">
        <v>1412</v>
      </c>
      <c r="C24" s="80" t="s">
        <v>1413</v>
      </c>
      <c r="D24" s="62" t="s">
        <v>94</v>
      </c>
      <c r="E24" s="12">
        <v>0</v>
      </c>
      <c r="F24" s="12">
        <v>200</v>
      </c>
      <c r="G24" s="70" t="s">
        <v>1414</v>
      </c>
      <c r="H24" s="63" t="s">
        <v>37</v>
      </c>
      <c r="I24" s="63"/>
      <c r="J24" s="3"/>
      <c r="K24" s="3"/>
      <c r="L24" s="3"/>
      <c r="M24" s="3"/>
      <c r="N24" s="3"/>
      <c r="O24" s="3"/>
      <c r="P24" s="3"/>
      <c r="Q24" s="3"/>
      <c r="R24" s="3"/>
      <c r="S24" s="3"/>
      <c r="T24" s="3"/>
      <c r="U24" s="3"/>
      <c r="V24" s="3"/>
      <c r="W24" s="44"/>
      <c r="X24" s="41"/>
      <c r="Y24" s="3"/>
      <c r="Z24" s="3"/>
    </row>
    <row r="25" spans="1:26" ht="19.5" customHeight="1" collapsed="1" x14ac:dyDescent="0.3">
      <c r="A25" s="3"/>
      <c r="B25" s="73" t="s">
        <v>63</v>
      </c>
      <c r="C25" s="56" t="s">
        <v>43</v>
      </c>
      <c r="D25" s="56" t="s">
        <v>43</v>
      </c>
      <c r="E25" s="57">
        <v>0</v>
      </c>
      <c r="F25" s="57">
        <v>1085.05</v>
      </c>
      <c r="G25" s="58"/>
      <c r="H25" s="74"/>
      <c r="I25" s="74"/>
      <c r="J25" s="3"/>
      <c r="K25" s="3"/>
      <c r="L25" s="3"/>
      <c r="M25" s="3"/>
      <c r="N25" s="3"/>
      <c r="O25" s="3"/>
      <c r="P25" s="3"/>
      <c r="Q25" s="3"/>
      <c r="R25" s="3"/>
      <c r="S25" s="3"/>
      <c r="T25" s="3"/>
      <c r="U25" s="3"/>
      <c r="V25" s="3"/>
      <c r="W25" s="44"/>
      <c r="X25" s="41"/>
      <c r="Y25" s="3"/>
      <c r="Z25" s="3"/>
    </row>
    <row r="26" spans="1:26" ht="15.75" hidden="1" customHeight="1" outlineLevel="1" x14ac:dyDescent="0.3">
      <c r="A26" s="3"/>
      <c r="B26" s="10" t="s">
        <v>1415</v>
      </c>
      <c r="C26" s="62">
        <v>4</v>
      </c>
      <c r="D26" s="62" t="s">
        <v>94</v>
      </c>
      <c r="E26" s="12">
        <v>0</v>
      </c>
      <c r="F26" s="12">
        <v>200</v>
      </c>
      <c r="G26" s="69" t="s">
        <v>1416</v>
      </c>
      <c r="H26" s="63" t="s">
        <v>37</v>
      </c>
      <c r="I26" s="63"/>
      <c r="J26" s="3"/>
      <c r="K26" s="3"/>
      <c r="L26" s="3"/>
      <c r="M26" s="3"/>
      <c r="N26" s="3"/>
      <c r="O26" s="3"/>
      <c r="P26" s="3"/>
      <c r="Q26" s="3"/>
      <c r="R26" s="3"/>
      <c r="S26" s="3"/>
      <c r="T26" s="3"/>
      <c r="U26" s="3"/>
      <c r="V26" s="3"/>
      <c r="W26" s="44"/>
      <c r="X26" s="41"/>
      <c r="Y26" s="3"/>
      <c r="Z26" s="3"/>
    </row>
    <row r="27" spans="1:26" ht="36" hidden="1" outlineLevel="1" x14ac:dyDescent="0.3">
      <c r="A27" s="3"/>
      <c r="B27" s="10" t="s">
        <v>1417</v>
      </c>
      <c r="C27" s="62" t="s">
        <v>1418</v>
      </c>
      <c r="D27" s="62" t="s">
        <v>94</v>
      </c>
      <c r="E27" s="12">
        <v>0</v>
      </c>
      <c r="F27" s="12">
        <v>840</v>
      </c>
      <c r="G27" s="69" t="s">
        <v>1419</v>
      </c>
      <c r="H27" s="63" t="s">
        <v>37</v>
      </c>
      <c r="I27" s="63"/>
      <c r="J27" s="3"/>
      <c r="K27" s="3"/>
      <c r="L27" s="3"/>
      <c r="M27" s="3"/>
      <c r="N27" s="3"/>
      <c r="O27" s="3"/>
      <c r="P27" s="3"/>
      <c r="Q27" s="3"/>
      <c r="R27" s="3"/>
      <c r="S27" s="3"/>
      <c r="T27" s="3"/>
      <c r="U27" s="3"/>
      <c r="V27" s="3"/>
      <c r="W27" s="44"/>
      <c r="X27" s="41"/>
      <c r="Y27" s="3"/>
      <c r="Z27" s="3"/>
    </row>
    <row r="28" spans="1:26" ht="15.75" hidden="1" customHeight="1" outlineLevel="1" x14ac:dyDescent="0.3">
      <c r="A28" s="3"/>
      <c r="B28" s="10" t="s">
        <v>1420</v>
      </c>
      <c r="C28" s="62">
        <v>25</v>
      </c>
      <c r="D28" s="62" t="s">
        <v>94</v>
      </c>
      <c r="E28" s="12">
        <v>0</v>
      </c>
      <c r="F28" s="12">
        <v>45.05</v>
      </c>
      <c r="G28" s="70" t="s">
        <v>1421</v>
      </c>
      <c r="H28" s="63" t="s">
        <v>37</v>
      </c>
      <c r="I28" s="63"/>
      <c r="J28" s="3"/>
      <c r="K28" s="3"/>
      <c r="L28" s="3"/>
      <c r="M28" s="3"/>
      <c r="N28" s="3"/>
      <c r="O28" s="3"/>
      <c r="P28" s="3"/>
      <c r="Q28" s="3"/>
      <c r="R28" s="3"/>
      <c r="S28" s="3"/>
      <c r="T28" s="3"/>
      <c r="U28" s="3"/>
      <c r="V28" s="3"/>
      <c r="W28" s="44"/>
      <c r="X28" s="41"/>
      <c r="Y28" s="3"/>
      <c r="Z28" s="3"/>
    </row>
    <row r="29" spans="1:26" ht="19.5" customHeight="1" collapsed="1" x14ac:dyDescent="0.3">
      <c r="A29" s="3"/>
      <c r="B29" s="73" t="s">
        <v>259</v>
      </c>
      <c r="C29" s="56" t="s">
        <v>43</v>
      </c>
      <c r="D29" s="56" t="s">
        <v>43</v>
      </c>
      <c r="E29" s="57">
        <v>0</v>
      </c>
      <c r="F29" s="57">
        <v>4.09</v>
      </c>
      <c r="G29" s="58" t="s">
        <v>43</v>
      </c>
      <c r="H29" s="74"/>
      <c r="I29" s="74"/>
      <c r="J29" s="3"/>
      <c r="K29" s="3"/>
      <c r="L29" s="3"/>
      <c r="M29" s="3"/>
      <c r="N29" s="3"/>
      <c r="O29" s="3"/>
      <c r="P29" s="3"/>
      <c r="Q29" s="3"/>
      <c r="R29" s="3"/>
      <c r="S29" s="3"/>
      <c r="T29" s="3"/>
      <c r="U29" s="3"/>
      <c r="V29" s="3"/>
      <c r="W29" s="44"/>
      <c r="X29" s="41"/>
      <c r="Y29" s="3"/>
      <c r="Z29" s="3"/>
    </row>
    <row r="30" spans="1:26" ht="15.75" hidden="1" customHeight="1" outlineLevel="1" x14ac:dyDescent="0.3">
      <c r="A30" s="3"/>
      <c r="B30" s="10" t="s">
        <v>261</v>
      </c>
      <c r="C30" s="62">
        <v>30</v>
      </c>
      <c r="D30" s="62" t="s">
        <v>94</v>
      </c>
      <c r="E30" s="12">
        <v>0</v>
      </c>
      <c r="F30" s="12">
        <v>4.09</v>
      </c>
      <c r="G30" s="69"/>
      <c r="H30" s="63" t="s">
        <v>38</v>
      </c>
      <c r="I30" s="63"/>
      <c r="J30" s="3"/>
      <c r="K30" s="3"/>
      <c r="L30" s="3"/>
      <c r="M30" s="3"/>
      <c r="N30" s="3"/>
      <c r="O30" s="3"/>
      <c r="P30" s="3"/>
      <c r="Q30" s="3"/>
      <c r="R30" s="3"/>
      <c r="S30" s="3"/>
      <c r="T30" s="3"/>
      <c r="U30" s="3"/>
      <c r="V30" s="3"/>
      <c r="W30" s="44"/>
      <c r="X30" s="41"/>
      <c r="Y30" s="3"/>
      <c r="Z30" s="3"/>
    </row>
    <row r="31" spans="1:26" ht="15.75" customHeight="1" collapsed="1" x14ac:dyDescent="0.3">
      <c r="A31" s="3"/>
      <c r="B31" s="3"/>
      <c r="C31" s="37"/>
      <c r="D31" s="37"/>
      <c r="E31" s="37"/>
      <c r="F31" s="37"/>
      <c r="G31" s="123"/>
      <c r="H31" s="37"/>
      <c r="I31" s="37"/>
      <c r="J31" s="37"/>
      <c r="K31" s="37"/>
      <c r="L31" s="37"/>
      <c r="M31" s="37"/>
      <c r="N31" s="37"/>
      <c r="O31" s="37"/>
      <c r="P31" s="37"/>
      <c r="Q31" s="37"/>
      <c r="R31" s="37"/>
      <c r="S31" s="37"/>
      <c r="T31" s="37"/>
      <c r="U31" s="37"/>
      <c r="V31" s="37"/>
      <c r="W31" s="44"/>
      <c r="X31" s="41"/>
    </row>
    <row r="32" spans="1:26" ht="15.75" customHeight="1" x14ac:dyDescent="0.3">
      <c r="A32" s="3"/>
      <c r="B32" s="3"/>
      <c r="C32" s="37"/>
      <c r="D32" s="37"/>
      <c r="E32" s="37"/>
      <c r="F32" s="111"/>
      <c r="G32" s="123"/>
      <c r="H32" s="37"/>
      <c r="I32" s="37"/>
      <c r="J32" s="37"/>
      <c r="K32" s="37"/>
      <c r="L32" s="37"/>
      <c r="M32" s="37"/>
      <c r="N32" s="37"/>
      <c r="O32" s="37"/>
      <c r="P32" s="37"/>
      <c r="Q32" s="37"/>
      <c r="R32" s="37"/>
      <c r="S32" s="37"/>
      <c r="T32" s="37"/>
      <c r="U32" s="37"/>
      <c r="V32" s="37"/>
      <c r="W32" s="44"/>
      <c r="X32" s="41"/>
    </row>
    <row r="33" spans="1:24" ht="15.75" customHeight="1" x14ac:dyDescent="0.3">
      <c r="A33" s="3"/>
      <c r="B33" s="3"/>
      <c r="C33" s="37"/>
      <c r="D33" s="37"/>
      <c r="E33" s="37"/>
      <c r="F33" s="37"/>
      <c r="G33" s="123"/>
      <c r="H33" s="37"/>
      <c r="I33" s="37"/>
      <c r="J33" s="37"/>
      <c r="K33" s="37"/>
      <c r="L33" s="37"/>
      <c r="M33" s="37"/>
      <c r="N33" s="37"/>
      <c r="O33" s="37"/>
      <c r="P33" s="37"/>
      <c r="Q33" s="37"/>
      <c r="R33" s="37"/>
      <c r="S33" s="37"/>
      <c r="T33" s="37"/>
      <c r="U33" s="37"/>
      <c r="V33" s="37"/>
      <c r="W33" s="44"/>
      <c r="X33" s="41"/>
    </row>
    <row r="34" spans="1:24" ht="15.75" customHeight="1" x14ac:dyDescent="0.3">
      <c r="A34" s="3"/>
      <c r="B34" s="3"/>
      <c r="C34" s="37"/>
      <c r="D34" s="37"/>
      <c r="E34" s="37"/>
      <c r="F34" s="37"/>
      <c r="G34" s="123"/>
      <c r="H34" s="37"/>
      <c r="I34" s="37"/>
      <c r="J34" s="37"/>
      <c r="K34" s="37"/>
      <c r="L34" s="37"/>
      <c r="M34" s="37"/>
      <c r="N34" s="37"/>
      <c r="O34" s="37"/>
      <c r="P34" s="37"/>
      <c r="Q34" s="37"/>
      <c r="R34" s="37"/>
      <c r="S34" s="37"/>
      <c r="T34" s="37"/>
      <c r="U34" s="37"/>
      <c r="V34" s="37"/>
      <c r="W34" s="44"/>
      <c r="X34" s="41"/>
    </row>
    <row r="35" spans="1:24" ht="15.75" customHeight="1" x14ac:dyDescent="0.3">
      <c r="A35" s="3"/>
      <c r="B35" s="3"/>
      <c r="C35" s="37"/>
      <c r="D35" s="37"/>
      <c r="E35" s="37"/>
      <c r="F35" s="37"/>
      <c r="G35" s="123"/>
      <c r="H35" s="37"/>
      <c r="I35" s="37"/>
      <c r="J35" s="37"/>
      <c r="K35" s="37"/>
      <c r="L35" s="37"/>
      <c r="M35" s="37"/>
      <c r="N35" s="37"/>
      <c r="O35" s="37"/>
      <c r="P35" s="37"/>
      <c r="Q35" s="37"/>
      <c r="R35" s="37"/>
      <c r="S35" s="37"/>
      <c r="T35" s="37"/>
      <c r="U35" s="37"/>
      <c r="V35" s="37"/>
      <c r="W35" s="44"/>
      <c r="X35" s="41"/>
    </row>
    <row r="36" spans="1:24" ht="15.75" customHeight="1" x14ac:dyDescent="0.3">
      <c r="A36" s="3"/>
      <c r="B36" s="3"/>
      <c r="C36" s="37"/>
      <c r="D36" s="37"/>
      <c r="E36" s="37"/>
      <c r="F36" s="37"/>
      <c r="G36" s="123"/>
      <c r="H36" s="37"/>
      <c r="I36" s="37"/>
      <c r="J36" s="37"/>
      <c r="K36" s="37"/>
      <c r="L36" s="37"/>
      <c r="M36" s="37"/>
      <c r="N36" s="37"/>
      <c r="O36" s="37"/>
      <c r="P36" s="37"/>
      <c r="Q36" s="37"/>
      <c r="R36" s="37"/>
      <c r="S36" s="37"/>
      <c r="T36" s="37"/>
      <c r="U36" s="37"/>
      <c r="V36" s="37"/>
      <c r="W36" s="44"/>
      <c r="X36" s="41"/>
    </row>
    <row r="37" spans="1:24" ht="15.75" customHeight="1" x14ac:dyDescent="0.3">
      <c r="A37" s="3"/>
      <c r="B37" s="3"/>
      <c r="C37" s="37"/>
      <c r="D37" s="37"/>
      <c r="E37" s="37"/>
      <c r="F37" s="37"/>
      <c r="G37" s="123"/>
      <c r="H37" s="37"/>
      <c r="I37" s="37"/>
      <c r="J37" s="37"/>
      <c r="K37" s="37"/>
      <c r="L37" s="37"/>
      <c r="M37" s="37"/>
      <c r="N37" s="37"/>
      <c r="O37" s="37"/>
      <c r="P37" s="37"/>
      <c r="Q37" s="37"/>
      <c r="R37" s="37"/>
      <c r="S37" s="37"/>
      <c r="T37" s="37"/>
      <c r="U37" s="37"/>
      <c r="V37" s="37"/>
      <c r="W37" s="44"/>
      <c r="X37" s="41"/>
    </row>
    <row r="38" spans="1:24" ht="15.75" customHeight="1" x14ac:dyDescent="0.3">
      <c r="A38" s="3"/>
      <c r="B38" s="3"/>
      <c r="C38" s="37"/>
      <c r="D38" s="37"/>
      <c r="E38" s="37"/>
      <c r="F38" s="37"/>
      <c r="G38" s="123"/>
      <c r="H38" s="37"/>
      <c r="I38" s="37"/>
      <c r="J38" s="37"/>
      <c r="K38" s="37"/>
      <c r="L38" s="37"/>
      <c r="M38" s="37"/>
      <c r="N38" s="37"/>
      <c r="O38" s="37"/>
      <c r="P38" s="37"/>
      <c r="Q38" s="37"/>
      <c r="R38" s="37"/>
      <c r="S38" s="37"/>
      <c r="T38" s="37"/>
      <c r="U38" s="37"/>
      <c r="V38" s="37"/>
      <c r="W38" s="44"/>
      <c r="X38" s="41"/>
    </row>
    <row r="39" spans="1:24" ht="15.75" customHeight="1" x14ac:dyDescent="0.3">
      <c r="A39" s="3"/>
      <c r="B39" s="3"/>
      <c r="C39" s="37"/>
      <c r="D39" s="37"/>
      <c r="E39" s="37"/>
      <c r="F39" s="37"/>
      <c r="G39" s="123"/>
      <c r="H39" s="37"/>
      <c r="I39" s="37"/>
      <c r="J39" s="37"/>
      <c r="K39" s="37"/>
      <c r="L39" s="37"/>
      <c r="M39" s="37"/>
      <c r="N39" s="37"/>
      <c r="O39" s="37"/>
      <c r="P39" s="37"/>
      <c r="Q39" s="37"/>
      <c r="R39" s="37"/>
      <c r="S39" s="37"/>
      <c r="T39" s="37"/>
      <c r="U39" s="37"/>
      <c r="V39" s="37"/>
      <c r="W39" s="44"/>
      <c r="X39" s="41"/>
    </row>
    <row r="40" spans="1:24" ht="15.75" customHeight="1" x14ac:dyDescent="0.3">
      <c r="A40" s="3"/>
      <c r="B40" s="3"/>
      <c r="C40" s="37"/>
      <c r="D40" s="37"/>
      <c r="E40" s="37"/>
      <c r="F40" s="37"/>
      <c r="G40" s="123"/>
      <c r="H40" s="37"/>
      <c r="I40" s="37"/>
      <c r="J40" s="37"/>
      <c r="K40" s="37"/>
      <c r="L40" s="37"/>
      <c r="M40" s="37"/>
      <c r="N40" s="37"/>
      <c r="O40" s="37"/>
      <c r="P40" s="37"/>
      <c r="Q40" s="37"/>
      <c r="R40" s="37"/>
      <c r="S40" s="37"/>
      <c r="T40" s="37"/>
      <c r="U40" s="37"/>
      <c r="V40" s="37"/>
      <c r="W40" s="44"/>
      <c r="X40" s="41"/>
    </row>
    <row r="41" spans="1:24" ht="15.75" customHeight="1" x14ac:dyDescent="0.3">
      <c r="A41" s="3"/>
      <c r="B41" s="3"/>
      <c r="C41" s="37"/>
      <c r="D41" s="37"/>
      <c r="E41" s="37"/>
      <c r="F41" s="37"/>
      <c r="G41" s="123"/>
      <c r="H41" s="37"/>
      <c r="I41" s="37"/>
      <c r="J41" s="37"/>
      <c r="K41" s="37"/>
      <c r="L41" s="37"/>
      <c r="M41" s="37"/>
      <c r="N41" s="37"/>
      <c r="O41" s="37"/>
      <c r="P41" s="37"/>
      <c r="Q41" s="37"/>
      <c r="R41" s="37"/>
      <c r="S41" s="37"/>
      <c r="T41" s="37"/>
      <c r="U41" s="37"/>
      <c r="V41" s="37"/>
      <c r="W41" s="44"/>
      <c r="X41" s="41"/>
    </row>
    <row r="42" spans="1:24" ht="15.75" customHeight="1" x14ac:dyDescent="0.3">
      <c r="A42" s="3"/>
      <c r="B42" s="3"/>
      <c r="C42" s="37"/>
      <c r="D42" s="37"/>
      <c r="E42" s="37"/>
      <c r="F42" s="37"/>
      <c r="G42" s="123"/>
      <c r="H42" s="37"/>
      <c r="I42" s="37"/>
      <c r="J42" s="37"/>
      <c r="K42" s="37"/>
      <c r="L42" s="37"/>
      <c r="M42" s="37"/>
      <c r="N42" s="37"/>
      <c r="O42" s="37"/>
      <c r="P42" s="37"/>
      <c r="Q42" s="37"/>
      <c r="R42" s="37"/>
      <c r="S42" s="37"/>
      <c r="T42" s="37"/>
      <c r="U42" s="37"/>
      <c r="V42" s="37"/>
      <c r="W42" s="44"/>
      <c r="X42" s="41"/>
    </row>
    <row r="43" spans="1:24" ht="15.75" customHeight="1" x14ac:dyDescent="0.3">
      <c r="A43" s="3"/>
      <c r="B43" s="3"/>
      <c r="C43" s="37"/>
      <c r="D43" s="37"/>
      <c r="E43" s="37"/>
      <c r="F43" s="37"/>
      <c r="G43" s="123"/>
      <c r="H43" s="37"/>
      <c r="I43" s="37"/>
      <c r="J43" s="37"/>
      <c r="K43" s="37"/>
      <c r="L43" s="37"/>
      <c r="M43" s="37"/>
      <c r="N43" s="37"/>
      <c r="O43" s="37"/>
      <c r="P43" s="37"/>
      <c r="Q43" s="37"/>
      <c r="R43" s="37"/>
      <c r="S43" s="37"/>
      <c r="T43" s="37"/>
      <c r="U43" s="37"/>
      <c r="V43" s="37"/>
      <c r="W43" s="44"/>
      <c r="X43" s="41"/>
    </row>
    <row r="44" spans="1:24" ht="15.75" customHeight="1" x14ac:dyDescent="0.3">
      <c r="A44" s="3"/>
      <c r="B44" s="3"/>
      <c r="C44" s="37"/>
      <c r="D44" s="37"/>
      <c r="E44" s="37"/>
      <c r="F44" s="37"/>
      <c r="G44" s="123"/>
      <c r="H44" s="37"/>
      <c r="I44" s="37"/>
      <c r="J44" s="37"/>
      <c r="K44" s="37"/>
      <c r="L44" s="37"/>
      <c r="M44" s="37"/>
      <c r="N44" s="37"/>
      <c r="O44" s="37"/>
      <c r="P44" s="37"/>
      <c r="Q44" s="37"/>
      <c r="R44" s="37"/>
      <c r="S44" s="37"/>
      <c r="T44" s="37"/>
      <c r="U44" s="37"/>
      <c r="V44" s="37"/>
      <c r="W44" s="44"/>
      <c r="X44" s="41"/>
    </row>
    <row r="45" spans="1:24" ht="15.75" customHeight="1" x14ac:dyDescent="0.3">
      <c r="A45" s="3"/>
      <c r="B45" s="3"/>
      <c r="C45" s="37"/>
      <c r="D45" s="37"/>
      <c r="E45" s="37"/>
      <c r="F45" s="37"/>
      <c r="G45" s="123"/>
      <c r="H45" s="37"/>
      <c r="I45" s="37"/>
      <c r="J45" s="37"/>
      <c r="K45" s="37"/>
      <c r="L45" s="37"/>
      <c r="M45" s="37"/>
      <c r="N45" s="37"/>
      <c r="O45" s="37"/>
      <c r="P45" s="37"/>
      <c r="Q45" s="37"/>
      <c r="R45" s="37"/>
      <c r="S45" s="37"/>
      <c r="T45" s="37"/>
      <c r="U45" s="37"/>
      <c r="V45" s="37"/>
      <c r="W45" s="44"/>
      <c r="X45" s="41"/>
    </row>
    <row r="46" spans="1:24" ht="15.75" customHeight="1" x14ac:dyDescent="0.3">
      <c r="A46" s="3"/>
      <c r="B46" s="3"/>
      <c r="C46" s="37"/>
      <c r="D46" s="37"/>
      <c r="E46" s="37"/>
      <c r="F46" s="37"/>
      <c r="G46" s="123"/>
      <c r="H46" s="37"/>
      <c r="I46" s="37"/>
      <c r="J46" s="37"/>
      <c r="K46" s="37"/>
      <c r="L46" s="37"/>
      <c r="M46" s="37"/>
      <c r="N46" s="37"/>
      <c r="O46" s="37"/>
      <c r="P46" s="37"/>
      <c r="Q46" s="37"/>
      <c r="R46" s="37"/>
      <c r="S46" s="37"/>
      <c r="T46" s="37"/>
      <c r="U46" s="37"/>
      <c r="V46" s="37"/>
      <c r="W46" s="44"/>
      <c r="X46" s="41"/>
    </row>
    <row r="47" spans="1:24" ht="15.75" customHeight="1" x14ac:dyDescent="0.3">
      <c r="A47" s="3"/>
      <c r="B47" s="3"/>
      <c r="C47" s="37"/>
      <c r="D47" s="37"/>
      <c r="E47" s="37"/>
      <c r="F47" s="37"/>
      <c r="G47" s="123"/>
      <c r="H47" s="37"/>
      <c r="I47" s="37"/>
      <c r="J47" s="37"/>
      <c r="K47" s="37"/>
      <c r="L47" s="37"/>
      <c r="M47" s="37"/>
      <c r="N47" s="37"/>
      <c r="O47" s="37"/>
      <c r="P47" s="37"/>
      <c r="Q47" s="37"/>
      <c r="R47" s="37"/>
      <c r="S47" s="37"/>
      <c r="T47" s="37"/>
      <c r="U47" s="37"/>
      <c r="V47" s="37"/>
      <c r="W47" s="44"/>
      <c r="X47" s="41"/>
    </row>
    <row r="48" spans="1:24" ht="15.75" customHeight="1" x14ac:dyDescent="0.3">
      <c r="A48" s="3"/>
      <c r="B48" s="3"/>
      <c r="C48" s="37"/>
      <c r="D48" s="37"/>
      <c r="E48" s="37"/>
      <c r="F48" s="37"/>
      <c r="G48" s="123"/>
      <c r="H48" s="37"/>
      <c r="I48" s="37"/>
      <c r="J48" s="37"/>
      <c r="K48" s="37"/>
      <c r="L48" s="37"/>
      <c r="M48" s="37"/>
      <c r="N48" s="37"/>
      <c r="O48" s="37"/>
      <c r="P48" s="37"/>
      <c r="Q48" s="37"/>
      <c r="R48" s="37"/>
      <c r="S48" s="37"/>
      <c r="T48" s="37"/>
      <c r="U48" s="37"/>
      <c r="V48" s="37"/>
      <c r="W48" s="44"/>
      <c r="X48" s="41"/>
    </row>
    <row r="49" spans="1:24" ht="15.75" customHeight="1" x14ac:dyDescent="0.3">
      <c r="A49" s="3"/>
      <c r="B49" s="3"/>
      <c r="C49" s="37"/>
      <c r="D49" s="37"/>
      <c r="E49" s="37"/>
      <c r="F49" s="37"/>
      <c r="G49" s="123"/>
      <c r="H49" s="37"/>
      <c r="I49" s="37"/>
      <c r="J49" s="37"/>
      <c r="K49" s="37"/>
      <c r="L49" s="37"/>
      <c r="M49" s="37"/>
      <c r="N49" s="37"/>
      <c r="O49" s="37"/>
      <c r="P49" s="37"/>
      <c r="Q49" s="37"/>
      <c r="R49" s="37"/>
      <c r="S49" s="37"/>
      <c r="T49" s="37"/>
      <c r="U49" s="37"/>
      <c r="V49" s="37"/>
      <c r="W49" s="44"/>
      <c r="X49" s="41"/>
    </row>
    <row r="50" spans="1:24" ht="15.75" customHeight="1" x14ac:dyDescent="0.3">
      <c r="A50" s="3"/>
      <c r="B50" s="3"/>
      <c r="C50" s="37"/>
      <c r="D50" s="37"/>
      <c r="E50" s="37"/>
      <c r="F50" s="37"/>
      <c r="G50" s="123"/>
      <c r="H50" s="37"/>
      <c r="I50" s="37"/>
      <c r="J50" s="37"/>
      <c r="K50" s="37"/>
      <c r="L50" s="37"/>
      <c r="M50" s="37"/>
      <c r="N50" s="37"/>
      <c r="O50" s="37"/>
      <c r="P50" s="37"/>
      <c r="Q50" s="37"/>
      <c r="R50" s="37"/>
      <c r="S50" s="37"/>
      <c r="T50" s="37"/>
      <c r="U50" s="37"/>
      <c r="V50" s="37"/>
      <c r="W50" s="44"/>
      <c r="X50" s="41"/>
    </row>
    <row r="51" spans="1:24" ht="15.75" customHeight="1" x14ac:dyDescent="0.3">
      <c r="A51" s="3"/>
      <c r="B51" s="3"/>
      <c r="C51" s="37"/>
      <c r="D51" s="37"/>
      <c r="E51" s="37"/>
      <c r="F51" s="37"/>
      <c r="G51" s="123"/>
      <c r="H51" s="37"/>
      <c r="I51" s="37"/>
      <c r="J51" s="37"/>
      <c r="K51" s="37"/>
      <c r="L51" s="37"/>
      <c r="M51" s="37"/>
      <c r="N51" s="37"/>
      <c r="O51" s="37"/>
      <c r="P51" s="37"/>
      <c r="Q51" s="37"/>
      <c r="R51" s="37"/>
      <c r="S51" s="37"/>
      <c r="T51" s="37"/>
      <c r="U51" s="37"/>
      <c r="V51" s="37"/>
      <c r="W51" s="44"/>
      <c r="X51" s="41"/>
    </row>
    <row r="52" spans="1:24" ht="15.75" customHeight="1" x14ac:dyDescent="0.3">
      <c r="A52" s="3"/>
      <c r="B52" s="3"/>
      <c r="C52" s="37"/>
      <c r="D52" s="37"/>
      <c r="E52" s="37"/>
      <c r="F52" s="37"/>
      <c r="G52" s="123"/>
      <c r="H52" s="37"/>
      <c r="I52" s="37"/>
      <c r="J52" s="37"/>
      <c r="K52" s="37"/>
      <c r="L52" s="37"/>
      <c r="M52" s="37"/>
      <c r="N52" s="37"/>
      <c r="O52" s="37"/>
      <c r="P52" s="37"/>
      <c r="Q52" s="37"/>
      <c r="R52" s="37"/>
      <c r="S52" s="37"/>
      <c r="T52" s="37"/>
      <c r="U52" s="37"/>
      <c r="V52" s="37"/>
      <c r="W52" s="44"/>
      <c r="X52" s="41"/>
    </row>
    <row r="53" spans="1:24" ht="15.75" customHeight="1" x14ac:dyDescent="0.3">
      <c r="A53" s="3"/>
      <c r="B53" s="3"/>
      <c r="C53" s="37"/>
      <c r="D53" s="37"/>
      <c r="E53" s="37"/>
      <c r="F53" s="37"/>
      <c r="G53" s="123"/>
      <c r="H53" s="37"/>
      <c r="I53" s="37"/>
      <c r="J53" s="37"/>
      <c r="K53" s="37"/>
      <c r="L53" s="37"/>
      <c r="M53" s="37"/>
      <c r="N53" s="37"/>
      <c r="O53" s="37"/>
      <c r="P53" s="37"/>
      <c r="Q53" s="37"/>
      <c r="R53" s="37"/>
      <c r="S53" s="37"/>
      <c r="T53" s="37"/>
      <c r="U53" s="37"/>
      <c r="V53" s="37"/>
      <c r="W53" s="44"/>
      <c r="X53" s="41"/>
    </row>
    <row r="54" spans="1:24" ht="15.75" customHeight="1" x14ac:dyDescent="0.3">
      <c r="A54" s="3"/>
      <c r="B54" s="3"/>
      <c r="C54" s="37"/>
      <c r="D54" s="37"/>
      <c r="E54" s="37"/>
      <c r="F54" s="37"/>
      <c r="G54" s="123"/>
      <c r="H54" s="37"/>
      <c r="I54" s="37"/>
      <c r="J54" s="37"/>
      <c r="K54" s="37"/>
      <c r="L54" s="37"/>
      <c r="M54" s="37"/>
      <c r="N54" s="37"/>
      <c r="O54" s="37"/>
      <c r="P54" s="37"/>
      <c r="Q54" s="37"/>
      <c r="R54" s="37"/>
      <c r="S54" s="37"/>
      <c r="T54" s="37"/>
      <c r="U54" s="37"/>
      <c r="V54" s="37"/>
      <c r="W54" s="44"/>
      <c r="X54" s="41"/>
    </row>
    <row r="55" spans="1:24" ht="15.75" customHeight="1" x14ac:dyDescent="0.3">
      <c r="A55" s="3"/>
      <c r="B55" s="3"/>
      <c r="C55" s="37"/>
      <c r="D55" s="37"/>
      <c r="E55" s="37"/>
      <c r="F55" s="37"/>
      <c r="G55" s="123"/>
      <c r="H55" s="37"/>
      <c r="I55" s="37"/>
      <c r="J55" s="37"/>
      <c r="K55" s="37"/>
      <c r="L55" s="37"/>
      <c r="M55" s="37"/>
      <c r="N55" s="37"/>
      <c r="O55" s="37"/>
      <c r="P55" s="37"/>
      <c r="Q55" s="37"/>
      <c r="R55" s="37"/>
      <c r="S55" s="37"/>
      <c r="T55" s="37"/>
      <c r="U55" s="37"/>
      <c r="V55" s="37"/>
      <c r="W55" s="44"/>
      <c r="X55" s="41"/>
    </row>
    <row r="56" spans="1:24" ht="15.75" customHeight="1" x14ac:dyDescent="0.3">
      <c r="A56" s="3"/>
      <c r="B56" s="3"/>
      <c r="C56" s="37"/>
      <c r="D56" s="37"/>
      <c r="E56" s="37"/>
      <c r="F56" s="37"/>
      <c r="G56" s="123"/>
      <c r="H56" s="37"/>
      <c r="I56" s="37"/>
      <c r="J56" s="37"/>
      <c r="K56" s="37"/>
      <c r="L56" s="37"/>
      <c r="M56" s="37"/>
      <c r="N56" s="37"/>
      <c r="O56" s="37"/>
      <c r="P56" s="37"/>
      <c r="Q56" s="37"/>
      <c r="R56" s="37"/>
      <c r="S56" s="37"/>
      <c r="T56" s="37"/>
      <c r="U56" s="37"/>
      <c r="V56" s="37"/>
      <c r="W56" s="44"/>
      <c r="X56" s="41"/>
    </row>
    <row r="57" spans="1:24" ht="15.75" customHeight="1" x14ac:dyDescent="0.3">
      <c r="A57" s="3"/>
      <c r="B57" s="3"/>
      <c r="C57" s="37"/>
      <c r="D57" s="37"/>
      <c r="E57" s="37"/>
      <c r="F57" s="37"/>
      <c r="G57" s="123"/>
      <c r="H57" s="37"/>
      <c r="I57" s="37"/>
      <c r="J57" s="37"/>
      <c r="K57" s="37"/>
      <c r="L57" s="37"/>
      <c r="M57" s="37"/>
      <c r="N57" s="37"/>
      <c r="O57" s="37"/>
      <c r="P57" s="37"/>
      <c r="Q57" s="37"/>
      <c r="R57" s="37"/>
      <c r="S57" s="37"/>
      <c r="T57" s="37"/>
      <c r="U57" s="37"/>
      <c r="V57" s="37"/>
      <c r="W57" s="44"/>
      <c r="X57" s="41"/>
    </row>
    <row r="58" spans="1:24" ht="15.75" customHeight="1" x14ac:dyDescent="0.3">
      <c r="A58" s="3"/>
      <c r="B58" s="3"/>
      <c r="C58" s="37"/>
      <c r="D58" s="37"/>
      <c r="E58" s="37"/>
      <c r="F58" s="37"/>
      <c r="G58" s="123"/>
      <c r="H58" s="37"/>
      <c r="I58" s="37"/>
      <c r="J58" s="37"/>
      <c r="K58" s="37"/>
      <c r="L58" s="37"/>
      <c r="M58" s="37"/>
      <c r="N58" s="37"/>
      <c r="O58" s="37"/>
      <c r="P58" s="37"/>
      <c r="Q58" s="37"/>
      <c r="R58" s="37"/>
      <c r="S58" s="37"/>
      <c r="T58" s="37"/>
      <c r="U58" s="37"/>
      <c r="V58" s="37"/>
      <c r="W58" s="44"/>
      <c r="X58" s="41"/>
    </row>
    <row r="59" spans="1:24" ht="15.75" customHeight="1" x14ac:dyDescent="0.3">
      <c r="A59" s="3"/>
      <c r="B59" s="3"/>
      <c r="C59" s="37"/>
      <c r="D59" s="37"/>
      <c r="E59" s="37"/>
      <c r="F59" s="37"/>
      <c r="G59" s="123"/>
      <c r="H59" s="37"/>
      <c r="I59" s="37"/>
      <c r="J59" s="37"/>
      <c r="K59" s="37"/>
      <c r="L59" s="37"/>
      <c r="M59" s="37"/>
      <c r="N59" s="37"/>
      <c r="O59" s="37"/>
      <c r="P59" s="37"/>
      <c r="Q59" s="37"/>
      <c r="R59" s="37"/>
      <c r="S59" s="37"/>
      <c r="T59" s="37"/>
      <c r="U59" s="37"/>
      <c r="V59" s="37"/>
      <c r="W59" s="44"/>
      <c r="X59" s="41"/>
    </row>
    <row r="60" spans="1:24" ht="15.75" customHeight="1" x14ac:dyDescent="0.3">
      <c r="A60" s="3"/>
      <c r="B60" s="3"/>
      <c r="C60" s="37"/>
      <c r="D60" s="37"/>
      <c r="E60" s="37"/>
      <c r="F60" s="37"/>
      <c r="G60" s="123"/>
      <c r="H60" s="37"/>
      <c r="I60" s="37"/>
      <c r="J60" s="37"/>
      <c r="K60" s="37"/>
      <c r="L60" s="37"/>
      <c r="M60" s="37"/>
      <c r="N60" s="37"/>
      <c r="O60" s="37"/>
      <c r="P60" s="37"/>
      <c r="Q60" s="37"/>
      <c r="R60" s="37"/>
      <c r="S60" s="37"/>
      <c r="T60" s="37"/>
      <c r="U60" s="37"/>
      <c r="V60" s="37"/>
      <c r="W60" s="44"/>
      <c r="X60" s="41"/>
    </row>
    <row r="61" spans="1:24" ht="15.75" customHeight="1" x14ac:dyDescent="0.3">
      <c r="A61" s="3"/>
      <c r="B61" s="3"/>
      <c r="C61" s="37"/>
      <c r="D61" s="37"/>
      <c r="E61" s="37"/>
      <c r="F61" s="37"/>
      <c r="G61" s="123"/>
      <c r="H61" s="37"/>
      <c r="I61" s="37"/>
      <c r="J61" s="37"/>
      <c r="K61" s="37"/>
      <c r="L61" s="37"/>
      <c r="M61" s="37"/>
      <c r="N61" s="37"/>
      <c r="O61" s="37"/>
      <c r="P61" s="37"/>
      <c r="Q61" s="37"/>
      <c r="R61" s="37"/>
      <c r="S61" s="37"/>
      <c r="T61" s="37"/>
      <c r="U61" s="37"/>
      <c r="V61" s="37"/>
      <c r="W61" s="44"/>
      <c r="X61" s="41"/>
    </row>
    <row r="62" spans="1:24" ht="15.75" customHeight="1" x14ac:dyDescent="0.3">
      <c r="A62" s="3"/>
      <c r="B62" s="3"/>
      <c r="C62" s="37"/>
      <c r="D62" s="37"/>
      <c r="E62" s="37"/>
      <c r="F62" s="37"/>
      <c r="G62" s="123"/>
      <c r="H62" s="37"/>
      <c r="I62" s="37"/>
      <c r="J62" s="37"/>
      <c r="K62" s="37"/>
      <c r="L62" s="37"/>
      <c r="M62" s="37"/>
      <c r="N62" s="37"/>
      <c r="O62" s="37"/>
      <c r="P62" s="37"/>
      <c r="Q62" s="37"/>
      <c r="R62" s="37"/>
      <c r="S62" s="37"/>
      <c r="T62" s="37"/>
      <c r="U62" s="37"/>
      <c r="V62" s="37"/>
      <c r="W62" s="44"/>
      <c r="X62" s="41"/>
    </row>
    <row r="63" spans="1:24" ht="15.75" customHeight="1" x14ac:dyDescent="0.3">
      <c r="A63" s="3"/>
      <c r="B63" s="3"/>
      <c r="C63" s="37"/>
      <c r="D63" s="37"/>
      <c r="E63" s="37"/>
      <c r="F63" s="37"/>
      <c r="G63" s="123"/>
      <c r="H63" s="37"/>
      <c r="I63" s="37"/>
      <c r="J63" s="37"/>
      <c r="K63" s="37"/>
      <c r="L63" s="37"/>
      <c r="M63" s="37"/>
      <c r="N63" s="37"/>
      <c r="O63" s="37"/>
      <c r="P63" s="37"/>
      <c r="Q63" s="37"/>
      <c r="R63" s="37"/>
      <c r="S63" s="37"/>
      <c r="T63" s="37"/>
      <c r="U63" s="37"/>
      <c r="V63" s="37"/>
      <c r="W63" s="44"/>
      <c r="X63" s="41"/>
    </row>
    <row r="64" spans="1:24" ht="15.75" customHeight="1" x14ac:dyDescent="0.3">
      <c r="A64" s="3"/>
      <c r="B64" s="3"/>
      <c r="C64" s="37"/>
      <c r="D64" s="37"/>
      <c r="E64" s="37"/>
      <c r="F64" s="37"/>
      <c r="G64" s="123"/>
      <c r="H64" s="37"/>
      <c r="I64" s="37"/>
      <c r="J64" s="37"/>
      <c r="K64" s="37"/>
      <c r="L64" s="37"/>
      <c r="M64" s="37"/>
      <c r="N64" s="37"/>
      <c r="O64" s="37"/>
      <c r="P64" s="37"/>
      <c r="Q64" s="37"/>
      <c r="R64" s="37"/>
      <c r="S64" s="37"/>
      <c r="T64" s="37"/>
      <c r="U64" s="37"/>
      <c r="V64" s="37"/>
      <c r="W64" s="44"/>
      <c r="X64" s="41"/>
    </row>
    <row r="65" spans="1:24" ht="15.75" customHeight="1" x14ac:dyDescent="0.3">
      <c r="A65" s="3"/>
      <c r="B65" s="3"/>
      <c r="C65" s="37"/>
      <c r="D65" s="37"/>
      <c r="E65" s="37"/>
      <c r="F65" s="37"/>
      <c r="G65" s="123"/>
      <c r="H65" s="37"/>
      <c r="I65" s="37"/>
      <c r="J65" s="37"/>
      <c r="K65" s="37"/>
      <c r="L65" s="37"/>
      <c r="M65" s="37"/>
      <c r="N65" s="37"/>
      <c r="O65" s="37"/>
      <c r="P65" s="37"/>
      <c r="Q65" s="37"/>
      <c r="R65" s="37"/>
      <c r="S65" s="37"/>
      <c r="T65" s="37"/>
      <c r="U65" s="37"/>
      <c r="V65" s="37"/>
      <c r="W65" s="44"/>
      <c r="X65" s="41"/>
    </row>
    <row r="66" spans="1:24" ht="15.75" customHeight="1" x14ac:dyDescent="0.3">
      <c r="A66" s="3"/>
      <c r="B66" s="3"/>
      <c r="C66" s="37"/>
      <c r="D66" s="37"/>
      <c r="E66" s="37"/>
      <c r="F66" s="37"/>
      <c r="G66" s="123"/>
      <c r="H66" s="37"/>
      <c r="I66" s="37"/>
      <c r="J66" s="37"/>
      <c r="K66" s="37"/>
      <c r="L66" s="37"/>
      <c r="M66" s="37"/>
      <c r="N66" s="37"/>
      <c r="O66" s="37"/>
      <c r="P66" s="37"/>
      <c r="Q66" s="37"/>
      <c r="R66" s="37"/>
      <c r="S66" s="37"/>
      <c r="T66" s="37"/>
      <c r="U66" s="37"/>
      <c r="V66" s="37"/>
      <c r="W66" s="44"/>
      <c r="X66" s="41"/>
    </row>
    <row r="67" spans="1:24" ht="15.75" customHeight="1" x14ac:dyDescent="0.3">
      <c r="A67" s="3"/>
      <c r="B67" s="3"/>
      <c r="C67" s="37"/>
      <c r="D67" s="37"/>
      <c r="E67" s="37"/>
      <c r="F67" s="37"/>
      <c r="G67" s="123"/>
      <c r="H67" s="37"/>
      <c r="I67" s="37"/>
      <c r="J67" s="37"/>
      <c r="K67" s="37"/>
      <c r="L67" s="37"/>
      <c r="M67" s="37"/>
      <c r="N67" s="37"/>
      <c r="O67" s="37"/>
      <c r="P67" s="37"/>
      <c r="Q67" s="37"/>
      <c r="R67" s="37"/>
      <c r="S67" s="37"/>
      <c r="T67" s="37"/>
      <c r="U67" s="37"/>
      <c r="V67" s="37"/>
      <c r="W67" s="44"/>
      <c r="X67" s="41"/>
    </row>
    <row r="68" spans="1:24" ht="15.75" customHeight="1" x14ac:dyDescent="0.3">
      <c r="A68" s="3"/>
      <c r="B68" s="3"/>
      <c r="C68" s="37"/>
      <c r="D68" s="37"/>
      <c r="E68" s="37"/>
      <c r="F68" s="37"/>
      <c r="G68" s="123"/>
      <c r="H68" s="37"/>
      <c r="I68" s="37"/>
      <c r="J68" s="37"/>
      <c r="K68" s="37"/>
      <c r="L68" s="37"/>
      <c r="M68" s="37"/>
      <c r="N68" s="37"/>
      <c r="O68" s="37"/>
      <c r="P68" s="37"/>
      <c r="Q68" s="37"/>
      <c r="R68" s="37"/>
      <c r="S68" s="37"/>
      <c r="T68" s="37"/>
      <c r="U68" s="37"/>
      <c r="V68" s="37"/>
      <c r="W68" s="44"/>
      <c r="X68" s="41"/>
    </row>
    <row r="69" spans="1:24" ht="15.75" customHeight="1" x14ac:dyDescent="0.3">
      <c r="A69" s="3"/>
      <c r="B69" s="3"/>
      <c r="C69" s="37"/>
      <c r="D69" s="37"/>
      <c r="E69" s="37"/>
      <c r="F69" s="37"/>
      <c r="G69" s="123"/>
      <c r="H69" s="37"/>
      <c r="I69" s="37"/>
      <c r="J69" s="37"/>
      <c r="K69" s="37"/>
      <c r="L69" s="37"/>
      <c r="M69" s="37"/>
      <c r="N69" s="37"/>
      <c r="O69" s="37"/>
      <c r="P69" s="37"/>
      <c r="Q69" s="37"/>
      <c r="R69" s="37"/>
      <c r="S69" s="37"/>
      <c r="T69" s="37"/>
      <c r="U69" s="37"/>
      <c r="V69" s="37"/>
      <c r="W69" s="44"/>
      <c r="X69" s="41"/>
    </row>
    <row r="70" spans="1:24" ht="15.75" customHeight="1" x14ac:dyDescent="0.3">
      <c r="A70" s="3"/>
      <c r="B70" s="3"/>
      <c r="C70" s="37"/>
      <c r="D70" s="37"/>
      <c r="E70" s="37"/>
      <c r="F70" s="37"/>
      <c r="G70" s="123"/>
      <c r="H70" s="37"/>
      <c r="I70" s="37"/>
      <c r="J70" s="37"/>
      <c r="K70" s="37"/>
      <c r="L70" s="37"/>
      <c r="M70" s="37"/>
      <c r="N70" s="37"/>
      <c r="O70" s="37"/>
      <c r="P70" s="37"/>
      <c r="Q70" s="37"/>
      <c r="R70" s="37"/>
      <c r="S70" s="37"/>
      <c r="T70" s="37"/>
      <c r="U70" s="37"/>
      <c r="V70" s="37"/>
      <c r="W70" s="44"/>
      <c r="X70" s="41"/>
    </row>
    <row r="71" spans="1:24" ht="15.75" customHeight="1" x14ac:dyDescent="0.3">
      <c r="A71" s="3"/>
      <c r="B71" s="3"/>
      <c r="C71" s="37"/>
      <c r="D71" s="37"/>
      <c r="E71" s="37"/>
      <c r="F71" s="37"/>
      <c r="G71" s="123"/>
      <c r="H71" s="37"/>
      <c r="I71" s="37"/>
      <c r="J71" s="37"/>
      <c r="K71" s="37"/>
      <c r="L71" s="37"/>
      <c r="M71" s="37"/>
      <c r="N71" s="37"/>
      <c r="O71" s="37"/>
      <c r="P71" s="37"/>
      <c r="Q71" s="37"/>
      <c r="R71" s="37"/>
      <c r="S71" s="37"/>
      <c r="T71" s="37"/>
      <c r="U71" s="37"/>
      <c r="V71" s="37"/>
      <c r="W71" s="44"/>
      <c r="X71" s="41"/>
    </row>
    <row r="72" spans="1:24" ht="15.75" customHeight="1" x14ac:dyDescent="0.3">
      <c r="A72" s="3"/>
      <c r="B72" s="3"/>
      <c r="C72" s="37"/>
      <c r="D72" s="37"/>
      <c r="E72" s="37"/>
      <c r="F72" s="37"/>
      <c r="G72" s="123"/>
      <c r="H72" s="37"/>
      <c r="I72" s="37"/>
      <c r="J72" s="37"/>
      <c r="K72" s="37"/>
      <c r="L72" s="37"/>
      <c r="M72" s="37"/>
      <c r="N72" s="37"/>
      <c r="O72" s="37"/>
      <c r="P72" s="37"/>
      <c r="Q72" s="37"/>
      <c r="R72" s="37"/>
      <c r="S72" s="37"/>
      <c r="T72" s="37"/>
      <c r="U72" s="37"/>
      <c r="V72" s="37"/>
      <c r="W72" s="44"/>
      <c r="X72" s="41"/>
    </row>
    <row r="73" spans="1:24" ht="15.75" customHeight="1" x14ac:dyDescent="0.3">
      <c r="A73" s="3"/>
      <c r="B73" s="3"/>
      <c r="C73" s="37"/>
      <c r="D73" s="37"/>
      <c r="E73" s="37"/>
      <c r="F73" s="37"/>
      <c r="G73" s="123"/>
      <c r="H73" s="37"/>
      <c r="I73" s="37"/>
      <c r="J73" s="37"/>
      <c r="K73" s="37"/>
      <c r="L73" s="37"/>
      <c r="M73" s="37"/>
      <c r="N73" s="37"/>
      <c r="O73" s="37"/>
      <c r="P73" s="37"/>
      <c r="Q73" s="37"/>
      <c r="R73" s="37"/>
      <c r="S73" s="37"/>
      <c r="T73" s="37"/>
      <c r="U73" s="37"/>
      <c r="V73" s="37"/>
      <c r="W73" s="44"/>
      <c r="X73" s="41"/>
    </row>
    <row r="74" spans="1:24" ht="15.75" customHeight="1" x14ac:dyDescent="0.3">
      <c r="A74" s="3"/>
      <c r="B74" s="3"/>
      <c r="C74" s="37"/>
      <c r="D74" s="37"/>
      <c r="E74" s="37"/>
      <c r="F74" s="37"/>
      <c r="G74" s="123"/>
      <c r="H74" s="37"/>
      <c r="I74" s="37"/>
      <c r="J74" s="37"/>
      <c r="K74" s="37"/>
      <c r="L74" s="37"/>
      <c r="M74" s="37"/>
      <c r="N74" s="37"/>
      <c r="O74" s="37"/>
      <c r="P74" s="37"/>
      <c r="Q74" s="37"/>
      <c r="R74" s="37"/>
      <c r="S74" s="37"/>
      <c r="T74" s="37"/>
      <c r="U74" s="37"/>
      <c r="V74" s="37"/>
      <c r="W74" s="44"/>
      <c r="X74" s="41"/>
    </row>
    <row r="75" spans="1:24" ht="15.75" customHeight="1" x14ac:dyDescent="0.3">
      <c r="A75" s="3"/>
      <c r="B75" s="3"/>
      <c r="C75" s="37"/>
      <c r="D75" s="37"/>
      <c r="E75" s="37"/>
      <c r="F75" s="37"/>
      <c r="G75" s="123"/>
      <c r="H75" s="37"/>
      <c r="I75" s="37"/>
      <c r="J75" s="37"/>
      <c r="K75" s="37"/>
      <c r="L75" s="37"/>
      <c r="M75" s="37"/>
      <c r="N75" s="37"/>
      <c r="O75" s="37"/>
      <c r="P75" s="37"/>
      <c r="Q75" s="37"/>
      <c r="R75" s="37"/>
      <c r="S75" s="37"/>
      <c r="T75" s="37"/>
      <c r="U75" s="37"/>
      <c r="V75" s="37"/>
      <c r="W75" s="44"/>
      <c r="X75" s="41"/>
    </row>
    <row r="76" spans="1:24" ht="15.75" customHeight="1" x14ac:dyDescent="0.3">
      <c r="A76" s="3"/>
      <c r="B76" s="3"/>
      <c r="C76" s="37"/>
      <c r="D76" s="37"/>
      <c r="E76" s="37"/>
      <c r="F76" s="37"/>
      <c r="G76" s="123"/>
      <c r="H76" s="37"/>
      <c r="I76" s="37"/>
      <c r="J76" s="37"/>
      <c r="K76" s="37"/>
      <c r="L76" s="37"/>
      <c r="M76" s="37"/>
      <c r="N76" s="37"/>
      <c r="O76" s="37"/>
      <c r="P76" s="37"/>
      <c r="Q76" s="37"/>
      <c r="R76" s="37"/>
      <c r="S76" s="37"/>
      <c r="T76" s="37"/>
      <c r="U76" s="37"/>
      <c r="V76" s="37"/>
      <c r="W76" s="44"/>
      <c r="X76" s="41"/>
    </row>
    <row r="77" spans="1:24" ht="15.75" customHeight="1" x14ac:dyDescent="0.3">
      <c r="A77" s="3"/>
      <c r="B77" s="3"/>
      <c r="C77" s="37"/>
      <c r="D77" s="37"/>
      <c r="E77" s="37"/>
      <c r="F77" s="37"/>
      <c r="G77" s="123"/>
      <c r="H77" s="37"/>
      <c r="I77" s="37"/>
      <c r="J77" s="37"/>
      <c r="K77" s="37"/>
      <c r="L77" s="37"/>
      <c r="M77" s="37"/>
      <c r="N77" s="37"/>
      <c r="O77" s="37"/>
      <c r="P77" s="37"/>
      <c r="Q77" s="37"/>
      <c r="R77" s="37"/>
      <c r="S77" s="37"/>
      <c r="T77" s="37"/>
      <c r="U77" s="37"/>
      <c r="V77" s="37"/>
      <c r="W77" s="44"/>
      <c r="X77" s="41"/>
    </row>
    <row r="78" spans="1:24" ht="15.75" customHeight="1" x14ac:dyDescent="0.3">
      <c r="A78" s="3"/>
      <c r="B78" s="3"/>
      <c r="C78" s="37"/>
      <c r="D78" s="37"/>
      <c r="E78" s="37"/>
      <c r="F78" s="37"/>
      <c r="G78" s="123"/>
      <c r="H78" s="37"/>
      <c r="I78" s="37"/>
      <c r="J78" s="37"/>
      <c r="K78" s="37"/>
      <c r="L78" s="37"/>
      <c r="M78" s="37"/>
      <c r="N78" s="37"/>
      <c r="O78" s="37"/>
      <c r="P78" s="37"/>
      <c r="Q78" s="37"/>
      <c r="R78" s="37"/>
      <c r="S78" s="37"/>
      <c r="T78" s="37"/>
      <c r="U78" s="37"/>
      <c r="V78" s="37"/>
      <c r="W78" s="44"/>
      <c r="X78" s="41"/>
    </row>
    <row r="79" spans="1:24" ht="15.75" customHeight="1" x14ac:dyDescent="0.3">
      <c r="A79" s="3"/>
      <c r="B79" s="3"/>
      <c r="C79" s="37"/>
      <c r="D79" s="37"/>
      <c r="E79" s="37"/>
      <c r="F79" s="37"/>
      <c r="G79" s="123"/>
      <c r="H79" s="37"/>
      <c r="I79" s="37"/>
      <c r="J79" s="37"/>
      <c r="K79" s="37"/>
      <c r="L79" s="37"/>
      <c r="M79" s="37"/>
      <c r="N79" s="37"/>
      <c r="O79" s="37"/>
      <c r="P79" s="37"/>
      <c r="Q79" s="37"/>
      <c r="R79" s="37"/>
      <c r="S79" s="37"/>
      <c r="T79" s="37"/>
      <c r="U79" s="37"/>
      <c r="V79" s="37"/>
      <c r="W79" s="44"/>
      <c r="X79" s="41"/>
    </row>
    <row r="80" spans="1:24" ht="15.75" customHeight="1" x14ac:dyDescent="0.3">
      <c r="A80" s="3"/>
      <c r="B80" s="3"/>
      <c r="C80" s="37"/>
      <c r="D80" s="37"/>
      <c r="E80" s="37"/>
      <c r="F80" s="37"/>
      <c r="G80" s="123"/>
      <c r="H80" s="37"/>
      <c r="I80" s="37"/>
      <c r="J80" s="37"/>
      <c r="K80" s="37"/>
      <c r="L80" s="37"/>
      <c r="M80" s="37"/>
      <c r="N80" s="37"/>
      <c r="O80" s="37"/>
      <c r="P80" s="37"/>
      <c r="Q80" s="37"/>
      <c r="R80" s="37"/>
      <c r="S80" s="37"/>
      <c r="T80" s="37"/>
      <c r="U80" s="37"/>
      <c r="V80" s="37"/>
      <c r="W80" s="44"/>
      <c r="X80" s="41"/>
    </row>
    <row r="81" spans="1:24" ht="15.75" customHeight="1" x14ac:dyDescent="0.3">
      <c r="A81" s="3"/>
      <c r="B81" s="3"/>
      <c r="C81" s="37"/>
      <c r="D81" s="37"/>
      <c r="E81" s="37"/>
      <c r="F81" s="37"/>
      <c r="G81" s="123"/>
      <c r="H81" s="37"/>
      <c r="I81" s="37"/>
      <c r="J81" s="37"/>
      <c r="K81" s="37"/>
      <c r="L81" s="37"/>
      <c r="M81" s="37"/>
      <c r="N81" s="37"/>
      <c r="O81" s="37"/>
      <c r="P81" s="37"/>
      <c r="Q81" s="37"/>
      <c r="R81" s="37"/>
      <c r="S81" s="37"/>
      <c r="T81" s="37"/>
      <c r="U81" s="37"/>
      <c r="V81" s="37"/>
      <c r="W81" s="44"/>
      <c r="X81" s="41"/>
    </row>
    <row r="82" spans="1:24" ht="15.75" customHeight="1" x14ac:dyDescent="0.3">
      <c r="A82" s="3"/>
      <c r="B82" s="3"/>
      <c r="C82" s="37"/>
      <c r="D82" s="37"/>
      <c r="E82" s="37"/>
      <c r="F82" s="37"/>
      <c r="G82" s="123"/>
      <c r="H82" s="37"/>
      <c r="I82" s="37"/>
      <c r="J82" s="37"/>
      <c r="K82" s="37"/>
      <c r="L82" s="37"/>
      <c r="M82" s="37"/>
      <c r="N82" s="37"/>
      <c r="O82" s="37"/>
      <c r="P82" s="37"/>
      <c r="Q82" s="37"/>
      <c r="R82" s="37"/>
      <c r="S82" s="37"/>
      <c r="T82" s="37"/>
      <c r="U82" s="37"/>
      <c r="V82" s="37"/>
      <c r="W82" s="44"/>
      <c r="X82" s="41"/>
    </row>
    <row r="83" spans="1:24" ht="15.75" customHeight="1" x14ac:dyDescent="0.3">
      <c r="A83" s="3"/>
      <c r="B83" s="3"/>
      <c r="C83" s="37"/>
      <c r="D83" s="37"/>
      <c r="E83" s="37"/>
      <c r="F83" s="37"/>
      <c r="G83" s="123"/>
      <c r="H83" s="37"/>
      <c r="I83" s="37"/>
      <c r="J83" s="37"/>
      <c r="K83" s="37"/>
      <c r="L83" s="37"/>
      <c r="M83" s="37"/>
      <c r="N83" s="37"/>
      <c r="O83" s="37"/>
      <c r="P83" s="37"/>
      <c r="Q83" s="37"/>
      <c r="R83" s="37"/>
      <c r="S83" s="37"/>
      <c r="T83" s="37"/>
      <c r="U83" s="37"/>
      <c r="V83" s="37"/>
      <c r="W83" s="44"/>
      <c r="X83" s="41"/>
    </row>
    <row r="84" spans="1:24" ht="15.75" customHeight="1" x14ac:dyDescent="0.3">
      <c r="A84" s="3"/>
      <c r="B84" s="3"/>
      <c r="C84" s="37"/>
      <c r="D84" s="37"/>
      <c r="E84" s="37"/>
      <c r="F84" s="37"/>
      <c r="G84" s="123"/>
      <c r="H84" s="37"/>
      <c r="I84" s="37"/>
      <c r="J84" s="37"/>
      <c r="K84" s="37"/>
      <c r="L84" s="37"/>
      <c r="M84" s="37"/>
      <c r="N84" s="37"/>
      <c r="O84" s="37"/>
      <c r="P84" s="37"/>
      <c r="Q84" s="37"/>
      <c r="R84" s="37"/>
      <c r="S84" s="37"/>
      <c r="T84" s="37"/>
      <c r="U84" s="37"/>
      <c r="V84" s="37"/>
      <c r="W84" s="44"/>
      <c r="X84" s="41"/>
    </row>
    <row r="85" spans="1:24" ht="15.75" customHeight="1" x14ac:dyDescent="0.3">
      <c r="A85" s="3"/>
      <c r="B85" s="3"/>
      <c r="C85" s="37"/>
      <c r="D85" s="37"/>
      <c r="E85" s="37"/>
      <c r="F85" s="37"/>
      <c r="G85" s="123"/>
      <c r="H85" s="37"/>
      <c r="I85" s="37"/>
      <c r="J85" s="37"/>
      <c r="K85" s="37"/>
      <c r="L85" s="37"/>
      <c r="M85" s="37"/>
      <c r="N85" s="37"/>
      <c r="O85" s="37"/>
      <c r="P85" s="37"/>
      <c r="Q85" s="37"/>
      <c r="R85" s="37"/>
      <c r="S85" s="37"/>
      <c r="T85" s="37"/>
      <c r="U85" s="37"/>
      <c r="V85" s="37"/>
      <c r="W85" s="44"/>
      <c r="X85" s="41"/>
    </row>
    <row r="86" spans="1:24" ht="15.75" customHeight="1" x14ac:dyDescent="0.3">
      <c r="A86" s="3"/>
      <c r="B86" s="3"/>
      <c r="C86" s="37"/>
      <c r="D86" s="37"/>
      <c r="E86" s="37"/>
      <c r="F86" s="37"/>
      <c r="G86" s="123"/>
      <c r="H86" s="37"/>
      <c r="I86" s="37"/>
      <c r="J86" s="37"/>
      <c r="K86" s="37"/>
      <c r="L86" s="37"/>
      <c r="M86" s="37"/>
      <c r="N86" s="37"/>
      <c r="O86" s="37"/>
      <c r="P86" s="37"/>
      <c r="Q86" s="37"/>
      <c r="R86" s="37"/>
      <c r="S86" s="37"/>
      <c r="T86" s="37"/>
      <c r="U86" s="37"/>
      <c r="V86" s="37"/>
      <c r="W86" s="44"/>
      <c r="X86" s="41"/>
    </row>
    <row r="87" spans="1:24" ht="15.75" customHeight="1" x14ac:dyDescent="0.3">
      <c r="A87" s="3"/>
      <c r="B87" s="3"/>
      <c r="C87" s="37"/>
      <c r="D87" s="37"/>
      <c r="E87" s="37"/>
      <c r="F87" s="37"/>
      <c r="G87" s="123"/>
      <c r="H87" s="37"/>
      <c r="I87" s="37"/>
      <c r="J87" s="37"/>
      <c r="K87" s="37"/>
      <c r="L87" s="37"/>
      <c r="M87" s="37"/>
      <c r="N87" s="37"/>
      <c r="O87" s="37"/>
      <c r="P87" s="37"/>
      <c r="Q87" s="37"/>
      <c r="R87" s="37"/>
      <c r="S87" s="37"/>
      <c r="T87" s="37"/>
      <c r="U87" s="37"/>
      <c r="V87" s="37"/>
      <c r="W87" s="44"/>
      <c r="X87" s="41"/>
    </row>
    <row r="88" spans="1:24" ht="15.75" customHeight="1" x14ac:dyDescent="0.3">
      <c r="A88" s="3"/>
      <c r="B88" s="3"/>
      <c r="C88" s="37"/>
      <c r="D88" s="37"/>
      <c r="E88" s="37"/>
      <c r="F88" s="37"/>
      <c r="G88" s="123"/>
      <c r="H88" s="37"/>
      <c r="I88" s="37"/>
      <c r="J88" s="37"/>
      <c r="K88" s="37"/>
      <c r="L88" s="37"/>
      <c r="M88" s="37"/>
      <c r="N88" s="37"/>
      <c r="O88" s="37"/>
      <c r="P88" s="37"/>
      <c r="Q88" s="37"/>
      <c r="R88" s="37"/>
      <c r="S88" s="37"/>
      <c r="T88" s="37"/>
      <c r="U88" s="37"/>
      <c r="V88" s="37"/>
      <c r="W88" s="44"/>
      <c r="X88" s="41"/>
    </row>
    <row r="89" spans="1:24" ht="15.75" customHeight="1" x14ac:dyDescent="0.3">
      <c r="A89" s="3"/>
      <c r="B89" s="3"/>
      <c r="C89" s="37"/>
      <c r="D89" s="37"/>
      <c r="E89" s="37"/>
      <c r="F89" s="37"/>
      <c r="G89" s="123"/>
      <c r="H89" s="37"/>
      <c r="I89" s="37"/>
      <c r="J89" s="37"/>
      <c r="K89" s="37"/>
      <c r="L89" s="37"/>
      <c r="M89" s="37"/>
      <c r="N89" s="37"/>
      <c r="O89" s="37"/>
      <c r="P89" s="37"/>
      <c r="Q89" s="37"/>
      <c r="R89" s="37"/>
      <c r="S89" s="37"/>
      <c r="T89" s="37"/>
      <c r="U89" s="37"/>
      <c r="V89" s="37"/>
      <c r="W89" s="44"/>
      <c r="X89" s="41"/>
    </row>
    <row r="90" spans="1:24" ht="15.75" customHeight="1" x14ac:dyDescent="0.3">
      <c r="A90" s="3"/>
      <c r="B90" s="3"/>
      <c r="C90" s="37"/>
      <c r="D90" s="37"/>
      <c r="E90" s="37"/>
      <c r="F90" s="37"/>
      <c r="G90" s="123"/>
      <c r="H90" s="37"/>
      <c r="I90" s="37"/>
      <c r="J90" s="37"/>
      <c r="K90" s="37"/>
      <c r="L90" s="37"/>
      <c r="M90" s="37"/>
      <c r="N90" s="37"/>
      <c r="O90" s="37"/>
      <c r="P90" s="37"/>
      <c r="Q90" s="37"/>
      <c r="R90" s="37"/>
      <c r="S90" s="37"/>
      <c r="T90" s="37"/>
      <c r="U90" s="37"/>
      <c r="V90" s="37"/>
      <c r="W90" s="44"/>
      <c r="X90" s="41"/>
    </row>
    <row r="91" spans="1:24" ht="15.75" customHeight="1" x14ac:dyDescent="0.3">
      <c r="A91" s="3"/>
      <c r="B91" s="3"/>
      <c r="C91" s="37"/>
      <c r="D91" s="37"/>
      <c r="E91" s="37"/>
      <c r="F91" s="37"/>
      <c r="G91" s="123"/>
      <c r="H91" s="37"/>
      <c r="I91" s="37"/>
      <c r="J91" s="37"/>
      <c r="K91" s="37"/>
      <c r="L91" s="37"/>
      <c r="M91" s="37"/>
      <c r="N91" s="37"/>
      <c r="O91" s="37"/>
      <c r="P91" s="37"/>
      <c r="Q91" s="37"/>
      <c r="R91" s="37"/>
      <c r="S91" s="37"/>
      <c r="T91" s="37"/>
      <c r="U91" s="37"/>
      <c r="V91" s="37"/>
      <c r="W91" s="44"/>
      <c r="X91" s="41"/>
    </row>
    <row r="92" spans="1:24" ht="15.75" customHeight="1" x14ac:dyDescent="0.3">
      <c r="A92" s="3"/>
      <c r="B92" s="3"/>
      <c r="C92" s="37"/>
      <c r="D92" s="37"/>
      <c r="E92" s="37"/>
      <c r="F92" s="37"/>
      <c r="G92" s="123"/>
      <c r="H92" s="37"/>
      <c r="I92" s="37"/>
      <c r="J92" s="37"/>
      <c r="K92" s="37"/>
      <c r="L92" s="37"/>
      <c r="M92" s="37"/>
      <c r="N92" s="37"/>
      <c r="O92" s="37"/>
      <c r="P92" s="37"/>
      <c r="Q92" s="37"/>
      <c r="R92" s="37"/>
      <c r="S92" s="37"/>
      <c r="T92" s="37"/>
      <c r="U92" s="37"/>
      <c r="V92" s="37"/>
      <c r="W92" s="44"/>
      <c r="X92" s="41"/>
    </row>
    <row r="93" spans="1:24" ht="15.75" customHeight="1" x14ac:dyDescent="0.3">
      <c r="A93" s="3"/>
      <c r="B93" s="3"/>
      <c r="C93" s="37"/>
      <c r="D93" s="37"/>
      <c r="E93" s="37"/>
      <c r="F93" s="37"/>
      <c r="G93" s="123"/>
      <c r="H93" s="37"/>
      <c r="I93" s="37"/>
      <c r="J93" s="37"/>
      <c r="K93" s="37"/>
      <c r="L93" s="37"/>
      <c r="M93" s="37"/>
      <c r="N93" s="37"/>
      <c r="O93" s="37"/>
      <c r="P93" s="37"/>
      <c r="Q93" s="37"/>
      <c r="R93" s="37"/>
      <c r="S93" s="37"/>
      <c r="T93" s="37"/>
      <c r="U93" s="37"/>
      <c r="V93" s="37"/>
      <c r="W93" s="44"/>
      <c r="X93" s="41"/>
    </row>
    <row r="94" spans="1:24" ht="15.75" customHeight="1" x14ac:dyDescent="0.3">
      <c r="A94" s="3"/>
      <c r="B94" s="3"/>
      <c r="C94" s="37"/>
      <c r="D94" s="37"/>
      <c r="E94" s="37"/>
      <c r="F94" s="37"/>
      <c r="G94" s="123"/>
      <c r="H94" s="37"/>
      <c r="I94" s="37"/>
      <c r="J94" s="37"/>
      <c r="K94" s="37"/>
      <c r="L94" s="37"/>
      <c r="M94" s="37"/>
      <c r="N94" s="37"/>
      <c r="O94" s="37"/>
      <c r="P94" s="37"/>
      <c r="Q94" s="37"/>
      <c r="R94" s="37"/>
      <c r="S94" s="37"/>
      <c r="T94" s="37"/>
      <c r="U94" s="37"/>
      <c r="V94" s="37"/>
      <c r="W94" s="44"/>
      <c r="X94" s="41"/>
    </row>
    <row r="95" spans="1:24" ht="15.75" customHeight="1" x14ac:dyDescent="0.3">
      <c r="A95" s="3"/>
      <c r="B95" s="3"/>
      <c r="C95" s="37"/>
      <c r="D95" s="37"/>
      <c r="E95" s="37"/>
      <c r="F95" s="37"/>
      <c r="G95" s="123"/>
      <c r="H95" s="37"/>
      <c r="I95" s="37"/>
      <c r="J95" s="37"/>
      <c r="K95" s="37"/>
      <c r="L95" s="37"/>
      <c r="M95" s="37"/>
      <c r="N95" s="37"/>
      <c r="O95" s="37"/>
      <c r="P95" s="37"/>
      <c r="Q95" s="37"/>
      <c r="R95" s="37"/>
      <c r="S95" s="37"/>
      <c r="T95" s="37"/>
      <c r="U95" s="37"/>
      <c r="V95" s="37"/>
      <c r="W95" s="44"/>
      <c r="X95" s="41"/>
    </row>
    <row r="96" spans="1:24" ht="15.75" customHeight="1" x14ac:dyDescent="0.3">
      <c r="A96" s="3"/>
      <c r="B96" s="3"/>
      <c r="C96" s="37"/>
      <c r="D96" s="37"/>
      <c r="E96" s="37"/>
      <c r="F96" s="37"/>
      <c r="G96" s="123"/>
      <c r="H96" s="37"/>
      <c r="I96" s="37"/>
      <c r="J96" s="37"/>
      <c r="K96" s="37"/>
      <c r="L96" s="37"/>
      <c r="M96" s="37"/>
      <c r="N96" s="37"/>
      <c r="O96" s="37"/>
      <c r="P96" s="37"/>
      <c r="Q96" s="37"/>
      <c r="R96" s="37"/>
      <c r="S96" s="37"/>
      <c r="T96" s="37"/>
      <c r="U96" s="37"/>
      <c r="V96" s="37"/>
      <c r="W96" s="44"/>
      <c r="X96" s="41"/>
    </row>
    <row r="97" spans="1:24" ht="15.75" customHeight="1" x14ac:dyDescent="0.3">
      <c r="A97" s="3"/>
      <c r="B97" s="3"/>
      <c r="C97" s="37"/>
      <c r="D97" s="37"/>
      <c r="E97" s="37"/>
      <c r="F97" s="37"/>
      <c r="G97" s="123"/>
      <c r="H97" s="37"/>
      <c r="I97" s="37"/>
      <c r="J97" s="37"/>
      <c r="K97" s="37"/>
      <c r="L97" s="37"/>
      <c r="M97" s="37"/>
      <c r="N97" s="37"/>
      <c r="O97" s="37"/>
      <c r="P97" s="37"/>
      <c r="Q97" s="37"/>
      <c r="R97" s="37"/>
      <c r="S97" s="37"/>
      <c r="T97" s="37"/>
      <c r="U97" s="37"/>
      <c r="V97" s="37"/>
      <c r="W97" s="44"/>
      <c r="X97" s="41"/>
    </row>
    <row r="98" spans="1:24" ht="15.75" customHeight="1" x14ac:dyDescent="0.3">
      <c r="A98" s="3"/>
      <c r="B98" s="3"/>
      <c r="C98" s="37"/>
      <c r="D98" s="37"/>
      <c r="E98" s="37"/>
      <c r="F98" s="37"/>
      <c r="G98" s="123"/>
      <c r="H98" s="37"/>
      <c r="I98" s="37"/>
      <c r="J98" s="37"/>
      <c r="K98" s="37"/>
      <c r="L98" s="37"/>
      <c r="M98" s="37"/>
      <c r="N98" s="37"/>
      <c r="O98" s="37"/>
      <c r="P98" s="37"/>
      <c r="Q98" s="37"/>
      <c r="R98" s="37"/>
      <c r="S98" s="37"/>
      <c r="T98" s="37"/>
      <c r="U98" s="37"/>
      <c r="V98" s="37"/>
      <c r="W98" s="44"/>
      <c r="X98" s="41"/>
    </row>
    <row r="99" spans="1:24" ht="15.75" customHeight="1" x14ac:dyDescent="0.3">
      <c r="A99" s="3"/>
      <c r="B99" s="3"/>
      <c r="C99" s="37"/>
      <c r="D99" s="37"/>
      <c r="E99" s="37"/>
      <c r="F99" s="37"/>
      <c r="G99" s="123"/>
      <c r="H99" s="37"/>
      <c r="I99" s="37"/>
      <c r="J99" s="37"/>
      <c r="K99" s="37"/>
      <c r="L99" s="37"/>
      <c r="M99" s="37"/>
      <c r="N99" s="37"/>
      <c r="O99" s="37"/>
      <c r="P99" s="37"/>
      <c r="Q99" s="37"/>
      <c r="R99" s="37"/>
      <c r="S99" s="37"/>
      <c r="T99" s="37"/>
      <c r="U99" s="37"/>
      <c r="V99" s="37"/>
      <c r="W99" s="44"/>
      <c r="X99" s="41"/>
    </row>
    <row r="100" spans="1:24" ht="15.75" customHeight="1" x14ac:dyDescent="0.3">
      <c r="A100" s="3"/>
      <c r="B100" s="3"/>
      <c r="C100" s="37"/>
      <c r="D100" s="37"/>
      <c r="E100" s="37"/>
      <c r="F100" s="37"/>
      <c r="G100" s="123"/>
      <c r="H100" s="37"/>
      <c r="I100" s="37"/>
      <c r="J100" s="37"/>
      <c r="K100" s="37"/>
      <c r="L100" s="37"/>
      <c r="M100" s="37"/>
      <c r="N100" s="37"/>
      <c r="O100" s="37"/>
      <c r="P100" s="37"/>
      <c r="Q100" s="37"/>
      <c r="R100" s="37"/>
      <c r="S100" s="37"/>
      <c r="T100" s="37"/>
      <c r="U100" s="37"/>
      <c r="V100" s="37"/>
      <c r="W100" s="44"/>
      <c r="X100" s="41"/>
    </row>
    <row r="101" spans="1:24" ht="15.75" customHeight="1" x14ac:dyDescent="0.3">
      <c r="A101" s="3"/>
      <c r="B101" s="3"/>
      <c r="C101" s="37"/>
      <c r="D101" s="37"/>
      <c r="E101" s="37"/>
      <c r="F101" s="37"/>
      <c r="G101" s="123"/>
      <c r="H101" s="37"/>
      <c r="I101" s="37"/>
      <c r="J101" s="37"/>
      <c r="K101" s="37"/>
      <c r="L101" s="37"/>
      <c r="M101" s="37"/>
      <c r="N101" s="37"/>
      <c r="O101" s="37"/>
      <c r="P101" s="37"/>
      <c r="Q101" s="37"/>
      <c r="R101" s="37"/>
      <c r="S101" s="37"/>
      <c r="T101" s="37"/>
      <c r="U101" s="37"/>
      <c r="V101" s="37"/>
      <c r="W101" s="44"/>
      <c r="X101" s="41"/>
    </row>
    <row r="102" spans="1:24" ht="15.75" customHeight="1" x14ac:dyDescent="0.3">
      <c r="A102" s="3"/>
      <c r="B102" s="3"/>
      <c r="C102" s="37"/>
      <c r="D102" s="37"/>
      <c r="E102" s="37"/>
      <c r="F102" s="37"/>
      <c r="G102" s="123"/>
      <c r="H102" s="37"/>
      <c r="I102" s="37"/>
      <c r="J102" s="37"/>
      <c r="K102" s="37"/>
      <c r="L102" s="37"/>
      <c r="M102" s="37"/>
      <c r="N102" s="37"/>
      <c r="O102" s="37"/>
      <c r="P102" s="37"/>
      <c r="Q102" s="37"/>
      <c r="R102" s="37"/>
      <c r="S102" s="37"/>
      <c r="T102" s="37"/>
      <c r="U102" s="37"/>
      <c r="V102" s="37"/>
      <c r="W102" s="44"/>
      <c r="X102" s="41"/>
    </row>
    <row r="103" spans="1:24" ht="15.75" customHeight="1" x14ac:dyDescent="0.3">
      <c r="A103" s="3"/>
      <c r="B103" s="3"/>
      <c r="C103" s="37"/>
      <c r="D103" s="37"/>
      <c r="E103" s="37"/>
      <c r="F103" s="37"/>
      <c r="G103" s="123"/>
      <c r="H103" s="37"/>
      <c r="I103" s="37"/>
      <c r="J103" s="37"/>
      <c r="K103" s="37"/>
      <c r="L103" s="37"/>
      <c r="M103" s="37"/>
      <c r="N103" s="37"/>
      <c r="O103" s="37"/>
      <c r="P103" s="37"/>
      <c r="Q103" s="37"/>
      <c r="R103" s="37"/>
      <c r="S103" s="37"/>
      <c r="T103" s="37"/>
      <c r="U103" s="37"/>
      <c r="V103" s="37"/>
      <c r="W103" s="44"/>
      <c r="X103" s="41"/>
    </row>
    <row r="104" spans="1:24" ht="15.75" customHeight="1" x14ac:dyDescent="0.3">
      <c r="A104" s="3"/>
      <c r="B104" s="3"/>
      <c r="C104" s="37"/>
      <c r="D104" s="37"/>
      <c r="E104" s="37"/>
      <c r="F104" s="37"/>
      <c r="G104" s="123"/>
      <c r="H104" s="37"/>
      <c r="I104" s="37"/>
      <c r="J104" s="37"/>
      <c r="K104" s="37"/>
      <c r="L104" s="37"/>
      <c r="M104" s="37"/>
      <c r="N104" s="37"/>
      <c r="O104" s="37"/>
      <c r="P104" s="37"/>
      <c r="Q104" s="37"/>
      <c r="R104" s="37"/>
      <c r="S104" s="37"/>
      <c r="T104" s="37"/>
      <c r="U104" s="37"/>
      <c r="V104" s="37"/>
      <c r="W104" s="44"/>
      <c r="X104" s="41"/>
    </row>
    <row r="105" spans="1:24" ht="15.75" customHeight="1" x14ac:dyDescent="0.3">
      <c r="A105" s="3"/>
      <c r="B105" s="3"/>
      <c r="C105" s="37"/>
      <c r="D105" s="37"/>
      <c r="E105" s="37"/>
      <c r="F105" s="37"/>
      <c r="G105" s="123"/>
      <c r="H105" s="37"/>
      <c r="I105" s="37"/>
      <c r="J105" s="37"/>
      <c r="K105" s="37"/>
      <c r="L105" s="37"/>
      <c r="M105" s="37"/>
      <c r="N105" s="37"/>
      <c r="O105" s="37"/>
      <c r="P105" s="37"/>
      <c r="Q105" s="37"/>
      <c r="R105" s="37"/>
      <c r="S105" s="37"/>
      <c r="T105" s="37"/>
      <c r="U105" s="37"/>
      <c r="V105" s="37"/>
      <c r="W105" s="44"/>
      <c r="X105" s="41"/>
    </row>
    <row r="106" spans="1:24" ht="15.75" customHeight="1" x14ac:dyDescent="0.3">
      <c r="A106" s="3"/>
      <c r="B106" s="3"/>
      <c r="C106" s="37"/>
      <c r="D106" s="37"/>
      <c r="E106" s="37"/>
      <c r="F106" s="37"/>
      <c r="G106" s="123"/>
      <c r="H106" s="37"/>
      <c r="I106" s="37"/>
      <c r="J106" s="37"/>
      <c r="K106" s="37"/>
      <c r="L106" s="37"/>
      <c r="M106" s="37"/>
      <c r="N106" s="37"/>
      <c r="O106" s="37"/>
      <c r="P106" s="37"/>
      <c r="Q106" s="37"/>
      <c r="R106" s="37"/>
      <c r="S106" s="37"/>
      <c r="T106" s="37"/>
      <c r="U106" s="37"/>
      <c r="V106" s="37"/>
      <c r="W106" s="44"/>
      <c r="X106" s="41"/>
    </row>
    <row r="107" spans="1:24" ht="15.75" customHeight="1" x14ac:dyDescent="0.3">
      <c r="A107" s="3"/>
      <c r="B107" s="3"/>
      <c r="C107" s="37"/>
      <c r="D107" s="37"/>
      <c r="E107" s="37"/>
      <c r="F107" s="37"/>
      <c r="G107" s="123"/>
      <c r="H107" s="37"/>
      <c r="I107" s="37"/>
      <c r="J107" s="37"/>
      <c r="K107" s="37"/>
      <c r="L107" s="37"/>
      <c r="M107" s="37"/>
      <c r="N107" s="37"/>
      <c r="O107" s="37"/>
      <c r="P107" s="37"/>
      <c r="Q107" s="37"/>
      <c r="R107" s="37"/>
      <c r="S107" s="37"/>
      <c r="T107" s="37"/>
      <c r="U107" s="37"/>
      <c r="V107" s="37"/>
      <c r="W107" s="44"/>
      <c r="X107" s="41"/>
    </row>
    <row r="108" spans="1:24" ht="15.75" customHeight="1" x14ac:dyDescent="0.3">
      <c r="A108" s="3"/>
      <c r="B108" s="3"/>
      <c r="C108" s="37"/>
      <c r="D108" s="37"/>
      <c r="E108" s="37"/>
      <c r="F108" s="37"/>
      <c r="G108" s="123"/>
      <c r="H108" s="37"/>
      <c r="I108" s="37"/>
      <c r="J108" s="37"/>
      <c r="K108" s="37"/>
      <c r="L108" s="37"/>
      <c r="M108" s="37"/>
      <c r="N108" s="37"/>
      <c r="O108" s="37"/>
      <c r="P108" s="37"/>
      <c r="Q108" s="37"/>
      <c r="R108" s="37"/>
      <c r="S108" s="37"/>
      <c r="T108" s="37"/>
      <c r="U108" s="37"/>
      <c r="V108" s="37"/>
      <c r="W108" s="44"/>
      <c r="X108" s="41"/>
    </row>
    <row r="109" spans="1:24" ht="15.75" customHeight="1" x14ac:dyDescent="0.3">
      <c r="A109" s="3"/>
      <c r="B109" s="3"/>
      <c r="C109" s="37"/>
      <c r="D109" s="37"/>
      <c r="E109" s="37"/>
      <c r="F109" s="37"/>
      <c r="G109" s="123"/>
      <c r="H109" s="37"/>
      <c r="I109" s="37"/>
      <c r="J109" s="37"/>
      <c r="K109" s="37"/>
      <c r="L109" s="37"/>
      <c r="M109" s="37"/>
      <c r="N109" s="37"/>
      <c r="O109" s="37"/>
      <c r="P109" s="37"/>
      <c r="Q109" s="37"/>
      <c r="R109" s="37"/>
      <c r="S109" s="37"/>
      <c r="T109" s="37"/>
      <c r="U109" s="37"/>
      <c r="V109" s="37"/>
      <c r="W109" s="44"/>
      <c r="X109" s="41"/>
    </row>
    <row r="110" spans="1:24" ht="15.75" customHeight="1" x14ac:dyDescent="0.3">
      <c r="A110" s="3"/>
      <c r="B110" s="3"/>
      <c r="C110" s="37"/>
      <c r="D110" s="37"/>
      <c r="E110" s="37"/>
      <c r="F110" s="37"/>
      <c r="G110" s="123"/>
      <c r="H110" s="37"/>
      <c r="I110" s="37"/>
      <c r="J110" s="37"/>
      <c r="K110" s="37"/>
      <c r="L110" s="37"/>
      <c r="M110" s="37"/>
      <c r="N110" s="37"/>
      <c r="O110" s="37"/>
      <c r="P110" s="37"/>
      <c r="Q110" s="37"/>
      <c r="R110" s="37"/>
      <c r="S110" s="37"/>
      <c r="T110" s="37"/>
      <c r="U110" s="37"/>
      <c r="V110" s="37"/>
      <c r="W110" s="44"/>
      <c r="X110" s="41"/>
    </row>
    <row r="111" spans="1:24" ht="15.75" customHeight="1" x14ac:dyDescent="0.3">
      <c r="A111" s="3"/>
      <c r="B111" s="3"/>
      <c r="C111" s="37"/>
      <c r="D111" s="37"/>
      <c r="E111" s="37"/>
      <c r="F111" s="37"/>
      <c r="G111" s="123"/>
      <c r="H111" s="37"/>
      <c r="I111" s="37"/>
      <c r="J111" s="37"/>
      <c r="K111" s="37"/>
      <c r="L111" s="37"/>
      <c r="M111" s="37"/>
      <c r="N111" s="37"/>
      <c r="O111" s="37"/>
      <c r="P111" s="37"/>
      <c r="Q111" s="37"/>
      <c r="R111" s="37"/>
      <c r="S111" s="37"/>
      <c r="T111" s="37"/>
      <c r="U111" s="37"/>
      <c r="V111" s="37"/>
      <c r="W111" s="44"/>
      <c r="X111" s="41"/>
    </row>
    <row r="112" spans="1:24" ht="15.75" customHeight="1" x14ac:dyDescent="0.3">
      <c r="A112" s="3"/>
      <c r="B112" s="3"/>
      <c r="C112" s="37"/>
      <c r="D112" s="37"/>
      <c r="E112" s="37"/>
      <c r="F112" s="37"/>
      <c r="G112" s="123"/>
      <c r="H112" s="37"/>
      <c r="I112" s="37"/>
      <c r="J112" s="37"/>
      <c r="K112" s="37"/>
      <c r="L112" s="37"/>
      <c r="M112" s="37"/>
      <c r="N112" s="37"/>
      <c r="O112" s="37"/>
      <c r="P112" s="37"/>
      <c r="Q112" s="37"/>
      <c r="R112" s="37"/>
      <c r="S112" s="37"/>
      <c r="T112" s="37"/>
      <c r="U112" s="37"/>
      <c r="V112" s="37"/>
      <c r="W112" s="44"/>
      <c r="X112" s="41"/>
    </row>
    <row r="113" spans="1:24" ht="15.75" customHeight="1" x14ac:dyDescent="0.3">
      <c r="A113" s="3"/>
      <c r="B113" s="3"/>
      <c r="C113" s="37"/>
      <c r="D113" s="37"/>
      <c r="E113" s="37"/>
      <c r="F113" s="37"/>
      <c r="G113" s="123"/>
      <c r="H113" s="37"/>
      <c r="I113" s="37"/>
      <c r="J113" s="37"/>
      <c r="K113" s="37"/>
      <c r="L113" s="37"/>
      <c r="M113" s="37"/>
      <c r="N113" s="37"/>
      <c r="O113" s="37"/>
      <c r="P113" s="37"/>
      <c r="Q113" s="37"/>
      <c r="R113" s="37"/>
      <c r="S113" s="37"/>
      <c r="T113" s="37"/>
      <c r="U113" s="37"/>
      <c r="V113" s="37"/>
      <c r="W113" s="44"/>
      <c r="X113" s="41"/>
    </row>
    <row r="114" spans="1:24" ht="15.75" customHeight="1" x14ac:dyDescent="0.3">
      <c r="A114" s="3"/>
      <c r="B114" s="3"/>
      <c r="C114" s="37"/>
      <c r="D114" s="37"/>
      <c r="E114" s="37"/>
      <c r="F114" s="37"/>
      <c r="G114" s="123"/>
      <c r="H114" s="37"/>
      <c r="I114" s="37"/>
      <c r="J114" s="37"/>
      <c r="K114" s="37"/>
      <c r="L114" s="37"/>
      <c r="M114" s="37"/>
      <c r="N114" s="37"/>
      <c r="O114" s="37"/>
      <c r="P114" s="37"/>
      <c r="Q114" s="37"/>
      <c r="R114" s="37"/>
      <c r="S114" s="37"/>
      <c r="T114" s="37"/>
      <c r="U114" s="37"/>
      <c r="V114" s="37"/>
      <c r="W114" s="44"/>
      <c r="X114" s="41"/>
    </row>
    <row r="115" spans="1:24" ht="15.75" customHeight="1" x14ac:dyDescent="0.3">
      <c r="A115" s="3"/>
      <c r="B115" s="3"/>
      <c r="C115" s="37"/>
      <c r="D115" s="37"/>
      <c r="E115" s="37"/>
      <c r="F115" s="37"/>
      <c r="G115" s="123"/>
      <c r="H115" s="37"/>
      <c r="I115" s="37"/>
      <c r="J115" s="37"/>
      <c r="K115" s="37"/>
      <c r="L115" s="37"/>
      <c r="M115" s="37"/>
      <c r="N115" s="37"/>
      <c r="O115" s="37"/>
      <c r="P115" s="37"/>
      <c r="Q115" s="37"/>
      <c r="R115" s="37"/>
      <c r="S115" s="37"/>
      <c r="T115" s="37"/>
      <c r="U115" s="37"/>
      <c r="V115" s="37"/>
      <c r="W115" s="44"/>
      <c r="X115" s="41"/>
    </row>
    <row r="116" spans="1:24" ht="15.75" customHeight="1" x14ac:dyDescent="0.3">
      <c r="A116" s="3"/>
      <c r="B116" s="3"/>
      <c r="C116" s="37"/>
      <c r="D116" s="37"/>
      <c r="E116" s="37"/>
      <c r="F116" s="37"/>
      <c r="G116" s="123"/>
      <c r="H116" s="37"/>
      <c r="I116" s="37"/>
      <c r="J116" s="37"/>
      <c r="K116" s="37"/>
      <c r="L116" s="37"/>
      <c r="M116" s="37"/>
      <c r="N116" s="37"/>
      <c r="O116" s="37"/>
      <c r="P116" s="37"/>
      <c r="Q116" s="37"/>
      <c r="R116" s="37"/>
      <c r="S116" s="37"/>
      <c r="T116" s="37"/>
      <c r="U116" s="37"/>
      <c r="V116" s="37"/>
      <c r="W116" s="44"/>
      <c r="X116" s="41"/>
    </row>
    <row r="117" spans="1:24" ht="15.75" customHeight="1" x14ac:dyDescent="0.3">
      <c r="A117" s="3"/>
      <c r="B117" s="3"/>
      <c r="C117" s="37"/>
      <c r="D117" s="37"/>
      <c r="E117" s="37"/>
      <c r="F117" s="37"/>
      <c r="G117" s="123"/>
      <c r="H117" s="37"/>
      <c r="I117" s="37"/>
      <c r="J117" s="37"/>
      <c r="K117" s="37"/>
      <c r="L117" s="37"/>
      <c r="M117" s="37"/>
      <c r="N117" s="37"/>
      <c r="O117" s="37"/>
      <c r="P117" s="37"/>
      <c r="Q117" s="37"/>
      <c r="R117" s="37"/>
      <c r="S117" s="37"/>
      <c r="T117" s="37"/>
      <c r="U117" s="37"/>
      <c r="V117" s="37"/>
      <c r="W117" s="44"/>
      <c r="X117" s="41"/>
    </row>
    <row r="118" spans="1:24" ht="15.75" customHeight="1" x14ac:dyDescent="0.3">
      <c r="A118" s="3"/>
      <c r="B118" s="3"/>
      <c r="C118" s="37"/>
      <c r="D118" s="37"/>
      <c r="E118" s="37"/>
      <c r="F118" s="37"/>
      <c r="G118" s="123"/>
      <c r="H118" s="37"/>
      <c r="I118" s="37"/>
      <c r="J118" s="37"/>
      <c r="K118" s="37"/>
      <c r="L118" s="37"/>
      <c r="M118" s="37"/>
      <c r="N118" s="37"/>
      <c r="O118" s="37"/>
      <c r="P118" s="37"/>
      <c r="Q118" s="37"/>
      <c r="R118" s="37"/>
      <c r="S118" s="37"/>
      <c r="T118" s="37"/>
      <c r="U118" s="37"/>
      <c r="V118" s="37"/>
      <c r="W118" s="44"/>
      <c r="X118" s="41"/>
    </row>
    <row r="119" spans="1:24" ht="15.75" customHeight="1" x14ac:dyDescent="0.3">
      <c r="A119" s="3"/>
      <c r="B119" s="3"/>
      <c r="C119" s="37"/>
      <c r="D119" s="37"/>
      <c r="E119" s="37"/>
      <c r="F119" s="37"/>
      <c r="G119" s="123"/>
      <c r="H119" s="37"/>
      <c r="I119" s="37"/>
      <c r="J119" s="37"/>
      <c r="K119" s="37"/>
      <c r="L119" s="37"/>
      <c r="M119" s="37"/>
      <c r="N119" s="37"/>
      <c r="O119" s="37"/>
      <c r="P119" s="37"/>
      <c r="Q119" s="37"/>
      <c r="R119" s="37"/>
      <c r="S119" s="37"/>
      <c r="T119" s="37"/>
      <c r="U119" s="37"/>
      <c r="V119" s="37"/>
      <c r="W119" s="44"/>
      <c r="X119" s="41"/>
    </row>
    <row r="120" spans="1:24" ht="15.75" customHeight="1" x14ac:dyDescent="0.3">
      <c r="A120" s="3"/>
      <c r="B120" s="3"/>
      <c r="C120" s="37"/>
      <c r="D120" s="37"/>
      <c r="E120" s="37"/>
      <c r="F120" s="37"/>
      <c r="G120" s="123"/>
      <c r="H120" s="37"/>
      <c r="I120" s="37"/>
      <c r="J120" s="37"/>
      <c r="K120" s="37"/>
      <c r="L120" s="37"/>
      <c r="M120" s="37"/>
      <c r="N120" s="37"/>
      <c r="O120" s="37"/>
      <c r="P120" s="37"/>
      <c r="Q120" s="37"/>
      <c r="R120" s="37"/>
      <c r="S120" s="37"/>
      <c r="T120" s="37"/>
      <c r="U120" s="37"/>
      <c r="V120" s="37"/>
      <c r="W120" s="44"/>
      <c r="X120" s="41"/>
    </row>
    <row r="121" spans="1:24" ht="15.75" customHeight="1" x14ac:dyDescent="0.3">
      <c r="A121" s="3"/>
      <c r="B121" s="3"/>
      <c r="C121" s="37"/>
      <c r="D121" s="37"/>
      <c r="E121" s="37"/>
      <c r="F121" s="37"/>
      <c r="G121" s="123"/>
      <c r="H121" s="37"/>
      <c r="I121" s="37"/>
      <c r="J121" s="37"/>
      <c r="K121" s="37"/>
      <c r="L121" s="37"/>
      <c r="M121" s="37"/>
      <c r="N121" s="37"/>
      <c r="O121" s="37"/>
      <c r="P121" s="37"/>
      <c r="Q121" s="37"/>
      <c r="R121" s="37"/>
      <c r="S121" s="37"/>
      <c r="T121" s="37"/>
      <c r="U121" s="37"/>
      <c r="V121" s="37"/>
      <c r="W121" s="44"/>
      <c r="X121" s="41"/>
    </row>
    <row r="122" spans="1:24" ht="15.75" customHeight="1" x14ac:dyDescent="0.3">
      <c r="A122" s="3"/>
      <c r="B122" s="3"/>
      <c r="C122" s="37"/>
      <c r="D122" s="37"/>
      <c r="E122" s="37"/>
      <c r="F122" s="37"/>
      <c r="G122" s="123"/>
      <c r="H122" s="37"/>
      <c r="I122" s="37"/>
      <c r="J122" s="37"/>
      <c r="K122" s="37"/>
      <c r="L122" s="37"/>
      <c r="M122" s="37"/>
      <c r="N122" s="37"/>
      <c r="O122" s="37"/>
      <c r="P122" s="37"/>
      <c r="Q122" s="37"/>
      <c r="R122" s="37"/>
      <c r="S122" s="37"/>
      <c r="T122" s="37"/>
      <c r="U122" s="37"/>
      <c r="V122" s="37"/>
      <c r="W122" s="44"/>
      <c r="X122" s="41"/>
    </row>
    <row r="123" spans="1:24" ht="15.75" customHeight="1" x14ac:dyDescent="0.3">
      <c r="A123" s="3"/>
      <c r="B123" s="3"/>
      <c r="C123" s="37"/>
      <c r="D123" s="37"/>
      <c r="E123" s="37"/>
      <c r="F123" s="37"/>
      <c r="G123" s="123"/>
      <c r="H123" s="37"/>
      <c r="I123" s="37"/>
      <c r="J123" s="37"/>
      <c r="K123" s="37"/>
      <c r="L123" s="37"/>
      <c r="M123" s="37"/>
      <c r="N123" s="37"/>
      <c r="O123" s="37"/>
      <c r="P123" s="37"/>
      <c r="Q123" s="37"/>
      <c r="R123" s="37"/>
      <c r="S123" s="37"/>
      <c r="T123" s="37"/>
      <c r="U123" s="37"/>
      <c r="V123" s="37"/>
      <c r="W123" s="44"/>
      <c r="X123" s="41"/>
    </row>
    <row r="124" spans="1:24" ht="15.75" customHeight="1" x14ac:dyDescent="0.3">
      <c r="A124" s="3"/>
      <c r="B124" s="3"/>
      <c r="C124" s="37"/>
      <c r="D124" s="37"/>
      <c r="E124" s="37"/>
      <c r="F124" s="37"/>
      <c r="G124" s="123"/>
      <c r="H124" s="37"/>
      <c r="I124" s="37"/>
      <c r="J124" s="37"/>
      <c r="K124" s="37"/>
      <c r="L124" s="37"/>
      <c r="M124" s="37"/>
      <c r="N124" s="37"/>
      <c r="O124" s="37"/>
      <c r="P124" s="37"/>
      <c r="Q124" s="37"/>
      <c r="R124" s="37"/>
      <c r="S124" s="37"/>
      <c r="T124" s="37"/>
      <c r="U124" s="37"/>
      <c r="V124" s="37"/>
      <c r="W124" s="44"/>
      <c r="X124" s="41"/>
    </row>
    <row r="125" spans="1:24" ht="15.75" customHeight="1" x14ac:dyDescent="0.3">
      <c r="A125" s="3"/>
      <c r="B125" s="3"/>
      <c r="C125" s="37"/>
      <c r="D125" s="37"/>
      <c r="E125" s="37"/>
      <c r="F125" s="37"/>
      <c r="G125" s="123"/>
      <c r="H125" s="37"/>
      <c r="I125" s="37"/>
      <c r="J125" s="37"/>
      <c r="K125" s="37"/>
      <c r="L125" s="37"/>
      <c r="M125" s="37"/>
      <c r="N125" s="37"/>
      <c r="O125" s="37"/>
      <c r="P125" s="37"/>
      <c r="Q125" s="37"/>
      <c r="R125" s="37"/>
      <c r="S125" s="37"/>
      <c r="T125" s="37"/>
      <c r="U125" s="37"/>
      <c r="V125" s="37"/>
      <c r="W125" s="44"/>
      <c r="X125" s="41"/>
    </row>
    <row r="126" spans="1:24" ht="15.75" customHeight="1" x14ac:dyDescent="0.3">
      <c r="A126" s="3"/>
      <c r="B126" s="3"/>
      <c r="C126" s="37"/>
      <c r="D126" s="37"/>
      <c r="E126" s="37"/>
      <c r="F126" s="37"/>
      <c r="G126" s="123"/>
      <c r="H126" s="37"/>
      <c r="I126" s="37"/>
      <c r="J126" s="37"/>
      <c r="K126" s="37"/>
      <c r="L126" s="37"/>
      <c r="M126" s="37"/>
      <c r="N126" s="37"/>
      <c r="O126" s="37"/>
      <c r="P126" s="37"/>
      <c r="Q126" s="37"/>
      <c r="R126" s="37"/>
      <c r="S126" s="37"/>
      <c r="T126" s="37"/>
      <c r="U126" s="37"/>
      <c r="V126" s="37"/>
      <c r="W126" s="44"/>
      <c r="X126" s="41"/>
    </row>
    <row r="127" spans="1:24" ht="15.75" customHeight="1" x14ac:dyDescent="0.3">
      <c r="A127" s="3"/>
      <c r="B127" s="3"/>
      <c r="C127" s="37"/>
      <c r="D127" s="37"/>
      <c r="E127" s="37"/>
      <c r="F127" s="37"/>
      <c r="G127" s="123"/>
      <c r="H127" s="37"/>
      <c r="I127" s="37"/>
      <c r="J127" s="37"/>
      <c r="K127" s="37"/>
      <c r="L127" s="37"/>
      <c r="M127" s="37"/>
      <c r="N127" s="37"/>
      <c r="O127" s="37"/>
      <c r="P127" s="37"/>
      <c r="Q127" s="37"/>
      <c r="R127" s="37"/>
      <c r="S127" s="37"/>
      <c r="T127" s="37"/>
      <c r="U127" s="37"/>
      <c r="V127" s="37"/>
      <c r="W127" s="44"/>
      <c r="X127" s="41"/>
    </row>
    <row r="128" spans="1:24" ht="15.75" customHeight="1" x14ac:dyDescent="0.3">
      <c r="A128" s="3"/>
      <c r="B128" s="3"/>
      <c r="C128" s="37"/>
      <c r="D128" s="37"/>
      <c r="E128" s="37"/>
      <c r="F128" s="37"/>
      <c r="G128" s="123"/>
      <c r="H128" s="37"/>
      <c r="I128" s="37"/>
      <c r="J128" s="37"/>
      <c r="K128" s="37"/>
      <c r="L128" s="37"/>
      <c r="M128" s="37"/>
      <c r="N128" s="37"/>
      <c r="O128" s="37"/>
      <c r="P128" s="37"/>
      <c r="Q128" s="37"/>
      <c r="R128" s="37"/>
      <c r="S128" s="37"/>
      <c r="T128" s="37"/>
      <c r="U128" s="37"/>
      <c r="V128" s="37"/>
      <c r="W128" s="44"/>
      <c r="X128" s="41"/>
    </row>
    <row r="129" spans="1:24" ht="15.75" customHeight="1" x14ac:dyDescent="0.3">
      <c r="A129" s="3"/>
      <c r="B129" s="3"/>
      <c r="C129" s="37"/>
      <c r="D129" s="37"/>
      <c r="E129" s="37"/>
      <c r="F129" s="37"/>
      <c r="G129" s="123"/>
      <c r="H129" s="37"/>
      <c r="I129" s="37"/>
      <c r="J129" s="37"/>
      <c r="K129" s="37"/>
      <c r="L129" s="37"/>
      <c r="M129" s="37"/>
      <c r="N129" s="37"/>
      <c r="O129" s="37"/>
      <c r="P129" s="37"/>
      <c r="Q129" s="37"/>
      <c r="R129" s="37"/>
      <c r="S129" s="37"/>
      <c r="T129" s="37"/>
      <c r="U129" s="37"/>
      <c r="V129" s="37"/>
      <c r="W129" s="44"/>
      <c r="X129" s="41"/>
    </row>
    <row r="130" spans="1:24" ht="15.75" customHeight="1" x14ac:dyDescent="0.3">
      <c r="A130" s="3"/>
      <c r="B130" s="3"/>
      <c r="C130" s="37"/>
      <c r="D130" s="37"/>
      <c r="E130" s="37"/>
      <c r="F130" s="37"/>
      <c r="G130" s="123"/>
      <c r="H130" s="37"/>
      <c r="I130" s="37"/>
      <c r="J130" s="37"/>
      <c r="K130" s="37"/>
      <c r="L130" s="37"/>
      <c r="M130" s="37"/>
      <c r="N130" s="37"/>
      <c r="O130" s="37"/>
      <c r="P130" s="37"/>
      <c r="Q130" s="37"/>
      <c r="R130" s="37"/>
      <c r="S130" s="37"/>
      <c r="T130" s="37"/>
      <c r="U130" s="37"/>
      <c r="V130" s="37"/>
      <c r="W130" s="44"/>
      <c r="X130" s="41"/>
    </row>
    <row r="131" spans="1:24" ht="15.75" customHeight="1" x14ac:dyDescent="0.3">
      <c r="A131" s="3"/>
      <c r="B131" s="3"/>
      <c r="C131" s="37"/>
      <c r="D131" s="37"/>
      <c r="E131" s="37"/>
      <c r="F131" s="37"/>
      <c r="G131" s="123"/>
      <c r="H131" s="37"/>
      <c r="I131" s="37"/>
      <c r="J131" s="37"/>
      <c r="K131" s="37"/>
      <c r="L131" s="37"/>
      <c r="M131" s="37"/>
      <c r="N131" s="37"/>
      <c r="O131" s="37"/>
      <c r="P131" s="37"/>
      <c r="Q131" s="37"/>
      <c r="R131" s="37"/>
      <c r="S131" s="37"/>
      <c r="T131" s="37"/>
      <c r="U131" s="37"/>
      <c r="V131" s="37"/>
      <c r="W131" s="44"/>
      <c r="X131" s="41"/>
    </row>
    <row r="132" spans="1:24" ht="15.75" customHeight="1" x14ac:dyDescent="0.3">
      <c r="A132" s="3"/>
      <c r="B132" s="3"/>
      <c r="C132" s="37"/>
      <c r="D132" s="37"/>
      <c r="E132" s="37"/>
      <c r="F132" s="37"/>
      <c r="G132" s="123"/>
      <c r="H132" s="37"/>
      <c r="I132" s="37"/>
      <c r="J132" s="37"/>
      <c r="K132" s="37"/>
      <c r="L132" s="37"/>
      <c r="M132" s="37"/>
      <c r="N132" s="37"/>
      <c r="O132" s="37"/>
      <c r="P132" s="37"/>
      <c r="Q132" s="37"/>
      <c r="R132" s="37"/>
      <c r="S132" s="37"/>
      <c r="T132" s="37"/>
      <c r="U132" s="37"/>
      <c r="V132" s="37"/>
      <c r="W132" s="44"/>
      <c r="X132" s="41"/>
    </row>
    <row r="133" spans="1:24" ht="15.75" customHeight="1" x14ac:dyDescent="0.3">
      <c r="A133" s="3"/>
      <c r="B133" s="3"/>
      <c r="C133" s="37"/>
      <c r="D133" s="37"/>
      <c r="E133" s="37"/>
      <c r="F133" s="37"/>
      <c r="G133" s="123"/>
      <c r="H133" s="37"/>
      <c r="I133" s="37"/>
      <c r="J133" s="37"/>
      <c r="K133" s="37"/>
      <c r="L133" s="37"/>
      <c r="M133" s="37"/>
      <c r="N133" s="37"/>
      <c r="O133" s="37"/>
      <c r="P133" s="37"/>
      <c r="Q133" s="37"/>
      <c r="R133" s="37"/>
      <c r="S133" s="37"/>
      <c r="T133" s="37"/>
      <c r="U133" s="37"/>
      <c r="V133" s="37"/>
      <c r="W133" s="44"/>
      <c r="X133" s="41"/>
    </row>
    <row r="134" spans="1:24" ht="15.75" customHeight="1" x14ac:dyDescent="0.3">
      <c r="A134" s="3"/>
      <c r="B134" s="3"/>
      <c r="C134" s="37"/>
      <c r="D134" s="37"/>
      <c r="E134" s="37"/>
      <c r="F134" s="37"/>
      <c r="G134" s="123"/>
      <c r="H134" s="37"/>
      <c r="I134" s="37"/>
      <c r="J134" s="37"/>
      <c r="K134" s="37"/>
      <c r="L134" s="37"/>
      <c r="M134" s="37"/>
      <c r="N134" s="37"/>
      <c r="O134" s="37"/>
      <c r="P134" s="37"/>
      <c r="Q134" s="37"/>
      <c r="R134" s="37"/>
      <c r="S134" s="37"/>
      <c r="T134" s="37"/>
      <c r="U134" s="37"/>
      <c r="V134" s="37"/>
      <c r="W134" s="44"/>
      <c r="X134" s="41"/>
    </row>
    <row r="135" spans="1:24" ht="15.75" customHeight="1" x14ac:dyDescent="0.3">
      <c r="A135" s="3"/>
      <c r="B135" s="3"/>
      <c r="C135" s="37"/>
      <c r="D135" s="37"/>
      <c r="E135" s="37"/>
      <c r="F135" s="37"/>
      <c r="G135" s="123"/>
      <c r="H135" s="37"/>
      <c r="I135" s="37"/>
      <c r="J135" s="37"/>
      <c r="K135" s="37"/>
      <c r="L135" s="37"/>
      <c r="M135" s="37"/>
      <c r="N135" s="37"/>
      <c r="O135" s="37"/>
      <c r="P135" s="37"/>
      <c r="Q135" s="37"/>
      <c r="R135" s="37"/>
      <c r="S135" s="37"/>
      <c r="T135" s="37"/>
      <c r="U135" s="37"/>
      <c r="V135" s="37"/>
      <c r="W135" s="44"/>
      <c r="X135" s="41"/>
    </row>
    <row r="136" spans="1:24" ht="15.75" customHeight="1" x14ac:dyDescent="0.3">
      <c r="A136" s="3"/>
      <c r="B136" s="3"/>
      <c r="C136" s="37"/>
      <c r="D136" s="37"/>
      <c r="E136" s="37"/>
      <c r="F136" s="37"/>
      <c r="G136" s="123"/>
      <c r="H136" s="37"/>
      <c r="I136" s="37"/>
      <c r="J136" s="37"/>
      <c r="K136" s="37"/>
      <c r="L136" s="37"/>
      <c r="M136" s="37"/>
      <c r="N136" s="37"/>
      <c r="O136" s="37"/>
      <c r="P136" s="37"/>
      <c r="Q136" s="37"/>
      <c r="R136" s="37"/>
      <c r="S136" s="37"/>
      <c r="T136" s="37"/>
      <c r="U136" s="37"/>
      <c r="V136" s="37"/>
      <c r="W136" s="44"/>
      <c r="X136" s="41"/>
    </row>
    <row r="137" spans="1:24" ht="15.75" customHeight="1" x14ac:dyDescent="0.3">
      <c r="A137" s="3"/>
      <c r="B137" s="3"/>
      <c r="C137" s="37"/>
      <c r="D137" s="37"/>
      <c r="E137" s="37"/>
      <c r="F137" s="37"/>
      <c r="G137" s="123"/>
      <c r="H137" s="37"/>
      <c r="I137" s="37"/>
      <c r="J137" s="37"/>
      <c r="K137" s="37"/>
      <c r="L137" s="37"/>
      <c r="M137" s="37"/>
      <c r="N137" s="37"/>
      <c r="O137" s="37"/>
      <c r="P137" s="37"/>
      <c r="Q137" s="37"/>
      <c r="R137" s="37"/>
      <c r="S137" s="37"/>
      <c r="T137" s="37"/>
      <c r="U137" s="37"/>
      <c r="V137" s="37"/>
      <c r="W137" s="44"/>
      <c r="X137" s="41"/>
    </row>
    <row r="138" spans="1:24" ht="15.75" customHeight="1" x14ac:dyDescent="0.3">
      <c r="A138" s="3"/>
      <c r="B138" s="3"/>
      <c r="C138" s="37"/>
      <c r="D138" s="37"/>
      <c r="E138" s="37"/>
      <c r="F138" s="37"/>
      <c r="G138" s="123"/>
      <c r="H138" s="37"/>
      <c r="I138" s="37"/>
      <c r="J138" s="37"/>
      <c r="K138" s="37"/>
      <c r="L138" s="37"/>
      <c r="M138" s="37"/>
      <c r="N138" s="37"/>
      <c r="O138" s="37"/>
      <c r="P138" s="37"/>
      <c r="Q138" s="37"/>
      <c r="R138" s="37"/>
      <c r="S138" s="37"/>
      <c r="T138" s="37"/>
      <c r="U138" s="37"/>
      <c r="V138" s="37"/>
      <c r="W138" s="44"/>
      <c r="X138" s="41"/>
    </row>
    <row r="139" spans="1:24" ht="15.75" customHeight="1" x14ac:dyDescent="0.3">
      <c r="A139" s="3"/>
      <c r="B139" s="3"/>
      <c r="C139" s="37"/>
      <c r="D139" s="37"/>
      <c r="E139" s="37"/>
      <c r="F139" s="37"/>
      <c r="G139" s="123"/>
      <c r="H139" s="37"/>
      <c r="I139" s="37"/>
      <c r="J139" s="37"/>
      <c r="K139" s="37"/>
      <c r="L139" s="37"/>
      <c r="M139" s="37"/>
      <c r="N139" s="37"/>
      <c r="O139" s="37"/>
      <c r="P139" s="37"/>
      <c r="Q139" s="37"/>
      <c r="R139" s="37"/>
      <c r="S139" s="37"/>
      <c r="T139" s="37"/>
      <c r="U139" s="37"/>
      <c r="V139" s="37"/>
      <c r="W139" s="44"/>
      <c r="X139" s="41"/>
    </row>
    <row r="140" spans="1:24" ht="15.75" customHeight="1" x14ac:dyDescent="0.3">
      <c r="A140" s="3"/>
      <c r="B140" s="3"/>
      <c r="C140" s="37"/>
      <c r="D140" s="37"/>
      <c r="E140" s="37"/>
      <c r="F140" s="37"/>
      <c r="G140" s="123"/>
      <c r="H140" s="37"/>
      <c r="I140" s="37"/>
      <c r="J140" s="37"/>
      <c r="K140" s="37"/>
      <c r="L140" s="37"/>
      <c r="M140" s="37"/>
      <c r="N140" s="37"/>
      <c r="O140" s="37"/>
      <c r="P140" s="37"/>
      <c r="Q140" s="37"/>
      <c r="R140" s="37"/>
      <c r="S140" s="37"/>
      <c r="T140" s="37"/>
      <c r="U140" s="37"/>
      <c r="V140" s="37"/>
      <c r="W140" s="44"/>
      <c r="X140" s="41"/>
    </row>
    <row r="141" spans="1:24" ht="15.75" customHeight="1" x14ac:dyDescent="0.3">
      <c r="A141" s="3"/>
      <c r="B141" s="3"/>
      <c r="C141" s="37"/>
      <c r="D141" s="37"/>
      <c r="E141" s="37"/>
      <c r="F141" s="37"/>
      <c r="G141" s="123"/>
      <c r="H141" s="37"/>
      <c r="I141" s="37"/>
      <c r="J141" s="37"/>
      <c r="K141" s="37"/>
      <c r="L141" s="37"/>
      <c r="M141" s="37"/>
      <c r="N141" s="37"/>
      <c r="O141" s="37"/>
      <c r="P141" s="37"/>
      <c r="Q141" s="37"/>
      <c r="R141" s="37"/>
      <c r="S141" s="37"/>
      <c r="T141" s="37"/>
      <c r="U141" s="37"/>
      <c r="V141" s="37"/>
      <c r="W141" s="44"/>
      <c r="X141" s="41"/>
    </row>
    <row r="142" spans="1:24" ht="15.75" customHeight="1" x14ac:dyDescent="0.3">
      <c r="A142" s="3"/>
      <c r="B142" s="3"/>
      <c r="C142" s="37"/>
      <c r="D142" s="37"/>
      <c r="E142" s="37"/>
      <c r="F142" s="37"/>
      <c r="G142" s="123"/>
      <c r="H142" s="37"/>
      <c r="I142" s="37"/>
      <c r="J142" s="37"/>
      <c r="K142" s="37"/>
      <c r="L142" s="37"/>
      <c r="M142" s="37"/>
      <c r="N142" s="37"/>
      <c r="O142" s="37"/>
      <c r="P142" s="37"/>
      <c r="Q142" s="37"/>
      <c r="R142" s="37"/>
      <c r="S142" s="37"/>
      <c r="T142" s="37"/>
      <c r="U142" s="37"/>
      <c r="V142" s="37"/>
      <c r="W142" s="44"/>
      <c r="X142" s="41"/>
    </row>
    <row r="143" spans="1:24" ht="15.75" customHeight="1" x14ac:dyDescent="0.3">
      <c r="A143" s="3"/>
      <c r="B143" s="3"/>
      <c r="C143" s="37"/>
      <c r="D143" s="37"/>
      <c r="E143" s="37"/>
      <c r="F143" s="37"/>
      <c r="G143" s="123"/>
      <c r="H143" s="37"/>
      <c r="I143" s="37"/>
      <c r="J143" s="37"/>
      <c r="K143" s="37"/>
      <c r="L143" s="37"/>
      <c r="M143" s="37"/>
      <c r="N143" s="37"/>
      <c r="O143" s="37"/>
      <c r="P143" s="37"/>
      <c r="Q143" s="37"/>
      <c r="R143" s="37"/>
      <c r="S143" s="37"/>
      <c r="T143" s="37"/>
      <c r="U143" s="37"/>
      <c r="V143" s="37"/>
      <c r="W143" s="44"/>
      <c r="X143" s="41"/>
    </row>
    <row r="144" spans="1:24" ht="15.75" customHeight="1" x14ac:dyDescent="0.3">
      <c r="A144" s="3"/>
      <c r="B144" s="3"/>
      <c r="C144" s="37"/>
      <c r="D144" s="37"/>
      <c r="E144" s="37"/>
      <c r="F144" s="37"/>
      <c r="G144" s="123"/>
      <c r="H144" s="37"/>
      <c r="I144" s="37"/>
      <c r="J144" s="37"/>
      <c r="K144" s="37"/>
      <c r="L144" s="37"/>
      <c r="M144" s="37"/>
      <c r="N144" s="37"/>
      <c r="O144" s="37"/>
      <c r="P144" s="37"/>
      <c r="Q144" s="37"/>
      <c r="R144" s="37"/>
      <c r="S144" s="37"/>
      <c r="T144" s="37"/>
      <c r="U144" s="37"/>
      <c r="V144" s="37"/>
      <c r="W144" s="44"/>
      <c r="X144" s="41"/>
    </row>
    <row r="145" spans="1:24" ht="15.75" customHeight="1" x14ac:dyDescent="0.3">
      <c r="A145" s="3"/>
      <c r="B145" s="3"/>
      <c r="C145" s="37"/>
      <c r="D145" s="37"/>
      <c r="E145" s="37"/>
      <c r="F145" s="37"/>
      <c r="G145" s="123"/>
      <c r="H145" s="37"/>
      <c r="I145" s="37"/>
      <c r="J145" s="37"/>
      <c r="K145" s="37"/>
      <c r="L145" s="37"/>
      <c r="M145" s="37"/>
      <c r="N145" s="37"/>
      <c r="O145" s="37"/>
      <c r="P145" s="37"/>
      <c r="Q145" s="37"/>
      <c r="R145" s="37"/>
      <c r="S145" s="37"/>
      <c r="T145" s="37"/>
      <c r="U145" s="37"/>
      <c r="V145" s="37"/>
      <c r="W145" s="44"/>
      <c r="X145" s="41"/>
    </row>
    <row r="146" spans="1:24" ht="15.75" customHeight="1" x14ac:dyDescent="0.3">
      <c r="A146" s="3"/>
      <c r="B146" s="3"/>
      <c r="C146" s="37"/>
      <c r="D146" s="37"/>
      <c r="E146" s="37"/>
      <c r="F146" s="37"/>
      <c r="G146" s="123"/>
      <c r="H146" s="37"/>
      <c r="I146" s="37"/>
      <c r="J146" s="37"/>
      <c r="K146" s="37"/>
      <c r="L146" s="37"/>
      <c r="M146" s="37"/>
      <c r="N146" s="37"/>
      <c r="O146" s="37"/>
      <c r="P146" s="37"/>
      <c r="Q146" s="37"/>
      <c r="R146" s="37"/>
      <c r="S146" s="37"/>
      <c r="T146" s="37"/>
      <c r="U146" s="37"/>
      <c r="V146" s="37"/>
      <c r="W146" s="44"/>
      <c r="X146" s="41"/>
    </row>
    <row r="147" spans="1:24" ht="15.75" customHeight="1" x14ac:dyDescent="0.3">
      <c r="A147" s="3"/>
      <c r="B147" s="3"/>
      <c r="C147" s="37"/>
      <c r="D147" s="37"/>
      <c r="E147" s="37"/>
      <c r="F147" s="37"/>
      <c r="G147" s="123"/>
      <c r="H147" s="37"/>
      <c r="I147" s="37"/>
      <c r="J147" s="37"/>
      <c r="K147" s="37"/>
      <c r="L147" s="37"/>
      <c r="M147" s="37"/>
      <c r="N147" s="37"/>
      <c r="O147" s="37"/>
      <c r="P147" s="37"/>
      <c r="Q147" s="37"/>
      <c r="R147" s="37"/>
      <c r="S147" s="37"/>
      <c r="T147" s="37"/>
      <c r="U147" s="37"/>
      <c r="V147" s="37"/>
      <c r="W147" s="44"/>
      <c r="X147" s="41"/>
    </row>
    <row r="148" spans="1:24" ht="15.75" customHeight="1" x14ac:dyDescent="0.3">
      <c r="A148" s="3"/>
      <c r="B148" s="3"/>
      <c r="C148" s="37"/>
      <c r="D148" s="37"/>
      <c r="E148" s="37"/>
      <c r="F148" s="37"/>
      <c r="G148" s="123"/>
      <c r="H148" s="37"/>
      <c r="I148" s="37"/>
      <c r="J148" s="37"/>
      <c r="K148" s="37"/>
      <c r="L148" s="37"/>
      <c r="M148" s="37"/>
      <c r="N148" s="37"/>
      <c r="O148" s="37"/>
      <c r="P148" s="37"/>
      <c r="Q148" s="37"/>
      <c r="R148" s="37"/>
      <c r="S148" s="37"/>
      <c r="T148" s="37"/>
      <c r="U148" s="37"/>
      <c r="V148" s="37"/>
      <c r="W148" s="44"/>
      <c r="X148" s="41"/>
    </row>
    <row r="149" spans="1:24" ht="15.75" customHeight="1" x14ac:dyDescent="0.3">
      <c r="A149" s="3"/>
      <c r="B149" s="3"/>
      <c r="C149" s="37"/>
      <c r="D149" s="37"/>
      <c r="E149" s="37"/>
      <c r="F149" s="37"/>
      <c r="G149" s="123"/>
      <c r="H149" s="37"/>
      <c r="I149" s="37"/>
      <c r="J149" s="37"/>
      <c r="K149" s="37"/>
      <c r="L149" s="37"/>
      <c r="M149" s="37"/>
      <c r="N149" s="37"/>
      <c r="O149" s="37"/>
      <c r="P149" s="37"/>
      <c r="Q149" s="37"/>
      <c r="R149" s="37"/>
      <c r="S149" s="37"/>
      <c r="T149" s="37"/>
      <c r="U149" s="37"/>
      <c r="V149" s="37"/>
      <c r="W149" s="44"/>
      <c r="X149" s="41"/>
    </row>
    <row r="150" spans="1:24" ht="15.75" customHeight="1" x14ac:dyDescent="0.3">
      <c r="A150" s="3"/>
      <c r="B150" s="3"/>
      <c r="C150" s="37"/>
      <c r="D150" s="37"/>
      <c r="E150" s="37"/>
      <c r="F150" s="37"/>
      <c r="G150" s="123"/>
      <c r="H150" s="37"/>
      <c r="I150" s="37"/>
      <c r="J150" s="37"/>
      <c r="K150" s="37"/>
      <c r="L150" s="37"/>
      <c r="M150" s="37"/>
      <c r="N150" s="37"/>
      <c r="O150" s="37"/>
      <c r="P150" s="37"/>
      <c r="Q150" s="37"/>
      <c r="R150" s="37"/>
      <c r="S150" s="37"/>
      <c r="T150" s="37"/>
      <c r="U150" s="37"/>
      <c r="V150" s="37"/>
      <c r="W150" s="44"/>
      <c r="X150" s="41"/>
    </row>
    <row r="151" spans="1:24" ht="15.75" customHeight="1" x14ac:dyDescent="0.3">
      <c r="A151" s="3"/>
      <c r="B151" s="3"/>
      <c r="C151" s="37"/>
      <c r="D151" s="37"/>
      <c r="E151" s="37"/>
      <c r="F151" s="37"/>
      <c r="G151" s="123"/>
      <c r="H151" s="37"/>
      <c r="I151" s="37"/>
      <c r="J151" s="37"/>
      <c r="K151" s="37"/>
      <c r="L151" s="37"/>
      <c r="M151" s="37"/>
      <c r="N151" s="37"/>
      <c r="O151" s="37"/>
      <c r="P151" s="37"/>
      <c r="Q151" s="37"/>
      <c r="R151" s="37"/>
      <c r="S151" s="37"/>
      <c r="T151" s="37"/>
      <c r="U151" s="37"/>
      <c r="V151" s="37"/>
      <c r="W151" s="44"/>
      <c r="X151" s="41"/>
    </row>
    <row r="152" spans="1:24" ht="15.75" customHeight="1" x14ac:dyDescent="0.3">
      <c r="A152" s="3"/>
      <c r="B152" s="3"/>
      <c r="C152" s="37"/>
      <c r="D152" s="37"/>
      <c r="E152" s="37"/>
      <c r="F152" s="37"/>
      <c r="G152" s="123"/>
      <c r="H152" s="37"/>
      <c r="I152" s="37"/>
      <c r="J152" s="37"/>
      <c r="K152" s="37"/>
      <c r="L152" s="37"/>
      <c r="M152" s="37"/>
      <c r="N152" s="37"/>
      <c r="O152" s="37"/>
      <c r="P152" s="37"/>
      <c r="Q152" s="37"/>
      <c r="R152" s="37"/>
      <c r="S152" s="37"/>
      <c r="T152" s="37"/>
      <c r="U152" s="37"/>
      <c r="V152" s="37"/>
      <c r="W152" s="44"/>
      <c r="X152" s="41"/>
    </row>
    <row r="153" spans="1:24" ht="15.75" customHeight="1" x14ac:dyDescent="0.3">
      <c r="A153" s="3"/>
      <c r="B153" s="3"/>
      <c r="C153" s="37"/>
      <c r="D153" s="37"/>
      <c r="E153" s="37"/>
      <c r="F153" s="37"/>
      <c r="G153" s="123"/>
      <c r="H153" s="37"/>
      <c r="I153" s="37"/>
      <c r="J153" s="37"/>
      <c r="K153" s="37"/>
      <c r="L153" s="37"/>
      <c r="M153" s="37"/>
      <c r="N153" s="37"/>
      <c r="O153" s="37"/>
      <c r="P153" s="37"/>
      <c r="Q153" s="37"/>
      <c r="R153" s="37"/>
      <c r="S153" s="37"/>
      <c r="T153" s="37"/>
      <c r="U153" s="37"/>
      <c r="V153" s="37"/>
      <c r="W153" s="44"/>
      <c r="X153" s="41"/>
    </row>
    <row r="154" spans="1:24" ht="15.75" customHeight="1" x14ac:dyDescent="0.3">
      <c r="A154" s="3"/>
      <c r="B154" s="3"/>
      <c r="C154" s="37"/>
      <c r="D154" s="37"/>
      <c r="E154" s="37"/>
      <c r="F154" s="37"/>
      <c r="G154" s="123"/>
      <c r="H154" s="37"/>
      <c r="I154" s="37"/>
      <c r="J154" s="37"/>
      <c r="K154" s="37"/>
      <c r="L154" s="37"/>
      <c r="M154" s="37"/>
      <c r="N154" s="37"/>
      <c r="O154" s="37"/>
      <c r="P154" s="37"/>
      <c r="Q154" s="37"/>
      <c r="R154" s="37"/>
      <c r="S154" s="37"/>
      <c r="T154" s="37"/>
      <c r="U154" s="37"/>
      <c r="V154" s="37"/>
      <c r="W154" s="44"/>
      <c r="X154" s="41"/>
    </row>
    <row r="155" spans="1:24" ht="15.75" customHeight="1" x14ac:dyDescent="0.3">
      <c r="A155" s="3"/>
      <c r="B155" s="3"/>
      <c r="C155" s="37"/>
      <c r="D155" s="37"/>
      <c r="E155" s="37"/>
      <c r="F155" s="37"/>
      <c r="G155" s="123"/>
      <c r="H155" s="37"/>
      <c r="I155" s="37"/>
      <c r="J155" s="37"/>
      <c r="K155" s="37"/>
      <c r="L155" s="37"/>
      <c r="M155" s="37"/>
      <c r="N155" s="37"/>
      <c r="O155" s="37"/>
      <c r="P155" s="37"/>
      <c r="Q155" s="37"/>
      <c r="R155" s="37"/>
      <c r="S155" s="37"/>
      <c r="T155" s="37"/>
      <c r="U155" s="37"/>
      <c r="V155" s="37"/>
      <c r="W155" s="44"/>
      <c r="X155" s="41"/>
    </row>
    <row r="156" spans="1:24" ht="15.75" customHeight="1" x14ac:dyDescent="0.3">
      <c r="A156" s="3"/>
      <c r="B156" s="3"/>
      <c r="C156" s="37"/>
      <c r="D156" s="37"/>
      <c r="E156" s="37"/>
      <c r="F156" s="37"/>
      <c r="G156" s="123"/>
      <c r="H156" s="37"/>
      <c r="I156" s="37"/>
      <c r="J156" s="37"/>
      <c r="K156" s="37"/>
      <c r="L156" s="37"/>
      <c r="M156" s="37"/>
      <c r="N156" s="37"/>
      <c r="O156" s="37"/>
      <c r="P156" s="37"/>
      <c r="Q156" s="37"/>
      <c r="R156" s="37"/>
      <c r="S156" s="37"/>
      <c r="T156" s="37"/>
      <c r="U156" s="37"/>
      <c r="V156" s="37"/>
      <c r="W156" s="44"/>
      <c r="X156" s="41"/>
    </row>
    <row r="157" spans="1:24" ht="15.75" customHeight="1" x14ac:dyDescent="0.3">
      <c r="A157" s="3"/>
      <c r="B157" s="3"/>
      <c r="C157" s="37"/>
      <c r="D157" s="37"/>
      <c r="E157" s="37"/>
      <c r="F157" s="37"/>
      <c r="G157" s="123"/>
      <c r="H157" s="37"/>
      <c r="I157" s="37"/>
      <c r="J157" s="37"/>
      <c r="K157" s="37"/>
      <c r="L157" s="37"/>
      <c r="M157" s="37"/>
      <c r="N157" s="37"/>
      <c r="O157" s="37"/>
      <c r="P157" s="37"/>
      <c r="Q157" s="37"/>
      <c r="R157" s="37"/>
      <c r="S157" s="37"/>
      <c r="T157" s="37"/>
      <c r="U157" s="37"/>
      <c r="V157" s="37"/>
      <c r="W157" s="44"/>
      <c r="X157" s="41"/>
    </row>
    <row r="158" spans="1:24" ht="15.75" customHeight="1" x14ac:dyDescent="0.3">
      <c r="A158" s="3"/>
      <c r="B158" s="3"/>
      <c r="C158" s="37"/>
      <c r="D158" s="37"/>
      <c r="E158" s="37"/>
      <c r="F158" s="37"/>
      <c r="G158" s="123"/>
      <c r="H158" s="37"/>
      <c r="I158" s="37"/>
      <c r="J158" s="37"/>
      <c r="K158" s="37"/>
      <c r="L158" s="37"/>
      <c r="M158" s="37"/>
      <c r="N158" s="37"/>
      <c r="O158" s="37"/>
      <c r="P158" s="37"/>
      <c r="Q158" s="37"/>
      <c r="R158" s="37"/>
      <c r="S158" s="37"/>
      <c r="T158" s="37"/>
      <c r="U158" s="37"/>
      <c r="V158" s="37"/>
      <c r="W158" s="44"/>
      <c r="X158" s="41"/>
    </row>
    <row r="159" spans="1:24" ht="15.75" customHeight="1" x14ac:dyDescent="0.3">
      <c r="A159" s="3"/>
      <c r="B159" s="3"/>
      <c r="C159" s="37"/>
      <c r="D159" s="37"/>
      <c r="E159" s="37"/>
      <c r="F159" s="37"/>
      <c r="G159" s="123"/>
      <c r="H159" s="37"/>
      <c r="I159" s="37"/>
      <c r="J159" s="37"/>
      <c r="K159" s="37"/>
      <c r="L159" s="37"/>
      <c r="M159" s="37"/>
      <c r="N159" s="37"/>
      <c r="O159" s="37"/>
      <c r="P159" s="37"/>
      <c r="Q159" s="37"/>
      <c r="R159" s="37"/>
      <c r="S159" s="37"/>
      <c r="T159" s="37"/>
      <c r="U159" s="37"/>
      <c r="V159" s="37"/>
      <c r="W159" s="44"/>
      <c r="X159" s="41"/>
    </row>
    <row r="160" spans="1:24" ht="15.75" customHeight="1" x14ac:dyDescent="0.3">
      <c r="A160" s="3"/>
      <c r="B160" s="3"/>
      <c r="C160" s="37"/>
      <c r="D160" s="37"/>
      <c r="E160" s="37"/>
      <c r="F160" s="37"/>
      <c r="G160" s="123"/>
      <c r="H160" s="37"/>
      <c r="I160" s="37"/>
      <c r="J160" s="37"/>
      <c r="K160" s="37"/>
      <c r="L160" s="37"/>
      <c r="M160" s="37"/>
      <c r="N160" s="37"/>
      <c r="O160" s="37"/>
      <c r="P160" s="37"/>
      <c r="Q160" s="37"/>
      <c r="R160" s="37"/>
      <c r="S160" s="37"/>
      <c r="T160" s="37"/>
      <c r="U160" s="37"/>
      <c r="V160" s="37"/>
      <c r="W160" s="44"/>
      <c r="X160" s="41"/>
    </row>
    <row r="161" spans="1:24" ht="15.75" customHeight="1" x14ac:dyDescent="0.3">
      <c r="A161" s="3"/>
      <c r="B161" s="3"/>
      <c r="C161" s="37"/>
      <c r="D161" s="37"/>
      <c r="E161" s="37"/>
      <c r="F161" s="37"/>
      <c r="G161" s="123"/>
      <c r="H161" s="37"/>
      <c r="I161" s="37"/>
      <c r="J161" s="37"/>
      <c r="K161" s="37"/>
      <c r="L161" s="37"/>
      <c r="M161" s="37"/>
      <c r="N161" s="37"/>
      <c r="O161" s="37"/>
      <c r="P161" s="37"/>
      <c r="Q161" s="37"/>
      <c r="R161" s="37"/>
      <c r="S161" s="37"/>
      <c r="T161" s="37"/>
      <c r="U161" s="37"/>
      <c r="V161" s="37"/>
      <c r="W161" s="44"/>
      <c r="X161" s="41"/>
    </row>
    <row r="162" spans="1:24" ht="15.75" customHeight="1" x14ac:dyDescent="0.3">
      <c r="A162" s="3"/>
      <c r="B162" s="3"/>
      <c r="C162" s="37"/>
      <c r="D162" s="37"/>
      <c r="E162" s="37"/>
      <c r="F162" s="37"/>
      <c r="G162" s="123"/>
      <c r="H162" s="37"/>
      <c r="I162" s="37"/>
      <c r="J162" s="37"/>
      <c r="K162" s="37"/>
      <c r="L162" s="37"/>
      <c r="M162" s="37"/>
      <c r="N162" s="37"/>
      <c r="O162" s="37"/>
      <c r="P162" s="37"/>
      <c r="Q162" s="37"/>
      <c r="R162" s="37"/>
      <c r="S162" s="37"/>
      <c r="T162" s="37"/>
      <c r="U162" s="37"/>
      <c r="V162" s="37"/>
      <c r="W162" s="44"/>
      <c r="X162" s="41"/>
    </row>
    <row r="163" spans="1:24" ht="15.75" customHeight="1" x14ac:dyDescent="0.3">
      <c r="A163" s="3"/>
      <c r="B163" s="3"/>
      <c r="C163" s="37"/>
      <c r="D163" s="37"/>
      <c r="E163" s="37"/>
      <c r="F163" s="37"/>
      <c r="G163" s="123"/>
      <c r="H163" s="37"/>
      <c r="I163" s="37"/>
      <c r="J163" s="37"/>
      <c r="K163" s="37"/>
      <c r="L163" s="37"/>
      <c r="M163" s="37"/>
      <c r="N163" s="37"/>
      <c r="O163" s="37"/>
      <c r="P163" s="37"/>
      <c r="Q163" s="37"/>
      <c r="R163" s="37"/>
      <c r="S163" s="37"/>
      <c r="T163" s="37"/>
      <c r="U163" s="37"/>
      <c r="V163" s="37"/>
      <c r="W163" s="44"/>
      <c r="X163" s="41"/>
    </row>
    <row r="164" spans="1:24" ht="15.75" customHeight="1" x14ac:dyDescent="0.3">
      <c r="A164" s="3"/>
      <c r="B164" s="3"/>
      <c r="C164" s="37"/>
      <c r="D164" s="37"/>
      <c r="E164" s="37"/>
      <c r="F164" s="37"/>
      <c r="G164" s="123"/>
      <c r="H164" s="37"/>
      <c r="I164" s="37"/>
      <c r="J164" s="37"/>
      <c r="K164" s="37"/>
      <c r="L164" s="37"/>
      <c r="M164" s="37"/>
      <c r="N164" s="37"/>
      <c r="O164" s="37"/>
      <c r="P164" s="37"/>
      <c r="Q164" s="37"/>
      <c r="R164" s="37"/>
      <c r="S164" s="37"/>
      <c r="T164" s="37"/>
      <c r="U164" s="37"/>
      <c r="V164" s="37"/>
      <c r="W164" s="44"/>
      <c r="X164" s="41"/>
    </row>
    <row r="165" spans="1:24" ht="15.75" customHeight="1" x14ac:dyDescent="0.3">
      <c r="A165" s="3"/>
      <c r="B165" s="3"/>
      <c r="C165" s="37"/>
      <c r="D165" s="37"/>
      <c r="E165" s="37"/>
      <c r="F165" s="37"/>
      <c r="G165" s="123"/>
      <c r="H165" s="37"/>
      <c r="I165" s="37"/>
      <c r="J165" s="37"/>
      <c r="K165" s="37"/>
      <c r="L165" s="37"/>
      <c r="M165" s="37"/>
      <c r="N165" s="37"/>
      <c r="O165" s="37"/>
      <c r="P165" s="37"/>
      <c r="Q165" s="37"/>
      <c r="R165" s="37"/>
      <c r="S165" s="37"/>
      <c r="T165" s="37"/>
      <c r="U165" s="37"/>
      <c r="V165" s="37"/>
      <c r="W165" s="44"/>
      <c r="X165" s="41"/>
    </row>
    <row r="166" spans="1:24" ht="15.75" customHeight="1" x14ac:dyDescent="0.3">
      <c r="A166" s="3"/>
      <c r="B166" s="3"/>
      <c r="C166" s="37"/>
      <c r="D166" s="37"/>
      <c r="E166" s="37"/>
      <c r="F166" s="37"/>
      <c r="G166" s="123"/>
      <c r="H166" s="37"/>
      <c r="I166" s="37"/>
      <c r="J166" s="37"/>
      <c r="K166" s="37"/>
      <c r="L166" s="37"/>
      <c r="M166" s="37"/>
      <c r="N166" s="37"/>
      <c r="O166" s="37"/>
      <c r="P166" s="37"/>
      <c r="Q166" s="37"/>
      <c r="R166" s="37"/>
      <c r="S166" s="37"/>
      <c r="T166" s="37"/>
      <c r="U166" s="37"/>
      <c r="V166" s="37"/>
      <c r="W166" s="44"/>
      <c r="X166" s="41"/>
    </row>
    <row r="167" spans="1:24" ht="15.75" customHeight="1" x14ac:dyDescent="0.3">
      <c r="A167" s="3"/>
      <c r="B167" s="3"/>
      <c r="C167" s="37"/>
      <c r="D167" s="37"/>
      <c r="E167" s="37"/>
      <c r="F167" s="37"/>
      <c r="G167" s="123"/>
      <c r="H167" s="37"/>
      <c r="I167" s="37"/>
      <c r="J167" s="37"/>
      <c r="K167" s="37"/>
      <c r="L167" s="37"/>
      <c r="M167" s="37"/>
      <c r="N167" s="37"/>
      <c r="O167" s="37"/>
      <c r="P167" s="37"/>
      <c r="Q167" s="37"/>
      <c r="R167" s="37"/>
      <c r="S167" s="37"/>
      <c r="T167" s="37"/>
      <c r="U167" s="37"/>
      <c r="V167" s="37"/>
      <c r="W167" s="44"/>
      <c r="X167" s="41"/>
    </row>
    <row r="168" spans="1:24" ht="15.75" customHeight="1" x14ac:dyDescent="0.3">
      <c r="A168" s="3"/>
      <c r="B168" s="3"/>
      <c r="C168" s="37"/>
      <c r="D168" s="37"/>
      <c r="E168" s="37"/>
      <c r="F168" s="37"/>
      <c r="G168" s="123"/>
      <c r="H168" s="37"/>
      <c r="I168" s="37"/>
      <c r="J168" s="37"/>
      <c r="K168" s="37"/>
      <c r="L168" s="37"/>
      <c r="M168" s="37"/>
      <c r="N168" s="37"/>
      <c r="O168" s="37"/>
      <c r="P168" s="37"/>
      <c r="Q168" s="37"/>
      <c r="R168" s="37"/>
      <c r="S168" s="37"/>
      <c r="T168" s="37"/>
      <c r="U168" s="37"/>
      <c r="V168" s="37"/>
      <c r="W168" s="44"/>
      <c r="X168" s="41"/>
    </row>
    <row r="169" spans="1:24" ht="15.75" customHeight="1" x14ac:dyDescent="0.3">
      <c r="A169" s="3"/>
      <c r="B169" s="3"/>
      <c r="C169" s="37"/>
      <c r="D169" s="37"/>
      <c r="E169" s="37"/>
      <c r="F169" s="37"/>
      <c r="G169" s="123"/>
      <c r="H169" s="37"/>
      <c r="I169" s="37"/>
      <c r="J169" s="37"/>
      <c r="K169" s="37"/>
      <c r="L169" s="37"/>
      <c r="M169" s="37"/>
      <c r="N169" s="37"/>
      <c r="O169" s="37"/>
      <c r="P169" s="37"/>
      <c r="Q169" s="37"/>
      <c r="R169" s="37"/>
      <c r="S169" s="37"/>
      <c r="T169" s="37"/>
      <c r="U169" s="37"/>
      <c r="V169" s="37"/>
      <c r="W169" s="44"/>
      <c r="X169" s="41"/>
    </row>
    <row r="170" spans="1:24" ht="15.75" customHeight="1" x14ac:dyDescent="0.3">
      <c r="A170" s="3"/>
      <c r="B170" s="3"/>
      <c r="C170" s="37"/>
      <c r="D170" s="37"/>
      <c r="E170" s="37"/>
      <c r="F170" s="37"/>
      <c r="G170" s="123"/>
      <c r="H170" s="37"/>
      <c r="I170" s="37"/>
      <c r="J170" s="37"/>
      <c r="K170" s="37"/>
      <c r="L170" s="37"/>
      <c r="M170" s="37"/>
      <c r="N170" s="37"/>
      <c r="O170" s="37"/>
      <c r="P170" s="37"/>
      <c r="Q170" s="37"/>
      <c r="R170" s="37"/>
      <c r="S170" s="37"/>
      <c r="T170" s="37"/>
      <c r="U170" s="37"/>
      <c r="V170" s="37"/>
      <c r="W170" s="44"/>
      <c r="X170" s="41"/>
    </row>
    <row r="171" spans="1:24" ht="15.75" customHeight="1" x14ac:dyDescent="0.3">
      <c r="A171" s="3"/>
      <c r="B171" s="3"/>
      <c r="C171" s="37"/>
      <c r="D171" s="37"/>
      <c r="E171" s="37"/>
      <c r="F171" s="37"/>
      <c r="G171" s="123"/>
      <c r="H171" s="37"/>
      <c r="I171" s="37"/>
      <c r="J171" s="37"/>
      <c r="K171" s="37"/>
      <c r="L171" s="37"/>
      <c r="M171" s="37"/>
      <c r="N171" s="37"/>
      <c r="O171" s="37"/>
      <c r="P171" s="37"/>
      <c r="Q171" s="37"/>
      <c r="R171" s="37"/>
      <c r="S171" s="37"/>
      <c r="T171" s="37"/>
      <c r="U171" s="37"/>
      <c r="V171" s="37"/>
      <c r="W171" s="44"/>
      <c r="X171" s="41"/>
    </row>
    <row r="172" spans="1:24" ht="15.75" customHeight="1" x14ac:dyDescent="0.3">
      <c r="A172" s="3"/>
      <c r="B172" s="3"/>
      <c r="C172" s="37"/>
      <c r="D172" s="37"/>
      <c r="E172" s="37"/>
      <c r="F172" s="37"/>
      <c r="G172" s="123"/>
      <c r="H172" s="37"/>
      <c r="I172" s="37"/>
      <c r="J172" s="37"/>
      <c r="K172" s="37"/>
      <c r="L172" s="37"/>
      <c r="M172" s="37"/>
      <c r="N172" s="37"/>
      <c r="O172" s="37"/>
      <c r="P172" s="37"/>
      <c r="Q172" s="37"/>
      <c r="R172" s="37"/>
      <c r="S172" s="37"/>
      <c r="T172" s="37"/>
      <c r="U172" s="37"/>
      <c r="V172" s="37"/>
      <c r="W172" s="44"/>
      <c r="X172" s="41"/>
    </row>
    <row r="173" spans="1:24" ht="15.75" customHeight="1" x14ac:dyDescent="0.3">
      <c r="A173" s="3"/>
      <c r="B173" s="3"/>
      <c r="C173" s="37"/>
      <c r="D173" s="37"/>
      <c r="E173" s="37"/>
      <c r="F173" s="37"/>
      <c r="G173" s="123"/>
      <c r="H173" s="37"/>
      <c r="I173" s="37"/>
      <c r="J173" s="37"/>
      <c r="K173" s="37"/>
      <c r="L173" s="37"/>
      <c r="M173" s="37"/>
      <c r="N173" s="37"/>
      <c r="O173" s="37"/>
      <c r="P173" s="37"/>
      <c r="Q173" s="37"/>
      <c r="R173" s="37"/>
      <c r="S173" s="37"/>
      <c r="T173" s="37"/>
      <c r="U173" s="37"/>
      <c r="V173" s="37"/>
      <c r="W173" s="44"/>
      <c r="X173" s="41"/>
    </row>
    <row r="174" spans="1:24" ht="15.75" customHeight="1" x14ac:dyDescent="0.3">
      <c r="A174" s="3"/>
      <c r="B174" s="3"/>
      <c r="C174" s="37"/>
      <c r="D174" s="37"/>
      <c r="E174" s="37"/>
      <c r="F174" s="37"/>
      <c r="G174" s="123"/>
      <c r="H174" s="37"/>
      <c r="I174" s="37"/>
      <c r="J174" s="37"/>
      <c r="K174" s="37"/>
      <c r="L174" s="37"/>
      <c r="M174" s="37"/>
      <c r="N174" s="37"/>
      <c r="O174" s="37"/>
      <c r="P174" s="37"/>
      <c r="Q174" s="37"/>
      <c r="R174" s="37"/>
      <c r="S174" s="37"/>
      <c r="T174" s="37"/>
      <c r="U174" s="37"/>
      <c r="V174" s="37"/>
      <c r="W174" s="44"/>
      <c r="X174" s="41"/>
    </row>
    <row r="175" spans="1:24" ht="15.75" customHeight="1" x14ac:dyDescent="0.3">
      <c r="A175" s="3"/>
      <c r="B175" s="3"/>
      <c r="C175" s="37"/>
      <c r="D175" s="37"/>
      <c r="E175" s="37"/>
      <c r="F175" s="37"/>
      <c r="G175" s="123"/>
      <c r="H175" s="37"/>
      <c r="I175" s="37"/>
      <c r="J175" s="37"/>
      <c r="K175" s="37"/>
      <c r="L175" s="37"/>
      <c r="M175" s="37"/>
      <c r="N175" s="37"/>
      <c r="O175" s="37"/>
      <c r="P175" s="37"/>
      <c r="Q175" s="37"/>
      <c r="R175" s="37"/>
      <c r="S175" s="37"/>
      <c r="T175" s="37"/>
      <c r="U175" s="37"/>
      <c r="V175" s="37"/>
      <c r="W175" s="44"/>
      <c r="X175" s="41"/>
    </row>
    <row r="176" spans="1:24" ht="15.75" customHeight="1" x14ac:dyDescent="0.3">
      <c r="A176" s="3"/>
      <c r="B176" s="3"/>
      <c r="C176" s="37"/>
      <c r="D176" s="37"/>
      <c r="E176" s="37"/>
      <c r="F176" s="37"/>
      <c r="G176" s="123"/>
      <c r="H176" s="37"/>
      <c r="I176" s="37"/>
      <c r="J176" s="37"/>
      <c r="K176" s="37"/>
      <c r="L176" s="37"/>
      <c r="M176" s="37"/>
      <c r="N176" s="37"/>
      <c r="O176" s="37"/>
      <c r="P176" s="37"/>
      <c r="Q176" s="37"/>
      <c r="R176" s="37"/>
      <c r="S176" s="37"/>
      <c r="T176" s="37"/>
      <c r="U176" s="37"/>
      <c r="V176" s="37"/>
      <c r="W176" s="44"/>
      <c r="X176" s="41"/>
    </row>
    <row r="177" spans="1:24" ht="15.75" customHeight="1" x14ac:dyDescent="0.3">
      <c r="A177" s="3"/>
      <c r="B177" s="3"/>
      <c r="C177" s="37"/>
      <c r="D177" s="37"/>
      <c r="E177" s="37"/>
      <c r="F177" s="37"/>
      <c r="G177" s="123"/>
      <c r="H177" s="37"/>
      <c r="I177" s="37"/>
      <c r="J177" s="37"/>
      <c r="K177" s="37"/>
      <c r="L177" s="37"/>
      <c r="M177" s="37"/>
      <c r="N177" s="37"/>
      <c r="O177" s="37"/>
      <c r="P177" s="37"/>
      <c r="Q177" s="37"/>
      <c r="R177" s="37"/>
      <c r="S177" s="37"/>
      <c r="T177" s="37"/>
      <c r="U177" s="37"/>
      <c r="V177" s="37"/>
      <c r="W177" s="44"/>
      <c r="X177" s="41"/>
    </row>
    <row r="178" spans="1:24" ht="15.75" customHeight="1" x14ac:dyDescent="0.3">
      <c r="A178" s="3"/>
      <c r="B178" s="3"/>
      <c r="C178" s="37"/>
      <c r="D178" s="37"/>
      <c r="E178" s="37"/>
      <c r="F178" s="37"/>
      <c r="G178" s="123"/>
      <c r="H178" s="37"/>
      <c r="I178" s="37"/>
      <c r="J178" s="37"/>
      <c r="K178" s="37"/>
      <c r="L178" s="37"/>
      <c r="M178" s="37"/>
      <c r="N178" s="37"/>
      <c r="O178" s="37"/>
      <c r="P178" s="37"/>
      <c r="Q178" s="37"/>
      <c r="R178" s="37"/>
      <c r="S178" s="37"/>
      <c r="T178" s="37"/>
      <c r="U178" s="37"/>
      <c r="V178" s="37"/>
      <c r="W178" s="44"/>
      <c r="X178" s="41"/>
    </row>
    <row r="179" spans="1:24" ht="15.75" customHeight="1" x14ac:dyDescent="0.3">
      <c r="A179" s="3"/>
      <c r="B179" s="3"/>
      <c r="C179" s="37"/>
      <c r="D179" s="37"/>
      <c r="E179" s="37"/>
      <c r="F179" s="37"/>
      <c r="G179" s="123"/>
      <c r="H179" s="37"/>
      <c r="I179" s="37"/>
      <c r="J179" s="37"/>
      <c r="K179" s="37"/>
      <c r="L179" s="37"/>
      <c r="M179" s="37"/>
      <c r="N179" s="37"/>
      <c r="O179" s="37"/>
      <c r="P179" s="37"/>
      <c r="Q179" s="37"/>
      <c r="R179" s="37"/>
      <c r="S179" s="37"/>
      <c r="T179" s="37"/>
      <c r="U179" s="37"/>
      <c r="V179" s="37"/>
      <c r="W179" s="44"/>
      <c r="X179" s="41"/>
    </row>
    <row r="180" spans="1:24" ht="15.75" customHeight="1" x14ac:dyDescent="0.3">
      <c r="A180" s="3"/>
      <c r="B180" s="3"/>
      <c r="C180" s="37"/>
      <c r="D180" s="37"/>
      <c r="E180" s="37"/>
      <c r="F180" s="37"/>
      <c r="G180" s="123"/>
      <c r="H180" s="37"/>
      <c r="I180" s="37"/>
      <c r="J180" s="37"/>
      <c r="K180" s="37"/>
      <c r="L180" s="37"/>
      <c r="M180" s="37"/>
      <c r="N180" s="37"/>
      <c r="O180" s="37"/>
      <c r="P180" s="37"/>
      <c r="Q180" s="37"/>
      <c r="R180" s="37"/>
      <c r="S180" s="37"/>
      <c r="T180" s="37"/>
      <c r="U180" s="37"/>
      <c r="V180" s="37"/>
      <c r="W180" s="44"/>
      <c r="X180" s="41"/>
    </row>
    <row r="181" spans="1:24" ht="15.75" customHeight="1" x14ac:dyDescent="0.3">
      <c r="A181" s="3"/>
      <c r="B181" s="3"/>
      <c r="C181" s="37"/>
      <c r="D181" s="37"/>
      <c r="E181" s="37"/>
      <c r="F181" s="37"/>
      <c r="G181" s="123"/>
      <c r="H181" s="37"/>
      <c r="I181" s="37"/>
      <c r="J181" s="37"/>
      <c r="K181" s="37"/>
      <c r="L181" s="37"/>
      <c r="M181" s="37"/>
      <c r="N181" s="37"/>
      <c r="O181" s="37"/>
      <c r="P181" s="37"/>
      <c r="Q181" s="37"/>
      <c r="R181" s="37"/>
      <c r="S181" s="37"/>
      <c r="T181" s="37"/>
      <c r="U181" s="37"/>
      <c r="V181" s="37"/>
      <c r="W181" s="44"/>
      <c r="X181" s="41"/>
    </row>
    <row r="182" spans="1:24" ht="15.75" customHeight="1" x14ac:dyDescent="0.3">
      <c r="A182" s="3"/>
      <c r="B182" s="3"/>
      <c r="C182" s="37"/>
      <c r="D182" s="37"/>
      <c r="E182" s="37"/>
      <c r="F182" s="37"/>
      <c r="G182" s="123"/>
      <c r="H182" s="37"/>
      <c r="I182" s="37"/>
      <c r="J182" s="37"/>
      <c r="K182" s="37"/>
      <c r="L182" s="37"/>
      <c r="M182" s="37"/>
      <c r="N182" s="37"/>
      <c r="O182" s="37"/>
      <c r="P182" s="37"/>
      <c r="Q182" s="37"/>
      <c r="R182" s="37"/>
      <c r="S182" s="37"/>
      <c r="T182" s="37"/>
      <c r="U182" s="37"/>
      <c r="V182" s="37"/>
      <c r="W182" s="44"/>
      <c r="X182" s="41"/>
    </row>
    <row r="183" spans="1:24" ht="15.75" customHeight="1" x14ac:dyDescent="0.3">
      <c r="A183" s="3"/>
      <c r="B183" s="3"/>
      <c r="C183" s="37"/>
      <c r="D183" s="37"/>
      <c r="E183" s="37"/>
      <c r="F183" s="37"/>
      <c r="G183" s="123"/>
      <c r="H183" s="37"/>
      <c r="I183" s="37"/>
      <c r="J183" s="37"/>
      <c r="K183" s="37"/>
      <c r="L183" s="37"/>
      <c r="M183" s="37"/>
      <c r="N183" s="37"/>
      <c r="O183" s="37"/>
      <c r="P183" s="37"/>
      <c r="Q183" s="37"/>
      <c r="R183" s="37"/>
      <c r="S183" s="37"/>
      <c r="T183" s="37"/>
      <c r="U183" s="37"/>
      <c r="V183" s="37"/>
      <c r="W183" s="44"/>
      <c r="X183" s="41"/>
    </row>
    <row r="184" spans="1:24" ht="15.75" customHeight="1" x14ac:dyDescent="0.3">
      <c r="A184" s="3"/>
      <c r="B184" s="3"/>
      <c r="C184" s="37"/>
      <c r="D184" s="37"/>
      <c r="E184" s="37"/>
      <c r="F184" s="37"/>
      <c r="G184" s="123"/>
      <c r="H184" s="37"/>
      <c r="I184" s="37"/>
      <c r="J184" s="37"/>
      <c r="K184" s="37"/>
      <c r="L184" s="37"/>
      <c r="M184" s="37"/>
      <c r="N184" s="37"/>
      <c r="O184" s="37"/>
      <c r="P184" s="37"/>
      <c r="Q184" s="37"/>
      <c r="R184" s="37"/>
      <c r="S184" s="37"/>
      <c r="T184" s="37"/>
      <c r="U184" s="37"/>
      <c r="V184" s="37"/>
      <c r="W184" s="44"/>
      <c r="X184" s="41"/>
    </row>
    <row r="185" spans="1:24" ht="15.75" customHeight="1" x14ac:dyDescent="0.3">
      <c r="A185" s="3"/>
      <c r="B185" s="3"/>
      <c r="C185" s="37"/>
      <c r="D185" s="37"/>
      <c r="E185" s="37"/>
      <c r="F185" s="37"/>
      <c r="G185" s="123"/>
      <c r="H185" s="37"/>
      <c r="I185" s="37"/>
      <c r="J185" s="37"/>
      <c r="K185" s="37"/>
      <c r="L185" s="37"/>
      <c r="M185" s="37"/>
      <c r="N185" s="37"/>
      <c r="O185" s="37"/>
      <c r="P185" s="37"/>
      <c r="Q185" s="37"/>
      <c r="R185" s="37"/>
      <c r="S185" s="37"/>
      <c r="T185" s="37"/>
      <c r="U185" s="37"/>
      <c r="V185" s="37"/>
      <c r="W185" s="44"/>
      <c r="X185" s="41"/>
    </row>
    <row r="186" spans="1:24" ht="15.75" customHeight="1" x14ac:dyDescent="0.3">
      <c r="A186" s="3"/>
      <c r="B186" s="3"/>
      <c r="C186" s="37"/>
      <c r="D186" s="37"/>
      <c r="E186" s="37"/>
      <c r="F186" s="37"/>
      <c r="G186" s="123"/>
      <c r="H186" s="37"/>
      <c r="I186" s="37"/>
      <c r="J186" s="37"/>
      <c r="K186" s="37"/>
      <c r="L186" s="37"/>
      <c r="M186" s="37"/>
      <c r="N186" s="37"/>
      <c r="O186" s="37"/>
      <c r="P186" s="37"/>
      <c r="Q186" s="37"/>
      <c r="R186" s="37"/>
      <c r="S186" s="37"/>
      <c r="T186" s="37"/>
      <c r="U186" s="37"/>
      <c r="V186" s="37"/>
      <c r="W186" s="44"/>
      <c r="X186" s="41"/>
    </row>
    <row r="187" spans="1:24" ht="15.75" customHeight="1" x14ac:dyDescent="0.3">
      <c r="A187" s="3"/>
      <c r="B187" s="3"/>
      <c r="C187" s="37"/>
      <c r="D187" s="37"/>
      <c r="E187" s="37"/>
      <c r="F187" s="37"/>
      <c r="G187" s="123"/>
      <c r="H187" s="37"/>
      <c r="I187" s="37"/>
      <c r="J187" s="37"/>
      <c r="K187" s="37"/>
      <c r="L187" s="37"/>
      <c r="M187" s="37"/>
      <c r="N187" s="37"/>
      <c r="O187" s="37"/>
      <c r="P187" s="37"/>
      <c r="Q187" s="37"/>
      <c r="R187" s="37"/>
      <c r="S187" s="37"/>
      <c r="T187" s="37"/>
      <c r="U187" s="37"/>
      <c r="V187" s="37"/>
      <c r="W187" s="44"/>
      <c r="X187" s="41"/>
    </row>
    <row r="188" spans="1:24" ht="15.75" customHeight="1" x14ac:dyDescent="0.3">
      <c r="A188" s="3"/>
      <c r="B188" s="3"/>
      <c r="C188" s="37"/>
      <c r="D188" s="37"/>
      <c r="E188" s="37"/>
      <c r="F188" s="37"/>
      <c r="G188" s="123"/>
      <c r="H188" s="37"/>
      <c r="I188" s="37"/>
      <c r="J188" s="37"/>
      <c r="K188" s="37"/>
      <c r="L188" s="37"/>
      <c r="M188" s="37"/>
      <c r="N188" s="37"/>
      <c r="O188" s="37"/>
      <c r="P188" s="37"/>
      <c r="Q188" s="37"/>
      <c r="R188" s="37"/>
      <c r="S188" s="37"/>
      <c r="T188" s="37"/>
      <c r="U188" s="37"/>
      <c r="V188" s="37"/>
      <c r="W188" s="44"/>
      <c r="X188" s="41"/>
    </row>
    <row r="189" spans="1:24" ht="15.75" customHeight="1" x14ac:dyDescent="0.3">
      <c r="A189" s="3"/>
      <c r="B189" s="3"/>
      <c r="C189" s="37"/>
      <c r="D189" s="37"/>
      <c r="E189" s="37"/>
      <c r="F189" s="37"/>
      <c r="G189" s="123"/>
      <c r="H189" s="37"/>
      <c r="I189" s="37"/>
      <c r="J189" s="37"/>
      <c r="K189" s="37"/>
      <c r="L189" s="37"/>
      <c r="M189" s="37"/>
      <c r="N189" s="37"/>
      <c r="O189" s="37"/>
      <c r="P189" s="37"/>
      <c r="Q189" s="37"/>
      <c r="R189" s="37"/>
      <c r="S189" s="37"/>
      <c r="T189" s="37"/>
      <c r="U189" s="37"/>
      <c r="V189" s="37"/>
      <c r="W189" s="44"/>
      <c r="X189" s="41"/>
    </row>
    <row r="190" spans="1:24" ht="15.75" customHeight="1" x14ac:dyDescent="0.3">
      <c r="A190" s="3"/>
      <c r="B190" s="3"/>
      <c r="C190" s="37"/>
      <c r="D190" s="37"/>
      <c r="E190" s="37"/>
      <c r="F190" s="37"/>
      <c r="G190" s="123"/>
      <c r="H190" s="37"/>
      <c r="I190" s="37"/>
      <c r="J190" s="37"/>
      <c r="K190" s="37"/>
      <c r="L190" s="37"/>
      <c r="M190" s="37"/>
      <c r="N190" s="37"/>
      <c r="O190" s="37"/>
      <c r="P190" s="37"/>
      <c r="Q190" s="37"/>
      <c r="R190" s="37"/>
      <c r="S190" s="37"/>
      <c r="T190" s="37"/>
      <c r="U190" s="37"/>
      <c r="V190" s="37"/>
      <c r="W190" s="44"/>
      <c r="X190" s="41"/>
    </row>
    <row r="191" spans="1:24" ht="15.75" customHeight="1" x14ac:dyDescent="0.3">
      <c r="A191" s="3"/>
      <c r="B191" s="3"/>
      <c r="C191" s="37"/>
      <c r="D191" s="37"/>
      <c r="E191" s="37"/>
      <c r="F191" s="37"/>
      <c r="G191" s="123"/>
      <c r="H191" s="37"/>
      <c r="I191" s="37"/>
      <c r="J191" s="37"/>
      <c r="K191" s="37"/>
      <c r="L191" s="37"/>
      <c r="M191" s="37"/>
      <c r="N191" s="37"/>
      <c r="O191" s="37"/>
      <c r="P191" s="37"/>
      <c r="Q191" s="37"/>
      <c r="R191" s="37"/>
      <c r="S191" s="37"/>
      <c r="T191" s="37"/>
      <c r="U191" s="37"/>
      <c r="V191" s="37"/>
      <c r="W191" s="44"/>
      <c r="X191" s="41"/>
    </row>
    <row r="192" spans="1:24" ht="15.75" customHeight="1" x14ac:dyDescent="0.3">
      <c r="A192" s="3"/>
      <c r="B192" s="3"/>
      <c r="C192" s="37"/>
      <c r="D192" s="37"/>
      <c r="E192" s="37"/>
      <c r="F192" s="37"/>
      <c r="G192" s="123"/>
      <c r="H192" s="37"/>
      <c r="I192" s="37"/>
      <c r="J192" s="37"/>
      <c r="K192" s="37"/>
      <c r="L192" s="37"/>
      <c r="M192" s="37"/>
      <c r="N192" s="37"/>
      <c r="O192" s="37"/>
      <c r="P192" s="37"/>
      <c r="Q192" s="37"/>
      <c r="R192" s="37"/>
      <c r="S192" s="37"/>
      <c r="T192" s="37"/>
      <c r="U192" s="37"/>
      <c r="V192" s="37"/>
      <c r="W192" s="44"/>
      <c r="X192" s="41"/>
    </row>
    <row r="193" spans="1:24" ht="15.75" customHeight="1" x14ac:dyDescent="0.3">
      <c r="A193" s="3"/>
      <c r="B193" s="3"/>
      <c r="C193" s="37"/>
      <c r="D193" s="37"/>
      <c r="E193" s="37"/>
      <c r="F193" s="37"/>
      <c r="G193" s="123"/>
      <c r="H193" s="37"/>
      <c r="I193" s="37"/>
      <c r="J193" s="37"/>
      <c r="K193" s="37"/>
      <c r="L193" s="37"/>
      <c r="M193" s="37"/>
      <c r="N193" s="37"/>
      <c r="O193" s="37"/>
      <c r="P193" s="37"/>
      <c r="Q193" s="37"/>
      <c r="R193" s="37"/>
      <c r="S193" s="37"/>
      <c r="T193" s="37"/>
      <c r="U193" s="37"/>
      <c r="V193" s="37"/>
      <c r="W193" s="44"/>
      <c r="X193" s="41"/>
    </row>
    <row r="194" spans="1:24" ht="15.75" customHeight="1" x14ac:dyDescent="0.3">
      <c r="A194" s="3"/>
      <c r="B194" s="3"/>
      <c r="C194" s="37"/>
      <c r="D194" s="37"/>
      <c r="E194" s="37"/>
      <c r="F194" s="37"/>
      <c r="G194" s="123"/>
      <c r="H194" s="37"/>
      <c r="I194" s="37"/>
      <c r="J194" s="37"/>
      <c r="K194" s="37"/>
      <c r="L194" s="37"/>
      <c r="M194" s="37"/>
      <c r="N194" s="37"/>
      <c r="O194" s="37"/>
      <c r="P194" s="37"/>
      <c r="Q194" s="37"/>
      <c r="R194" s="37"/>
      <c r="S194" s="37"/>
      <c r="T194" s="37"/>
      <c r="U194" s="37"/>
      <c r="V194" s="37"/>
      <c r="W194" s="44"/>
      <c r="X194" s="41"/>
    </row>
    <row r="195" spans="1:24" ht="15.75" customHeight="1" x14ac:dyDescent="0.3">
      <c r="A195" s="3"/>
      <c r="B195" s="3"/>
      <c r="C195" s="37"/>
      <c r="D195" s="37"/>
      <c r="E195" s="37"/>
      <c r="F195" s="37"/>
      <c r="G195" s="123"/>
      <c r="H195" s="37"/>
      <c r="I195" s="37"/>
      <c r="J195" s="37"/>
      <c r="K195" s="37"/>
      <c r="L195" s="37"/>
      <c r="M195" s="37"/>
      <c r="N195" s="37"/>
      <c r="O195" s="37"/>
      <c r="P195" s="37"/>
      <c r="Q195" s="37"/>
      <c r="R195" s="37"/>
      <c r="S195" s="37"/>
      <c r="T195" s="37"/>
      <c r="U195" s="37"/>
      <c r="V195" s="37"/>
      <c r="W195" s="44"/>
      <c r="X195" s="41"/>
    </row>
    <row r="196" spans="1:24" ht="15.75" customHeight="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4" ht="15.75" customHeight="1" x14ac:dyDescent="0.3">
      <c r="A197" s="3"/>
      <c r="B197" s="3"/>
      <c r="C197" s="37"/>
      <c r="D197" s="37"/>
      <c r="E197" s="37"/>
      <c r="F197" s="37"/>
      <c r="G197" s="123"/>
      <c r="H197" s="37"/>
      <c r="I197" s="37"/>
      <c r="J197" s="37"/>
      <c r="K197" s="37"/>
      <c r="L197" s="37"/>
      <c r="M197" s="37"/>
      <c r="N197" s="37"/>
      <c r="O197" s="37"/>
      <c r="P197" s="37"/>
      <c r="Q197" s="37"/>
      <c r="R197" s="37"/>
      <c r="S197" s="37"/>
      <c r="T197" s="37"/>
      <c r="U197" s="37"/>
      <c r="V197" s="37"/>
      <c r="W197" s="44"/>
      <c r="X197" s="41"/>
    </row>
    <row r="198" spans="1:24"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4"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4"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4"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4"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4"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4"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4"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4"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4"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4"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row r="232" spans="1:24" ht="15.75" customHeight="1" x14ac:dyDescent="0.3"/>
    <row r="233" spans="1:24" ht="15.75" customHeight="1" x14ac:dyDescent="0.3"/>
    <row r="234" spans="1:24" ht="15.75" customHeight="1" x14ac:dyDescent="0.3"/>
    <row r="235" spans="1:24" ht="15.75" customHeight="1" x14ac:dyDescent="0.3"/>
    <row r="236" spans="1:24" ht="15.75" customHeight="1" x14ac:dyDescent="0.3"/>
    <row r="237" spans="1:24" ht="15.75" customHeight="1" x14ac:dyDescent="0.3"/>
    <row r="238" spans="1:24" ht="15.75" customHeight="1" x14ac:dyDescent="0.3"/>
    <row r="239" spans="1:24" ht="15.75" customHeight="1" x14ac:dyDescent="0.3"/>
    <row r="240" spans="1:24"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sheetData>
  <autoFilter ref="C5:F30" xr:uid="{00000000-0009-0000-0000-000014000000}"/>
  <mergeCells count="4">
    <mergeCell ref="B2:B3"/>
    <mergeCell ref="B4:B5"/>
    <mergeCell ref="H4:H5"/>
    <mergeCell ref="I4:I5"/>
  </mergeCells>
  <conditionalFormatting sqref="W6">
    <cfRule type="cellIs" dxfId="15" priority="1" operator="equal">
      <formula>"Diferente"</formula>
    </cfRule>
    <cfRule type="cellIs" dxfId="14" priority="2" operator="equal">
      <formula>"OK"</formula>
    </cfRule>
  </conditionalFormatting>
  <dataValidations count="1">
    <dataValidation type="list" allowBlank="1" showErrorMessage="1" sqref="D9 D11 D13:D15 D18:D19 D21 D23:D24 D26:D28 D30" xr:uid="{00000000-0002-0000-1400-000002000000}">
      <formula1>"OK,Parcial,Pendente"</formula1>
    </dataValidation>
  </dataValidations>
  <pageMargins left="0.25" right="0.25" top="0.75" bottom="0.75" header="0" footer="0"/>
  <pageSetup paperSize="9"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1400-000000000000}">
          <x14:formula1>
            <xm:f>'Plano de contas DG'!$C$5:$C$38</xm:f>
          </x14:formula1>
          <xm:sqref>I6:I30</xm:sqref>
        </x14:dataValidation>
        <x14:dataValidation type="list" allowBlank="1" showErrorMessage="1" xr:uid="{00000000-0002-0000-1400-000001000000}">
          <x14:formula1>
            <xm:f>Caixa!$B$5:$B$8</xm:f>
          </x14:formula1>
          <xm:sqref>H9 H11 H13:H15 H18:H19 H21 H23:H24 H26:H28 H30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sheetPr>
  <dimension ref="A1:Z1001"/>
  <sheetViews>
    <sheetView showGridLines="0" zoomScale="85" zoomScaleNormal="85" workbookViewId="0">
      <pane xSplit="2" ySplit="5" topLeftCell="C70" activePane="bottomRight" state="frozen"/>
      <selection pane="topRight" activeCell="C1" sqref="C1"/>
      <selection pane="bottomLeft" activeCell="A6" sqref="A6"/>
      <selection pane="bottomRight" activeCell="F76" sqref="F76"/>
    </sheetView>
  </sheetViews>
  <sheetFormatPr defaultColWidth="14.44140625" defaultRowHeight="15" customHeight="1" outlineLevelRow="1" x14ac:dyDescent="0.3"/>
  <cols>
    <col min="1" max="1" width="0.44140625" customWidth="1"/>
    <col min="2" max="2" width="40" customWidth="1"/>
    <col min="3" max="3" width="10.109375" customWidth="1"/>
    <col min="4" max="4" width="10.109375" hidden="1" customWidth="1"/>
    <col min="5" max="5" width="14.109375" hidden="1" customWidth="1"/>
    <col min="6" max="6" width="14.109375" customWidth="1"/>
    <col min="7" max="7" width="45.5546875" customWidth="1"/>
    <col min="8" max="8" width="18.88671875" customWidth="1"/>
    <col min="9" max="9" width="48.6640625" customWidth="1"/>
    <col min="10" max="10" width="20.6640625" hidden="1"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4" x14ac:dyDescent="0.3">
      <c r="A2" s="3"/>
      <c r="B2" s="238" t="s">
        <v>269</v>
      </c>
      <c r="C2" s="239"/>
      <c r="D2" s="218"/>
      <c r="E2" s="218"/>
      <c r="F2" s="219"/>
      <c r="G2" s="83"/>
      <c r="H2" s="82"/>
      <c r="I2" s="83"/>
      <c r="J2" s="82"/>
      <c r="K2" s="37"/>
      <c r="L2" s="37"/>
      <c r="M2" s="37"/>
      <c r="N2" s="37"/>
      <c r="O2" s="37"/>
      <c r="P2" s="37"/>
      <c r="Q2" s="37"/>
      <c r="R2" s="37"/>
      <c r="S2" s="37"/>
      <c r="T2" s="37"/>
      <c r="U2" s="3"/>
    </row>
    <row r="3" spans="1:26" ht="14.4" x14ac:dyDescent="0.3">
      <c r="A3" s="3"/>
      <c r="B3" s="206"/>
      <c r="C3" s="240"/>
      <c r="D3" s="241"/>
      <c r="E3" s="241"/>
      <c r="F3" s="242"/>
      <c r="G3" s="83"/>
      <c r="H3" s="82"/>
      <c r="I3" s="83"/>
      <c r="J3" s="82"/>
      <c r="K3" s="37"/>
      <c r="L3" s="37"/>
      <c r="M3" s="37"/>
      <c r="N3" s="37"/>
      <c r="O3" s="37"/>
      <c r="P3" s="37"/>
      <c r="Q3" s="37"/>
      <c r="R3" s="37"/>
      <c r="S3" s="37"/>
      <c r="T3" s="37"/>
      <c r="U3" s="3"/>
    </row>
    <row r="4" spans="1:26" ht="14.4" x14ac:dyDescent="0.3">
      <c r="A4" s="3"/>
      <c r="B4" s="227" t="s">
        <v>73</v>
      </c>
      <c r="C4" s="48" t="s">
        <v>43</v>
      </c>
      <c r="D4" s="48" t="s">
        <v>43</v>
      </c>
      <c r="E4" s="26">
        <v>0</v>
      </c>
      <c r="F4" s="26">
        <v>53257.929999999993</v>
      </c>
      <c r="G4" s="152" t="s">
        <v>43</v>
      </c>
      <c r="H4" s="237" t="s">
        <v>1</v>
      </c>
      <c r="I4" s="243" t="s">
        <v>270</v>
      </c>
      <c r="J4" s="237" t="s">
        <v>74</v>
      </c>
      <c r="K4" s="37"/>
      <c r="L4" s="37"/>
      <c r="M4" s="37"/>
      <c r="N4" s="37"/>
      <c r="O4" s="37"/>
      <c r="P4" s="37"/>
      <c r="Q4" s="37"/>
      <c r="R4" s="37"/>
      <c r="S4" s="37"/>
      <c r="T4" s="37"/>
      <c r="U4" s="3"/>
      <c r="W4" s="3"/>
      <c r="X4" s="3"/>
      <c r="Y4" s="3"/>
      <c r="Z4" s="3"/>
    </row>
    <row r="5" spans="1:26" ht="14.4" x14ac:dyDescent="0.3">
      <c r="A5" s="3"/>
      <c r="B5" s="228"/>
      <c r="C5" s="52" t="s">
        <v>75</v>
      </c>
      <c r="D5" s="52" t="s">
        <v>76</v>
      </c>
      <c r="E5" s="53" t="s">
        <v>77</v>
      </c>
      <c r="F5" s="53" t="s">
        <v>271</v>
      </c>
      <c r="G5" s="153"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v>0</v>
      </c>
      <c r="F6" s="86">
        <v>1231.9000000000001</v>
      </c>
      <c r="G6" s="88"/>
      <c r="H6" s="87"/>
      <c r="I6" s="88"/>
      <c r="J6" s="87"/>
      <c r="K6" s="37"/>
      <c r="L6" s="37"/>
      <c r="M6" s="37"/>
      <c r="N6" s="37"/>
      <c r="O6" s="37"/>
      <c r="P6" s="37"/>
      <c r="Q6" s="37"/>
      <c r="R6" s="37"/>
      <c r="S6" s="37"/>
      <c r="T6" s="37"/>
      <c r="U6" s="3"/>
      <c r="W6" s="3"/>
      <c r="X6" s="3"/>
      <c r="Y6" s="3"/>
      <c r="Z6" s="3"/>
    </row>
    <row r="7" spans="1:26" ht="28.8" outlineLevel="1" x14ac:dyDescent="0.3">
      <c r="A7" s="3"/>
      <c r="B7" s="10" t="s">
        <v>273</v>
      </c>
      <c r="C7" s="62">
        <v>1</v>
      </c>
      <c r="D7" s="62" t="s">
        <v>94</v>
      </c>
      <c r="E7" s="12">
        <v>0</v>
      </c>
      <c r="F7" s="12">
        <v>753.64</v>
      </c>
      <c r="G7" s="89"/>
      <c r="H7" s="65" t="s">
        <v>37</v>
      </c>
      <c r="I7" s="112" t="s">
        <v>1422</v>
      </c>
      <c r="J7" s="65"/>
      <c r="K7" s="37"/>
      <c r="L7" s="37"/>
      <c r="M7" s="37"/>
      <c r="N7" s="37"/>
      <c r="O7" s="37"/>
      <c r="P7" s="37"/>
      <c r="Q7" s="37"/>
      <c r="R7" s="37"/>
      <c r="S7" s="37"/>
      <c r="T7" s="37"/>
      <c r="U7" s="3"/>
      <c r="W7" s="3"/>
      <c r="X7" s="3"/>
      <c r="Y7" s="3"/>
      <c r="Z7" s="3"/>
    </row>
    <row r="8" spans="1:26" ht="28.8" outlineLevel="1" x14ac:dyDescent="0.3">
      <c r="A8" s="3"/>
      <c r="B8" s="10" t="s">
        <v>281</v>
      </c>
      <c r="C8" s="62">
        <v>11</v>
      </c>
      <c r="D8" s="62" t="s">
        <v>94</v>
      </c>
      <c r="E8" s="12">
        <v>0</v>
      </c>
      <c r="F8" s="12">
        <v>306.18</v>
      </c>
      <c r="G8" s="89"/>
      <c r="H8" s="65" t="s">
        <v>37</v>
      </c>
      <c r="I8" s="112" t="s">
        <v>1423</v>
      </c>
      <c r="J8" s="89"/>
      <c r="K8" s="37"/>
      <c r="L8" s="37"/>
      <c r="M8" s="37"/>
      <c r="N8" s="37"/>
      <c r="O8" s="37"/>
      <c r="P8" s="37"/>
      <c r="Q8" s="37"/>
      <c r="R8" s="37"/>
      <c r="S8" s="37"/>
      <c r="T8" s="37"/>
      <c r="U8" s="3"/>
      <c r="W8" s="3"/>
      <c r="X8" s="3"/>
      <c r="Y8" s="3"/>
      <c r="Z8" s="3"/>
    </row>
    <row r="9" spans="1:26" ht="28.8" outlineLevel="1" x14ac:dyDescent="0.3">
      <c r="A9" s="3"/>
      <c r="B9" s="10" t="s">
        <v>281</v>
      </c>
      <c r="C9" s="62">
        <v>11</v>
      </c>
      <c r="D9" s="62" t="s">
        <v>94</v>
      </c>
      <c r="E9" s="12">
        <v>0</v>
      </c>
      <c r="F9" s="12">
        <v>48.79</v>
      </c>
      <c r="G9" s="89"/>
      <c r="H9" s="65" t="s">
        <v>37</v>
      </c>
      <c r="I9" s="112" t="s">
        <v>1424</v>
      </c>
      <c r="J9" s="89"/>
      <c r="K9" s="37"/>
      <c r="L9" s="37"/>
      <c r="M9" s="37"/>
      <c r="N9" s="37"/>
      <c r="O9" s="37"/>
      <c r="P9" s="37"/>
      <c r="Q9" s="37"/>
      <c r="R9" s="37"/>
      <c r="S9" s="37"/>
      <c r="T9" s="37"/>
      <c r="U9" s="3"/>
      <c r="W9" s="3"/>
      <c r="X9" s="3"/>
      <c r="Y9" s="3"/>
      <c r="Z9" s="3"/>
    </row>
    <row r="10" spans="1:26" ht="28.8" outlineLevel="1" x14ac:dyDescent="0.3">
      <c r="A10" s="3"/>
      <c r="B10" s="10" t="s">
        <v>281</v>
      </c>
      <c r="C10" s="62">
        <v>11</v>
      </c>
      <c r="D10" s="62" t="s">
        <v>94</v>
      </c>
      <c r="E10" s="12">
        <v>0</v>
      </c>
      <c r="F10" s="12">
        <v>69.39</v>
      </c>
      <c r="G10" s="89"/>
      <c r="H10" s="65" t="s">
        <v>37</v>
      </c>
      <c r="I10" s="112" t="s">
        <v>1425</v>
      </c>
      <c r="J10" s="89"/>
      <c r="K10" s="37"/>
      <c r="L10" s="37"/>
      <c r="M10" s="37"/>
      <c r="N10" s="37"/>
      <c r="O10" s="37"/>
      <c r="P10" s="37"/>
      <c r="Q10" s="37"/>
      <c r="R10" s="37"/>
      <c r="S10" s="37"/>
      <c r="T10" s="37"/>
      <c r="U10" s="3"/>
      <c r="W10" s="3"/>
      <c r="X10" s="3"/>
      <c r="Y10" s="3"/>
      <c r="Z10" s="3"/>
    </row>
    <row r="11" spans="1:26" ht="28.8" outlineLevel="1" x14ac:dyDescent="0.3">
      <c r="A11" s="3"/>
      <c r="B11" s="10" t="s">
        <v>559</v>
      </c>
      <c r="C11" s="62">
        <v>6</v>
      </c>
      <c r="D11" s="62" t="s">
        <v>94</v>
      </c>
      <c r="E11" s="12">
        <v>0</v>
      </c>
      <c r="F11" s="12">
        <v>53.9</v>
      </c>
      <c r="G11" s="89"/>
      <c r="H11" s="65" t="s">
        <v>37</v>
      </c>
      <c r="I11" s="112" t="s">
        <v>1426</v>
      </c>
      <c r="J11" s="89"/>
      <c r="K11" s="37"/>
      <c r="L11" s="37"/>
      <c r="M11" s="37"/>
      <c r="N11" s="37"/>
      <c r="O11" s="37"/>
      <c r="P11" s="37"/>
      <c r="Q11" s="37"/>
      <c r="R11" s="37"/>
      <c r="S11" s="37"/>
      <c r="T11" s="37"/>
      <c r="U11" s="3"/>
      <c r="W11" s="3"/>
      <c r="X11" s="3"/>
      <c r="Y11" s="3"/>
      <c r="Z11" s="3"/>
    </row>
    <row r="12" spans="1:26" ht="20.399999999999999" x14ac:dyDescent="0.3">
      <c r="A12" s="3"/>
      <c r="B12" s="84" t="s">
        <v>287</v>
      </c>
      <c r="C12" s="85" t="s">
        <v>43</v>
      </c>
      <c r="D12" s="85" t="s">
        <v>43</v>
      </c>
      <c r="E12" s="86">
        <v>0</v>
      </c>
      <c r="F12" s="86">
        <v>10172.9</v>
      </c>
      <c r="G12" s="88"/>
      <c r="H12" s="87"/>
      <c r="I12" s="88"/>
      <c r="J12" s="87"/>
      <c r="K12" s="37"/>
      <c r="L12" s="37"/>
      <c r="M12" s="37"/>
      <c r="N12" s="37"/>
      <c r="O12" s="37"/>
      <c r="P12" s="37"/>
      <c r="Q12" s="37"/>
      <c r="R12" s="37"/>
      <c r="S12" s="37"/>
      <c r="T12" s="37"/>
      <c r="U12" s="3"/>
    </row>
    <row r="13" spans="1:26" ht="14.4" outlineLevel="1" x14ac:dyDescent="0.3">
      <c r="A13" s="3"/>
      <c r="B13" s="10" t="s">
        <v>561</v>
      </c>
      <c r="C13" s="62">
        <v>25</v>
      </c>
      <c r="D13" s="62" t="s">
        <v>94</v>
      </c>
      <c r="E13" s="12">
        <v>0</v>
      </c>
      <c r="F13" s="12">
        <v>1394.86</v>
      </c>
      <c r="G13" s="244"/>
      <c r="H13" s="65" t="s">
        <v>37</v>
      </c>
      <c r="I13" s="246" t="s">
        <v>1427</v>
      </c>
      <c r="J13" s="65"/>
      <c r="K13" s="37"/>
      <c r="L13" s="37"/>
      <c r="M13" s="37"/>
      <c r="N13" s="37"/>
      <c r="O13" s="37"/>
      <c r="P13" s="37"/>
      <c r="Q13" s="37"/>
      <c r="R13" s="37"/>
      <c r="S13" s="37"/>
      <c r="T13" s="37"/>
      <c r="U13" s="3"/>
    </row>
    <row r="14" spans="1:26" ht="14.4" outlineLevel="1" x14ac:dyDescent="0.3">
      <c r="A14" s="3"/>
      <c r="B14" s="10" t="s">
        <v>563</v>
      </c>
      <c r="C14" s="62">
        <v>25</v>
      </c>
      <c r="D14" s="62" t="s">
        <v>94</v>
      </c>
      <c r="E14" s="12">
        <v>0</v>
      </c>
      <c r="F14" s="12">
        <v>794.43</v>
      </c>
      <c r="G14" s="215"/>
      <c r="H14" s="65" t="s">
        <v>37</v>
      </c>
      <c r="I14" s="215"/>
      <c r="J14" s="65"/>
      <c r="K14" s="37"/>
      <c r="L14" s="37"/>
      <c r="M14" s="37"/>
      <c r="N14" s="37"/>
      <c r="O14" s="37"/>
      <c r="P14" s="37"/>
      <c r="Q14" s="37"/>
      <c r="R14" s="37"/>
      <c r="S14" s="37"/>
      <c r="T14" s="37"/>
      <c r="U14" s="3"/>
    </row>
    <row r="15" spans="1:26" ht="14.4" outlineLevel="1" x14ac:dyDescent="0.3">
      <c r="A15" s="3"/>
      <c r="B15" s="10" t="s">
        <v>564</v>
      </c>
      <c r="C15" s="62">
        <v>25</v>
      </c>
      <c r="D15" s="62" t="s">
        <v>94</v>
      </c>
      <c r="E15" s="12">
        <v>0</v>
      </c>
      <c r="F15" s="12">
        <v>97</v>
      </c>
      <c r="G15" s="215"/>
      <c r="H15" s="65" t="s">
        <v>37</v>
      </c>
      <c r="I15" s="215"/>
      <c r="J15" s="65"/>
      <c r="K15" s="37"/>
      <c r="L15" s="37"/>
      <c r="M15" s="37"/>
      <c r="N15" s="37"/>
      <c r="O15" s="37"/>
      <c r="P15" s="37"/>
      <c r="Q15" s="37"/>
      <c r="R15" s="37"/>
      <c r="S15" s="37"/>
      <c r="T15" s="37"/>
      <c r="U15" s="3"/>
    </row>
    <row r="16" spans="1:26" ht="14.4" outlineLevel="1" x14ac:dyDescent="0.3">
      <c r="A16" s="3"/>
      <c r="B16" s="10" t="s">
        <v>565</v>
      </c>
      <c r="C16" s="62">
        <v>25</v>
      </c>
      <c r="D16" s="62" t="s">
        <v>94</v>
      </c>
      <c r="E16" s="12">
        <v>0</v>
      </c>
      <c r="F16" s="12">
        <v>97</v>
      </c>
      <c r="G16" s="215"/>
      <c r="H16" s="65" t="s">
        <v>37</v>
      </c>
      <c r="I16" s="215"/>
      <c r="J16" s="65"/>
      <c r="K16" s="37"/>
      <c r="L16" s="37"/>
      <c r="M16" s="37"/>
      <c r="N16" s="37"/>
      <c r="O16" s="37"/>
      <c r="P16" s="37"/>
      <c r="Q16" s="37"/>
      <c r="R16" s="37"/>
      <c r="S16" s="37"/>
      <c r="T16" s="37"/>
      <c r="U16" s="3"/>
    </row>
    <row r="17" spans="1:26" ht="14.4" outlineLevel="1" x14ac:dyDescent="0.3">
      <c r="A17" s="3"/>
      <c r="B17" s="10" t="s">
        <v>566</v>
      </c>
      <c r="C17" s="62">
        <v>25</v>
      </c>
      <c r="D17" s="62" t="s">
        <v>94</v>
      </c>
      <c r="E17" s="12">
        <v>0</v>
      </c>
      <c r="F17" s="12">
        <v>388</v>
      </c>
      <c r="G17" s="216"/>
      <c r="H17" s="65" t="s">
        <v>37</v>
      </c>
      <c r="I17" s="216"/>
      <c r="J17" s="65"/>
      <c r="K17" s="37"/>
      <c r="L17" s="37"/>
      <c r="M17" s="37"/>
      <c r="N17" s="37"/>
      <c r="O17" s="37"/>
      <c r="P17" s="37"/>
      <c r="Q17" s="37"/>
      <c r="R17" s="37"/>
      <c r="S17" s="37"/>
      <c r="T17" s="37"/>
      <c r="U17" s="3"/>
    </row>
    <row r="18" spans="1:26" ht="28.8" outlineLevel="1" x14ac:dyDescent="0.3">
      <c r="A18" s="3"/>
      <c r="B18" s="10" t="s">
        <v>290</v>
      </c>
      <c r="C18" s="62">
        <v>17</v>
      </c>
      <c r="D18" s="62" t="s">
        <v>94</v>
      </c>
      <c r="E18" s="12">
        <v>0</v>
      </c>
      <c r="F18" s="12">
        <v>3379</v>
      </c>
      <c r="G18" s="102"/>
      <c r="H18" s="65" t="s">
        <v>37</v>
      </c>
      <c r="I18" s="113" t="s">
        <v>1428</v>
      </c>
      <c r="J18" s="65"/>
      <c r="K18" s="37"/>
      <c r="L18" s="37"/>
      <c r="M18" s="37"/>
      <c r="N18" s="37"/>
      <c r="O18" s="37"/>
      <c r="P18" s="37"/>
      <c r="Q18" s="37"/>
      <c r="R18" s="37"/>
      <c r="S18" s="37"/>
      <c r="T18" s="37"/>
      <c r="U18" s="3"/>
      <c r="V18" s="18"/>
    </row>
    <row r="19" spans="1:26" ht="28.8" outlineLevel="1" x14ac:dyDescent="0.3">
      <c r="A19" s="3"/>
      <c r="B19" s="10" t="s">
        <v>292</v>
      </c>
      <c r="C19" s="62">
        <v>11</v>
      </c>
      <c r="D19" s="62" t="s">
        <v>94</v>
      </c>
      <c r="E19" s="12">
        <v>0</v>
      </c>
      <c r="F19" s="12">
        <v>117</v>
      </c>
      <c r="G19" s="89"/>
      <c r="H19" s="65" t="s">
        <v>37</v>
      </c>
      <c r="I19" s="112" t="s">
        <v>1429</v>
      </c>
      <c r="J19" s="65"/>
      <c r="K19" s="37"/>
      <c r="L19" s="37"/>
      <c r="M19" s="37"/>
      <c r="N19" s="37"/>
      <c r="O19" s="37"/>
      <c r="P19" s="37"/>
      <c r="Q19" s="37"/>
      <c r="R19" s="37"/>
      <c r="S19" s="37"/>
      <c r="T19" s="37"/>
      <c r="U19" s="3"/>
      <c r="V19" s="18"/>
    </row>
    <row r="20" spans="1:26" ht="28.8" outlineLevel="1" x14ac:dyDescent="0.3">
      <c r="A20" s="3"/>
      <c r="B20" s="10" t="s">
        <v>294</v>
      </c>
      <c r="C20" s="62">
        <v>15</v>
      </c>
      <c r="D20" s="62" t="s">
        <v>94</v>
      </c>
      <c r="E20" s="12">
        <v>0</v>
      </c>
      <c r="F20" s="12">
        <v>1469.75</v>
      </c>
      <c r="G20" s="89" t="s">
        <v>1430</v>
      </c>
      <c r="H20" s="65" t="s">
        <v>37</v>
      </c>
      <c r="I20" s="112" t="s">
        <v>1431</v>
      </c>
      <c r="J20" s="65"/>
      <c r="K20" s="37"/>
      <c r="L20" s="37"/>
      <c r="M20" s="37"/>
      <c r="N20" s="37"/>
      <c r="O20" s="37"/>
      <c r="P20" s="37"/>
      <c r="Q20" s="37"/>
      <c r="R20" s="37"/>
      <c r="S20" s="37"/>
      <c r="T20" s="37"/>
      <c r="U20" s="3"/>
    </row>
    <row r="21" spans="1:26" ht="28.8" outlineLevel="1" x14ac:dyDescent="0.3">
      <c r="A21" s="3"/>
      <c r="B21" s="10" t="s">
        <v>294</v>
      </c>
      <c r="C21" s="62">
        <v>31</v>
      </c>
      <c r="D21" s="62" t="s">
        <v>94</v>
      </c>
      <c r="E21" s="12">
        <v>0</v>
      </c>
      <c r="F21" s="12">
        <v>2435.86</v>
      </c>
      <c r="G21" s="89" t="s">
        <v>1432</v>
      </c>
      <c r="H21" s="65" t="s">
        <v>37</v>
      </c>
      <c r="I21" s="112" t="s">
        <v>1433</v>
      </c>
      <c r="J21" s="65"/>
      <c r="K21" s="37"/>
      <c r="L21" s="37"/>
      <c r="M21" s="37"/>
      <c r="N21" s="37"/>
      <c r="O21" s="37"/>
      <c r="P21" s="37"/>
      <c r="Q21" s="37"/>
      <c r="R21" s="37"/>
      <c r="S21" s="37"/>
      <c r="T21" s="37"/>
      <c r="U21" s="3"/>
    </row>
    <row r="22" spans="1:26" ht="20.399999999999999" x14ac:dyDescent="0.3">
      <c r="A22" s="3"/>
      <c r="B22" s="84" t="s">
        <v>300</v>
      </c>
      <c r="C22" s="85" t="s">
        <v>43</v>
      </c>
      <c r="D22" s="85" t="s">
        <v>43</v>
      </c>
      <c r="E22" s="86">
        <v>0</v>
      </c>
      <c r="F22" s="86">
        <v>0.92000000000000015</v>
      </c>
      <c r="G22" s="88"/>
      <c r="H22" s="87"/>
      <c r="I22" s="88"/>
      <c r="J22" s="87"/>
      <c r="K22" s="37"/>
      <c r="L22" s="37"/>
      <c r="M22" s="37"/>
      <c r="N22" s="37"/>
      <c r="O22" s="37"/>
      <c r="P22" s="37"/>
      <c r="Q22" s="37"/>
      <c r="R22" s="37"/>
      <c r="S22" s="37"/>
      <c r="T22" s="37"/>
      <c r="U22" s="3"/>
      <c r="W22" s="3"/>
      <c r="X22" s="3"/>
      <c r="Y22" s="3"/>
      <c r="Z22" s="3"/>
    </row>
    <row r="23" spans="1:26" ht="28.8" outlineLevel="1" x14ac:dyDescent="0.3">
      <c r="A23" s="3"/>
      <c r="B23" s="10" t="s">
        <v>583</v>
      </c>
      <c r="C23" s="62" t="s">
        <v>713</v>
      </c>
      <c r="D23" s="62" t="s">
        <v>94</v>
      </c>
      <c r="E23" s="12">
        <v>0</v>
      </c>
      <c r="F23" s="12">
        <v>0.92000000000000015</v>
      </c>
      <c r="G23" s="89"/>
      <c r="H23" s="65" t="s">
        <v>38</v>
      </c>
      <c r="I23" s="112" t="s">
        <v>1434</v>
      </c>
      <c r="J23" s="65"/>
      <c r="K23" s="37"/>
      <c r="L23" s="37"/>
      <c r="M23" s="37"/>
      <c r="N23" s="37"/>
      <c r="O23" s="37"/>
      <c r="P23" s="37"/>
      <c r="Q23" s="37"/>
      <c r="R23" s="37"/>
      <c r="S23" s="37"/>
      <c r="T23" s="37"/>
      <c r="U23" s="3"/>
      <c r="W23" s="3"/>
      <c r="X23" s="3"/>
      <c r="Y23" s="3"/>
      <c r="Z23" s="3"/>
    </row>
    <row r="24" spans="1:26" ht="20.399999999999999" x14ac:dyDescent="0.3">
      <c r="A24" s="3"/>
      <c r="B24" s="84" t="s">
        <v>306</v>
      </c>
      <c r="C24" s="85" t="s">
        <v>43</v>
      </c>
      <c r="D24" s="85" t="s">
        <v>43</v>
      </c>
      <c r="E24" s="86">
        <v>0</v>
      </c>
      <c r="F24" s="86">
        <v>2624.14</v>
      </c>
      <c r="G24" s="88"/>
      <c r="H24" s="87"/>
      <c r="I24" s="88"/>
      <c r="J24" s="87"/>
      <c r="K24" s="37"/>
      <c r="L24" s="37"/>
      <c r="M24" s="37"/>
      <c r="N24" s="37"/>
      <c r="O24" s="37"/>
      <c r="P24" s="37"/>
      <c r="Q24" s="37"/>
      <c r="R24" s="37"/>
      <c r="S24" s="37"/>
      <c r="T24" s="37"/>
      <c r="U24" s="3"/>
      <c r="W24" s="3"/>
      <c r="X24" s="3"/>
      <c r="Y24" s="3"/>
      <c r="Z24" s="3"/>
    </row>
    <row r="25" spans="1:26" ht="28.8" outlineLevel="1" x14ac:dyDescent="0.3">
      <c r="A25" s="3"/>
      <c r="B25" s="10" t="s">
        <v>307</v>
      </c>
      <c r="C25" s="62">
        <v>22</v>
      </c>
      <c r="D25" s="62" t="s">
        <v>94</v>
      </c>
      <c r="E25" s="12">
        <v>0</v>
      </c>
      <c r="F25" s="12">
        <v>779.89</v>
      </c>
      <c r="G25" s="89"/>
      <c r="H25" s="65" t="s">
        <v>37</v>
      </c>
      <c r="I25" s="112" t="s">
        <v>1435</v>
      </c>
      <c r="J25" s="65"/>
      <c r="K25" s="37"/>
      <c r="L25" s="37"/>
      <c r="M25" s="37"/>
      <c r="N25" s="37"/>
      <c r="O25" s="37"/>
      <c r="P25" s="37"/>
      <c r="Q25" s="37"/>
      <c r="R25" s="37"/>
      <c r="S25" s="37"/>
      <c r="T25" s="37"/>
      <c r="U25" s="3"/>
      <c r="W25" s="3"/>
      <c r="X25" s="3"/>
      <c r="Y25" s="3"/>
      <c r="Z25" s="3"/>
    </row>
    <row r="26" spans="1:26" ht="28.8" outlineLevel="1" x14ac:dyDescent="0.3">
      <c r="A26" s="3"/>
      <c r="B26" s="10" t="s">
        <v>589</v>
      </c>
      <c r="C26" s="62">
        <v>20</v>
      </c>
      <c r="D26" s="62" t="s">
        <v>94</v>
      </c>
      <c r="E26" s="12">
        <v>0</v>
      </c>
      <c r="F26" s="12">
        <v>650</v>
      </c>
      <c r="G26" s="89"/>
      <c r="H26" s="65" t="s">
        <v>37</v>
      </c>
      <c r="I26" s="112" t="s">
        <v>1436</v>
      </c>
      <c r="J26" s="65"/>
      <c r="K26" s="37"/>
      <c r="L26" s="37"/>
      <c r="M26" s="37"/>
      <c r="N26" s="37"/>
      <c r="O26" s="37"/>
      <c r="P26" s="37"/>
      <c r="Q26" s="37"/>
      <c r="R26" s="37"/>
      <c r="S26" s="37"/>
      <c r="T26" s="37"/>
      <c r="U26" s="3"/>
      <c r="W26" s="3"/>
      <c r="X26" s="3"/>
      <c r="Y26" s="3"/>
      <c r="Z26" s="3"/>
    </row>
    <row r="27" spans="1:26" ht="28.8" outlineLevel="1" x14ac:dyDescent="0.3">
      <c r="A27" s="3"/>
      <c r="B27" s="10" t="s">
        <v>314</v>
      </c>
      <c r="C27" s="62">
        <v>16</v>
      </c>
      <c r="D27" s="62" t="s">
        <v>94</v>
      </c>
      <c r="E27" s="12">
        <v>0</v>
      </c>
      <c r="F27" s="12">
        <v>84.9</v>
      </c>
      <c r="G27" s="89"/>
      <c r="H27" s="65" t="s">
        <v>37</v>
      </c>
      <c r="I27" s="112" t="s">
        <v>1437</v>
      </c>
      <c r="J27" s="65"/>
      <c r="K27" s="37"/>
      <c r="L27" s="37"/>
      <c r="M27" s="37"/>
      <c r="N27" s="37"/>
      <c r="O27" s="37"/>
      <c r="P27" s="37"/>
      <c r="Q27" s="37"/>
      <c r="R27" s="37"/>
      <c r="S27" s="37"/>
      <c r="T27" s="37"/>
      <c r="U27" s="3"/>
      <c r="W27" s="3"/>
      <c r="X27" s="3"/>
      <c r="Y27" s="3"/>
      <c r="Z27" s="3"/>
    </row>
    <row r="28" spans="1:26" ht="28.8" outlineLevel="1" x14ac:dyDescent="0.3">
      <c r="A28" s="3"/>
      <c r="B28" s="10" t="s">
        <v>317</v>
      </c>
      <c r="C28" s="62">
        <v>4</v>
      </c>
      <c r="D28" s="62" t="s">
        <v>94</v>
      </c>
      <c r="E28" s="12">
        <v>0</v>
      </c>
      <c r="F28" s="12">
        <v>345</v>
      </c>
      <c r="G28" s="89" t="s">
        <v>1438</v>
      </c>
      <c r="H28" s="65" t="s">
        <v>37</v>
      </c>
      <c r="I28" s="112" t="s">
        <v>1439</v>
      </c>
      <c r="J28" s="65"/>
      <c r="K28" s="37"/>
      <c r="L28" s="37"/>
      <c r="M28" s="37"/>
      <c r="N28" s="37"/>
      <c r="O28" s="37"/>
      <c r="P28" s="37"/>
      <c r="Q28" s="37"/>
      <c r="R28" s="37"/>
      <c r="S28" s="37"/>
      <c r="T28" s="37"/>
      <c r="U28" s="3"/>
      <c r="W28" s="3"/>
      <c r="X28" s="3"/>
      <c r="Y28" s="3"/>
      <c r="Z28" s="3"/>
    </row>
    <row r="29" spans="1:26" ht="28.8" outlineLevel="1" x14ac:dyDescent="0.3">
      <c r="A29" s="3"/>
      <c r="B29" s="10" t="s">
        <v>317</v>
      </c>
      <c r="C29" s="62">
        <v>4</v>
      </c>
      <c r="D29" s="62" t="s">
        <v>94</v>
      </c>
      <c r="E29" s="12">
        <v>0</v>
      </c>
      <c r="F29" s="12">
        <v>52</v>
      </c>
      <c r="G29" s="89" t="s">
        <v>1438</v>
      </c>
      <c r="H29" s="65" t="s">
        <v>37</v>
      </c>
      <c r="I29" s="112" t="s">
        <v>1439</v>
      </c>
      <c r="J29" s="65"/>
      <c r="K29" s="37"/>
      <c r="L29" s="37"/>
      <c r="M29" s="37"/>
      <c r="N29" s="37"/>
      <c r="O29" s="37"/>
      <c r="P29" s="37"/>
      <c r="Q29" s="37"/>
      <c r="R29" s="37"/>
      <c r="S29" s="37"/>
      <c r="T29" s="37"/>
      <c r="U29" s="3"/>
      <c r="W29" s="3"/>
      <c r="X29" s="3"/>
      <c r="Y29" s="3"/>
      <c r="Z29" s="3"/>
    </row>
    <row r="30" spans="1:26" ht="28.8" outlineLevel="1" x14ac:dyDescent="0.3">
      <c r="A30" s="3"/>
      <c r="B30" s="10" t="s">
        <v>1193</v>
      </c>
      <c r="C30" s="62">
        <v>4</v>
      </c>
      <c r="D30" s="62" t="s">
        <v>94</v>
      </c>
      <c r="E30" s="12">
        <v>0</v>
      </c>
      <c r="F30" s="12">
        <v>264.02</v>
      </c>
      <c r="G30" s="89" t="s">
        <v>1440</v>
      </c>
      <c r="H30" s="65" t="s">
        <v>37</v>
      </c>
      <c r="I30" s="112" t="s">
        <v>1441</v>
      </c>
      <c r="J30" s="65"/>
      <c r="K30" s="37"/>
      <c r="L30" s="37"/>
      <c r="M30" s="37"/>
      <c r="N30" s="37"/>
      <c r="O30" s="37"/>
      <c r="P30" s="37"/>
      <c r="Q30" s="37"/>
      <c r="R30" s="37"/>
      <c r="S30" s="37"/>
      <c r="T30" s="37"/>
      <c r="U30" s="3"/>
      <c r="W30" s="3"/>
      <c r="X30" s="3"/>
      <c r="Y30" s="3"/>
      <c r="Z30" s="3"/>
    </row>
    <row r="31" spans="1:26" ht="28.8" outlineLevel="1" x14ac:dyDescent="0.3">
      <c r="A31" s="3"/>
      <c r="B31" s="10" t="s">
        <v>1196</v>
      </c>
      <c r="C31" s="62">
        <v>4</v>
      </c>
      <c r="D31" s="62" t="s">
        <v>94</v>
      </c>
      <c r="E31" s="12">
        <v>0</v>
      </c>
      <c r="F31" s="12">
        <v>448.33</v>
      </c>
      <c r="G31" s="89" t="s">
        <v>1442</v>
      </c>
      <c r="H31" s="65" t="s">
        <v>37</v>
      </c>
      <c r="I31" s="112" t="s">
        <v>1443</v>
      </c>
      <c r="J31" s="65"/>
      <c r="K31" s="37"/>
      <c r="L31" s="37"/>
      <c r="M31" s="37"/>
      <c r="N31" s="37"/>
      <c r="O31" s="37"/>
      <c r="P31" s="37"/>
      <c r="Q31" s="37"/>
      <c r="R31" s="37"/>
      <c r="S31" s="37"/>
      <c r="T31" s="37"/>
      <c r="U31" s="3"/>
      <c r="W31" s="3"/>
      <c r="X31" s="3"/>
      <c r="Y31" s="3"/>
      <c r="Z31" s="3"/>
    </row>
    <row r="32" spans="1:26" ht="20.399999999999999" x14ac:dyDescent="0.3">
      <c r="A32" s="3"/>
      <c r="B32" s="84" t="s">
        <v>329</v>
      </c>
      <c r="C32" s="85" t="s">
        <v>43</v>
      </c>
      <c r="D32" s="85" t="s">
        <v>43</v>
      </c>
      <c r="E32" s="86">
        <v>0</v>
      </c>
      <c r="F32" s="86">
        <v>2520.14</v>
      </c>
      <c r="G32" s="88"/>
      <c r="H32" s="87"/>
      <c r="I32" s="88"/>
      <c r="J32" s="87"/>
      <c r="K32" s="37"/>
      <c r="L32" s="37"/>
      <c r="M32" s="37"/>
      <c r="N32" s="37"/>
      <c r="O32" s="37"/>
      <c r="P32" s="37"/>
      <c r="Q32" s="37"/>
      <c r="R32" s="37"/>
      <c r="S32" s="37"/>
      <c r="T32" s="37"/>
      <c r="U32" s="3"/>
    </row>
    <row r="33" spans="1:22" ht="28.8" outlineLevel="1" x14ac:dyDescent="0.3">
      <c r="A33" s="3"/>
      <c r="B33" s="10" t="s">
        <v>1199</v>
      </c>
      <c r="C33" s="80">
        <v>5</v>
      </c>
      <c r="D33" s="62" t="s">
        <v>94</v>
      </c>
      <c r="E33" s="12">
        <v>0</v>
      </c>
      <c r="F33" s="12">
        <v>63.77</v>
      </c>
      <c r="G33" s="89" t="s">
        <v>1444</v>
      </c>
      <c r="H33" s="65" t="s">
        <v>37</v>
      </c>
      <c r="I33" s="112" t="s">
        <v>1445</v>
      </c>
      <c r="J33" s="89"/>
      <c r="K33" s="37"/>
      <c r="L33" s="37"/>
      <c r="M33" s="37"/>
      <c r="N33" s="37"/>
      <c r="O33" s="37"/>
      <c r="P33" s="37"/>
      <c r="Q33" s="37"/>
      <c r="R33" s="37"/>
      <c r="S33" s="37"/>
      <c r="T33" s="37"/>
      <c r="U33" s="3"/>
      <c r="V33" s="18"/>
    </row>
    <row r="34" spans="1:22" ht="28.8" outlineLevel="1" x14ac:dyDescent="0.3">
      <c r="A34" s="3"/>
      <c r="B34" s="10" t="s">
        <v>1199</v>
      </c>
      <c r="C34" s="80">
        <v>5</v>
      </c>
      <c r="D34" s="62" t="s">
        <v>94</v>
      </c>
      <c r="E34" s="12">
        <v>0</v>
      </c>
      <c r="F34" s="12">
        <v>78.83</v>
      </c>
      <c r="G34" s="89" t="s">
        <v>1444</v>
      </c>
      <c r="H34" s="65" t="s">
        <v>37</v>
      </c>
      <c r="I34" s="112" t="s">
        <v>1446</v>
      </c>
      <c r="J34" s="89"/>
      <c r="K34" s="37"/>
      <c r="L34" s="37"/>
      <c r="M34" s="37"/>
      <c r="N34" s="37"/>
      <c r="O34" s="37"/>
      <c r="P34" s="37"/>
      <c r="Q34" s="37"/>
      <c r="R34" s="37"/>
      <c r="S34" s="37"/>
      <c r="T34" s="37"/>
      <c r="U34" s="3"/>
      <c r="V34" s="18"/>
    </row>
    <row r="35" spans="1:22" ht="28.8" outlineLevel="1" x14ac:dyDescent="0.3">
      <c r="A35" s="3"/>
      <c r="B35" s="10" t="s">
        <v>1199</v>
      </c>
      <c r="C35" s="80">
        <v>5</v>
      </c>
      <c r="D35" s="62" t="s">
        <v>94</v>
      </c>
      <c r="E35" s="12">
        <v>0</v>
      </c>
      <c r="F35" s="12">
        <v>19.91</v>
      </c>
      <c r="G35" s="89" t="s">
        <v>1444</v>
      </c>
      <c r="H35" s="65" t="s">
        <v>37</v>
      </c>
      <c r="I35" s="112" t="s">
        <v>1447</v>
      </c>
      <c r="J35" s="89"/>
      <c r="K35" s="37"/>
      <c r="L35" s="37"/>
      <c r="M35" s="37"/>
      <c r="N35" s="37"/>
      <c r="O35" s="37"/>
      <c r="P35" s="37"/>
      <c r="Q35" s="37"/>
      <c r="R35" s="37"/>
      <c r="S35" s="37"/>
      <c r="T35" s="37"/>
      <c r="U35" s="3"/>
      <c r="V35" s="18"/>
    </row>
    <row r="36" spans="1:22" ht="28.8" outlineLevel="1" x14ac:dyDescent="0.3">
      <c r="A36" s="3"/>
      <c r="B36" s="10" t="s">
        <v>1199</v>
      </c>
      <c r="C36" s="80">
        <v>5</v>
      </c>
      <c r="D36" s="62" t="s">
        <v>94</v>
      </c>
      <c r="E36" s="12">
        <v>0</v>
      </c>
      <c r="F36" s="12">
        <v>239.06</v>
      </c>
      <c r="G36" s="89" t="s">
        <v>1444</v>
      </c>
      <c r="H36" s="65" t="s">
        <v>37</v>
      </c>
      <c r="I36" s="112" t="s">
        <v>1448</v>
      </c>
      <c r="J36" s="89"/>
      <c r="K36" s="37"/>
      <c r="L36" s="37"/>
      <c r="M36" s="37"/>
      <c r="N36" s="37"/>
      <c r="O36" s="37"/>
      <c r="P36" s="37"/>
      <c r="Q36" s="37"/>
      <c r="R36" s="37"/>
      <c r="S36" s="37"/>
      <c r="T36" s="37"/>
      <c r="U36" s="3"/>
      <c r="V36" s="18"/>
    </row>
    <row r="37" spans="1:22" ht="28.8" outlineLevel="1" x14ac:dyDescent="0.3">
      <c r="A37" s="3"/>
      <c r="B37" s="10" t="s">
        <v>1199</v>
      </c>
      <c r="C37" s="80">
        <v>9</v>
      </c>
      <c r="D37" s="62" t="s">
        <v>94</v>
      </c>
      <c r="E37" s="12">
        <v>0</v>
      </c>
      <c r="F37" s="12">
        <v>90</v>
      </c>
      <c r="G37" s="89" t="s">
        <v>1449</v>
      </c>
      <c r="H37" s="65" t="s">
        <v>37</v>
      </c>
      <c r="I37" s="112" t="s">
        <v>1450</v>
      </c>
      <c r="J37" s="89"/>
      <c r="K37" s="37"/>
      <c r="L37" s="37"/>
      <c r="M37" s="37"/>
      <c r="N37" s="37"/>
      <c r="O37" s="37"/>
      <c r="P37" s="37"/>
      <c r="Q37" s="37"/>
      <c r="R37" s="37"/>
      <c r="S37" s="37"/>
      <c r="T37" s="37"/>
      <c r="U37" s="3"/>
      <c r="V37" s="18"/>
    </row>
    <row r="38" spans="1:22" ht="28.8" outlineLevel="1" x14ac:dyDescent="0.3">
      <c r="A38" s="3"/>
      <c r="B38" s="10" t="s">
        <v>1199</v>
      </c>
      <c r="C38" s="80">
        <v>10</v>
      </c>
      <c r="D38" s="62" t="s">
        <v>94</v>
      </c>
      <c r="E38" s="12">
        <v>0</v>
      </c>
      <c r="F38" s="12">
        <v>40</v>
      </c>
      <c r="G38" s="89" t="s">
        <v>1451</v>
      </c>
      <c r="H38" s="65" t="s">
        <v>37</v>
      </c>
      <c r="I38" s="112" t="s">
        <v>1452</v>
      </c>
      <c r="J38" s="89"/>
      <c r="K38" s="37"/>
      <c r="L38" s="37"/>
      <c r="M38" s="37"/>
      <c r="N38" s="37"/>
      <c r="O38" s="37"/>
      <c r="P38" s="37"/>
      <c r="Q38" s="37"/>
      <c r="R38" s="37"/>
      <c r="S38" s="37"/>
      <c r="T38" s="37"/>
      <c r="U38" s="3"/>
      <c r="V38" s="18"/>
    </row>
    <row r="39" spans="1:22" ht="28.8" outlineLevel="1" x14ac:dyDescent="0.3">
      <c r="A39" s="3"/>
      <c r="B39" s="10" t="s">
        <v>1199</v>
      </c>
      <c r="C39" s="80">
        <v>14</v>
      </c>
      <c r="D39" s="62" t="s">
        <v>94</v>
      </c>
      <c r="E39" s="12">
        <v>0</v>
      </c>
      <c r="F39" s="12">
        <v>31.95</v>
      </c>
      <c r="G39" s="89"/>
      <c r="H39" s="65" t="s">
        <v>37</v>
      </c>
      <c r="I39" s="112" t="s">
        <v>1453</v>
      </c>
      <c r="J39" s="89"/>
      <c r="K39" s="37"/>
      <c r="L39" s="37"/>
      <c r="M39" s="37"/>
      <c r="N39" s="37"/>
      <c r="O39" s="37"/>
      <c r="P39" s="37"/>
      <c r="Q39" s="37"/>
      <c r="R39" s="37"/>
      <c r="S39" s="37"/>
      <c r="T39" s="37"/>
      <c r="U39" s="3"/>
      <c r="V39" s="18"/>
    </row>
    <row r="40" spans="1:22" ht="28.8" outlineLevel="1" x14ac:dyDescent="0.3">
      <c r="A40" s="3"/>
      <c r="B40" s="10" t="s">
        <v>1199</v>
      </c>
      <c r="C40" s="80">
        <v>14</v>
      </c>
      <c r="D40" s="62" t="s">
        <v>94</v>
      </c>
      <c r="E40" s="12">
        <v>0</v>
      </c>
      <c r="F40" s="12">
        <v>18.47</v>
      </c>
      <c r="G40" s="89"/>
      <c r="H40" s="65" t="s">
        <v>37</v>
      </c>
      <c r="I40" s="112" t="s">
        <v>1454</v>
      </c>
      <c r="J40" s="89"/>
      <c r="K40" s="37"/>
      <c r="L40" s="37"/>
      <c r="M40" s="37"/>
      <c r="N40" s="37"/>
      <c r="O40" s="37"/>
      <c r="P40" s="37"/>
      <c r="Q40" s="37"/>
      <c r="R40" s="37"/>
      <c r="S40" s="37"/>
      <c r="T40" s="37"/>
      <c r="U40" s="3"/>
      <c r="V40" s="18"/>
    </row>
    <row r="41" spans="1:22" ht="28.8" outlineLevel="1" x14ac:dyDescent="0.3">
      <c r="A41" s="3"/>
      <c r="B41" s="10" t="s">
        <v>1202</v>
      </c>
      <c r="C41" s="80">
        <v>19</v>
      </c>
      <c r="D41" s="62" t="s">
        <v>94</v>
      </c>
      <c r="E41" s="12">
        <v>0</v>
      </c>
      <c r="F41" s="12">
        <v>20.059999999999999</v>
      </c>
      <c r="G41" s="89" t="s">
        <v>1455</v>
      </c>
      <c r="H41" s="65" t="s">
        <v>37</v>
      </c>
      <c r="I41" s="112" t="s">
        <v>1456</v>
      </c>
      <c r="J41" s="89"/>
      <c r="K41" s="37"/>
      <c r="L41" s="37"/>
      <c r="M41" s="37"/>
      <c r="N41" s="37"/>
      <c r="O41" s="37"/>
      <c r="P41" s="37"/>
      <c r="Q41" s="37"/>
      <c r="R41" s="37"/>
      <c r="S41" s="37"/>
      <c r="T41" s="37"/>
      <c r="U41" s="3"/>
      <c r="V41" s="18"/>
    </row>
    <row r="42" spans="1:22" ht="28.8" outlineLevel="1" x14ac:dyDescent="0.3">
      <c r="A42" s="3"/>
      <c r="B42" s="10" t="s">
        <v>1202</v>
      </c>
      <c r="C42" s="80">
        <v>19</v>
      </c>
      <c r="D42" s="62" t="s">
        <v>94</v>
      </c>
      <c r="E42" s="12">
        <v>0</v>
      </c>
      <c r="F42" s="12">
        <v>361.46</v>
      </c>
      <c r="G42" s="89"/>
      <c r="H42" s="65" t="s">
        <v>37</v>
      </c>
      <c r="I42" s="112" t="s">
        <v>1457</v>
      </c>
      <c r="J42" s="89"/>
      <c r="K42" s="37"/>
      <c r="L42" s="37"/>
      <c r="M42" s="37"/>
      <c r="N42" s="37"/>
      <c r="O42" s="37"/>
      <c r="P42" s="37"/>
      <c r="Q42" s="37"/>
      <c r="R42" s="37"/>
      <c r="S42" s="37"/>
      <c r="T42" s="37"/>
      <c r="U42" s="3"/>
      <c r="V42" s="18"/>
    </row>
    <row r="43" spans="1:22" ht="28.8" outlineLevel="1" x14ac:dyDescent="0.3">
      <c r="A43" s="3"/>
      <c r="B43" s="10" t="s">
        <v>1202</v>
      </c>
      <c r="C43" s="80">
        <v>19</v>
      </c>
      <c r="D43" s="62" t="s">
        <v>94</v>
      </c>
      <c r="E43" s="12">
        <v>0</v>
      </c>
      <c r="F43" s="12">
        <v>95.96</v>
      </c>
      <c r="G43" s="89"/>
      <c r="H43" s="65" t="s">
        <v>37</v>
      </c>
      <c r="I43" s="112" t="s">
        <v>1458</v>
      </c>
      <c r="J43" s="89"/>
      <c r="K43" s="37"/>
      <c r="L43" s="37"/>
      <c r="M43" s="37"/>
      <c r="N43" s="37"/>
      <c r="O43" s="37"/>
      <c r="P43" s="37"/>
      <c r="Q43" s="37"/>
      <c r="R43" s="37"/>
      <c r="S43" s="37"/>
      <c r="T43" s="37"/>
      <c r="U43" s="3"/>
      <c r="V43" s="18"/>
    </row>
    <row r="44" spans="1:22" ht="28.8" outlineLevel="1" x14ac:dyDescent="0.3">
      <c r="A44" s="3"/>
      <c r="B44" s="10" t="s">
        <v>1202</v>
      </c>
      <c r="C44" s="80">
        <v>21</v>
      </c>
      <c r="D44" s="62" t="s">
        <v>94</v>
      </c>
      <c r="E44" s="12">
        <v>0</v>
      </c>
      <c r="F44" s="12">
        <v>40</v>
      </c>
      <c r="G44" s="89" t="s">
        <v>1451</v>
      </c>
      <c r="H44" s="65" t="s">
        <v>37</v>
      </c>
      <c r="I44" s="112" t="s">
        <v>1452</v>
      </c>
      <c r="J44" s="89"/>
      <c r="K44" s="37"/>
      <c r="L44" s="37"/>
      <c r="M44" s="37"/>
      <c r="N44" s="37"/>
      <c r="O44" s="37"/>
      <c r="P44" s="37"/>
      <c r="Q44" s="37"/>
      <c r="R44" s="37"/>
      <c r="S44" s="37"/>
      <c r="T44" s="37"/>
      <c r="U44" s="3"/>
      <c r="V44" s="18"/>
    </row>
    <row r="45" spans="1:22" ht="28.8" outlineLevel="1" x14ac:dyDescent="0.3">
      <c r="A45" s="3"/>
      <c r="B45" s="10" t="s">
        <v>330</v>
      </c>
      <c r="C45" s="80">
        <v>4</v>
      </c>
      <c r="D45" s="62" t="s">
        <v>94</v>
      </c>
      <c r="E45" s="12">
        <v>0</v>
      </c>
      <c r="F45" s="12">
        <v>155.75</v>
      </c>
      <c r="G45" s="89" t="s">
        <v>341</v>
      </c>
      <c r="H45" s="65" t="s">
        <v>37</v>
      </c>
      <c r="I45" s="112" t="s">
        <v>1459</v>
      </c>
      <c r="J45" s="89"/>
      <c r="K45" s="37"/>
      <c r="L45" s="37"/>
      <c r="M45" s="37"/>
      <c r="N45" s="37"/>
      <c r="O45" s="37"/>
      <c r="P45" s="37"/>
      <c r="Q45" s="37"/>
      <c r="R45" s="37"/>
      <c r="S45" s="37"/>
      <c r="T45" s="37"/>
      <c r="U45" s="3"/>
      <c r="V45" s="18"/>
    </row>
    <row r="46" spans="1:22" ht="28.8" outlineLevel="1" x14ac:dyDescent="0.3">
      <c r="A46" s="3"/>
      <c r="B46" s="10" t="s">
        <v>330</v>
      </c>
      <c r="C46" s="80">
        <v>10</v>
      </c>
      <c r="D46" s="62" t="s">
        <v>94</v>
      </c>
      <c r="E46" s="12">
        <v>0</v>
      </c>
      <c r="F46" s="12">
        <v>28.38</v>
      </c>
      <c r="G46" s="89"/>
      <c r="H46" s="65" t="s">
        <v>37</v>
      </c>
      <c r="I46" s="112" t="s">
        <v>1460</v>
      </c>
      <c r="J46" s="89"/>
      <c r="K46" s="37"/>
      <c r="L46" s="37"/>
      <c r="M46" s="37"/>
      <c r="N46" s="37"/>
      <c r="O46" s="37"/>
      <c r="P46" s="37"/>
      <c r="Q46" s="37"/>
      <c r="R46" s="37"/>
      <c r="S46" s="37"/>
      <c r="T46" s="37"/>
      <c r="U46" s="3"/>
      <c r="V46" s="18"/>
    </row>
    <row r="47" spans="1:22" ht="28.8" outlineLevel="1" x14ac:dyDescent="0.3">
      <c r="A47" s="3"/>
      <c r="B47" s="10" t="s">
        <v>334</v>
      </c>
      <c r="C47" s="62">
        <v>11</v>
      </c>
      <c r="D47" s="62" t="s">
        <v>94</v>
      </c>
      <c r="E47" s="12">
        <v>0</v>
      </c>
      <c r="F47" s="12">
        <v>200</v>
      </c>
      <c r="G47" s="89"/>
      <c r="H47" s="65" t="s">
        <v>37</v>
      </c>
      <c r="I47" s="112" t="s">
        <v>1461</v>
      </c>
      <c r="J47" s="65"/>
      <c r="K47" s="37"/>
      <c r="L47" s="37"/>
      <c r="M47" s="37"/>
      <c r="N47" s="37"/>
      <c r="O47" s="37"/>
      <c r="P47" s="37"/>
      <c r="Q47" s="37"/>
      <c r="R47" s="37"/>
      <c r="S47" s="37"/>
      <c r="T47" s="37"/>
      <c r="U47" s="3"/>
    </row>
    <row r="48" spans="1:22" ht="28.8" outlineLevel="1" x14ac:dyDescent="0.3">
      <c r="A48" s="3"/>
      <c r="B48" s="10" t="s">
        <v>334</v>
      </c>
      <c r="C48" s="62">
        <v>25</v>
      </c>
      <c r="D48" s="62" t="s">
        <v>94</v>
      </c>
      <c r="E48" s="12">
        <v>0</v>
      </c>
      <c r="F48" s="12">
        <v>136</v>
      </c>
      <c r="G48" s="89"/>
      <c r="H48" s="65" t="s">
        <v>37</v>
      </c>
      <c r="I48" s="112" t="s">
        <v>1462</v>
      </c>
      <c r="J48" s="65"/>
      <c r="K48" s="37"/>
      <c r="L48" s="37"/>
      <c r="M48" s="37"/>
      <c r="N48" s="37"/>
      <c r="O48" s="37"/>
      <c r="P48" s="37"/>
      <c r="Q48" s="37"/>
      <c r="R48" s="37"/>
      <c r="S48" s="37"/>
      <c r="T48" s="37"/>
      <c r="U48" s="3"/>
    </row>
    <row r="49" spans="1:26" ht="28.8" outlineLevel="1" x14ac:dyDescent="0.3">
      <c r="A49" s="3"/>
      <c r="B49" s="10" t="s">
        <v>627</v>
      </c>
      <c r="C49" s="80">
        <v>5</v>
      </c>
      <c r="D49" s="62" t="s">
        <v>94</v>
      </c>
      <c r="E49" s="12">
        <v>0</v>
      </c>
      <c r="F49" s="12">
        <v>309.38</v>
      </c>
      <c r="G49" s="89"/>
      <c r="H49" s="65" t="s">
        <v>37</v>
      </c>
      <c r="I49" s="112" t="s">
        <v>1463</v>
      </c>
      <c r="J49" s="89"/>
      <c r="K49" s="37"/>
      <c r="L49" s="37"/>
      <c r="M49" s="37"/>
      <c r="N49" s="37"/>
      <c r="O49" s="37"/>
      <c r="P49" s="37"/>
      <c r="Q49" s="37"/>
      <c r="R49" s="37"/>
      <c r="S49" s="37"/>
      <c r="T49" s="37"/>
      <c r="U49" s="3"/>
    </row>
    <row r="50" spans="1:26" ht="28.8" outlineLevel="1" x14ac:dyDescent="0.3">
      <c r="A50" s="3"/>
      <c r="B50" s="10" t="s">
        <v>627</v>
      </c>
      <c r="C50" s="80">
        <v>5</v>
      </c>
      <c r="D50" s="62" t="s">
        <v>94</v>
      </c>
      <c r="E50" s="12">
        <v>0</v>
      </c>
      <c r="F50" s="12">
        <v>473.16</v>
      </c>
      <c r="G50" s="89"/>
      <c r="H50" s="65" t="s">
        <v>37</v>
      </c>
      <c r="I50" s="112" t="s">
        <v>1464</v>
      </c>
      <c r="J50" s="89"/>
      <c r="K50" s="37"/>
      <c r="L50" s="37"/>
      <c r="M50" s="37"/>
      <c r="N50" s="37"/>
      <c r="O50" s="37"/>
      <c r="P50" s="37"/>
      <c r="Q50" s="37"/>
      <c r="R50" s="37"/>
      <c r="S50" s="37"/>
      <c r="T50" s="37"/>
      <c r="U50" s="3"/>
    </row>
    <row r="51" spans="1:26" ht="28.8" outlineLevel="1" x14ac:dyDescent="0.3">
      <c r="A51" s="3"/>
      <c r="B51" s="10" t="s">
        <v>811</v>
      </c>
      <c r="C51" s="62">
        <v>5</v>
      </c>
      <c r="D51" s="62" t="s">
        <v>94</v>
      </c>
      <c r="E51" s="12">
        <v>0</v>
      </c>
      <c r="F51" s="12">
        <v>118</v>
      </c>
      <c r="G51" s="89"/>
      <c r="H51" s="65" t="s">
        <v>37</v>
      </c>
      <c r="I51" s="112" t="s">
        <v>1465</v>
      </c>
      <c r="J51" s="65"/>
      <c r="K51" s="37"/>
      <c r="L51" s="37"/>
      <c r="M51" s="37"/>
      <c r="N51" s="37"/>
      <c r="O51" s="37"/>
      <c r="P51" s="37"/>
      <c r="Q51" s="37"/>
      <c r="R51" s="37"/>
      <c r="S51" s="37"/>
      <c r="T51" s="37"/>
      <c r="U51" s="3"/>
      <c r="W51" s="3"/>
      <c r="X51" s="3"/>
      <c r="Y51" s="3"/>
      <c r="Z51" s="3"/>
    </row>
    <row r="52" spans="1:26" ht="20.399999999999999" x14ac:dyDescent="0.3">
      <c r="A52" s="3"/>
      <c r="B52" s="84" t="s">
        <v>357</v>
      </c>
      <c r="C52" s="85" t="s">
        <v>43</v>
      </c>
      <c r="D52" s="85" t="s">
        <v>43</v>
      </c>
      <c r="E52" s="86">
        <v>0</v>
      </c>
      <c r="F52" s="86">
        <v>1738.63</v>
      </c>
      <c r="G52" s="88"/>
      <c r="H52" s="87"/>
      <c r="I52" s="88"/>
      <c r="J52" s="87"/>
      <c r="K52" s="37"/>
      <c r="L52" s="37"/>
      <c r="M52" s="37"/>
      <c r="N52" s="37"/>
      <c r="O52" s="37"/>
      <c r="P52" s="37"/>
      <c r="Q52" s="37"/>
      <c r="R52" s="37"/>
      <c r="S52" s="37"/>
      <c r="T52" s="37"/>
      <c r="U52" s="3"/>
      <c r="W52" s="3"/>
      <c r="X52" s="3"/>
      <c r="Y52" s="3"/>
      <c r="Z52" s="3"/>
    </row>
    <row r="53" spans="1:26" outlineLevel="1" x14ac:dyDescent="0.3">
      <c r="A53" s="3"/>
      <c r="B53" s="91" t="s">
        <v>632</v>
      </c>
      <c r="C53" s="92"/>
      <c r="D53" s="92"/>
      <c r="E53" s="93">
        <v>0</v>
      </c>
      <c r="F53" s="93">
        <v>1738.63</v>
      </c>
      <c r="G53" s="95"/>
      <c r="H53" s="94"/>
      <c r="I53" s="95"/>
      <c r="J53" s="94"/>
      <c r="K53" s="37"/>
      <c r="L53" s="37"/>
      <c r="M53" s="37"/>
      <c r="N53" s="37"/>
      <c r="O53" s="37"/>
      <c r="P53" s="37"/>
      <c r="Q53" s="37"/>
      <c r="R53" s="37"/>
      <c r="S53" s="37"/>
      <c r="T53" s="37"/>
      <c r="U53" s="3"/>
      <c r="W53" s="3"/>
      <c r="X53" s="3"/>
      <c r="Y53" s="3"/>
      <c r="Z53" s="3"/>
    </row>
    <row r="54" spans="1:26" ht="28.8" outlineLevel="1" x14ac:dyDescent="0.3">
      <c r="A54" s="3"/>
      <c r="B54" s="10" t="s">
        <v>1466</v>
      </c>
      <c r="C54" s="62">
        <v>21</v>
      </c>
      <c r="D54" s="62" t="s">
        <v>94</v>
      </c>
      <c r="E54" s="12">
        <v>0</v>
      </c>
      <c r="F54" s="12">
        <v>299.8</v>
      </c>
      <c r="G54" s="89"/>
      <c r="H54" s="65" t="s">
        <v>37</v>
      </c>
      <c r="I54" s="112" t="s">
        <v>1467</v>
      </c>
      <c r="J54" s="65"/>
      <c r="K54" s="37"/>
      <c r="L54" s="37"/>
      <c r="M54" s="37"/>
      <c r="N54" s="37"/>
      <c r="O54" s="37"/>
      <c r="P54" s="37"/>
      <c r="Q54" s="37"/>
      <c r="R54" s="37"/>
      <c r="S54" s="37"/>
      <c r="T54" s="37"/>
      <c r="U54" s="3"/>
      <c r="W54" s="3"/>
      <c r="X54" s="3"/>
      <c r="Y54" s="3"/>
      <c r="Z54" s="3"/>
    </row>
    <row r="55" spans="1:26" ht="28.8" outlineLevel="1" x14ac:dyDescent="0.3">
      <c r="A55" s="3"/>
      <c r="B55" s="10" t="s">
        <v>1468</v>
      </c>
      <c r="C55" s="62">
        <v>24</v>
      </c>
      <c r="D55" s="62" t="s">
        <v>94</v>
      </c>
      <c r="E55" s="12">
        <v>0</v>
      </c>
      <c r="F55" s="12">
        <v>240</v>
      </c>
      <c r="G55" s="89"/>
      <c r="H55" s="65" t="s">
        <v>37</v>
      </c>
      <c r="I55" s="112" t="s">
        <v>1469</v>
      </c>
      <c r="J55" s="65"/>
      <c r="K55" s="37"/>
      <c r="L55" s="37"/>
      <c r="M55" s="37"/>
      <c r="N55" s="37"/>
      <c r="O55" s="37"/>
      <c r="P55" s="37"/>
      <c r="Q55" s="37"/>
      <c r="R55" s="37"/>
      <c r="S55" s="37"/>
      <c r="T55" s="37"/>
      <c r="U55" s="3"/>
      <c r="W55" s="3"/>
      <c r="X55" s="3"/>
      <c r="Y55" s="3"/>
      <c r="Z55" s="3"/>
    </row>
    <row r="56" spans="1:26" ht="28.8" outlineLevel="1" x14ac:dyDescent="0.3">
      <c r="A56" s="3"/>
      <c r="B56" s="10" t="s">
        <v>1470</v>
      </c>
      <c r="C56" s="62">
        <v>24</v>
      </c>
      <c r="D56" s="62" t="s">
        <v>94</v>
      </c>
      <c r="E56" s="12">
        <v>0</v>
      </c>
      <c r="F56" s="12">
        <v>402.75</v>
      </c>
      <c r="G56" s="89"/>
      <c r="H56" s="65" t="s">
        <v>37</v>
      </c>
      <c r="I56" s="112" t="s">
        <v>1471</v>
      </c>
      <c r="J56" s="65"/>
      <c r="K56" s="37"/>
      <c r="L56" s="37"/>
      <c r="M56" s="37"/>
      <c r="N56" s="37"/>
      <c r="O56" s="37"/>
      <c r="P56" s="37"/>
      <c r="Q56" s="37"/>
      <c r="R56" s="37"/>
      <c r="S56" s="37"/>
      <c r="T56" s="37"/>
      <c r="U56" s="3"/>
      <c r="W56" s="3"/>
      <c r="X56" s="3"/>
      <c r="Y56" s="3"/>
      <c r="Z56" s="3"/>
    </row>
    <row r="57" spans="1:26" ht="28.8" outlineLevel="1" x14ac:dyDescent="0.3">
      <c r="A57" s="3"/>
      <c r="B57" s="10" t="s">
        <v>1466</v>
      </c>
      <c r="C57" s="62">
        <v>25</v>
      </c>
      <c r="D57" s="62" t="s">
        <v>94</v>
      </c>
      <c r="E57" s="12">
        <v>0</v>
      </c>
      <c r="F57" s="12">
        <v>43.96</v>
      </c>
      <c r="G57" s="89"/>
      <c r="H57" s="65" t="s">
        <v>37</v>
      </c>
      <c r="I57" s="112" t="s">
        <v>1472</v>
      </c>
      <c r="J57" s="65"/>
      <c r="K57" s="37"/>
      <c r="L57" s="37"/>
      <c r="M57" s="37"/>
      <c r="N57" s="37"/>
      <c r="O57" s="37"/>
      <c r="P57" s="37"/>
      <c r="Q57" s="37"/>
      <c r="R57" s="37"/>
      <c r="S57" s="37"/>
      <c r="T57" s="37"/>
      <c r="U57" s="3"/>
      <c r="W57" s="3"/>
      <c r="X57" s="3"/>
      <c r="Y57" s="3"/>
      <c r="Z57" s="3"/>
    </row>
    <row r="58" spans="1:26" ht="28.8" outlineLevel="1" x14ac:dyDescent="0.3">
      <c r="A58" s="3"/>
      <c r="B58" s="10" t="s">
        <v>1466</v>
      </c>
      <c r="C58" s="62">
        <v>25</v>
      </c>
      <c r="D58" s="62" t="s">
        <v>94</v>
      </c>
      <c r="E58" s="12">
        <v>0</v>
      </c>
      <c r="F58" s="12">
        <v>387.37</v>
      </c>
      <c r="G58" s="89"/>
      <c r="H58" s="65" t="s">
        <v>37</v>
      </c>
      <c r="I58" s="112" t="s">
        <v>1473</v>
      </c>
      <c r="J58" s="65"/>
      <c r="K58" s="37"/>
      <c r="L58" s="37"/>
      <c r="M58" s="37"/>
      <c r="N58" s="37"/>
      <c r="O58" s="37"/>
      <c r="P58" s="37"/>
      <c r="Q58" s="37"/>
      <c r="R58" s="37"/>
      <c r="S58" s="37"/>
      <c r="T58" s="37"/>
      <c r="U58" s="3"/>
      <c r="W58" s="3"/>
      <c r="X58" s="3"/>
      <c r="Y58" s="3"/>
      <c r="Z58" s="3"/>
    </row>
    <row r="59" spans="1:26" ht="28.8" outlineLevel="1" x14ac:dyDescent="0.3">
      <c r="A59" s="3"/>
      <c r="B59" s="10" t="s">
        <v>1466</v>
      </c>
      <c r="C59" s="80">
        <v>25</v>
      </c>
      <c r="D59" s="62" t="s">
        <v>94</v>
      </c>
      <c r="E59" s="12">
        <v>0</v>
      </c>
      <c r="F59" s="12">
        <v>125.78</v>
      </c>
      <c r="G59" s="89"/>
      <c r="H59" s="65" t="s">
        <v>37</v>
      </c>
      <c r="I59" s="112" t="s">
        <v>1474</v>
      </c>
      <c r="J59" s="65"/>
      <c r="K59" s="37"/>
      <c r="L59" s="37"/>
      <c r="M59" s="37"/>
      <c r="N59" s="37"/>
      <c r="O59" s="37"/>
      <c r="P59" s="37"/>
      <c r="Q59" s="37"/>
      <c r="R59" s="37"/>
      <c r="S59" s="37"/>
      <c r="T59" s="37"/>
      <c r="U59" s="3"/>
      <c r="W59" s="3"/>
      <c r="X59" s="3"/>
      <c r="Y59" s="3"/>
      <c r="Z59" s="3"/>
    </row>
    <row r="60" spans="1:26" ht="28.8" outlineLevel="1" x14ac:dyDescent="0.3">
      <c r="A60" s="3"/>
      <c r="B60" s="10" t="s">
        <v>1466</v>
      </c>
      <c r="C60" s="62">
        <v>25</v>
      </c>
      <c r="D60" s="62" t="s">
        <v>94</v>
      </c>
      <c r="E60" s="12">
        <v>0</v>
      </c>
      <c r="F60" s="12">
        <v>238.97</v>
      </c>
      <c r="G60" s="89"/>
      <c r="H60" s="65" t="s">
        <v>37</v>
      </c>
      <c r="I60" s="112" t="s">
        <v>1475</v>
      </c>
      <c r="J60" s="65"/>
      <c r="K60" s="37"/>
      <c r="L60" s="37"/>
      <c r="M60" s="37"/>
      <c r="N60" s="37"/>
      <c r="O60" s="37"/>
      <c r="P60" s="37"/>
      <c r="Q60" s="37"/>
      <c r="R60" s="37"/>
      <c r="S60" s="37"/>
      <c r="T60" s="37"/>
      <c r="U60" s="3"/>
      <c r="W60" s="3"/>
      <c r="X60" s="3"/>
      <c r="Y60" s="3"/>
      <c r="Z60" s="3"/>
    </row>
    <row r="61" spans="1:26" ht="20.399999999999999" x14ac:dyDescent="0.3">
      <c r="A61" s="3"/>
      <c r="B61" s="84" t="s">
        <v>87</v>
      </c>
      <c r="C61" s="85" t="s">
        <v>43</v>
      </c>
      <c r="D61" s="85" t="s">
        <v>43</v>
      </c>
      <c r="E61" s="86">
        <v>0</v>
      </c>
      <c r="F61" s="86">
        <v>1500</v>
      </c>
      <c r="G61" s="88"/>
      <c r="H61" s="87"/>
      <c r="I61" s="88"/>
      <c r="J61" s="87"/>
      <c r="K61" s="37"/>
      <c r="L61" s="37"/>
      <c r="M61" s="37"/>
      <c r="N61" s="37"/>
      <c r="O61" s="37"/>
      <c r="P61" s="37"/>
      <c r="Q61" s="37"/>
      <c r="R61" s="37"/>
      <c r="S61" s="37"/>
      <c r="T61" s="37"/>
      <c r="U61" s="3"/>
      <c r="W61" s="3"/>
      <c r="X61" s="3"/>
      <c r="Y61" s="3"/>
      <c r="Z61" s="3"/>
    </row>
    <row r="62" spans="1:26" ht="28.8" outlineLevel="1" x14ac:dyDescent="0.3">
      <c r="A62" s="3"/>
      <c r="B62" s="10" t="s">
        <v>1476</v>
      </c>
      <c r="C62" s="80">
        <v>6</v>
      </c>
      <c r="D62" s="62" t="s">
        <v>94</v>
      </c>
      <c r="E62" s="12">
        <v>0</v>
      </c>
      <c r="F62" s="12">
        <v>1000</v>
      </c>
      <c r="G62" s="89"/>
      <c r="H62" s="65" t="s">
        <v>37</v>
      </c>
      <c r="I62" s="112" t="s">
        <v>1477</v>
      </c>
      <c r="J62" s="89"/>
      <c r="K62" s="37"/>
      <c r="L62" s="37"/>
      <c r="M62" s="37"/>
      <c r="N62" s="37"/>
      <c r="O62" s="37"/>
      <c r="P62" s="37"/>
      <c r="Q62" s="37"/>
      <c r="R62" s="37"/>
      <c r="S62" s="37"/>
      <c r="T62" s="37"/>
      <c r="U62" s="3"/>
      <c r="W62" s="3"/>
      <c r="X62" s="3"/>
      <c r="Y62" s="3"/>
      <c r="Z62" s="3"/>
    </row>
    <row r="63" spans="1:26" ht="28.8" outlineLevel="1" x14ac:dyDescent="0.3">
      <c r="A63" s="3"/>
      <c r="B63" s="10" t="s">
        <v>1476</v>
      </c>
      <c r="C63" s="62">
        <v>13</v>
      </c>
      <c r="D63" s="62" t="s">
        <v>94</v>
      </c>
      <c r="E63" s="12">
        <v>0</v>
      </c>
      <c r="F63" s="12">
        <v>500</v>
      </c>
      <c r="G63" s="89"/>
      <c r="H63" s="65" t="s">
        <v>37</v>
      </c>
      <c r="I63" s="112" t="s">
        <v>1477</v>
      </c>
      <c r="J63" s="65"/>
      <c r="K63" s="37"/>
      <c r="L63" s="37"/>
      <c r="M63" s="37"/>
      <c r="N63" s="37"/>
      <c r="O63" s="37"/>
      <c r="P63" s="37"/>
      <c r="Q63" s="37"/>
      <c r="R63" s="37"/>
      <c r="S63" s="37"/>
      <c r="T63" s="37"/>
      <c r="U63" s="3"/>
      <c r="W63" s="3"/>
      <c r="X63" s="3"/>
      <c r="Y63" s="3"/>
      <c r="Z63" s="3"/>
    </row>
    <row r="64" spans="1:26" ht="20.399999999999999" x14ac:dyDescent="0.3">
      <c r="A64" s="3"/>
      <c r="B64" s="84" t="s">
        <v>88</v>
      </c>
      <c r="C64" s="85" t="s">
        <v>43</v>
      </c>
      <c r="D64" s="85" t="s">
        <v>43</v>
      </c>
      <c r="E64" s="86">
        <v>0</v>
      </c>
      <c r="F64" s="86">
        <v>28698.080000000002</v>
      </c>
      <c r="G64" s="88"/>
      <c r="H64" s="87"/>
      <c r="I64" s="88"/>
      <c r="J64" s="87"/>
      <c r="K64" s="37"/>
      <c r="L64" s="37"/>
      <c r="M64" s="37"/>
      <c r="N64" s="37"/>
      <c r="O64" s="37"/>
      <c r="P64" s="37"/>
      <c r="Q64" s="37"/>
      <c r="R64" s="37"/>
      <c r="S64" s="37"/>
      <c r="T64" s="37"/>
      <c r="U64" s="3"/>
      <c r="W64" s="3"/>
      <c r="X64" s="3"/>
      <c r="Y64" s="3"/>
      <c r="Z64" s="3"/>
    </row>
    <row r="65" spans="1:26" outlineLevel="1" x14ac:dyDescent="0.3">
      <c r="A65" s="3"/>
      <c r="B65" s="91" t="s">
        <v>380</v>
      </c>
      <c r="C65" s="92"/>
      <c r="D65" s="92"/>
      <c r="E65" s="93">
        <v>0</v>
      </c>
      <c r="F65" s="93">
        <v>28698.080000000002</v>
      </c>
      <c r="G65" s="95"/>
      <c r="H65" s="94"/>
      <c r="I65" s="95"/>
      <c r="J65" s="94"/>
      <c r="K65" s="37"/>
      <c r="L65" s="37"/>
      <c r="M65" s="37"/>
      <c r="N65" s="37"/>
      <c r="O65" s="37"/>
      <c r="P65" s="37"/>
      <c r="Q65" s="37"/>
      <c r="R65" s="37"/>
      <c r="S65" s="37"/>
      <c r="T65" s="37"/>
      <c r="U65" s="3"/>
      <c r="W65" s="3"/>
      <c r="X65" s="3"/>
      <c r="Y65" s="3"/>
      <c r="Z65" s="3"/>
    </row>
    <row r="66" spans="1:26" ht="28.8" outlineLevel="1" x14ac:dyDescent="0.3">
      <c r="A66" s="3"/>
      <c r="B66" s="10" t="s">
        <v>844</v>
      </c>
      <c r="C66" s="62">
        <v>4</v>
      </c>
      <c r="D66" s="62" t="s">
        <v>94</v>
      </c>
      <c r="E66" s="12">
        <v>0</v>
      </c>
      <c r="F66" s="12">
        <v>537</v>
      </c>
      <c r="G66" s="89" t="s">
        <v>1478</v>
      </c>
      <c r="H66" s="65" t="s">
        <v>37</v>
      </c>
      <c r="I66" s="112" t="s">
        <v>1479</v>
      </c>
      <c r="J66" s="65"/>
      <c r="K66" s="37"/>
      <c r="L66" s="37"/>
      <c r="M66" s="37"/>
      <c r="N66" s="37"/>
      <c r="O66" s="37"/>
      <c r="P66" s="37"/>
      <c r="Q66" s="37"/>
      <c r="R66" s="37"/>
      <c r="S66" s="37"/>
      <c r="T66" s="37"/>
      <c r="U66" s="3"/>
      <c r="W66" s="3"/>
      <c r="X66" s="3"/>
      <c r="Y66" s="3"/>
      <c r="Z66" s="3"/>
    </row>
    <row r="67" spans="1:26" ht="28.8" outlineLevel="1" x14ac:dyDescent="0.3">
      <c r="A67" s="3"/>
      <c r="B67" s="10" t="s">
        <v>850</v>
      </c>
      <c r="C67" s="62">
        <v>4</v>
      </c>
      <c r="D67" s="62" t="s">
        <v>94</v>
      </c>
      <c r="E67" s="12">
        <v>0</v>
      </c>
      <c r="F67" s="12">
        <v>665.08</v>
      </c>
      <c r="G67" s="89" t="s">
        <v>1480</v>
      </c>
      <c r="H67" s="65" t="s">
        <v>37</v>
      </c>
      <c r="I67" s="112" t="s">
        <v>1481</v>
      </c>
      <c r="J67" s="65"/>
      <c r="K67" s="37"/>
      <c r="L67" s="37"/>
      <c r="M67" s="37"/>
      <c r="N67" s="37"/>
      <c r="O67" s="37"/>
      <c r="P67" s="37"/>
      <c r="Q67" s="37"/>
      <c r="R67" s="37"/>
      <c r="S67" s="37"/>
      <c r="T67" s="37"/>
      <c r="U67" s="3"/>
      <c r="W67" s="3"/>
      <c r="X67" s="3"/>
      <c r="Y67" s="3"/>
      <c r="Z67" s="3"/>
    </row>
    <row r="68" spans="1:26" ht="28.8" outlineLevel="1" x14ac:dyDescent="0.3">
      <c r="A68" s="3"/>
      <c r="B68" s="10" t="s">
        <v>1117</v>
      </c>
      <c r="C68" s="62">
        <v>28</v>
      </c>
      <c r="D68" s="62" t="s">
        <v>94</v>
      </c>
      <c r="E68" s="12">
        <v>0</v>
      </c>
      <c r="F68" s="12">
        <v>21813</v>
      </c>
      <c r="G68" s="89"/>
      <c r="H68" s="65" t="s">
        <v>38</v>
      </c>
      <c r="I68" s="112" t="s">
        <v>1482</v>
      </c>
      <c r="J68" s="65"/>
      <c r="K68" s="37"/>
      <c r="L68" s="37"/>
      <c r="M68" s="37"/>
      <c r="N68" s="37"/>
      <c r="O68" s="37"/>
      <c r="P68" s="37"/>
      <c r="Q68" s="37"/>
      <c r="R68" s="37"/>
      <c r="S68" s="37"/>
      <c r="T68" s="37"/>
      <c r="U68" s="3"/>
      <c r="W68" s="3"/>
      <c r="X68" s="3"/>
      <c r="Y68" s="3"/>
      <c r="Z68" s="3"/>
    </row>
    <row r="69" spans="1:26" ht="39" customHeight="1" outlineLevel="1" x14ac:dyDescent="0.3">
      <c r="A69" s="3"/>
      <c r="B69" s="10" t="s">
        <v>1380</v>
      </c>
      <c r="C69" s="62">
        <v>25</v>
      </c>
      <c r="D69" s="62" t="s">
        <v>94</v>
      </c>
      <c r="E69" s="12">
        <v>0</v>
      </c>
      <c r="F69" s="12">
        <v>5683</v>
      </c>
      <c r="G69" s="89" t="s">
        <v>1483</v>
      </c>
      <c r="H69" s="65" t="s">
        <v>38</v>
      </c>
      <c r="I69" s="112" t="s">
        <v>1484</v>
      </c>
      <c r="J69" s="65"/>
      <c r="K69" s="37"/>
      <c r="L69" s="37"/>
      <c r="M69" s="37"/>
      <c r="N69" s="37"/>
      <c r="O69" s="37"/>
      <c r="P69" s="37"/>
      <c r="Q69" s="37"/>
      <c r="R69" s="37"/>
      <c r="S69" s="37"/>
      <c r="T69" s="37"/>
      <c r="U69" s="3"/>
      <c r="W69" s="3"/>
      <c r="X69" s="3"/>
      <c r="Y69" s="3"/>
      <c r="Z69" s="3"/>
    </row>
    <row r="70" spans="1:26" ht="20.399999999999999" x14ac:dyDescent="0.3">
      <c r="A70" s="3"/>
      <c r="B70" s="84" t="s">
        <v>384</v>
      </c>
      <c r="C70" s="85" t="s">
        <v>43</v>
      </c>
      <c r="D70" s="85" t="s">
        <v>43</v>
      </c>
      <c r="E70" s="86">
        <v>0</v>
      </c>
      <c r="F70" s="86">
        <v>2920.45</v>
      </c>
      <c r="G70" s="88"/>
      <c r="H70" s="87"/>
      <c r="I70" s="88"/>
      <c r="J70" s="87"/>
      <c r="K70" s="37"/>
      <c r="L70" s="37"/>
      <c r="M70" s="37"/>
      <c r="N70" s="37"/>
      <c r="O70" s="37"/>
      <c r="P70" s="37"/>
      <c r="Q70" s="37"/>
      <c r="R70" s="37"/>
      <c r="S70" s="37"/>
      <c r="T70" s="37"/>
      <c r="U70" s="3"/>
      <c r="W70" s="3"/>
      <c r="X70" s="3"/>
      <c r="Y70" s="3"/>
      <c r="Z70" s="3"/>
    </row>
    <row r="71" spans="1:26" ht="28.8" outlineLevel="1" x14ac:dyDescent="0.3">
      <c r="A71" s="3"/>
      <c r="B71" s="10" t="s">
        <v>1485</v>
      </c>
      <c r="C71" s="80">
        <v>1</v>
      </c>
      <c r="D71" s="62" t="s">
        <v>94</v>
      </c>
      <c r="E71" s="12">
        <v>0</v>
      </c>
      <c r="F71" s="12">
        <v>305.33</v>
      </c>
      <c r="G71" s="89"/>
      <c r="H71" s="65" t="s">
        <v>37</v>
      </c>
      <c r="I71" s="112" t="s">
        <v>1486</v>
      </c>
      <c r="J71" s="65"/>
      <c r="K71" s="37"/>
      <c r="L71" s="37"/>
      <c r="M71" s="37"/>
      <c r="N71" s="37"/>
      <c r="O71" s="37"/>
      <c r="P71" s="37"/>
      <c r="Q71" s="37"/>
      <c r="R71" s="37"/>
      <c r="S71" s="37"/>
      <c r="T71" s="37"/>
      <c r="U71" s="3"/>
      <c r="W71" s="3"/>
      <c r="X71" s="3"/>
      <c r="Y71" s="3"/>
      <c r="Z71" s="3"/>
    </row>
    <row r="72" spans="1:26" ht="28.8" outlineLevel="1" x14ac:dyDescent="0.3">
      <c r="A72" s="3"/>
      <c r="B72" s="10" t="s">
        <v>1487</v>
      </c>
      <c r="C72" s="62">
        <v>4</v>
      </c>
      <c r="D72" s="62" t="s">
        <v>94</v>
      </c>
      <c r="E72" s="12">
        <v>0</v>
      </c>
      <c r="F72" s="12">
        <v>568.20000000000005</v>
      </c>
      <c r="G72" s="89" t="s">
        <v>1488</v>
      </c>
      <c r="H72" s="65" t="s">
        <v>37</v>
      </c>
      <c r="I72" s="112" t="s">
        <v>1489</v>
      </c>
      <c r="J72" s="89"/>
      <c r="K72" s="37"/>
      <c r="L72" s="37"/>
      <c r="M72" s="37"/>
      <c r="N72" s="37"/>
      <c r="O72" s="37"/>
      <c r="P72" s="37"/>
      <c r="Q72" s="37"/>
      <c r="R72" s="37"/>
      <c r="S72" s="37"/>
      <c r="T72" s="37"/>
      <c r="U72" s="3"/>
      <c r="W72" s="3"/>
      <c r="X72" s="3"/>
      <c r="Y72" s="3"/>
      <c r="Z72" s="3"/>
    </row>
    <row r="73" spans="1:26" ht="28.8" outlineLevel="1" x14ac:dyDescent="0.3">
      <c r="A73" s="3"/>
      <c r="B73" s="10" t="s">
        <v>1490</v>
      </c>
      <c r="C73" s="62">
        <v>4</v>
      </c>
      <c r="D73" s="62" t="s">
        <v>94</v>
      </c>
      <c r="E73" s="12">
        <v>0</v>
      </c>
      <c r="F73" s="12">
        <v>270</v>
      </c>
      <c r="G73" s="89" t="s">
        <v>1491</v>
      </c>
      <c r="H73" s="65" t="s">
        <v>37</v>
      </c>
      <c r="I73" s="112" t="s">
        <v>1489</v>
      </c>
      <c r="J73" s="65"/>
      <c r="K73" s="37"/>
      <c r="L73" s="37"/>
      <c r="M73" s="37"/>
      <c r="N73" s="37"/>
      <c r="O73" s="37"/>
      <c r="P73" s="37"/>
      <c r="Q73" s="37"/>
      <c r="R73" s="37"/>
      <c r="S73" s="37"/>
      <c r="T73" s="37"/>
      <c r="U73" s="3"/>
      <c r="W73" s="3"/>
      <c r="X73" s="3"/>
      <c r="Y73" s="3"/>
      <c r="Z73" s="3"/>
    </row>
    <row r="74" spans="1:26" ht="28.8" outlineLevel="1" x14ac:dyDescent="0.3">
      <c r="A74" s="3"/>
      <c r="B74" s="10" t="s">
        <v>864</v>
      </c>
      <c r="C74" s="62">
        <v>8</v>
      </c>
      <c r="D74" s="62" t="s">
        <v>94</v>
      </c>
      <c r="E74" s="12">
        <v>0</v>
      </c>
      <c r="F74" s="12">
        <v>61.87</v>
      </c>
      <c r="G74" s="89" t="s">
        <v>1492</v>
      </c>
      <c r="H74" s="65" t="s">
        <v>37</v>
      </c>
      <c r="I74" s="154" t="s">
        <v>1493</v>
      </c>
      <c r="J74" s="65"/>
      <c r="K74" s="37"/>
      <c r="L74" s="37"/>
      <c r="M74" s="37"/>
      <c r="N74" s="37"/>
      <c r="O74" s="37"/>
      <c r="P74" s="37"/>
      <c r="Q74" s="37"/>
      <c r="R74" s="37"/>
      <c r="S74" s="37"/>
      <c r="T74" s="37"/>
      <c r="U74" s="3"/>
      <c r="W74" s="3"/>
      <c r="X74" s="3"/>
      <c r="Y74" s="3"/>
      <c r="Z74" s="3"/>
    </row>
    <row r="75" spans="1:26" ht="28.8" outlineLevel="1" x14ac:dyDescent="0.3">
      <c r="A75" s="3"/>
      <c r="B75" s="10" t="s">
        <v>1494</v>
      </c>
      <c r="C75" s="62">
        <v>11</v>
      </c>
      <c r="D75" s="62" t="s">
        <v>94</v>
      </c>
      <c r="E75" s="12">
        <v>0</v>
      </c>
      <c r="F75" s="12">
        <v>440</v>
      </c>
      <c r="G75" s="89"/>
      <c r="H75" s="65" t="s">
        <v>37</v>
      </c>
      <c r="I75" s="112" t="s">
        <v>1495</v>
      </c>
      <c r="J75" s="65"/>
      <c r="K75" s="37"/>
      <c r="L75" s="37"/>
      <c r="M75" s="37"/>
      <c r="N75" s="37"/>
      <c r="O75" s="37"/>
      <c r="P75" s="37"/>
      <c r="Q75" s="37"/>
      <c r="R75" s="37"/>
      <c r="S75" s="37"/>
      <c r="T75" s="37"/>
      <c r="U75" s="3"/>
      <c r="W75" s="3"/>
      <c r="X75" s="3"/>
      <c r="Y75" s="3"/>
      <c r="Z75" s="3"/>
    </row>
    <row r="76" spans="1:26" ht="28.8" outlineLevel="1" x14ac:dyDescent="0.3">
      <c r="A76" s="3"/>
      <c r="B76" s="10" t="s">
        <v>1018</v>
      </c>
      <c r="C76" s="62">
        <v>17</v>
      </c>
      <c r="D76" s="62" t="s">
        <v>94</v>
      </c>
      <c r="E76" s="12">
        <v>0</v>
      </c>
      <c r="F76" s="12">
        <v>200</v>
      </c>
      <c r="G76" s="89"/>
      <c r="H76" s="65" t="s">
        <v>37</v>
      </c>
      <c r="I76" s="112" t="s">
        <v>1496</v>
      </c>
      <c r="J76" s="65"/>
      <c r="K76" s="37"/>
      <c r="L76" s="37"/>
      <c r="M76" s="37"/>
      <c r="N76" s="37"/>
      <c r="O76" s="37"/>
      <c r="P76" s="37"/>
      <c r="Q76" s="37"/>
      <c r="R76" s="37"/>
      <c r="S76" s="37"/>
      <c r="T76" s="37"/>
      <c r="U76" s="3"/>
      <c r="W76" s="3"/>
      <c r="X76" s="3"/>
      <c r="Y76" s="3"/>
      <c r="Z76" s="3"/>
    </row>
    <row r="77" spans="1:26" ht="28.8" outlineLevel="1" x14ac:dyDescent="0.3">
      <c r="A77" s="3"/>
      <c r="B77" s="10" t="s">
        <v>1497</v>
      </c>
      <c r="C77" s="62">
        <v>18</v>
      </c>
      <c r="D77" s="62" t="s">
        <v>94</v>
      </c>
      <c r="E77" s="12">
        <v>0</v>
      </c>
      <c r="F77" s="12">
        <v>575.35</v>
      </c>
      <c r="G77" s="89"/>
      <c r="H77" s="65" t="s">
        <v>37</v>
      </c>
      <c r="I77" s="112" t="s">
        <v>1498</v>
      </c>
      <c r="J77" s="65"/>
      <c r="K77" s="37"/>
      <c r="L77" s="37"/>
      <c r="M77" s="37"/>
      <c r="N77" s="37"/>
      <c r="O77" s="37"/>
      <c r="P77" s="37"/>
      <c r="Q77" s="37"/>
      <c r="R77" s="37"/>
      <c r="S77" s="37"/>
      <c r="T77" s="37"/>
      <c r="U77" s="3"/>
      <c r="W77" s="3"/>
      <c r="X77" s="3"/>
      <c r="Y77" s="3"/>
      <c r="Z77" s="3"/>
    </row>
    <row r="78" spans="1:26" ht="28.8" outlineLevel="1" x14ac:dyDescent="0.3">
      <c r="A78" s="3"/>
      <c r="B78" s="10" t="s">
        <v>1499</v>
      </c>
      <c r="C78" s="62">
        <v>18</v>
      </c>
      <c r="D78" s="62" t="s">
        <v>94</v>
      </c>
      <c r="E78" s="12">
        <v>0</v>
      </c>
      <c r="F78" s="12">
        <v>94</v>
      </c>
      <c r="G78" s="89"/>
      <c r="H78" s="65" t="s">
        <v>37</v>
      </c>
      <c r="I78" s="112" t="s">
        <v>1500</v>
      </c>
      <c r="J78" s="65"/>
      <c r="K78" s="37"/>
      <c r="L78" s="37"/>
      <c r="M78" s="37"/>
      <c r="N78" s="37"/>
      <c r="O78" s="37"/>
      <c r="P78" s="37"/>
      <c r="Q78" s="37"/>
      <c r="R78" s="37"/>
      <c r="S78" s="37"/>
      <c r="T78" s="37"/>
      <c r="U78" s="3"/>
      <c r="W78" s="3"/>
      <c r="X78" s="3"/>
      <c r="Y78" s="3"/>
      <c r="Z78" s="3"/>
    </row>
    <row r="79" spans="1:26" ht="28.8" outlineLevel="1" x14ac:dyDescent="0.3">
      <c r="A79" s="3"/>
      <c r="B79" s="10" t="s">
        <v>1499</v>
      </c>
      <c r="C79" s="62">
        <v>18</v>
      </c>
      <c r="D79" s="62" t="s">
        <v>94</v>
      </c>
      <c r="E79" s="12">
        <v>0</v>
      </c>
      <c r="F79" s="12">
        <v>50.7</v>
      </c>
      <c r="G79" s="89"/>
      <c r="H79" s="65" t="s">
        <v>37</v>
      </c>
      <c r="I79" s="112" t="s">
        <v>1501</v>
      </c>
      <c r="J79" s="65"/>
      <c r="K79" s="37"/>
      <c r="L79" s="37"/>
      <c r="M79" s="37"/>
      <c r="N79" s="37"/>
      <c r="O79" s="37"/>
      <c r="P79" s="37"/>
      <c r="Q79" s="37"/>
      <c r="R79" s="37"/>
      <c r="S79" s="37"/>
      <c r="T79" s="37"/>
      <c r="U79" s="3"/>
      <c r="W79" s="3"/>
      <c r="X79" s="3"/>
      <c r="Y79" s="3"/>
      <c r="Z79" s="3"/>
    </row>
    <row r="80" spans="1:26" ht="28.8" outlineLevel="1" x14ac:dyDescent="0.3">
      <c r="A80" s="3"/>
      <c r="B80" s="10" t="s">
        <v>1499</v>
      </c>
      <c r="C80" s="62">
        <v>18</v>
      </c>
      <c r="D80" s="62" t="s">
        <v>94</v>
      </c>
      <c r="E80" s="12">
        <v>0</v>
      </c>
      <c r="F80" s="12">
        <v>55</v>
      </c>
      <c r="G80" s="89"/>
      <c r="H80" s="65" t="s">
        <v>37</v>
      </c>
      <c r="I80" s="112" t="s">
        <v>1502</v>
      </c>
      <c r="J80" s="65"/>
      <c r="K80" s="37"/>
      <c r="L80" s="37"/>
      <c r="M80" s="37"/>
      <c r="N80" s="37"/>
      <c r="O80" s="37"/>
      <c r="P80" s="37"/>
      <c r="Q80" s="37"/>
      <c r="R80" s="37"/>
      <c r="S80" s="37"/>
      <c r="T80" s="37"/>
      <c r="U80" s="3"/>
      <c r="W80" s="3"/>
      <c r="X80" s="3"/>
      <c r="Y80" s="3"/>
      <c r="Z80" s="3"/>
    </row>
    <row r="81" spans="1:26" ht="28.8" outlineLevel="1" x14ac:dyDescent="0.3">
      <c r="A81" s="3"/>
      <c r="B81" s="10" t="s">
        <v>1503</v>
      </c>
      <c r="C81" s="62">
        <v>28</v>
      </c>
      <c r="D81" s="62" t="s">
        <v>94</v>
      </c>
      <c r="E81" s="12">
        <v>0</v>
      </c>
      <c r="F81" s="12">
        <v>300</v>
      </c>
      <c r="G81" s="89"/>
      <c r="H81" s="65" t="s">
        <v>37</v>
      </c>
      <c r="I81" s="112" t="s">
        <v>1504</v>
      </c>
      <c r="J81" s="65"/>
      <c r="K81" s="37"/>
      <c r="L81" s="37"/>
      <c r="M81" s="37"/>
      <c r="N81" s="37"/>
      <c r="O81" s="37"/>
      <c r="P81" s="37"/>
      <c r="Q81" s="37"/>
      <c r="R81" s="37"/>
      <c r="S81" s="37"/>
      <c r="T81" s="37"/>
      <c r="U81" s="3"/>
      <c r="W81" s="3"/>
      <c r="X81" s="3"/>
      <c r="Y81" s="3"/>
      <c r="Z81" s="3"/>
    </row>
    <row r="82" spans="1:26" ht="20.399999999999999" x14ac:dyDescent="0.3">
      <c r="A82" s="3"/>
      <c r="B82" s="84" t="s">
        <v>394</v>
      </c>
      <c r="C82" s="85" t="s">
        <v>43</v>
      </c>
      <c r="D82" s="85" t="s">
        <v>43</v>
      </c>
      <c r="E82" s="86">
        <v>0</v>
      </c>
      <c r="F82" s="86">
        <v>100</v>
      </c>
      <c r="G82" s="88"/>
      <c r="H82" s="87"/>
      <c r="I82" s="88"/>
      <c r="J82" s="87"/>
      <c r="K82" s="37"/>
      <c r="L82" s="37"/>
      <c r="M82" s="37"/>
      <c r="N82" s="37"/>
      <c r="O82" s="37"/>
      <c r="P82" s="37"/>
      <c r="Q82" s="37"/>
      <c r="R82" s="37"/>
      <c r="S82" s="37"/>
      <c r="T82" s="37"/>
      <c r="U82" s="3"/>
      <c r="W82" s="3"/>
      <c r="X82" s="3"/>
      <c r="Y82" s="3"/>
      <c r="Z82" s="3"/>
    </row>
    <row r="83" spans="1:26" ht="28.8" outlineLevel="1" x14ac:dyDescent="0.3">
      <c r="A83" s="3"/>
      <c r="B83" s="10" t="s">
        <v>866</v>
      </c>
      <c r="C83" s="62">
        <v>11</v>
      </c>
      <c r="D83" s="62" t="s">
        <v>94</v>
      </c>
      <c r="E83" s="12">
        <v>0</v>
      </c>
      <c r="F83" s="12">
        <v>100</v>
      </c>
      <c r="G83" s="89"/>
      <c r="H83" s="65" t="s">
        <v>37</v>
      </c>
      <c r="I83" s="112" t="s">
        <v>1505</v>
      </c>
      <c r="J83" s="65"/>
      <c r="K83" s="37"/>
      <c r="L83" s="37"/>
      <c r="M83" s="37"/>
      <c r="N83" s="37"/>
      <c r="O83" s="37"/>
      <c r="P83" s="37"/>
      <c r="Q83" s="37"/>
      <c r="R83" s="37"/>
      <c r="S83" s="37"/>
      <c r="T83" s="37"/>
      <c r="U83" s="3"/>
      <c r="W83" s="3"/>
      <c r="X83" s="3"/>
      <c r="Y83" s="3"/>
      <c r="Z83" s="3"/>
    </row>
    <row r="84" spans="1:26" ht="20.399999999999999" x14ac:dyDescent="0.3">
      <c r="A84" s="3"/>
      <c r="B84" s="84" t="s">
        <v>403</v>
      </c>
      <c r="C84" s="85" t="s">
        <v>43</v>
      </c>
      <c r="D84" s="85" t="s">
        <v>43</v>
      </c>
      <c r="E84" s="86">
        <v>0</v>
      </c>
      <c r="F84" s="86">
        <v>160</v>
      </c>
      <c r="G84" s="88"/>
      <c r="H84" s="87"/>
      <c r="I84" s="88"/>
      <c r="J84" s="87"/>
      <c r="K84" s="37"/>
      <c r="L84" s="37"/>
      <c r="M84" s="37"/>
      <c r="N84" s="37"/>
      <c r="O84" s="37"/>
      <c r="P84" s="37"/>
      <c r="Q84" s="37"/>
      <c r="R84" s="37"/>
      <c r="S84" s="37"/>
      <c r="T84" s="37"/>
      <c r="U84" s="3"/>
      <c r="W84" s="3"/>
      <c r="X84" s="3"/>
      <c r="Y84" s="3"/>
      <c r="Z84" s="3"/>
    </row>
    <row r="85" spans="1:26" ht="28.8" outlineLevel="1" x14ac:dyDescent="0.3">
      <c r="A85" s="3"/>
      <c r="B85" s="10" t="s">
        <v>1506</v>
      </c>
      <c r="C85" s="62">
        <v>15</v>
      </c>
      <c r="D85" s="62" t="s">
        <v>94</v>
      </c>
      <c r="E85" s="12">
        <v>0</v>
      </c>
      <c r="F85" s="12">
        <v>80</v>
      </c>
      <c r="G85" s="89" t="s">
        <v>1430</v>
      </c>
      <c r="H85" s="65" t="s">
        <v>37</v>
      </c>
      <c r="I85" s="112" t="s">
        <v>1431</v>
      </c>
      <c r="J85" s="65"/>
      <c r="K85" s="37"/>
      <c r="L85" s="37"/>
      <c r="M85" s="37"/>
      <c r="N85" s="37"/>
      <c r="O85" s="37"/>
      <c r="P85" s="37"/>
      <c r="Q85" s="37"/>
      <c r="R85" s="37"/>
      <c r="S85" s="37"/>
      <c r="T85" s="37"/>
      <c r="U85" s="3"/>
      <c r="W85" s="3"/>
      <c r="X85" s="3"/>
      <c r="Y85" s="3"/>
      <c r="Z85" s="3"/>
    </row>
    <row r="86" spans="1:26" ht="28.8" outlineLevel="1" x14ac:dyDescent="0.3">
      <c r="A86" s="3"/>
      <c r="B86" s="10" t="s">
        <v>1506</v>
      </c>
      <c r="C86" s="62">
        <v>31</v>
      </c>
      <c r="D86" s="62" t="s">
        <v>94</v>
      </c>
      <c r="E86" s="12">
        <v>0</v>
      </c>
      <c r="F86" s="12">
        <v>80</v>
      </c>
      <c r="G86" s="89" t="s">
        <v>1432</v>
      </c>
      <c r="H86" s="65" t="s">
        <v>37</v>
      </c>
      <c r="I86" s="112" t="s">
        <v>1433</v>
      </c>
      <c r="J86" s="65"/>
      <c r="K86" s="37"/>
      <c r="L86" s="37"/>
      <c r="M86" s="37"/>
      <c r="N86" s="37"/>
      <c r="O86" s="37"/>
      <c r="P86" s="37"/>
      <c r="Q86" s="37"/>
      <c r="R86" s="37"/>
      <c r="S86" s="37"/>
      <c r="T86" s="37"/>
      <c r="U86" s="3"/>
      <c r="W86" s="3"/>
      <c r="X86" s="3"/>
      <c r="Y86" s="3"/>
      <c r="Z86" s="3"/>
    </row>
    <row r="87" spans="1:26" ht="20.399999999999999" x14ac:dyDescent="0.3">
      <c r="A87" s="3"/>
      <c r="B87" s="84" t="s">
        <v>408</v>
      </c>
      <c r="C87" s="85" t="s">
        <v>43</v>
      </c>
      <c r="D87" s="85" t="s">
        <v>43</v>
      </c>
      <c r="E87" s="86">
        <v>0</v>
      </c>
      <c r="F87" s="86">
        <v>1519.78</v>
      </c>
      <c r="G87" s="88"/>
      <c r="H87" s="87"/>
      <c r="I87" s="88"/>
      <c r="J87" s="87"/>
      <c r="K87" s="37"/>
      <c r="L87" s="37"/>
      <c r="M87" s="37"/>
      <c r="N87" s="37"/>
      <c r="O87" s="37"/>
      <c r="P87" s="37"/>
      <c r="Q87" s="37"/>
      <c r="R87" s="37"/>
      <c r="S87" s="37"/>
      <c r="T87" s="37"/>
      <c r="U87" s="3"/>
      <c r="W87" s="3"/>
      <c r="X87" s="3"/>
      <c r="Y87" s="3"/>
      <c r="Z87" s="3"/>
    </row>
    <row r="88" spans="1:26" outlineLevel="1" x14ac:dyDescent="0.3">
      <c r="A88" s="3"/>
      <c r="B88" s="91" t="s">
        <v>232</v>
      </c>
      <c r="C88" s="92"/>
      <c r="D88" s="92"/>
      <c r="E88" s="93">
        <v>0</v>
      </c>
      <c r="F88" s="93">
        <v>1009.78</v>
      </c>
      <c r="G88" s="95"/>
      <c r="H88" s="94"/>
      <c r="I88" s="95"/>
      <c r="J88" s="94"/>
      <c r="K88" s="37"/>
      <c r="L88" s="37"/>
      <c r="M88" s="37"/>
      <c r="N88" s="37"/>
      <c r="O88" s="37"/>
      <c r="P88" s="37"/>
      <c r="Q88" s="37"/>
      <c r="R88" s="37"/>
      <c r="S88" s="37"/>
      <c r="T88" s="37"/>
      <c r="U88" s="3"/>
      <c r="W88" s="3"/>
      <c r="X88" s="3"/>
      <c r="Y88" s="3"/>
      <c r="Z88" s="3"/>
    </row>
    <row r="89" spans="1:26" ht="28.8" outlineLevel="1" x14ac:dyDescent="0.3">
      <c r="A89" s="3"/>
      <c r="B89" s="10" t="s">
        <v>649</v>
      </c>
      <c r="C89" s="62">
        <v>1</v>
      </c>
      <c r="D89" s="62" t="s">
        <v>94</v>
      </c>
      <c r="E89" s="12">
        <v>0</v>
      </c>
      <c r="F89" s="12">
        <v>920</v>
      </c>
      <c r="G89" s="89"/>
      <c r="H89" s="65" t="s">
        <v>37</v>
      </c>
      <c r="I89" s="112" t="s">
        <v>1507</v>
      </c>
      <c r="J89" s="65"/>
      <c r="K89" s="37"/>
      <c r="L89" s="37"/>
      <c r="M89" s="37"/>
      <c r="N89" s="37"/>
      <c r="O89" s="37"/>
      <c r="P89" s="37"/>
      <c r="Q89" s="37"/>
      <c r="R89" s="37"/>
      <c r="S89" s="37"/>
      <c r="T89" s="37"/>
      <c r="U89" s="3"/>
      <c r="W89" s="3"/>
      <c r="X89" s="3"/>
      <c r="Y89" s="3"/>
      <c r="Z89" s="3"/>
    </row>
    <row r="90" spans="1:26" ht="28.8" outlineLevel="1" x14ac:dyDescent="0.3">
      <c r="A90" s="3"/>
      <c r="B90" s="10" t="s">
        <v>1508</v>
      </c>
      <c r="C90" s="62">
        <v>24</v>
      </c>
      <c r="D90" s="62" t="s">
        <v>94</v>
      </c>
      <c r="E90" s="12">
        <v>0</v>
      </c>
      <c r="F90" s="12">
        <v>89.78</v>
      </c>
      <c r="G90" s="89"/>
      <c r="H90" s="65" t="s">
        <v>37</v>
      </c>
      <c r="I90" s="112" t="s">
        <v>1509</v>
      </c>
      <c r="J90" s="65"/>
      <c r="K90" s="37"/>
      <c r="L90" s="37"/>
      <c r="M90" s="37"/>
      <c r="N90" s="37"/>
      <c r="O90" s="37"/>
      <c r="P90" s="37"/>
      <c r="Q90" s="37"/>
      <c r="R90" s="37"/>
      <c r="S90" s="37"/>
      <c r="T90" s="37"/>
      <c r="U90" s="3"/>
      <c r="W90" s="3"/>
      <c r="X90" s="3"/>
      <c r="Y90" s="3"/>
      <c r="Z90" s="3"/>
    </row>
    <row r="91" spans="1:26" outlineLevel="1" x14ac:dyDescent="0.3">
      <c r="A91" s="3"/>
      <c r="B91" s="91" t="s">
        <v>689</v>
      </c>
      <c r="C91" s="92"/>
      <c r="D91" s="92"/>
      <c r="E91" s="93">
        <v>0</v>
      </c>
      <c r="F91" s="93">
        <v>510</v>
      </c>
      <c r="G91" s="95"/>
      <c r="H91" s="94"/>
      <c r="I91" s="95"/>
      <c r="J91" s="94"/>
      <c r="K91" s="37"/>
      <c r="L91" s="37"/>
      <c r="M91" s="37"/>
      <c r="N91" s="37"/>
      <c r="O91" s="37"/>
      <c r="P91" s="37"/>
      <c r="Q91" s="37"/>
      <c r="R91" s="37"/>
      <c r="S91" s="37"/>
      <c r="T91" s="37"/>
      <c r="U91" s="3"/>
      <c r="W91" s="3"/>
      <c r="X91" s="3"/>
      <c r="Y91" s="3"/>
      <c r="Z91" s="3"/>
    </row>
    <row r="92" spans="1:26" ht="14.4" outlineLevel="1" x14ac:dyDescent="0.3">
      <c r="A92" s="3"/>
      <c r="B92" s="10" t="s">
        <v>1510</v>
      </c>
      <c r="C92" s="62">
        <v>27</v>
      </c>
      <c r="D92" s="62" t="s">
        <v>94</v>
      </c>
      <c r="E92" s="12">
        <v>0</v>
      </c>
      <c r="F92" s="12">
        <v>510</v>
      </c>
      <c r="G92" s="89"/>
      <c r="H92" s="65" t="s">
        <v>37</v>
      </c>
      <c r="I92" s="128" t="s">
        <v>1511</v>
      </c>
      <c r="J92" s="65"/>
      <c r="K92" s="37"/>
      <c r="L92" s="37"/>
      <c r="M92" s="37"/>
      <c r="N92" s="37"/>
      <c r="O92" s="37"/>
      <c r="P92" s="37"/>
      <c r="Q92" s="37"/>
      <c r="R92" s="37"/>
      <c r="S92" s="37"/>
      <c r="T92" s="37"/>
      <c r="U92" s="3"/>
      <c r="W92" s="3"/>
      <c r="X92" s="3"/>
      <c r="Y92" s="3"/>
      <c r="Z92" s="3"/>
    </row>
    <row r="93" spans="1:26" ht="20.399999999999999" x14ac:dyDescent="0.3">
      <c r="A93" s="3"/>
      <c r="B93" s="84" t="s">
        <v>411</v>
      </c>
      <c r="C93" s="85" t="s">
        <v>43</v>
      </c>
      <c r="D93" s="85" t="s">
        <v>43</v>
      </c>
      <c r="E93" s="86">
        <v>0</v>
      </c>
      <c r="F93" s="86">
        <v>70.989999999999995</v>
      </c>
      <c r="G93" s="88"/>
      <c r="H93" s="87"/>
      <c r="I93" s="88"/>
      <c r="J93" s="87"/>
      <c r="K93" s="37"/>
      <c r="L93" s="37"/>
      <c r="M93" s="37"/>
      <c r="N93" s="37"/>
      <c r="O93" s="37"/>
      <c r="P93" s="37"/>
      <c r="Q93" s="37"/>
      <c r="R93" s="37"/>
      <c r="S93" s="37"/>
      <c r="T93" s="37"/>
      <c r="U93" s="3"/>
      <c r="W93" s="3"/>
      <c r="X93" s="3"/>
      <c r="Y93" s="3"/>
      <c r="Z93" s="3"/>
    </row>
    <row r="94" spans="1:26" ht="28.8" outlineLevel="1" x14ac:dyDescent="0.3">
      <c r="A94" s="3"/>
      <c r="B94" s="10" t="s">
        <v>417</v>
      </c>
      <c r="C94" s="62">
        <v>16</v>
      </c>
      <c r="D94" s="62" t="s">
        <v>94</v>
      </c>
      <c r="E94" s="12">
        <v>0</v>
      </c>
      <c r="F94" s="12">
        <v>70.989999999999995</v>
      </c>
      <c r="G94" s="89"/>
      <c r="H94" s="65" t="s">
        <v>37</v>
      </c>
      <c r="I94" s="112" t="s">
        <v>1512</v>
      </c>
      <c r="J94" s="65"/>
      <c r="K94" s="37"/>
      <c r="L94" s="37"/>
      <c r="M94" s="37"/>
      <c r="N94" s="37"/>
      <c r="O94" s="37"/>
      <c r="P94" s="37"/>
      <c r="Q94" s="37"/>
      <c r="R94" s="37"/>
      <c r="S94" s="37"/>
      <c r="T94" s="37"/>
      <c r="U94" s="3"/>
      <c r="W94" s="3"/>
      <c r="X94" s="3"/>
      <c r="Y94" s="3"/>
      <c r="Z94" s="3"/>
    </row>
    <row r="95" spans="1:26" ht="14.4" x14ac:dyDescent="0.3">
      <c r="A95" s="3"/>
      <c r="B95" s="3"/>
      <c r="C95" s="37"/>
      <c r="D95" s="37"/>
      <c r="E95" s="37"/>
      <c r="F95" s="37"/>
      <c r="G95" s="99"/>
      <c r="H95" s="98"/>
      <c r="I95" s="99"/>
      <c r="J95" s="98"/>
      <c r="K95" s="37"/>
      <c r="L95" s="37"/>
      <c r="M95" s="37"/>
      <c r="N95" s="37"/>
      <c r="O95" s="37"/>
      <c r="P95" s="37"/>
      <c r="Q95" s="37"/>
      <c r="R95" s="37"/>
      <c r="S95" s="37"/>
      <c r="T95" s="37"/>
      <c r="U95" s="3"/>
    </row>
    <row r="96" spans="1:26" ht="14.4" x14ac:dyDescent="0.3">
      <c r="A96" s="3"/>
      <c r="B96" s="3"/>
      <c r="C96" s="37"/>
      <c r="D96" s="37"/>
      <c r="E96" s="37"/>
      <c r="F96" s="37"/>
      <c r="G96" s="99"/>
      <c r="H96" s="98"/>
      <c r="I96" s="99"/>
      <c r="J96" s="98"/>
      <c r="K96" s="37"/>
      <c r="L96" s="37"/>
      <c r="M96" s="37"/>
      <c r="N96" s="37"/>
      <c r="O96" s="37"/>
      <c r="P96" s="37"/>
      <c r="Q96" s="37"/>
      <c r="R96" s="37"/>
      <c r="S96" s="37"/>
      <c r="T96" s="37"/>
      <c r="U96" s="3"/>
    </row>
    <row r="97" spans="1:21" ht="14.25" customHeight="1" x14ac:dyDescent="0.3">
      <c r="A97" s="3"/>
      <c r="B97" s="3"/>
      <c r="C97" s="37"/>
      <c r="D97" s="37"/>
      <c r="E97" s="37"/>
      <c r="F97" s="37"/>
      <c r="G97" s="99"/>
      <c r="H97" s="98"/>
      <c r="I97" s="99"/>
      <c r="J97" s="98"/>
      <c r="K97" s="37"/>
      <c r="L97" s="37"/>
      <c r="M97" s="37"/>
      <c r="N97" s="37"/>
      <c r="O97" s="37"/>
      <c r="P97" s="37"/>
      <c r="Q97" s="37"/>
      <c r="R97" s="37"/>
      <c r="S97" s="37"/>
      <c r="T97" s="37"/>
      <c r="U97" s="3"/>
    </row>
    <row r="98" spans="1:21" ht="14.25" customHeight="1" x14ac:dyDescent="0.3">
      <c r="A98" s="3"/>
      <c r="B98" s="3"/>
      <c r="C98" s="37"/>
      <c r="D98" s="37"/>
      <c r="E98" s="37"/>
      <c r="F98" s="37"/>
      <c r="G98" s="99"/>
      <c r="H98" s="98"/>
      <c r="I98" s="99"/>
      <c r="J98" s="98"/>
      <c r="K98" s="37"/>
      <c r="L98" s="37"/>
      <c r="M98" s="37"/>
      <c r="N98" s="37"/>
      <c r="O98" s="37"/>
      <c r="P98" s="37"/>
      <c r="Q98" s="37"/>
      <c r="R98" s="37"/>
      <c r="S98" s="37"/>
      <c r="T98" s="37"/>
      <c r="U98" s="3"/>
    </row>
    <row r="99" spans="1:21" ht="14.25" customHeight="1" x14ac:dyDescent="0.3">
      <c r="A99" s="3"/>
      <c r="B99" s="3"/>
      <c r="C99" s="37"/>
      <c r="D99" s="37"/>
      <c r="E99" s="37"/>
      <c r="F99" s="37"/>
      <c r="G99" s="99"/>
      <c r="H99" s="98"/>
      <c r="I99" s="99"/>
      <c r="J99" s="98"/>
      <c r="K99" s="37"/>
      <c r="L99" s="37"/>
      <c r="M99" s="37"/>
      <c r="N99" s="37"/>
      <c r="O99" s="37"/>
      <c r="P99" s="37"/>
      <c r="Q99" s="37"/>
      <c r="R99" s="37"/>
      <c r="S99" s="37"/>
      <c r="T99" s="37"/>
      <c r="U99" s="3"/>
    </row>
    <row r="100" spans="1:21" ht="14.25" customHeight="1" x14ac:dyDescent="0.3">
      <c r="A100" s="3"/>
      <c r="B100" s="3"/>
      <c r="C100" s="37"/>
      <c r="D100" s="37"/>
      <c r="E100" s="37"/>
      <c r="F100" s="37"/>
      <c r="G100" s="99"/>
      <c r="H100" s="98"/>
      <c r="I100" s="99"/>
      <c r="J100" s="98"/>
      <c r="K100" s="37"/>
      <c r="L100" s="37"/>
      <c r="M100" s="37"/>
      <c r="N100" s="37"/>
      <c r="O100" s="37"/>
      <c r="P100" s="37"/>
      <c r="Q100" s="37"/>
      <c r="R100" s="37"/>
      <c r="S100" s="37"/>
      <c r="T100" s="37"/>
      <c r="U100" s="3"/>
    </row>
    <row r="101" spans="1:21" ht="14.25" customHeight="1" x14ac:dyDescent="0.3">
      <c r="A101" s="3"/>
      <c r="B101" s="3"/>
      <c r="C101" s="37"/>
      <c r="D101" s="37"/>
      <c r="E101" s="37"/>
      <c r="F101" s="37"/>
      <c r="G101" s="99"/>
      <c r="H101" s="98"/>
      <c r="I101" s="99"/>
      <c r="J101" s="98"/>
      <c r="K101" s="37"/>
      <c r="L101" s="37"/>
      <c r="M101" s="37"/>
      <c r="N101" s="37"/>
      <c r="O101" s="37"/>
      <c r="P101" s="37"/>
      <c r="Q101" s="37"/>
      <c r="R101" s="37"/>
      <c r="S101" s="37"/>
      <c r="T101" s="37"/>
      <c r="U101" s="3"/>
    </row>
    <row r="102" spans="1:21" ht="14.25" customHeight="1" x14ac:dyDescent="0.3">
      <c r="A102" s="3"/>
      <c r="B102" s="3"/>
      <c r="C102" s="37"/>
      <c r="D102" s="37"/>
      <c r="E102" s="37"/>
      <c r="F102" s="37"/>
      <c r="G102" s="99"/>
      <c r="H102" s="98"/>
      <c r="I102" s="99"/>
      <c r="J102" s="98"/>
      <c r="K102" s="37"/>
      <c r="L102" s="37"/>
      <c r="M102" s="37"/>
      <c r="N102" s="37"/>
      <c r="O102" s="37"/>
      <c r="P102" s="37"/>
      <c r="Q102" s="37"/>
      <c r="R102" s="37"/>
      <c r="S102" s="37"/>
      <c r="T102" s="37"/>
      <c r="U102" s="3"/>
    </row>
    <row r="103" spans="1:21" ht="14.25" customHeight="1" x14ac:dyDescent="0.3">
      <c r="A103" s="3"/>
      <c r="B103" s="3"/>
      <c r="C103" s="37"/>
      <c r="D103" s="37"/>
      <c r="E103" s="37"/>
      <c r="F103" s="37"/>
      <c r="G103" s="99"/>
      <c r="H103" s="98"/>
      <c r="I103" s="99"/>
      <c r="J103" s="98"/>
      <c r="K103" s="37"/>
      <c r="L103" s="37"/>
      <c r="M103" s="37"/>
      <c r="N103" s="37"/>
      <c r="O103" s="37"/>
      <c r="P103" s="37"/>
      <c r="Q103" s="37"/>
      <c r="R103" s="37"/>
      <c r="S103" s="37"/>
      <c r="T103" s="37"/>
      <c r="U103" s="3"/>
    </row>
    <row r="104" spans="1:21" ht="14.25" customHeight="1" x14ac:dyDescent="0.3">
      <c r="A104" s="3"/>
      <c r="B104" s="3"/>
      <c r="C104" s="37"/>
      <c r="D104" s="37"/>
      <c r="E104" s="37"/>
      <c r="F104" s="37"/>
      <c r="G104" s="99"/>
      <c r="H104" s="98"/>
      <c r="I104" s="99"/>
      <c r="J104" s="98"/>
      <c r="K104" s="37"/>
      <c r="L104" s="37"/>
      <c r="M104" s="37"/>
      <c r="N104" s="37"/>
      <c r="O104" s="37"/>
      <c r="P104" s="37"/>
      <c r="Q104" s="37"/>
      <c r="R104" s="37"/>
      <c r="S104" s="37"/>
      <c r="T104" s="37"/>
      <c r="U104" s="3"/>
    </row>
    <row r="105" spans="1:21" ht="14.25" customHeight="1" x14ac:dyDescent="0.3">
      <c r="A105" s="3"/>
      <c r="B105" s="3"/>
      <c r="C105" s="37"/>
      <c r="D105" s="37"/>
      <c r="E105" s="37"/>
      <c r="F105" s="37"/>
      <c r="G105" s="99"/>
      <c r="H105" s="98"/>
      <c r="I105" s="99"/>
      <c r="J105" s="98"/>
      <c r="K105" s="37"/>
      <c r="L105" s="37"/>
      <c r="M105" s="37"/>
      <c r="N105" s="37"/>
      <c r="O105" s="37"/>
      <c r="P105" s="37"/>
      <c r="Q105" s="37"/>
      <c r="R105" s="37"/>
      <c r="S105" s="37"/>
      <c r="T105" s="37"/>
      <c r="U105" s="3"/>
    </row>
    <row r="106" spans="1:21" ht="14.25" customHeight="1" x14ac:dyDescent="0.3">
      <c r="A106" s="3"/>
      <c r="B106" s="3"/>
      <c r="C106" s="37"/>
      <c r="D106" s="37"/>
      <c r="E106" s="37"/>
      <c r="F106" s="37"/>
      <c r="G106" s="99"/>
      <c r="H106" s="98"/>
      <c r="I106" s="99"/>
      <c r="J106" s="98"/>
      <c r="K106" s="37"/>
      <c r="L106" s="37"/>
      <c r="M106" s="37"/>
      <c r="N106" s="37"/>
      <c r="O106" s="37"/>
      <c r="P106" s="37"/>
      <c r="Q106" s="37"/>
      <c r="R106" s="37"/>
      <c r="S106" s="37"/>
      <c r="T106" s="37"/>
      <c r="U106" s="3"/>
    </row>
    <row r="107" spans="1:21" ht="14.25" customHeight="1" x14ac:dyDescent="0.3">
      <c r="A107" s="3"/>
      <c r="B107" s="3"/>
      <c r="C107" s="37"/>
      <c r="D107" s="37"/>
      <c r="E107" s="37"/>
      <c r="F107" s="37"/>
      <c r="G107" s="99"/>
      <c r="H107" s="98"/>
      <c r="I107" s="99"/>
      <c r="J107" s="98"/>
      <c r="K107" s="37"/>
      <c r="L107" s="37"/>
      <c r="M107" s="37"/>
      <c r="N107" s="37"/>
      <c r="O107" s="37"/>
      <c r="P107" s="37"/>
      <c r="Q107" s="37"/>
      <c r="R107" s="37"/>
      <c r="S107" s="37"/>
      <c r="T107" s="37"/>
      <c r="U107" s="3"/>
    </row>
    <row r="108" spans="1:21" ht="14.25" customHeight="1" x14ac:dyDescent="0.3">
      <c r="A108" s="3"/>
      <c r="B108" s="3"/>
      <c r="C108" s="37"/>
      <c r="D108" s="37"/>
      <c r="E108" s="37"/>
      <c r="F108" s="37"/>
      <c r="G108" s="99"/>
      <c r="H108" s="98"/>
      <c r="I108" s="99"/>
      <c r="J108" s="98"/>
      <c r="K108" s="37"/>
      <c r="L108" s="37"/>
      <c r="M108" s="37"/>
      <c r="N108" s="37"/>
      <c r="O108" s="37"/>
      <c r="P108" s="37"/>
      <c r="Q108" s="37"/>
      <c r="R108" s="37"/>
      <c r="S108" s="37"/>
      <c r="T108" s="37"/>
      <c r="U108" s="3"/>
    </row>
    <row r="109" spans="1:21" ht="14.25" customHeight="1" x14ac:dyDescent="0.3">
      <c r="A109" s="3"/>
      <c r="B109" s="3"/>
      <c r="C109" s="37"/>
      <c r="D109" s="37"/>
      <c r="E109" s="37"/>
      <c r="F109" s="37"/>
      <c r="G109" s="99"/>
      <c r="H109" s="98"/>
      <c r="I109" s="99"/>
      <c r="J109" s="98"/>
      <c r="K109" s="37"/>
      <c r="L109" s="37"/>
      <c r="M109" s="37"/>
      <c r="N109" s="37"/>
      <c r="O109" s="37"/>
      <c r="P109" s="37"/>
      <c r="Q109" s="37"/>
      <c r="R109" s="37"/>
      <c r="S109" s="37"/>
      <c r="T109" s="37"/>
      <c r="U109" s="3"/>
    </row>
    <row r="110" spans="1:21" ht="14.25" customHeight="1" x14ac:dyDescent="0.3">
      <c r="A110" s="3"/>
      <c r="B110" s="3"/>
      <c r="C110" s="37"/>
      <c r="D110" s="37"/>
      <c r="E110" s="37"/>
      <c r="F110" s="37"/>
      <c r="G110" s="99"/>
      <c r="H110" s="98"/>
      <c r="I110" s="99"/>
      <c r="J110" s="98"/>
      <c r="K110" s="37"/>
      <c r="L110" s="37"/>
      <c r="M110" s="37"/>
      <c r="N110" s="37"/>
      <c r="O110" s="37"/>
      <c r="P110" s="37"/>
      <c r="Q110" s="37"/>
      <c r="R110" s="37"/>
      <c r="S110" s="37"/>
      <c r="T110" s="37"/>
      <c r="U110" s="3"/>
    </row>
    <row r="111" spans="1:21" ht="14.25" customHeight="1" x14ac:dyDescent="0.3">
      <c r="A111" s="3"/>
      <c r="B111" s="3"/>
      <c r="C111" s="37"/>
      <c r="D111" s="37"/>
      <c r="E111" s="37"/>
      <c r="F111" s="37"/>
      <c r="G111" s="99"/>
      <c r="H111" s="98"/>
      <c r="I111" s="99"/>
      <c r="J111" s="98"/>
      <c r="K111" s="37"/>
      <c r="L111" s="37"/>
      <c r="M111" s="37"/>
      <c r="N111" s="37"/>
      <c r="O111" s="37"/>
      <c r="P111" s="37"/>
      <c r="Q111" s="37"/>
      <c r="R111" s="37"/>
      <c r="S111" s="37"/>
      <c r="T111" s="37"/>
      <c r="U111" s="3"/>
    </row>
    <row r="112" spans="1:21" ht="14.25" customHeight="1" x14ac:dyDescent="0.3">
      <c r="A112" s="3"/>
      <c r="B112" s="3"/>
      <c r="C112" s="37"/>
      <c r="D112" s="37"/>
      <c r="E112" s="37"/>
      <c r="F112" s="37"/>
      <c r="G112" s="99"/>
      <c r="H112" s="98"/>
      <c r="I112" s="99"/>
      <c r="J112" s="98"/>
      <c r="K112" s="37"/>
      <c r="L112" s="37"/>
      <c r="M112" s="37"/>
      <c r="N112" s="37"/>
      <c r="O112" s="37"/>
      <c r="P112" s="37"/>
      <c r="Q112" s="37"/>
      <c r="R112" s="37"/>
      <c r="S112" s="37"/>
      <c r="T112" s="37"/>
      <c r="U112" s="3"/>
    </row>
    <row r="113" spans="1:21" ht="14.25" customHeight="1" x14ac:dyDescent="0.3">
      <c r="A113" s="3"/>
      <c r="B113" s="3"/>
      <c r="C113" s="37"/>
      <c r="D113" s="37"/>
      <c r="E113" s="37"/>
      <c r="F113" s="37"/>
      <c r="G113" s="99"/>
      <c r="H113" s="98"/>
      <c r="I113" s="99"/>
      <c r="J113" s="98"/>
      <c r="K113" s="37"/>
      <c r="L113" s="37"/>
      <c r="M113" s="37"/>
      <c r="N113" s="37"/>
      <c r="O113" s="37"/>
      <c r="P113" s="37"/>
      <c r="Q113" s="37"/>
      <c r="R113" s="37"/>
      <c r="S113" s="37"/>
      <c r="T113" s="37"/>
      <c r="U113" s="3"/>
    </row>
    <row r="114" spans="1:21" ht="14.25" customHeight="1" x14ac:dyDescent="0.3">
      <c r="A114" s="3"/>
      <c r="B114" s="3"/>
      <c r="C114" s="37"/>
      <c r="D114" s="37"/>
      <c r="E114" s="37"/>
      <c r="F114" s="37"/>
      <c r="G114" s="99"/>
      <c r="H114" s="98"/>
      <c r="I114" s="99"/>
      <c r="J114" s="98"/>
      <c r="K114" s="37"/>
      <c r="L114" s="37"/>
      <c r="M114" s="37"/>
      <c r="N114" s="37"/>
      <c r="O114" s="37"/>
      <c r="P114" s="37"/>
      <c r="Q114" s="37"/>
      <c r="R114" s="37"/>
      <c r="S114" s="37"/>
      <c r="T114" s="37"/>
      <c r="U114" s="3"/>
    </row>
    <row r="115" spans="1:21" ht="14.25" customHeight="1" x14ac:dyDescent="0.3">
      <c r="A115" s="3"/>
      <c r="B115" s="3"/>
      <c r="C115" s="37"/>
      <c r="D115" s="37"/>
      <c r="E115" s="37"/>
      <c r="F115" s="37"/>
      <c r="G115" s="99"/>
      <c r="H115" s="98"/>
      <c r="I115" s="99"/>
      <c r="J115" s="98"/>
      <c r="K115" s="37"/>
      <c r="L115" s="37"/>
      <c r="M115" s="37"/>
      <c r="N115" s="37"/>
      <c r="O115" s="37"/>
      <c r="P115" s="37"/>
      <c r="Q115" s="37"/>
      <c r="R115" s="37"/>
      <c r="S115" s="37"/>
      <c r="T115" s="37"/>
      <c r="U115" s="3"/>
    </row>
    <row r="116" spans="1:21" ht="14.25" customHeight="1" x14ac:dyDescent="0.3">
      <c r="A116" s="3"/>
      <c r="B116" s="3"/>
      <c r="C116" s="37"/>
      <c r="D116" s="37"/>
      <c r="E116" s="37"/>
      <c r="F116" s="37"/>
      <c r="G116" s="99"/>
      <c r="H116" s="98"/>
      <c r="I116" s="99"/>
      <c r="J116" s="98"/>
      <c r="K116" s="37"/>
      <c r="L116" s="37"/>
      <c r="M116" s="37"/>
      <c r="N116" s="37"/>
      <c r="O116" s="37"/>
      <c r="P116" s="37"/>
      <c r="Q116" s="37"/>
      <c r="R116" s="37"/>
      <c r="S116" s="37"/>
      <c r="T116" s="37"/>
      <c r="U116" s="3"/>
    </row>
    <row r="117" spans="1:21" ht="14.25" customHeight="1" x14ac:dyDescent="0.3">
      <c r="A117" s="3"/>
      <c r="B117" s="3"/>
      <c r="C117" s="37"/>
      <c r="D117" s="37"/>
      <c r="E117" s="37"/>
      <c r="F117" s="37"/>
      <c r="G117" s="99"/>
      <c r="H117" s="98"/>
      <c r="I117" s="99"/>
      <c r="J117" s="98"/>
      <c r="K117" s="37"/>
      <c r="L117" s="37"/>
      <c r="M117" s="37"/>
      <c r="N117" s="37"/>
      <c r="O117" s="37"/>
      <c r="P117" s="37"/>
      <c r="Q117" s="37"/>
      <c r="R117" s="37"/>
      <c r="S117" s="37"/>
      <c r="T117" s="37"/>
      <c r="U117" s="3"/>
    </row>
    <row r="118" spans="1:21" ht="14.25" customHeight="1" x14ac:dyDescent="0.3">
      <c r="A118" s="3"/>
      <c r="B118" s="3"/>
      <c r="C118" s="37"/>
      <c r="D118" s="37"/>
      <c r="E118" s="37"/>
      <c r="F118" s="37"/>
      <c r="G118" s="99"/>
      <c r="H118" s="98"/>
      <c r="I118" s="99"/>
      <c r="J118" s="98"/>
      <c r="K118" s="37"/>
      <c r="L118" s="37"/>
      <c r="M118" s="37"/>
      <c r="N118" s="37"/>
      <c r="O118" s="37"/>
      <c r="P118" s="37"/>
      <c r="Q118" s="37"/>
      <c r="R118" s="37"/>
      <c r="S118" s="37"/>
      <c r="T118" s="37"/>
      <c r="U118" s="3"/>
    </row>
    <row r="119" spans="1:21" ht="14.25" customHeight="1" x14ac:dyDescent="0.3">
      <c r="A119" s="3"/>
      <c r="B119" s="3"/>
      <c r="C119" s="37"/>
      <c r="D119" s="37"/>
      <c r="E119" s="37"/>
      <c r="F119" s="37"/>
      <c r="G119" s="99"/>
      <c r="H119" s="98"/>
      <c r="I119" s="99"/>
      <c r="J119" s="98"/>
      <c r="K119" s="37"/>
      <c r="L119" s="37"/>
      <c r="M119" s="37"/>
      <c r="N119" s="37"/>
      <c r="O119" s="37"/>
      <c r="P119" s="37"/>
      <c r="Q119" s="37"/>
      <c r="R119" s="37"/>
      <c r="S119" s="37"/>
      <c r="T119" s="37"/>
      <c r="U119" s="3"/>
    </row>
    <row r="120" spans="1:21" ht="14.25" customHeight="1" x14ac:dyDescent="0.3">
      <c r="A120" s="3"/>
      <c r="B120" s="3"/>
      <c r="C120" s="37"/>
      <c r="D120" s="37"/>
      <c r="E120" s="37"/>
      <c r="F120" s="37"/>
      <c r="G120" s="99"/>
      <c r="H120" s="98"/>
      <c r="I120" s="99"/>
      <c r="J120" s="98"/>
      <c r="K120" s="37"/>
      <c r="L120" s="37"/>
      <c r="M120" s="37"/>
      <c r="N120" s="37"/>
      <c r="O120" s="37"/>
      <c r="P120" s="37"/>
      <c r="Q120" s="37"/>
      <c r="R120" s="37"/>
      <c r="S120" s="37"/>
      <c r="T120" s="37"/>
      <c r="U120" s="3"/>
    </row>
    <row r="121" spans="1:21" ht="14.25" customHeight="1" x14ac:dyDescent="0.3">
      <c r="A121" s="3"/>
      <c r="B121" s="3"/>
      <c r="C121" s="37"/>
      <c r="D121" s="37"/>
      <c r="E121" s="37"/>
      <c r="F121" s="37"/>
      <c r="G121" s="99"/>
      <c r="H121" s="98"/>
      <c r="I121" s="99"/>
      <c r="J121" s="98"/>
      <c r="K121" s="37"/>
      <c r="L121" s="37"/>
      <c r="M121" s="37"/>
      <c r="N121" s="37"/>
      <c r="O121" s="37"/>
      <c r="P121" s="37"/>
      <c r="Q121" s="37"/>
      <c r="R121" s="37"/>
      <c r="S121" s="37"/>
      <c r="T121" s="37"/>
      <c r="U121" s="3"/>
    </row>
    <row r="122" spans="1:21" ht="14.25" customHeight="1" x14ac:dyDescent="0.3">
      <c r="A122" s="3"/>
      <c r="B122" s="3"/>
      <c r="C122" s="37"/>
      <c r="D122" s="37"/>
      <c r="E122" s="37"/>
      <c r="F122" s="37"/>
      <c r="G122" s="99"/>
      <c r="H122" s="98"/>
      <c r="I122" s="99"/>
      <c r="J122" s="98"/>
      <c r="K122" s="37"/>
      <c r="L122" s="37"/>
      <c r="M122" s="37"/>
      <c r="N122" s="37"/>
      <c r="O122" s="37"/>
      <c r="P122" s="37"/>
      <c r="Q122" s="37"/>
      <c r="R122" s="37"/>
      <c r="S122" s="37"/>
      <c r="T122" s="37"/>
      <c r="U122" s="3"/>
    </row>
    <row r="123" spans="1:21" ht="14.25" customHeight="1" x14ac:dyDescent="0.3">
      <c r="A123" s="3"/>
      <c r="B123" s="3"/>
      <c r="C123" s="37"/>
      <c r="D123" s="37"/>
      <c r="E123" s="37"/>
      <c r="F123" s="37"/>
      <c r="G123" s="99"/>
      <c r="H123" s="98"/>
      <c r="I123" s="99"/>
      <c r="J123" s="98"/>
      <c r="K123" s="37"/>
      <c r="L123" s="37"/>
      <c r="M123" s="37"/>
      <c r="N123" s="37"/>
      <c r="O123" s="37"/>
      <c r="P123" s="37"/>
      <c r="Q123" s="37"/>
      <c r="R123" s="37"/>
      <c r="S123" s="37"/>
      <c r="T123" s="37"/>
      <c r="U123" s="3"/>
    </row>
    <row r="124" spans="1:21" ht="14.25" customHeight="1" x14ac:dyDescent="0.3">
      <c r="A124" s="3"/>
      <c r="B124" s="3"/>
      <c r="C124" s="37"/>
      <c r="D124" s="37"/>
      <c r="E124" s="37"/>
      <c r="F124" s="37"/>
      <c r="G124" s="99"/>
      <c r="H124" s="98"/>
      <c r="I124" s="99"/>
      <c r="J124" s="98"/>
      <c r="K124" s="37"/>
      <c r="L124" s="37"/>
      <c r="M124" s="37"/>
      <c r="N124" s="37"/>
      <c r="O124" s="37"/>
      <c r="P124" s="37"/>
      <c r="Q124" s="37"/>
      <c r="R124" s="37"/>
      <c r="S124" s="37"/>
      <c r="T124" s="37"/>
      <c r="U124" s="3"/>
    </row>
    <row r="125" spans="1:21" ht="14.25" customHeight="1" x14ac:dyDescent="0.3">
      <c r="A125" s="3"/>
      <c r="B125" s="3"/>
      <c r="C125" s="37"/>
      <c r="D125" s="37"/>
      <c r="E125" s="37"/>
      <c r="F125" s="37"/>
      <c r="G125" s="99"/>
      <c r="H125" s="98"/>
      <c r="I125" s="99"/>
      <c r="J125" s="98"/>
      <c r="K125" s="37"/>
      <c r="L125" s="37"/>
      <c r="M125" s="37"/>
      <c r="N125" s="37"/>
      <c r="O125" s="37"/>
      <c r="P125" s="37"/>
      <c r="Q125" s="37"/>
      <c r="R125" s="37"/>
      <c r="S125" s="37"/>
      <c r="T125" s="37"/>
      <c r="U125" s="3"/>
    </row>
    <row r="126" spans="1:21" ht="14.25" customHeight="1" x14ac:dyDescent="0.3">
      <c r="A126" s="3"/>
      <c r="B126" s="3"/>
      <c r="C126" s="37"/>
      <c r="D126" s="37"/>
      <c r="E126" s="37"/>
      <c r="F126" s="37"/>
      <c r="G126" s="99"/>
      <c r="H126" s="98"/>
      <c r="I126" s="99"/>
      <c r="J126" s="98"/>
      <c r="K126" s="37"/>
      <c r="L126" s="37"/>
      <c r="M126" s="37"/>
      <c r="N126" s="37"/>
      <c r="O126" s="37"/>
      <c r="P126" s="37"/>
      <c r="Q126" s="37"/>
      <c r="R126" s="37"/>
      <c r="S126" s="37"/>
      <c r="T126" s="37"/>
      <c r="U126" s="3"/>
    </row>
    <row r="127" spans="1:21" ht="14.25" customHeight="1" x14ac:dyDescent="0.3">
      <c r="A127" s="3"/>
      <c r="B127" s="3"/>
      <c r="C127" s="37"/>
      <c r="D127" s="37"/>
      <c r="E127" s="37"/>
      <c r="F127" s="37"/>
      <c r="G127" s="99"/>
      <c r="H127" s="98"/>
      <c r="I127" s="99"/>
      <c r="J127" s="98"/>
      <c r="K127" s="37"/>
      <c r="L127" s="37"/>
      <c r="M127" s="37"/>
      <c r="N127" s="37"/>
      <c r="O127" s="37"/>
      <c r="P127" s="37"/>
      <c r="Q127" s="37"/>
      <c r="R127" s="37"/>
      <c r="S127" s="37"/>
      <c r="T127" s="37"/>
      <c r="U127" s="3"/>
    </row>
    <row r="128" spans="1:21" ht="14.25" customHeight="1" x14ac:dyDescent="0.3">
      <c r="A128" s="3"/>
      <c r="B128" s="3"/>
      <c r="C128" s="37"/>
      <c r="D128" s="37"/>
      <c r="E128" s="37"/>
      <c r="F128" s="37"/>
      <c r="G128" s="99"/>
      <c r="H128" s="98"/>
      <c r="I128" s="99"/>
      <c r="J128" s="98"/>
      <c r="K128" s="37"/>
      <c r="L128" s="37"/>
      <c r="M128" s="37"/>
      <c r="N128" s="37"/>
      <c r="O128" s="37"/>
      <c r="P128" s="37"/>
      <c r="Q128" s="37"/>
      <c r="R128" s="37"/>
      <c r="S128" s="37"/>
      <c r="T128" s="37"/>
      <c r="U128" s="3"/>
    </row>
    <row r="129" spans="1:21" ht="14.25" customHeight="1" x14ac:dyDescent="0.3">
      <c r="A129" s="3"/>
      <c r="B129" s="3"/>
      <c r="C129" s="37"/>
      <c r="D129" s="37"/>
      <c r="E129" s="37"/>
      <c r="F129" s="37"/>
      <c r="G129" s="99"/>
      <c r="H129" s="98"/>
      <c r="I129" s="99"/>
      <c r="J129" s="98"/>
      <c r="K129" s="37"/>
      <c r="L129" s="37"/>
      <c r="M129" s="37"/>
      <c r="N129" s="37"/>
      <c r="O129" s="37"/>
      <c r="P129" s="37"/>
      <c r="Q129" s="37"/>
      <c r="R129" s="37"/>
      <c r="S129" s="37"/>
      <c r="T129" s="37"/>
      <c r="U129" s="3"/>
    </row>
    <row r="130" spans="1:21" ht="14.25" customHeight="1" x14ac:dyDescent="0.3">
      <c r="A130" s="3"/>
      <c r="B130" s="3"/>
      <c r="C130" s="37"/>
      <c r="D130" s="37"/>
      <c r="E130" s="37"/>
      <c r="F130" s="37"/>
      <c r="G130" s="99"/>
      <c r="H130" s="98"/>
      <c r="I130" s="99"/>
      <c r="J130" s="98"/>
      <c r="K130" s="37"/>
      <c r="L130" s="37"/>
      <c r="M130" s="37"/>
      <c r="N130" s="37"/>
      <c r="O130" s="37"/>
      <c r="P130" s="37"/>
      <c r="Q130" s="37"/>
      <c r="R130" s="37"/>
      <c r="S130" s="37"/>
      <c r="T130" s="37"/>
      <c r="U130" s="3"/>
    </row>
    <row r="131" spans="1:21" ht="14.25" customHeight="1" x14ac:dyDescent="0.3">
      <c r="A131" s="3"/>
      <c r="B131" s="3"/>
      <c r="C131" s="37"/>
      <c r="D131" s="37"/>
      <c r="E131" s="37"/>
      <c r="F131" s="37"/>
      <c r="G131" s="99"/>
      <c r="H131" s="98"/>
      <c r="I131" s="99"/>
      <c r="J131" s="98"/>
      <c r="K131" s="37"/>
      <c r="L131" s="37"/>
      <c r="M131" s="37"/>
      <c r="N131" s="37"/>
      <c r="O131" s="37"/>
      <c r="P131" s="37"/>
      <c r="Q131" s="37"/>
      <c r="R131" s="37"/>
      <c r="S131" s="37"/>
      <c r="T131" s="37"/>
      <c r="U131" s="3"/>
    </row>
    <row r="132" spans="1:21" ht="14.25" customHeight="1" x14ac:dyDescent="0.3">
      <c r="A132" s="3"/>
      <c r="B132" s="3"/>
      <c r="C132" s="37"/>
      <c r="D132" s="37"/>
      <c r="E132" s="37"/>
      <c r="F132" s="37"/>
      <c r="G132" s="99"/>
      <c r="H132" s="98"/>
      <c r="I132" s="99"/>
      <c r="J132" s="98"/>
      <c r="K132" s="37"/>
      <c r="L132" s="37"/>
      <c r="M132" s="37"/>
      <c r="N132" s="37"/>
      <c r="O132" s="37"/>
      <c r="P132" s="37"/>
      <c r="Q132" s="37"/>
      <c r="R132" s="37"/>
      <c r="S132" s="37"/>
      <c r="T132" s="37"/>
      <c r="U132" s="3"/>
    </row>
    <row r="133" spans="1:21" ht="14.25" customHeight="1" x14ac:dyDescent="0.3">
      <c r="A133" s="3"/>
      <c r="B133" s="3"/>
      <c r="C133" s="37"/>
      <c r="D133" s="37"/>
      <c r="E133" s="37"/>
      <c r="F133" s="37"/>
      <c r="G133" s="99"/>
      <c r="H133" s="98"/>
      <c r="I133" s="99"/>
      <c r="J133" s="98"/>
      <c r="K133" s="37"/>
      <c r="L133" s="37"/>
      <c r="M133" s="37"/>
      <c r="N133" s="37"/>
      <c r="O133" s="37"/>
      <c r="P133" s="37"/>
      <c r="Q133" s="37"/>
      <c r="R133" s="37"/>
      <c r="S133" s="37"/>
      <c r="T133" s="37"/>
      <c r="U133" s="3"/>
    </row>
    <row r="134" spans="1:21" ht="14.25" customHeight="1" x14ac:dyDescent="0.3">
      <c r="A134" s="3"/>
      <c r="B134" s="3"/>
      <c r="C134" s="37"/>
      <c r="D134" s="37"/>
      <c r="E134" s="37"/>
      <c r="F134" s="37"/>
      <c r="G134" s="99"/>
      <c r="H134" s="98"/>
      <c r="I134" s="99"/>
      <c r="J134" s="98"/>
      <c r="K134" s="37"/>
      <c r="L134" s="37"/>
      <c r="M134" s="37"/>
      <c r="N134" s="37"/>
      <c r="O134" s="37"/>
      <c r="P134" s="37"/>
      <c r="Q134" s="37"/>
      <c r="R134" s="37"/>
      <c r="S134" s="37"/>
      <c r="T134" s="37"/>
      <c r="U134" s="3"/>
    </row>
    <row r="135" spans="1:21" ht="14.25" customHeight="1" x14ac:dyDescent="0.3">
      <c r="A135" s="3"/>
      <c r="B135" s="3"/>
      <c r="C135" s="37"/>
      <c r="D135" s="37"/>
      <c r="E135" s="37"/>
      <c r="F135" s="37"/>
      <c r="G135" s="99"/>
      <c r="H135" s="98"/>
      <c r="I135" s="99"/>
      <c r="J135" s="98"/>
      <c r="K135" s="37"/>
      <c r="L135" s="37"/>
      <c r="M135" s="37"/>
      <c r="N135" s="37"/>
      <c r="O135" s="37"/>
      <c r="P135" s="37"/>
      <c r="Q135" s="37"/>
      <c r="R135" s="37"/>
      <c r="S135" s="37"/>
      <c r="T135" s="37"/>
      <c r="U135" s="3"/>
    </row>
    <row r="136" spans="1:21" ht="14.25" customHeight="1" x14ac:dyDescent="0.3">
      <c r="A136" s="3"/>
      <c r="B136" s="3"/>
      <c r="C136" s="37"/>
      <c r="D136" s="37"/>
      <c r="E136" s="37"/>
      <c r="F136" s="37"/>
      <c r="G136" s="99"/>
      <c r="H136" s="98"/>
      <c r="I136" s="99"/>
      <c r="J136" s="98"/>
      <c r="K136" s="37"/>
      <c r="L136" s="37"/>
      <c r="M136" s="37"/>
      <c r="N136" s="37"/>
      <c r="O136" s="37"/>
      <c r="P136" s="37"/>
      <c r="Q136" s="37"/>
      <c r="R136" s="37"/>
      <c r="S136" s="37"/>
      <c r="T136" s="37"/>
      <c r="U136" s="3"/>
    </row>
    <row r="137" spans="1:21" ht="14.25" customHeight="1" x14ac:dyDescent="0.3">
      <c r="A137" s="3"/>
      <c r="B137" s="3"/>
      <c r="C137" s="37"/>
      <c r="D137" s="37"/>
      <c r="E137" s="37"/>
      <c r="F137" s="37"/>
      <c r="G137" s="99"/>
      <c r="H137" s="98"/>
      <c r="I137" s="99"/>
      <c r="J137" s="98"/>
      <c r="K137" s="37"/>
      <c r="L137" s="37"/>
      <c r="M137" s="37"/>
      <c r="N137" s="37"/>
      <c r="O137" s="37"/>
      <c r="P137" s="37"/>
      <c r="Q137" s="37"/>
      <c r="R137" s="37"/>
      <c r="S137" s="37"/>
      <c r="T137" s="37"/>
      <c r="U137" s="3"/>
    </row>
    <row r="138" spans="1:21" ht="14.25" customHeight="1" x14ac:dyDescent="0.3">
      <c r="A138" s="3"/>
      <c r="B138" s="3"/>
      <c r="C138" s="37"/>
      <c r="D138" s="37"/>
      <c r="E138" s="37"/>
      <c r="F138" s="37"/>
      <c r="G138" s="99"/>
      <c r="H138" s="98"/>
      <c r="I138" s="99"/>
      <c r="J138" s="98"/>
      <c r="K138" s="37"/>
      <c r="L138" s="37"/>
      <c r="M138" s="37"/>
      <c r="N138" s="37"/>
      <c r="O138" s="37"/>
      <c r="P138" s="37"/>
      <c r="Q138" s="37"/>
      <c r="R138" s="37"/>
      <c r="S138" s="37"/>
      <c r="T138" s="37"/>
      <c r="U138" s="3"/>
    </row>
    <row r="139" spans="1:21" ht="14.25" customHeight="1" x14ac:dyDescent="0.3">
      <c r="A139" s="3"/>
      <c r="B139" s="3"/>
      <c r="C139" s="37"/>
      <c r="D139" s="37"/>
      <c r="E139" s="37"/>
      <c r="F139" s="37"/>
      <c r="G139" s="99"/>
      <c r="H139" s="98"/>
      <c r="I139" s="99"/>
      <c r="J139" s="98"/>
      <c r="K139" s="37"/>
      <c r="L139" s="37"/>
      <c r="M139" s="37"/>
      <c r="N139" s="37"/>
      <c r="O139" s="37"/>
      <c r="P139" s="37"/>
      <c r="Q139" s="37"/>
      <c r="R139" s="37"/>
      <c r="S139" s="37"/>
      <c r="T139" s="37"/>
      <c r="U139" s="3"/>
    </row>
    <row r="140" spans="1:21" ht="14.25" customHeight="1" x14ac:dyDescent="0.3">
      <c r="A140" s="3"/>
      <c r="B140" s="3"/>
      <c r="C140" s="37"/>
      <c r="D140" s="37"/>
      <c r="E140" s="37"/>
      <c r="F140" s="37"/>
      <c r="G140" s="99"/>
      <c r="H140" s="98"/>
      <c r="I140" s="99"/>
      <c r="J140" s="98"/>
      <c r="K140" s="37"/>
      <c r="L140" s="37"/>
      <c r="M140" s="37"/>
      <c r="N140" s="37"/>
      <c r="O140" s="37"/>
      <c r="P140" s="37"/>
      <c r="Q140" s="37"/>
      <c r="R140" s="37"/>
      <c r="S140" s="37"/>
      <c r="T140" s="37"/>
      <c r="U140" s="3"/>
    </row>
    <row r="141" spans="1:21" ht="14.25" customHeight="1" x14ac:dyDescent="0.3">
      <c r="A141" s="3"/>
      <c r="B141" s="3"/>
      <c r="C141" s="37"/>
      <c r="D141" s="37"/>
      <c r="E141" s="37"/>
      <c r="F141" s="37"/>
      <c r="G141" s="99"/>
      <c r="H141" s="98"/>
      <c r="I141" s="99"/>
      <c r="J141" s="98"/>
      <c r="K141" s="37"/>
      <c r="L141" s="37"/>
      <c r="M141" s="37"/>
      <c r="N141" s="37"/>
      <c r="O141" s="37"/>
      <c r="P141" s="37"/>
      <c r="Q141" s="37"/>
      <c r="R141" s="37"/>
      <c r="S141" s="37"/>
      <c r="T141" s="37"/>
      <c r="U141" s="3"/>
    </row>
    <row r="142" spans="1:21" ht="14.25" customHeight="1" x14ac:dyDescent="0.3">
      <c r="A142" s="3"/>
      <c r="B142" s="3"/>
      <c r="C142" s="37"/>
      <c r="D142" s="37"/>
      <c r="E142" s="37"/>
      <c r="F142" s="37"/>
      <c r="G142" s="99"/>
      <c r="H142" s="98"/>
      <c r="I142" s="99"/>
      <c r="J142" s="98"/>
      <c r="K142" s="37"/>
      <c r="L142" s="37"/>
      <c r="M142" s="37"/>
      <c r="N142" s="37"/>
      <c r="O142" s="37"/>
      <c r="P142" s="37"/>
      <c r="Q142" s="37"/>
      <c r="R142" s="37"/>
      <c r="S142" s="37"/>
      <c r="T142" s="37"/>
      <c r="U142" s="3"/>
    </row>
    <row r="143" spans="1:21" ht="14.25" customHeight="1" x14ac:dyDescent="0.3">
      <c r="A143" s="3"/>
      <c r="B143" s="3"/>
      <c r="C143" s="37"/>
      <c r="D143" s="37"/>
      <c r="E143" s="37"/>
      <c r="F143" s="37"/>
      <c r="G143" s="99"/>
      <c r="H143" s="98"/>
      <c r="I143" s="99"/>
      <c r="J143" s="98"/>
      <c r="K143" s="37"/>
      <c r="L143" s="37"/>
      <c r="M143" s="37"/>
      <c r="N143" s="37"/>
      <c r="O143" s="37"/>
      <c r="P143" s="37"/>
      <c r="Q143" s="37"/>
      <c r="R143" s="37"/>
      <c r="S143" s="37"/>
      <c r="T143" s="37"/>
      <c r="U143" s="3"/>
    </row>
    <row r="144" spans="1:21" ht="14.25" customHeight="1" x14ac:dyDescent="0.3">
      <c r="A144" s="3"/>
      <c r="B144" s="3"/>
      <c r="C144" s="37"/>
      <c r="D144" s="37"/>
      <c r="E144" s="37"/>
      <c r="F144" s="37"/>
      <c r="G144" s="99"/>
      <c r="H144" s="98"/>
      <c r="I144" s="99"/>
      <c r="J144" s="98"/>
      <c r="K144" s="37"/>
      <c r="L144" s="37"/>
      <c r="M144" s="37"/>
      <c r="N144" s="37"/>
      <c r="O144" s="37"/>
      <c r="P144" s="37"/>
      <c r="Q144" s="37"/>
      <c r="R144" s="37"/>
      <c r="S144" s="37"/>
      <c r="T144" s="37"/>
      <c r="U144" s="3"/>
    </row>
    <row r="145" spans="1:21" ht="14.25" customHeight="1" x14ac:dyDescent="0.3">
      <c r="A145" s="3"/>
      <c r="B145" s="3"/>
      <c r="C145" s="37"/>
      <c r="D145" s="37"/>
      <c r="E145" s="37"/>
      <c r="F145" s="37"/>
      <c r="G145" s="99"/>
      <c r="H145" s="98"/>
      <c r="I145" s="99"/>
      <c r="J145" s="98"/>
      <c r="K145" s="37"/>
      <c r="L145" s="37"/>
      <c r="M145" s="37"/>
      <c r="N145" s="37"/>
      <c r="O145" s="37"/>
      <c r="P145" s="37"/>
      <c r="Q145" s="37"/>
      <c r="R145" s="37"/>
      <c r="S145" s="37"/>
      <c r="T145" s="37"/>
      <c r="U145" s="3"/>
    </row>
    <row r="146" spans="1:21" ht="14.25" customHeight="1" x14ac:dyDescent="0.3">
      <c r="A146" s="3"/>
      <c r="B146" s="3"/>
      <c r="C146" s="37"/>
      <c r="D146" s="37"/>
      <c r="E146" s="37"/>
      <c r="F146" s="37"/>
      <c r="G146" s="99"/>
      <c r="H146" s="98"/>
      <c r="I146" s="99"/>
      <c r="J146" s="98"/>
      <c r="K146" s="37"/>
      <c r="L146" s="37"/>
      <c r="M146" s="37"/>
      <c r="N146" s="37"/>
      <c r="O146" s="37"/>
      <c r="P146" s="37"/>
      <c r="Q146" s="37"/>
      <c r="R146" s="37"/>
      <c r="S146" s="37"/>
      <c r="T146" s="37"/>
      <c r="U146" s="3"/>
    </row>
    <row r="147" spans="1:21" ht="14.25" customHeight="1" x14ac:dyDescent="0.3">
      <c r="A147" s="3"/>
      <c r="B147" s="3"/>
      <c r="C147" s="37"/>
      <c r="D147" s="37"/>
      <c r="E147" s="37"/>
      <c r="F147" s="37"/>
      <c r="G147" s="99"/>
      <c r="H147" s="98"/>
      <c r="I147" s="99"/>
      <c r="J147" s="98"/>
      <c r="K147" s="37"/>
      <c r="L147" s="37"/>
      <c r="M147" s="37"/>
      <c r="N147" s="37"/>
      <c r="O147" s="37"/>
      <c r="P147" s="37"/>
      <c r="Q147" s="37"/>
      <c r="R147" s="37"/>
      <c r="S147" s="37"/>
      <c r="T147" s="37"/>
      <c r="U147" s="3"/>
    </row>
    <row r="148" spans="1:21" ht="14.25" customHeight="1" x14ac:dyDescent="0.3">
      <c r="A148" s="3"/>
      <c r="B148" s="3"/>
      <c r="C148" s="37"/>
      <c r="D148" s="37"/>
      <c r="E148" s="37"/>
      <c r="F148" s="37"/>
      <c r="G148" s="99"/>
      <c r="H148" s="98"/>
      <c r="I148" s="99"/>
      <c r="J148" s="98"/>
      <c r="K148" s="37"/>
      <c r="L148" s="37"/>
      <c r="M148" s="37"/>
      <c r="N148" s="37"/>
      <c r="O148" s="37"/>
      <c r="P148" s="37"/>
      <c r="Q148" s="37"/>
      <c r="R148" s="37"/>
      <c r="S148" s="37"/>
      <c r="T148" s="37"/>
      <c r="U148" s="3"/>
    </row>
    <row r="149" spans="1:21" ht="14.25" customHeight="1" x14ac:dyDescent="0.3">
      <c r="A149" s="3"/>
      <c r="B149" s="3"/>
      <c r="C149" s="37"/>
      <c r="D149" s="37"/>
      <c r="E149" s="37"/>
      <c r="F149" s="37"/>
      <c r="G149" s="99"/>
      <c r="H149" s="98"/>
      <c r="I149" s="99"/>
      <c r="J149" s="98"/>
      <c r="K149" s="37"/>
      <c r="L149" s="37"/>
      <c r="M149" s="37"/>
      <c r="N149" s="37"/>
      <c r="O149" s="37"/>
      <c r="P149" s="37"/>
      <c r="Q149" s="37"/>
      <c r="R149" s="37"/>
      <c r="S149" s="37"/>
      <c r="T149" s="37"/>
      <c r="U149" s="3"/>
    </row>
    <row r="150" spans="1:21" ht="14.25" customHeight="1" x14ac:dyDescent="0.3">
      <c r="A150" s="3"/>
      <c r="B150" s="3"/>
      <c r="C150" s="37"/>
      <c r="D150" s="37"/>
      <c r="E150" s="37"/>
      <c r="F150" s="37"/>
      <c r="G150" s="99"/>
      <c r="H150" s="98"/>
      <c r="I150" s="99"/>
      <c r="J150" s="98"/>
      <c r="K150" s="37"/>
      <c r="L150" s="37"/>
      <c r="M150" s="37"/>
      <c r="N150" s="37"/>
      <c r="O150" s="37"/>
      <c r="P150" s="37"/>
      <c r="Q150" s="37"/>
      <c r="R150" s="37"/>
      <c r="S150" s="37"/>
      <c r="T150" s="37"/>
      <c r="U150" s="3"/>
    </row>
    <row r="151" spans="1:21" ht="14.25" customHeight="1" x14ac:dyDescent="0.3">
      <c r="A151" s="3"/>
      <c r="B151" s="3"/>
      <c r="C151" s="37"/>
      <c r="D151" s="37"/>
      <c r="E151" s="37"/>
      <c r="F151" s="37"/>
      <c r="G151" s="99"/>
      <c r="H151" s="98"/>
      <c r="I151" s="99"/>
      <c r="J151" s="98"/>
      <c r="K151" s="37"/>
      <c r="L151" s="37"/>
      <c r="M151" s="37"/>
      <c r="N151" s="37"/>
      <c r="O151" s="37"/>
      <c r="P151" s="37"/>
      <c r="Q151" s="37"/>
      <c r="R151" s="37"/>
      <c r="S151" s="37"/>
      <c r="T151" s="37"/>
      <c r="U151" s="3"/>
    </row>
    <row r="152" spans="1:21" ht="14.25" customHeight="1" x14ac:dyDescent="0.3">
      <c r="A152" s="3"/>
      <c r="B152" s="3"/>
      <c r="C152" s="37"/>
      <c r="D152" s="37"/>
      <c r="E152" s="37"/>
      <c r="F152" s="37"/>
      <c r="G152" s="99"/>
      <c r="H152" s="98"/>
      <c r="I152" s="99"/>
      <c r="J152" s="98"/>
      <c r="K152" s="37"/>
      <c r="L152" s="37"/>
      <c r="M152" s="37"/>
      <c r="N152" s="37"/>
      <c r="O152" s="37"/>
      <c r="P152" s="37"/>
      <c r="Q152" s="37"/>
      <c r="R152" s="37"/>
      <c r="S152" s="37"/>
      <c r="T152" s="37"/>
      <c r="U152" s="3"/>
    </row>
    <row r="153" spans="1:21" ht="14.25" customHeight="1" x14ac:dyDescent="0.3">
      <c r="A153" s="3"/>
      <c r="B153" s="3"/>
      <c r="C153" s="37"/>
      <c r="D153" s="37"/>
      <c r="E153" s="37"/>
      <c r="F153" s="37"/>
      <c r="G153" s="99"/>
      <c r="H153" s="98"/>
      <c r="I153" s="99"/>
      <c r="J153" s="98"/>
      <c r="K153" s="37"/>
      <c r="L153" s="37"/>
      <c r="M153" s="37"/>
      <c r="N153" s="37"/>
      <c r="O153" s="37"/>
      <c r="P153" s="37"/>
      <c r="Q153" s="37"/>
      <c r="R153" s="37"/>
      <c r="S153" s="37"/>
      <c r="T153" s="37"/>
      <c r="U153" s="3"/>
    </row>
    <row r="154" spans="1:21" ht="14.25" customHeight="1" x14ac:dyDescent="0.3">
      <c r="A154" s="3"/>
      <c r="B154" s="3"/>
      <c r="C154" s="37"/>
      <c r="D154" s="37"/>
      <c r="E154" s="37"/>
      <c r="F154" s="37"/>
      <c r="G154" s="99"/>
      <c r="H154" s="98"/>
      <c r="I154" s="99"/>
      <c r="J154" s="98"/>
      <c r="K154" s="37"/>
      <c r="L154" s="37"/>
      <c r="M154" s="37"/>
      <c r="N154" s="37"/>
      <c r="O154" s="37"/>
      <c r="P154" s="37"/>
      <c r="Q154" s="37"/>
      <c r="R154" s="37"/>
      <c r="S154" s="37"/>
      <c r="T154" s="37"/>
      <c r="U154" s="3"/>
    </row>
    <row r="155" spans="1:21" ht="14.25" customHeight="1" x14ac:dyDescent="0.3">
      <c r="A155" s="3"/>
      <c r="B155" s="3"/>
      <c r="C155" s="37"/>
      <c r="D155" s="37"/>
      <c r="E155" s="37"/>
      <c r="F155" s="37"/>
      <c r="G155" s="99"/>
      <c r="H155" s="98"/>
      <c r="I155" s="99"/>
      <c r="J155" s="98"/>
      <c r="K155" s="37"/>
      <c r="L155" s="37"/>
      <c r="M155" s="37"/>
      <c r="N155" s="37"/>
      <c r="O155" s="37"/>
      <c r="P155" s="37"/>
      <c r="Q155" s="37"/>
      <c r="R155" s="37"/>
      <c r="S155" s="37"/>
      <c r="T155" s="37"/>
      <c r="U155" s="3"/>
    </row>
    <row r="156" spans="1:21" ht="14.25" customHeight="1" x14ac:dyDescent="0.3">
      <c r="A156" s="3"/>
      <c r="B156" s="3"/>
      <c r="C156" s="37"/>
      <c r="D156" s="37"/>
      <c r="E156" s="37"/>
      <c r="F156" s="37"/>
      <c r="G156" s="99"/>
      <c r="H156" s="98"/>
      <c r="I156" s="99"/>
      <c r="J156" s="98"/>
      <c r="K156" s="37"/>
      <c r="L156" s="37"/>
      <c r="M156" s="37"/>
      <c r="N156" s="37"/>
      <c r="O156" s="37"/>
      <c r="P156" s="37"/>
      <c r="Q156" s="37"/>
      <c r="R156" s="37"/>
      <c r="S156" s="37"/>
      <c r="T156" s="37"/>
      <c r="U156" s="3"/>
    </row>
    <row r="157" spans="1:21" ht="14.25" customHeight="1" x14ac:dyDescent="0.3">
      <c r="A157" s="3"/>
      <c r="B157" s="3"/>
      <c r="C157" s="37"/>
      <c r="D157" s="37"/>
      <c r="E157" s="37"/>
      <c r="F157" s="37"/>
      <c r="G157" s="99"/>
      <c r="H157" s="98"/>
      <c r="I157" s="99"/>
      <c r="J157" s="98"/>
      <c r="K157" s="37"/>
      <c r="L157" s="37"/>
      <c r="M157" s="37"/>
      <c r="N157" s="37"/>
      <c r="O157" s="37"/>
      <c r="P157" s="37"/>
      <c r="Q157" s="37"/>
      <c r="R157" s="37"/>
      <c r="S157" s="37"/>
      <c r="T157" s="37"/>
      <c r="U157" s="3"/>
    </row>
    <row r="158" spans="1:21" ht="14.25" customHeight="1" x14ac:dyDescent="0.3">
      <c r="A158" s="3"/>
      <c r="B158" s="3"/>
      <c r="C158" s="37"/>
      <c r="D158" s="37"/>
      <c r="E158" s="37"/>
      <c r="F158" s="37"/>
      <c r="G158" s="99"/>
      <c r="H158" s="98"/>
      <c r="I158" s="99"/>
      <c r="J158" s="98"/>
      <c r="K158" s="37"/>
      <c r="L158" s="37"/>
      <c r="M158" s="37"/>
      <c r="N158" s="37"/>
      <c r="O158" s="37"/>
      <c r="P158" s="37"/>
      <c r="Q158" s="37"/>
      <c r="R158" s="37"/>
      <c r="S158" s="37"/>
      <c r="T158" s="37"/>
      <c r="U158" s="3"/>
    </row>
    <row r="159" spans="1:21" ht="14.25" customHeight="1" x14ac:dyDescent="0.3">
      <c r="A159" s="3"/>
      <c r="B159" s="3"/>
      <c r="C159" s="37"/>
      <c r="D159" s="37"/>
      <c r="E159" s="37"/>
      <c r="F159" s="37"/>
      <c r="G159" s="99"/>
      <c r="H159" s="98"/>
      <c r="I159" s="99"/>
      <c r="J159" s="98"/>
      <c r="K159" s="37"/>
      <c r="L159" s="37"/>
      <c r="M159" s="37"/>
      <c r="N159" s="37"/>
      <c r="O159" s="37"/>
      <c r="P159" s="37"/>
      <c r="Q159" s="37"/>
      <c r="R159" s="37"/>
      <c r="S159" s="37"/>
      <c r="T159" s="37"/>
      <c r="U159" s="3"/>
    </row>
    <row r="160" spans="1:21" ht="14.25" customHeight="1" x14ac:dyDescent="0.3">
      <c r="A160" s="3"/>
      <c r="B160" s="3"/>
      <c r="C160" s="37"/>
      <c r="D160" s="37"/>
      <c r="E160" s="37"/>
      <c r="F160" s="37"/>
      <c r="G160" s="99"/>
      <c r="H160" s="98"/>
      <c r="I160" s="99"/>
      <c r="J160" s="98"/>
      <c r="K160" s="37"/>
      <c r="L160" s="37"/>
      <c r="M160" s="37"/>
      <c r="N160" s="37"/>
      <c r="O160" s="37"/>
      <c r="P160" s="37"/>
      <c r="Q160" s="37"/>
      <c r="R160" s="37"/>
      <c r="S160" s="37"/>
      <c r="T160" s="37"/>
      <c r="U160" s="3"/>
    </row>
    <row r="161" spans="1:21" ht="14.25" customHeight="1" x14ac:dyDescent="0.3">
      <c r="A161" s="3"/>
      <c r="B161" s="3"/>
      <c r="C161" s="37"/>
      <c r="D161" s="37"/>
      <c r="E161" s="37"/>
      <c r="F161" s="37"/>
      <c r="G161" s="99"/>
      <c r="H161" s="98"/>
      <c r="I161" s="99"/>
      <c r="J161" s="98"/>
      <c r="K161" s="37"/>
      <c r="L161" s="37"/>
      <c r="M161" s="37"/>
      <c r="N161" s="37"/>
      <c r="O161" s="37"/>
      <c r="P161" s="37"/>
      <c r="Q161" s="37"/>
      <c r="R161" s="37"/>
      <c r="S161" s="37"/>
      <c r="T161" s="37"/>
      <c r="U161" s="3"/>
    </row>
    <row r="162" spans="1:21" ht="14.25" customHeight="1" x14ac:dyDescent="0.3">
      <c r="A162" s="3"/>
      <c r="B162" s="3"/>
      <c r="C162" s="37"/>
      <c r="D162" s="37"/>
      <c r="E162" s="37"/>
      <c r="F162" s="37"/>
      <c r="G162" s="99"/>
      <c r="H162" s="98"/>
      <c r="I162" s="99"/>
      <c r="J162" s="98"/>
      <c r="K162" s="37"/>
      <c r="L162" s="37"/>
      <c r="M162" s="37"/>
      <c r="N162" s="37"/>
      <c r="O162" s="37"/>
      <c r="P162" s="37"/>
      <c r="Q162" s="37"/>
      <c r="R162" s="37"/>
      <c r="S162" s="37"/>
      <c r="T162" s="37"/>
      <c r="U162" s="3"/>
    </row>
    <row r="163" spans="1:21" ht="14.25" customHeight="1" x14ac:dyDescent="0.3">
      <c r="A163" s="3"/>
      <c r="B163" s="3"/>
      <c r="C163" s="37"/>
      <c r="D163" s="37"/>
      <c r="E163" s="37"/>
      <c r="F163" s="37"/>
      <c r="G163" s="99"/>
      <c r="H163" s="98"/>
      <c r="I163" s="99"/>
      <c r="J163" s="98"/>
      <c r="K163" s="37"/>
      <c r="L163" s="37"/>
      <c r="M163" s="37"/>
      <c r="N163" s="37"/>
      <c r="O163" s="37"/>
      <c r="P163" s="37"/>
      <c r="Q163" s="37"/>
      <c r="R163" s="37"/>
      <c r="S163" s="37"/>
      <c r="T163" s="37"/>
      <c r="U163" s="3"/>
    </row>
    <row r="164" spans="1:21" ht="14.25" customHeight="1" x14ac:dyDescent="0.3">
      <c r="A164" s="3"/>
      <c r="B164" s="3"/>
      <c r="C164" s="37"/>
      <c r="D164" s="37"/>
      <c r="E164" s="37"/>
      <c r="F164" s="37"/>
      <c r="G164" s="99"/>
      <c r="H164" s="98"/>
      <c r="I164" s="99"/>
      <c r="J164" s="98"/>
      <c r="K164" s="37"/>
      <c r="L164" s="37"/>
      <c r="M164" s="37"/>
      <c r="N164" s="37"/>
      <c r="O164" s="37"/>
      <c r="P164" s="37"/>
      <c r="Q164" s="37"/>
      <c r="R164" s="37"/>
      <c r="S164" s="37"/>
      <c r="T164" s="37"/>
      <c r="U164" s="3"/>
    </row>
    <row r="165" spans="1:21" ht="14.25" customHeight="1" x14ac:dyDescent="0.3">
      <c r="A165" s="3"/>
      <c r="B165" s="3"/>
      <c r="C165" s="37"/>
      <c r="D165" s="37"/>
      <c r="E165" s="37"/>
      <c r="F165" s="37"/>
      <c r="G165" s="99"/>
      <c r="H165" s="98"/>
      <c r="I165" s="99"/>
      <c r="J165" s="98"/>
      <c r="K165" s="37"/>
      <c r="L165" s="37"/>
      <c r="M165" s="37"/>
      <c r="N165" s="37"/>
      <c r="O165" s="37"/>
      <c r="P165" s="37"/>
      <c r="Q165" s="37"/>
      <c r="R165" s="37"/>
      <c r="S165" s="37"/>
      <c r="T165" s="37"/>
      <c r="U165" s="3"/>
    </row>
    <row r="166" spans="1:21" ht="14.25" customHeight="1" x14ac:dyDescent="0.3">
      <c r="A166" s="3"/>
      <c r="B166" s="3"/>
      <c r="C166" s="37"/>
      <c r="D166" s="37"/>
      <c r="E166" s="37"/>
      <c r="F166" s="37"/>
      <c r="G166" s="99"/>
      <c r="H166" s="98"/>
      <c r="I166" s="99"/>
      <c r="J166" s="98"/>
      <c r="K166" s="37"/>
      <c r="L166" s="37"/>
      <c r="M166" s="37"/>
      <c r="N166" s="37"/>
      <c r="O166" s="37"/>
      <c r="P166" s="37"/>
      <c r="Q166" s="37"/>
      <c r="R166" s="37"/>
      <c r="S166" s="37"/>
      <c r="T166" s="37"/>
      <c r="U166" s="3"/>
    </row>
    <row r="167" spans="1:21" ht="14.25" customHeight="1" x14ac:dyDescent="0.3">
      <c r="A167" s="3"/>
      <c r="B167" s="3"/>
      <c r="C167" s="37"/>
      <c r="D167" s="37"/>
      <c r="E167" s="37"/>
      <c r="F167" s="37"/>
      <c r="G167" s="99"/>
      <c r="H167" s="98"/>
      <c r="I167" s="99"/>
      <c r="J167" s="98"/>
      <c r="K167" s="37"/>
      <c r="L167" s="37"/>
      <c r="M167" s="37"/>
      <c r="N167" s="37"/>
      <c r="O167" s="37"/>
      <c r="P167" s="37"/>
      <c r="Q167" s="37"/>
      <c r="R167" s="37"/>
      <c r="S167" s="37"/>
      <c r="T167" s="37"/>
      <c r="U167" s="3"/>
    </row>
    <row r="168" spans="1:21" ht="14.25" customHeight="1" x14ac:dyDescent="0.3">
      <c r="A168" s="3"/>
      <c r="B168" s="3"/>
      <c r="C168" s="37"/>
      <c r="D168" s="37"/>
      <c r="E168" s="37"/>
      <c r="F168" s="37"/>
      <c r="G168" s="99"/>
      <c r="H168" s="98"/>
      <c r="I168" s="99"/>
      <c r="J168" s="98"/>
      <c r="K168" s="37"/>
      <c r="L168" s="37"/>
      <c r="M168" s="37"/>
      <c r="N168" s="37"/>
      <c r="O168" s="37"/>
      <c r="P168" s="37"/>
      <c r="Q168" s="37"/>
      <c r="R168" s="37"/>
      <c r="S168" s="37"/>
      <c r="T168" s="37"/>
      <c r="U168" s="3"/>
    </row>
    <row r="169" spans="1:21" ht="14.25" customHeight="1" x14ac:dyDescent="0.3">
      <c r="A169" s="3"/>
      <c r="B169" s="3"/>
      <c r="C169" s="37"/>
      <c r="D169" s="37"/>
      <c r="E169" s="37"/>
      <c r="F169" s="37"/>
      <c r="G169" s="99"/>
      <c r="H169" s="98"/>
      <c r="I169" s="99"/>
      <c r="J169" s="98"/>
      <c r="K169" s="37"/>
      <c r="L169" s="37"/>
      <c r="M169" s="37"/>
      <c r="N169" s="37"/>
      <c r="O169" s="37"/>
      <c r="P169" s="37"/>
      <c r="Q169" s="37"/>
      <c r="R169" s="37"/>
      <c r="S169" s="37"/>
      <c r="T169" s="37"/>
      <c r="U169" s="3"/>
    </row>
    <row r="170" spans="1:21" ht="14.25" customHeight="1" x14ac:dyDescent="0.3">
      <c r="A170" s="3"/>
      <c r="B170" s="3"/>
      <c r="C170" s="37"/>
      <c r="D170" s="37"/>
      <c r="E170" s="37"/>
      <c r="F170" s="37"/>
      <c r="G170" s="99"/>
      <c r="H170" s="98"/>
      <c r="I170" s="99"/>
      <c r="J170" s="98"/>
      <c r="K170" s="37"/>
      <c r="L170" s="37"/>
      <c r="M170" s="37"/>
      <c r="N170" s="37"/>
      <c r="O170" s="37"/>
      <c r="P170" s="37"/>
      <c r="Q170" s="37"/>
      <c r="R170" s="37"/>
      <c r="S170" s="37"/>
      <c r="T170" s="37"/>
      <c r="U170" s="3"/>
    </row>
    <row r="171" spans="1:21" ht="14.25" customHeight="1" x14ac:dyDescent="0.3">
      <c r="A171" s="3"/>
      <c r="B171" s="3"/>
      <c r="C171" s="37"/>
      <c r="D171" s="37"/>
      <c r="E171" s="37"/>
      <c r="F171" s="37"/>
      <c r="G171" s="99"/>
      <c r="H171" s="98"/>
      <c r="I171" s="99"/>
      <c r="J171" s="98"/>
      <c r="K171" s="37"/>
      <c r="L171" s="37"/>
      <c r="M171" s="37"/>
      <c r="N171" s="37"/>
      <c r="O171" s="37"/>
      <c r="P171" s="37"/>
      <c r="Q171" s="37"/>
      <c r="R171" s="37"/>
      <c r="S171" s="37"/>
      <c r="T171" s="37"/>
      <c r="U171" s="3"/>
    </row>
    <row r="172" spans="1:21" ht="14.25" customHeight="1" x14ac:dyDescent="0.3">
      <c r="A172" s="3"/>
      <c r="B172" s="3"/>
      <c r="C172" s="37"/>
      <c r="D172" s="37"/>
      <c r="E172" s="37"/>
      <c r="F172" s="37"/>
      <c r="G172" s="99"/>
      <c r="H172" s="98"/>
      <c r="I172" s="99"/>
      <c r="J172" s="98"/>
      <c r="K172" s="37"/>
      <c r="L172" s="37"/>
      <c r="M172" s="37"/>
      <c r="N172" s="37"/>
      <c r="O172" s="37"/>
      <c r="P172" s="37"/>
      <c r="Q172" s="37"/>
      <c r="R172" s="37"/>
      <c r="S172" s="37"/>
      <c r="T172" s="37"/>
      <c r="U172" s="3"/>
    </row>
    <row r="173" spans="1:21" ht="14.25" customHeight="1" x14ac:dyDescent="0.3">
      <c r="A173" s="3"/>
      <c r="B173" s="3"/>
      <c r="C173" s="37"/>
      <c r="D173" s="37"/>
      <c r="E173" s="37"/>
      <c r="F173" s="37"/>
      <c r="G173" s="99"/>
      <c r="H173" s="98"/>
      <c r="I173" s="99"/>
      <c r="J173" s="98"/>
      <c r="K173" s="37"/>
      <c r="L173" s="37"/>
      <c r="M173" s="37"/>
      <c r="N173" s="37"/>
      <c r="O173" s="37"/>
      <c r="P173" s="37"/>
      <c r="Q173" s="37"/>
      <c r="R173" s="37"/>
      <c r="S173" s="37"/>
      <c r="T173" s="37"/>
      <c r="U173" s="3"/>
    </row>
    <row r="174" spans="1:21" ht="14.25" customHeight="1" x14ac:dyDescent="0.3">
      <c r="A174" s="3"/>
      <c r="B174" s="3"/>
      <c r="C174" s="37"/>
      <c r="D174" s="37"/>
      <c r="E174" s="37"/>
      <c r="F174" s="37"/>
      <c r="G174" s="99"/>
      <c r="H174" s="98"/>
      <c r="I174" s="99"/>
      <c r="J174" s="98"/>
      <c r="K174" s="37"/>
      <c r="L174" s="37"/>
      <c r="M174" s="37"/>
      <c r="N174" s="37"/>
      <c r="O174" s="37"/>
      <c r="P174" s="37"/>
      <c r="Q174" s="37"/>
      <c r="R174" s="37"/>
      <c r="S174" s="37"/>
      <c r="T174" s="37"/>
      <c r="U174" s="3"/>
    </row>
    <row r="175" spans="1:21" ht="14.25" customHeight="1" x14ac:dyDescent="0.3">
      <c r="A175" s="3"/>
      <c r="B175" s="3"/>
      <c r="C175" s="37"/>
      <c r="D175" s="37"/>
      <c r="E175" s="37"/>
      <c r="F175" s="37"/>
      <c r="G175" s="99"/>
      <c r="H175" s="98"/>
      <c r="I175" s="99"/>
      <c r="J175" s="98"/>
      <c r="K175" s="37"/>
      <c r="L175" s="37"/>
      <c r="M175" s="37"/>
      <c r="N175" s="37"/>
      <c r="O175" s="37"/>
      <c r="P175" s="37"/>
      <c r="Q175" s="37"/>
      <c r="R175" s="37"/>
      <c r="S175" s="37"/>
      <c r="T175" s="37"/>
      <c r="U175" s="3"/>
    </row>
    <row r="176" spans="1:21" ht="14.25" customHeight="1" x14ac:dyDescent="0.3">
      <c r="A176" s="3"/>
      <c r="B176" s="3"/>
      <c r="C176" s="37"/>
      <c r="D176" s="37"/>
      <c r="E176" s="37"/>
      <c r="F176" s="37"/>
      <c r="G176" s="99"/>
      <c r="H176" s="98"/>
      <c r="I176" s="99"/>
      <c r="J176" s="98"/>
      <c r="K176" s="37"/>
      <c r="L176" s="37"/>
      <c r="M176" s="37"/>
      <c r="N176" s="37"/>
      <c r="O176" s="37"/>
      <c r="P176" s="37"/>
      <c r="Q176" s="37"/>
      <c r="R176" s="37"/>
      <c r="S176" s="37"/>
      <c r="T176" s="37"/>
      <c r="U176" s="3"/>
    </row>
    <row r="177" spans="1:21" ht="14.25" customHeight="1" x14ac:dyDescent="0.3">
      <c r="A177" s="3"/>
      <c r="B177" s="3"/>
      <c r="C177" s="37"/>
      <c r="D177" s="37"/>
      <c r="E177" s="37"/>
      <c r="F177" s="37"/>
      <c r="G177" s="99"/>
      <c r="H177" s="98"/>
      <c r="I177" s="99"/>
      <c r="J177" s="98"/>
      <c r="K177" s="37"/>
      <c r="L177" s="37"/>
      <c r="M177" s="37"/>
      <c r="N177" s="37"/>
      <c r="O177" s="37"/>
      <c r="P177" s="37"/>
      <c r="Q177" s="37"/>
      <c r="R177" s="37"/>
      <c r="S177" s="37"/>
      <c r="T177" s="37"/>
      <c r="U177" s="3"/>
    </row>
    <row r="178" spans="1:21" ht="14.25" customHeight="1" x14ac:dyDescent="0.3">
      <c r="A178" s="3"/>
      <c r="B178" s="3"/>
      <c r="C178" s="37"/>
      <c r="D178" s="37"/>
      <c r="E178" s="37"/>
      <c r="F178" s="37"/>
      <c r="G178" s="99"/>
      <c r="H178" s="98"/>
      <c r="I178" s="99"/>
      <c r="J178" s="98"/>
      <c r="K178" s="37"/>
      <c r="L178" s="37"/>
      <c r="M178" s="37"/>
      <c r="N178" s="37"/>
      <c r="O178" s="37"/>
      <c r="P178" s="37"/>
      <c r="Q178" s="37"/>
      <c r="R178" s="37"/>
      <c r="S178" s="37"/>
      <c r="T178" s="37"/>
      <c r="U178" s="3"/>
    </row>
    <row r="179" spans="1:21" ht="14.25" customHeight="1" x14ac:dyDescent="0.3">
      <c r="A179" s="3"/>
      <c r="B179" s="3"/>
      <c r="C179" s="37"/>
      <c r="D179" s="37"/>
      <c r="E179" s="37"/>
      <c r="F179" s="37"/>
      <c r="G179" s="99"/>
      <c r="H179" s="98"/>
      <c r="I179" s="99"/>
      <c r="J179" s="98"/>
      <c r="K179" s="37"/>
      <c r="L179" s="37"/>
      <c r="M179" s="37"/>
      <c r="N179" s="37"/>
      <c r="O179" s="37"/>
      <c r="P179" s="37"/>
      <c r="Q179" s="37"/>
      <c r="R179" s="37"/>
      <c r="S179" s="37"/>
      <c r="T179" s="37"/>
      <c r="U179" s="3"/>
    </row>
    <row r="180" spans="1:21" ht="14.25" customHeight="1" x14ac:dyDescent="0.3">
      <c r="A180" s="3"/>
      <c r="B180" s="3"/>
      <c r="C180" s="37"/>
      <c r="D180" s="37"/>
      <c r="E180" s="37"/>
      <c r="F180" s="37"/>
      <c r="G180" s="99"/>
      <c r="H180" s="98"/>
      <c r="I180" s="99"/>
      <c r="J180" s="98"/>
      <c r="K180" s="37"/>
      <c r="L180" s="37"/>
      <c r="M180" s="37"/>
      <c r="N180" s="37"/>
      <c r="O180" s="37"/>
      <c r="P180" s="37"/>
      <c r="Q180" s="37"/>
      <c r="R180" s="37"/>
      <c r="S180" s="37"/>
      <c r="T180" s="37"/>
      <c r="U180" s="3"/>
    </row>
    <row r="181" spans="1:21" ht="14.25" customHeight="1" x14ac:dyDescent="0.3">
      <c r="A181" s="3"/>
      <c r="B181" s="3"/>
      <c r="C181" s="37"/>
      <c r="D181" s="37"/>
      <c r="E181" s="37"/>
      <c r="F181" s="37"/>
      <c r="G181" s="99"/>
      <c r="H181" s="98"/>
      <c r="I181" s="99"/>
      <c r="J181" s="98"/>
      <c r="K181" s="37"/>
      <c r="L181" s="37"/>
      <c r="M181" s="37"/>
      <c r="N181" s="37"/>
      <c r="O181" s="37"/>
      <c r="P181" s="37"/>
      <c r="Q181" s="37"/>
      <c r="R181" s="37"/>
      <c r="S181" s="37"/>
      <c r="T181" s="37"/>
      <c r="U181" s="3"/>
    </row>
    <row r="182" spans="1:21" ht="14.25" customHeight="1" x14ac:dyDescent="0.3">
      <c r="A182" s="3"/>
      <c r="B182" s="3"/>
      <c r="C182" s="37"/>
      <c r="D182" s="37"/>
      <c r="E182" s="37"/>
      <c r="F182" s="37"/>
      <c r="G182" s="99"/>
      <c r="H182" s="98"/>
      <c r="I182" s="99"/>
      <c r="J182" s="98"/>
      <c r="K182" s="37"/>
      <c r="L182" s="37"/>
      <c r="M182" s="37"/>
      <c r="N182" s="37"/>
      <c r="O182" s="37"/>
      <c r="P182" s="37"/>
      <c r="Q182" s="37"/>
      <c r="R182" s="37"/>
      <c r="S182" s="37"/>
      <c r="T182" s="37"/>
      <c r="U182" s="3"/>
    </row>
    <row r="183" spans="1:21" ht="14.25" customHeight="1" x14ac:dyDescent="0.3">
      <c r="A183" s="3"/>
      <c r="B183" s="3"/>
      <c r="C183" s="37"/>
      <c r="D183" s="37"/>
      <c r="E183" s="37"/>
      <c r="F183" s="37"/>
      <c r="G183" s="99"/>
      <c r="H183" s="98"/>
      <c r="I183" s="99"/>
      <c r="J183" s="98"/>
      <c r="K183" s="37"/>
      <c r="L183" s="37"/>
      <c r="M183" s="37"/>
      <c r="N183" s="37"/>
      <c r="O183" s="37"/>
      <c r="P183" s="37"/>
      <c r="Q183" s="37"/>
      <c r="R183" s="37"/>
      <c r="S183" s="37"/>
      <c r="T183" s="37"/>
      <c r="U183" s="3"/>
    </row>
    <row r="184" spans="1:21" ht="14.25" customHeight="1" x14ac:dyDescent="0.3">
      <c r="A184" s="3"/>
      <c r="B184" s="3"/>
      <c r="C184" s="37"/>
      <c r="D184" s="37"/>
      <c r="E184" s="37"/>
      <c r="F184" s="37"/>
      <c r="G184" s="99"/>
      <c r="H184" s="98"/>
      <c r="I184" s="99"/>
      <c r="J184" s="98"/>
      <c r="K184" s="37"/>
      <c r="L184" s="37"/>
      <c r="M184" s="37"/>
      <c r="N184" s="37"/>
      <c r="O184" s="37"/>
      <c r="P184" s="37"/>
      <c r="Q184" s="37"/>
      <c r="R184" s="37"/>
      <c r="S184" s="37"/>
      <c r="T184" s="37"/>
      <c r="U184" s="3"/>
    </row>
    <row r="185" spans="1:21" ht="14.25" customHeight="1" x14ac:dyDescent="0.3">
      <c r="A185" s="3"/>
      <c r="B185" s="3"/>
      <c r="C185" s="37"/>
      <c r="D185" s="37"/>
      <c r="E185" s="37"/>
      <c r="F185" s="37"/>
      <c r="G185" s="99"/>
      <c r="H185" s="98"/>
      <c r="I185" s="99"/>
      <c r="J185" s="98"/>
      <c r="K185" s="37"/>
      <c r="L185" s="37"/>
      <c r="M185" s="37"/>
      <c r="N185" s="37"/>
      <c r="O185" s="37"/>
      <c r="P185" s="37"/>
      <c r="Q185" s="37"/>
      <c r="R185" s="37"/>
      <c r="S185" s="37"/>
      <c r="T185" s="37"/>
      <c r="U185" s="3"/>
    </row>
    <row r="186" spans="1:21" ht="14.25" customHeight="1" x14ac:dyDescent="0.3">
      <c r="A186" s="3"/>
      <c r="B186" s="3"/>
      <c r="C186" s="37"/>
      <c r="D186" s="37"/>
      <c r="E186" s="37"/>
      <c r="F186" s="37"/>
      <c r="G186" s="99"/>
      <c r="H186" s="98"/>
      <c r="I186" s="99"/>
      <c r="J186" s="98"/>
      <c r="K186" s="37"/>
      <c r="L186" s="37"/>
      <c r="M186" s="37"/>
      <c r="N186" s="37"/>
      <c r="O186" s="37"/>
      <c r="P186" s="37"/>
      <c r="Q186" s="37"/>
      <c r="R186" s="37"/>
      <c r="S186" s="37"/>
      <c r="T186" s="37"/>
      <c r="U186" s="3"/>
    </row>
    <row r="187" spans="1:21" ht="14.25" customHeight="1" x14ac:dyDescent="0.3">
      <c r="A187" s="3"/>
      <c r="B187" s="3"/>
      <c r="C187" s="37"/>
      <c r="D187" s="37"/>
      <c r="E187" s="37"/>
      <c r="F187" s="37"/>
      <c r="G187" s="99"/>
      <c r="H187" s="98"/>
      <c r="I187" s="99"/>
      <c r="J187" s="98"/>
      <c r="K187" s="37"/>
      <c r="L187" s="37"/>
      <c r="M187" s="37"/>
      <c r="N187" s="37"/>
      <c r="O187" s="37"/>
      <c r="P187" s="37"/>
      <c r="Q187" s="37"/>
      <c r="R187" s="37"/>
      <c r="S187" s="37"/>
      <c r="T187" s="37"/>
      <c r="U187" s="3"/>
    </row>
    <row r="188" spans="1:21" ht="14.25" customHeight="1" x14ac:dyDescent="0.3">
      <c r="A188" s="3"/>
      <c r="B188" s="3"/>
      <c r="C188" s="37"/>
      <c r="D188" s="37"/>
      <c r="E188" s="37"/>
      <c r="F188" s="37"/>
      <c r="G188" s="99"/>
      <c r="H188" s="98"/>
      <c r="I188" s="99"/>
      <c r="J188" s="98"/>
      <c r="K188" s="37"/>
      <c r="L188" s="37"/>
      <c r="M188" s="37"/>
      <c r="N188" s="37"/>
      <c r="O188" s="37"/>
      <c r="P188" s="37"/>
      <c r="Q188" s="37"/>
      <c r="R188" s="37"/>
      <c r="S188" s="37"/>
      <c r="T188" s="37"/>
      <c r="U188" s="3"/>
    </row>
    <row r="189" spans="1:21" ht="14.25" customHeight="1" x14ac:dyDescent="0.3">
      <c r="A189" s="3"/>
      <c r="B189" s="3"/>
      <c r="C189" s="37"/>
      <c r="D189" s="37"/>
      <c r="E189" s="37"/>
      <c r="F189" s="37"/>
      <c r="G189" s="99"/>
      <c r="H189" s="98"/>
      <c r="I189" s="99"/>
      <c r="J189" s="98"/>
      <c r="K189" s="37"/>
      <c r="L189" s="37"/>
      <c r="M189" s="37"/>
      <c r="N189" s="37"/>
      <c r="O189" s="37"/>
      <c r="P189" s="37"/>
      <c r="Q189" s="37"/>
      <c r="R189" s="37"/>
      <c r="S189" s="37"/>
      <c r="T189" s="37"/>
      <c r="U189" s="3"/>
    </row>
    <row r="190" spans="1:21" ht="14.25" customHeight="1" x14ac:dyDescent="0.3">
      <c r="A190" s="3"/>
      <c r="B190" s="3"/>
      <c r="C190" s="37"/>
      <c r="D190" s="37"/>
      <c r="E190" s="37"/>
      <c r="F190" s="37"/>
      <c r="G190" s="99"/>
      <c r="H190" s="98"/>
      <c r="I190" s="99"/>
      <c r="J190" s="98"/>
      <c r="K190" s="37"/>
      <c r="L190" s="37"/>
      <c r="M190" s="37"/>
      <c r="N190" s="37"/>
      <c r="O190" s="37"/>
      <c r="P190" s="37"/>
      <c r="Q190" s="37"/>
      <c r="R190" s="37"/>
      <c r="S190" s="37"/>
      <c r="T190" s="37"/>
      <c r="U190" s="3"/>
    </row>
    <row r="191" spans="1:21" ht="14.25" customHeight="1" x14ac:dyDescent="0.3">
      <c r="A191" s="3"/>
      <c r="B191" s="3"/>
      <c r="C191" s="37"/>
      <c r="D191" s="37"/>
      <c r="E191" s="37"/>
      <c r="F191" s="37"/>
      <c r="G191" s="99"/>
      <c r="H191" s="98"/>
      <c r="I191" s="99"/>
      <c r="J191" s="98"/>
      <c r="K191" s="37"/>
      <c r="L191" s="37"/>
      <c r="M191" s="37"/>
      <c r="N191" s="37"/>
      <c r="O191" s="37"/>
      <c r="P191" s="37"/>
      <c r="Q191" s="37"/>
      <c r="R191" s="37"/>
      <c r="S191" s="37"/>
      <c r="T191" s="37"/>
      <c r="U191" s="3"/>
    </row>
    <row r="192" spans="1:21" ht="14.25" customHeight="1" x14ac:dyDescent="0.3">
      <c r="A192" s="3"/>
      <c r="B192" s="3"/>
      <c r="C192" s="37"/>
      <c r="D192" s="37"/>
      <c r="E192" s="37"/>
      <c r="F192" s="37"/>
      <c r="G192" s="99"/>
      <c r="H192" s="98"/>
      <c r="I192" s="99"/>
      <c r="J192" s="98"/>
      <c r="K192" s="37"/>
      <c r="L192" s="37"/>
      <c r="M192" s="37"/>
      <c r="N192" s="37"/>
      <c r="O192" s="37"/>
      <c r="P192" s="37"/>
      <c r="Q192" s="37"/>
      <c r="R192" s="37"/>
      <c r="S192" s="37"/>
      <c r="T192" s="37"/>
      <c r="U192" s="3"/>
    </row>
    <row r="193" spans="1:21" ht="14.25" customHeight="1" x14ac:dyDescent="0.3">
      <c r="A193" s="3"/>
      <c r="B193" s="3"/>
      <c r="C193" s="37"/>
      <c r="D193" s="37"/>
      <c r="E193" s="37"/>
      <c r="F193" s="37"/>
      <c r="G193" s="99"/>
      <c r="H193" s="98"/>
      <c r="I193" s="99"/>
      <c r="J193" s="98"/>
      <c r="K193" s="37"/>
      <c r="L193" s="37"/>
      <c r="M193" s="37"/>
      <c r="N193" s="37"/>
      <c r="O193" s="37"/>
      <c r="P193" s="37"/>
      <c r="Q193" s="37"/>
      <c r="R193" s="37"/>
      <c r="S193" s="37"/>
      <c r="T193" s="37"/>
      <c r="U193" s="3"/>
    </row>
    <row r="194" spans="1:21" ht="14.25" customHeight="1" x14ac:dyDescent="0.3">
      <c r="A194" s="3"/>
      <c r="B194" s="3"/>
      <c r="C194" s="37"/>
      <c r="D194" s="37"/>
      <c r="E194" s="37"/>
      <c r="F194" s="37"/>
      <c r="G194" s="99"/>
      <c r="H194" s="98"/>
      <c r="I194" s="99"/>
      <c r="J194" s="98"/>
      <c r="K194" s="37"/>
      <c r="L194" s="37"/>
      <c r="M194" s="37"/>
      <c r="N194" s="37"/>
      <c r="O194" s="37"/>
      <c r="P194" s="37"/>
      <c r="Q194" s="37"/>
      <c r="R194" s="37"/>
      <c r="S194" s="37"/>
      <c r="T194" s="37"/>
      <c r="U194" s="3"/>
    </row>
    <row r="195" spans="1:21" ht="14.25" customHeight="1" x14ac:dyDescent="0.3">
      <c r="A195" s="3"/>
      <c r="B195" s="3"/>
      <c r="C195" s="37"/>
      <c r="D195" s="37"/>
      <c r="E195" s="37"/>
      <c r="F195" s="37"/>
      <c r="G195" s="99"/>
      <c r="H195" s="98"/>
      <c r="I195" s="99"/>
      <c r="J195" s="98"/>
      <c r="K195" s="37"/>
      <c r="L195" s="37"/>
      <c r="M195" s="37"/>
      <c r="N195" s="37"/>
      <c r="O195" s="37"/>
      <c r="P195" s="37"/>
      <c r="Q195" s="37"/>
      <c r="R195" s="37"/>
      <c r="S195" s="37"/>
      <c r="T195" s="37"/>
      <c r="U195" s="3"/>
    </row>
    <row r="196" spans="1:21" ht="14.25" customHeight="1" x14ac:dyDescent="0.3">
      <c r="A196" s="3"/>
      <c r="B196" s="3"/>
      <c r="C196" s="37"/>
      <c r="D196" s="37"/>
      <c r="E196" s="37"/>
      <c r="F196" s="37"/>
      <c r="G196" s="99"/>
      <c r="H196" s="98"/>
      <c r="I196" s="99"/>
      <c r="J196" s="98"/>
      <c r="K196" s="37"/>
      <c r="L196" s="37"/>
      <c r="M196" s="37"/>
      <c r="N196" s="37"/>
      <c r="O196" s="37"/>
      <c r="P196" s="37"/>
      <c r="Q196" s="37"/>
      <c r="R196" s="37"/>
      <c r="S196" s="37"/>
      <c r="T196" s="37"/>
      <c r="U196" s="3"/>
    </row>
    <row r="197" spans="1:21" ht="14.25" customHeight="1" x14ac:dyDescent="0.3">
      <c r="A197" s="3"/>
      <c r="B197" s="3"/>
      <c r="C197" s="37"/>
      <c r="D197" s="37"/>
      <c r="E197" s="37"/>
      <c r="F197" s="37"/>
      <c r="G197" s="99"/>
      <c r="H197" s="98"/>
      <c r="I197" s="99"/>
      <c r="J197" s="98"/>
      <c r="K197" s="37"/>
      <c r="L197" s="37"/>
      <c r="M197" s="37"/>
      <c r="N197" s="37"/>
      <c r="O197" s="37"/>
      <c r="P197" s="37"/>
      <c r="Q197" s="37"/>
      <c r="R197" s="37"/>
      <c r="S197" s="37"/>
      <c r="T197" s="37"/>
      <c r="U197" s="3"/>
    </row>
    <row r="198" spans="1:21" ht="14.25" customHeight="1" x14ac:dyDescent="0.3">
      <c r="A198" s="3"/>
      <c r="B198" s="3"/>
      <c r="C198" s="37"/>
      <c r="D198" s="37"/>
      <c r="E198" s="37"/>
      <c r="F198" s="37"/>
      <c r="G198" s="99"/>
      <c r="H198" s="98"/>
      <c r="I198" s="99"/>
      <c r="J198" s="98"/>
      <c r="K198" s="37"/>
      <c r="L198" s="37"/>
      <c r="M198" s="37"/>
      <c r="N198" s="37"/>
      <c r="O198" s="37"/>
      <c r="P198" s="37"/>
      <c r="Q198" s="37"/>
      <c r="R198" s="37"/>
      <c r="S198" s="37"/>
      <c r="T198" s="37"/>
      <c r="U198" s="3"/>
    </row>
    <row r="199" spans="1:21" ht="14.25" customHeight="1" x14ac:dyDescent="0.3">
      <c r="A199" s="3"/>
      <c r="B199" s="3"/>
      <c r="C199" s="37"/>
      <c r="D199" s="37"/>
      <c r="E199" s="37"/>
      <c r="F199" s="37"/>
      <c r="G199" s="99"/>
      <c r="H199" s="98"/>
      <c r="I199" s="99"/>
      <c r="J199" s="98"/>
      <c r="K199" s="37"/>
      <c r="L199" s="37"/>
      <c r="M199" s="37"/>
      <c r="N199" s="37"/>
      <c r="O199" s="37"/>
      <c r="P199" s="37"/>
      <c r="Q199" s="37"/>
      <c r="R199" s="37"/>
      <c r="S199" s="37"/>
      <c r="T199" s="37"/>
      <c r="U199" s="3"/>
    </row>
    <row r="200" spans="1:21" ht="14.25" customHeight="1" x14ac:dyDescent="0.3">
      <c r="A200" s="3"/>
      <c r="B200" s="3"/>
      <c r="C200" s="37"/>
      <c r="D200" s="37"/>
      <c r="E200" s="37"/>
      <c r="F200" s="37"/>
      <c r="G200" s="99"/>
      <c r="H200" s="98"/>
      <c r="I200" s="99"/>
      <c r="J200" s="98"/>
      <c r="K200" s="37"/>
      <c r="L200" s="37"/>
      <c r="M200" s="37"/>
      <c r="N200" s="37"/>
      <c r="O200" s="37"/>
      <c r="P200" s="37"/>
      <c r="Q200" s="37"/>
      <c r="R200" s="37"/>
      <c r="S200" s="37"/>
      <c r="T200" s="37"/>
      <c r="U200" s="3"/>
    </row>
    <row r="201" spans="1:21" ht="14.25" customHeight="1" x14ac:dyDescent="0.3">
      <c r="A201" s="3"/>
      <c r="B201" s="3"/>
      <c r="C201" s="37"/>
      <c r="D201" s="37"/>
      <c r="E201" s="37"/>
      <c r="F201" s="37"/>
      <c r="G201" s="99"/>
      <c r="H201" s="98"/>
      <c r="I201" s="99"/>
      <c r="J201" s="98"/>
      <c r="K201" s="37"/>
      <c r="L201" s="37"/>
      <c r="M201" s="37"/>
      <c r="N201" s="37"/>
      <c r="O201" s="37"/>
      <c r="P201" s="37"/>
      <c r="Q201" s="37"/>
      <c r="R201" s="37"/>
      <c r="S201" s="37"/>
      <c r="T201" s="37"/>
      <c r="U201" s="3"/>
    </row>
    <row r="202" spans="1:21" ht="14.25" customHeight="1" x14ac:dyDescent="0.3">
      <c r="A202" s="3"/>
      <c r="B202" s="3"/>
      <c r="C202" s="37"/>
      <c r="D202" s="37"/>
      <c r="E202" s="37"/>
      <c r="F202" s="37"/>
      <c r="G202" s="99"/>
      <c r="H202" s="98"/>
      <c r="I202" s="99"/>
      <c r="J202" s="98"/>
      <c r="K202" s="37"/>
      <c r="L202" s="37"/>
      <c r="M202" s="37"/>
      <c r="N202" s="37"/>
      <c r="O202" s="37"/>
      <c r="P202" s="37"/>
      <c r="Q202" s="37"/>
      <c r="R202" s="37"/>
      <c r="S202" s="37"/>
      <c r="T202" s="37"/>
      <c r="U202" s="3"/>
    </row>
    <row r="203" spans="1:21" ht="14.25" customHeight="1" x14ac:dyDescent="0.3">
      <c r="A203" s="3"/>
      <c r="B203" s="3"/>
      <c r="C203" s="37"/>
      <c r="D203" s="37"/>
      <c r="E203" s="37"/>
      <c r="F203" s="37"/>
      <c r="G203" s="99"/>
      <c r="H203" s="98"/>
      <c r="I203" s="99"/>
      <c r="J203" s="98"/>
      <c r="K203" s="37"/>
      <c r="L203" s="37"/>
      <c r="M203" s="37"/>
      <c r="N203" s="37"/>
      <c r="O203" s="37"/>
      <c r="P203" s="37"/>
      <c r="Q203" s="37"/>
      <c r="R203" s="37"/>
      <c r="S203" s="37"/>
      <c r="T203" s="37"/>
      <c r="U203" s="3"/>
    </row>
    <row r="204" spans="1:21" ht="14.25" customHeight="1" x14ac:dyDescent="0.3">
      <c r="A204" s="3"/>
      <c r="B204" s="3"/>
      <c r="C204" s="37"/>
      <c r="D204" s="37"/>
      <c r="E204" s="37"/>
      <c r="F204" s="37"/>
      <c r="G204" s="99"/>
      <c r="H204" s="98"/>
      <c r="I204" s="99"/>
      <c r="J204" s="98"/>
      <c r="K204" s="37"/>
      <c r="L204" s="37"/>
      <c r="M204" s="37"/>
      <c r="N204" s="37"/>
      <c r="O204" s="37"/>
      <c r="P204" s="37"/>
      <c r="Q204" s="37"/>
      <c r="R204" s="37"/>
      <c r="S204" s="37"/>
      <c r="T204" s="37"/>
      <c r="U204" s="3"/>
    </row>
    <row r="205" spans="1:21" ht="14.25" customHeight="1" x14ac:dyDescent="0.3">
      <c r="A205" s="3"/>
      <c r="B205" s="3"/>
      <c r="C205" s="37"/>
      <c r="D205" s="37"/>
      <c r="E205" s="37"/>
      <c r="F205" s="37"/>
      <c r="G205" s="99"/>
      <c r="H205" s="98"/>
      <c r="I205" s="99"/>
      <c r="J205" s="98"/>
      <c r="K205" s="37"/>
      <c r="L205" s="37"/>
      <c r="M205" s="37"/>
      <c r="N205" s="37"/>
      <c r="O205" s="37"/>
      <c r="P205" s="37"/>
      <c r="Q205" s="37"/>
      <c r="R205" s="37"/>
      <c r="S205" s="37"/>
      <c r="T205" s="37"/>
      <c r="U205" s="3"/>
    </row>
    <row r="206" spans="1:21" ht="14.25" customHeight="1" x14ac:dyDescent="0.3">
      <c r="A206" s="3"/>
      <c r="B206" s="3"/>
      <c r="C206" s="37"/>
      <c r="D206" s="37"/>
      <c r="E206" s="37"/>
      <c r="F206" s="37"/>
      <c r="G206" s="99"/>
      <c r="H206" s="98"/>
      <c r="I206" s="99"/>
      <c r="J206" s="98"/>
      <c r="K206" s="37"/>
      <c r="L206" s="37"/>
      <c r="M206" s="37"/>
      <c r="N206" s="37"/>
      <c r="O206" s="37"/>
      <c r="P206" s="37"/>
      <c r="Q206" s="37"/>
      <c r="R206" s="37"/>
      <c r="S206" s="37"/>
      <c r="T206" s="37"/>
      <c r="U206" s="3"/>
    </row>
    <row r="207" spans="1:21" ht="14.25" customHeight="1" x14ac:dyDescent="0.3">
      <c r="A207" s="3"/>
      <c r="B207" s="3"/>
      <c r="C207" s="37"/>
      <c r="D207" s="37"/>
      <c r="E207" s="37"/>
      <c r="F207" s="37"/>
      <c r="G207" s="99"/>
      <c r="H207" s="98"/>
      <c r="I207" s="99"/>
      <c r="J207" s="98"/>
      <c r="K207" s="37"/>
      <c r="L207" s="37"/>
      <c r="M207" s="37"/>
      <c r="N207" s="37"/>
      <c r="O207" s="37"/>
      <c r="P207" s="37"/>
      <c r="Q207" s="37"/>
      <c r="R207" s="37"/>
      <c r="S207" s="37"/>
      <c r="T207" s="37"/>
      <c r="U207" s="3"/>
    </row>
    <row r="208" spans="1:21" ht="14.25" customHeight="1" x14ac:dyDescent="0.3">
      <c r="A208" s="3"/>
      <c r="B208" s="3"/>
      <c r="C208" s="37"/>
      <c r="D208" s="37"/>
      <c r="E208" s="37"/>
      <c r="F208" s="37"/>
      <c r="G208" s="99"/>
      <c r="H208" s="98"/>
      <c r="I208" s="99"/>
      <c r="J208" s="98"/>
      <c r="K208" s="37"/>
      <c r="L208" s="37"/>
      <c r="M208" s="37"/>
      <c r="N208" s="37"/>
      <c r="O208" s="37"/>
      <c r="P208" s="37"/>
      <c r="Q208" s="37"/>
      <c r="R208" s="37"/>
      <c r="S208" s="37"/>
      <c r="T208" s="37"/>
      <c r="U208" s="3"/>
    </row>
    <row r="209" spans="1:21" ht="14.25" customHeight="1" x14ac:dyDescent="0.3">
      <c r="A209" s="3"/>
      <c r="B209" s="3"/>
      <c r="C209" s="37"/>
      <c r="D209" s="37"/>
      <c r="E209" s="37"/>
      <c r="F209" s="37"/>
      <c r="G209" s="99"/>
      <c r="H209" s="98"/>
      <c r="I209" s="99"/>
      <c r="J209" s="98"/>
      <c r="K209" s="37"/>
      <c r="L209" s="37"/>
      <c r="M209" s="37"/>
      <c r="N209" s="37"/>
      <c r="O209" s="37"/>
      <c r="P209" s="37"/>
      <c r="Q209" s="37"/>
      <c r="R209" s="37"/>
      <c r="S209" s="37"/>
      <c r="T209" s="37"/>
      <c r="U209" s="3"/>
    </row>
    <row r="210" spans="1:21" ht="14.25" customHeight="1" x14ac:dyDescent="0.3">
      <c r="A210" s="3"/>
      <c r="B210" s="3"/>
      <c r="C210" s="37"/>
      <c r="D210" s="37"/>
      <c r="E210" s="37"/>
      <c r="F210" s="37"/>
      <c r="G210" s="99"/>
      <c r="H210" s="98"/>
      <c r="I210" s="99"/>
      <c r="J210" s="98"/>
      <c r="K210" s="37"/>
      <c r="L210" s="37"/>
      <c r="M210" s="37"/>
      <c r="N210" s="37"/>
      <c r="O210" s="37"/>
      <c r="P210" s="37"/>
      <c r="Q210" s="37"/>
      <c r="R210" s="37"/>
      <c r="S210" s="37"/>
      <c r="T210" s="37"/>
      <c r="U210" s="3"/>
    </row>
    <row r="211" spans="1:21" ht="14.25" customHeight="1" x14ac:dyDescent="0.3">
      <c r="A211" s="3"/>
      <c r="B211" s="3"/>
      <c r="C211" s="37"/>
      <c r="D211" s="37"/>
      <c r="E211" s="37"/>
      <c r="F211" s="37"/>
      <c r="G211" s="99"/>
      <c r="H211" s="98"/>
      <c r="I211" s="99"/>
      <c r="J211" s="98"/>
      <c r="K211" s="37"/>
      <c r="L211" s="37"/>
      <c r="M211" s="37"/>
      <c r="N211" s="37"/>
      <c r="O211" s="37"/>
      <c r="P211" s="37"/>
      <c r="Q211" s="37"/>
      <c r="R211" s="37"/>
      <c r="S211" s="37"/>
      <c r="T211" s="37"/>
      <c r="U211" s="3"/>
    </row>
    <row r="212" spans="1:21" ht="14.25" customHeight="1" x14ac:dyDescent="0.3">
      <c r="A212" s="3"/>
      <c r="B212" s="3"/>
      <c r="C212" s="37"/>
      <c r="D212" s="37"/>
      <c r="E212" s="37"/>
      <c r="F212" s="37"/>
      <c r="G212" s="99"/>
      <c r="H212" s="98"/>
      <c r="I212" s="99"/>
      <c r="J212" s="98"/>
      <c r="K212" s="37"/>
      <c r="L212" s="37"/>
      <c r="M212" s="37"/>
      <c r="N212" s="37"/>
      <c r="O212" s="37"/>
      <c r="P212" s="37"/>
      <c r="Q212" s="37"/>
      <c r="R212" s="37"/>
      <c r="S212" s="37"/>
      <c r="T212" s="37"/>
      <c r="U212" s="3"/>
    </row>
    <row r="213" spans="1:21" ht="14.25" customHeight="1" x14ac:dyDescent="0.3">
      <c r="A213" s="3"/>
      <c r="B213" s="3"/>
      <c r="C213" s="37"/>
      <c r="D213" s="37"/>
      <c r="E213" s="37"/>
      <c r="F213" s="37"/>
      <c r="G213" s="99"/>
      <c r="H213" s="98"/>
      <c r="I213" s="99"/>
      <c r="J213" s="98"/>
      <c r="K213" s="37"/>
      <c r="L213" s="37"/>
      <c r="M213" s="37"/>
      <c r="N213" s="37"/>
      <c r="O213" s="37"/>
      <c r="P213" s="37"/>
      <c r="Q213" s="37"/>
      <c r="R213" s="37"/>
      <c r="S213" s="37"/>
      <c r="T213" s="37"/>
      <c r="U213" s="3"/>
    </row>
    <row r="214" spans="1:21" ht="14.25" customHeight="1" x14ac:dyDescent="0.3">
      <c r="A214" s="3"/>
      <c r="B214" s="3"/>
      <c r="C214" s="37"/>
      <c r="D214" s="37"/>
      <c r="E214" s="37"/>
      <c r="F214" s="37"/>
      <c r="G214" s="99"/>
      <c r="H214" s="98"/>
      <c r="I214" s="99"/>
      <c r="J214" s="98"/>
      <c r="K214" s="37"/>
      <c r="L214" s="37"/>
      <c r="M214" s="37"/>
      <c r="N214" s="37"/>
      <c r="O214" s="37"/>
      <c r="P214" s="37"/>
      <c r="Q214" s="37"/>
      <c r="R214" s="37"/>
      <c r="S214" s="37"/>
      <c r="T214" s="37"/>
      <c r="U214" s="3"/>
    </row>
    <row r="215" spans="1:21" ht="14.25" customHeight="1" x14ac:dyDescent="0.3">
      <c r="A215" s="3"/>
      <c r="B215" s="3"/>
      <c r="C215" s="37"/>
      <c r="D215" s="37"/>
      <c r="E215" s="37"/>
      <c r="F215" s="37"/>
      <c r="G215" s="99"/>
      <c r="H215" s="98"/>
      <c r="I215" s="99"/>
      <c r="J215" s="98"/>
      <c r="K215" s="37"/>
      <c r="L215" s="37"/>
      <c r="M215" s="37"/>
      <c r="N215" s="37"/>
      <c r="O215" s="37"/>
      <c r="P215" s="37"/>
      <c r="Q215" s="37"/>
      <c r="R215" s="37"/>
      <c r="S215" s="37"/>
      <c r="T215" s="37"/>
      <c r="U215" s="3"/>
    </row>
    <row r="216" spans="1:21" ht="14.25" customHeight="1" x14ac:dyDescent="0.3">
      <c r="A216" s="3"/>
      <c r="B216" s="3"/>
      <c r="C216" s="37"/>
      <c r="D216" s="37"/>
      <c r="E216" s="37"/>
      <c r="F216" s="37"/>
      <c r="G216" s="99"/>
      <c r="H216" s="98"/>
      <c r="I216" s="99"/>
      <c r="J216" s="98"/>
      <c r="K216" s="37"/>
      <c r="L216" s="37"/>
      <c r="M216" s="37"/>
      <c r="N216" s="37"/>
      <c r="O216" s="37"/>
      <c r="P216" s="37"/>
      <c r="Q216" s="37"/>
      <c r="R216" s="37"/>
      <c r="S216" s="37"/>
      <c r="T216" s="37"/>
      <c r="U216" s="3"/>
    </row>
    <row r="217" spans="1:21" ht="14.25" customHeight="1" x14ac:dyDescent="0.3">
      <c r="A217" s="3"/>
      <c r="B217" s="3"/>
      <c r="C217" s="37"/>
      <c r="D217" s="37"/>
      <c r="E217" s="37"/>
      <c r="F217" s="37"/>
      <c r="G217" s="99"/>
      <c r="H217" s="98"/>
      <c r="I217" s="99"/>
      <c r="J217" s="98"/>
      <c r="K217" s="37"/>
      <c r="L217" s="37"/>
      <c r="M217" s="37"/>
      <c r="N217" s="37"/>
      <c r="O217" s="37"/>
      <c r="P217" s="37"/>
      <c r="Q217" s="37"/>
      <c r="R217" s="37"/>
      <c r="S217" s="37"/>
      <c r="T217" s="37"/>
      <c r="U217" s="3"/>
    </row>
    <row r="218" spans="1:21" ht="14.25" customHeight="1" x14ac:dyDescent="0.3">
      <c r="A218" s="3"/>
      <c r="B218" s="3"/>
      <c r="C218" s="37"/>
      <c r="D218" s="37"/>
      <c r="E218" s="37"/>
      <c r="F218" s="37"/>
      <c r="G218" s="99"/>
      <c r="H218" s="98"/>
      <c r="I218" s="99"/>
      <c r="J218" s="98"/>
      <c r="K218" s="37"/>
      <c r="L218" s="37"/>
      <c r="M218" s="37"/>
      <c r="N218" s="37"/>
      <c r="O218" s="37"/>
      <c r="P218" s="37"/>
      <c r="Q218" s="37"/>
      <c r="R218" s="37"/>
      <c r="S218" s="37"/>
      <c r="T218" s="37"/>
      <c r="U218" s="3"/>
    </row>
    <row r="219" spans="1:21" ht="14.25" customHeight="1" x14ac:dyDescent="0.3">
      <c r="A219" s="3"/>
      <c r="B219" s="3"/>
      <c r="C219" s="37"/>
      <c r="D219" s="37"/>
      <c r="E219" s="37"/>
      <c r="F219" s="37"/>
      <c r="G219" s="99"/>
      <c r="H219" s="98"/>
      <c r="I219" s="99"/>
      <c r="J219" s="98"/>
      <c r="K219" s="37"/>
      <c r="L219" s="37"/>
      <c r="M219" s="37"/>
      <c r="N219" s="37"/>
      <c r="O219" s="37"/>
      <c r="P219" s="37"/>
      <c r="Q219" s="37"/>
      <c r="R219" s="37"/>
      <c r="S219" s="37"/>
      <c r="T219" s="37"/>
      <c r="U219" s="3"/>
    </row>
    <row r="220" spans="1:21" ht="14.25" customHeight="1" x14ac:dyDescent="0.3">
      <c r="A220" s="3"/>
      <c r="B220" s="3"/>
      <c r="C220" s="37"/>
      <c r="D220" s="37"/>
      <c r="E220" s="37"/>
      <c r="F220" s="37"/>
      <c r="G220" s="99"/>
      <c r="H220" s="98"/>
      <c r="I220" s="99"/>
      <c r="J220" s="98"/>
      <c r="K220" s="37"/>
      <c r="L220" s="37"/>
      <c r="M220" s="37"/>
      <c r="N220" s="37"/>
      <c r="O220" s="37"/>
      <c r="P220" s="37"/>
      <c r="Q220" s="37"/>
      <c r="R220" s="37"/>
      <c r="S220" s="37"/>
      <c r="T220" s="37"/>
      <c r="U220" s="3"/>
    </row>
    <row r="221" spans="1:21" ht="14.25" customHeight="1" x14ac:dyDescent="0.3">
      <c r="A221" s="3"/>
      <c r="B221" s="3"/>
      <c r="C221" s="37"/>
      <c r="D221" s="37"/>
      <c r="E221" s="37"/>
      <c r="F221" s="37"/>
      <c r="G221" s="99"/>
      <c r="H221" s="98"/>
      <c r="I221" s="99"/>
      <c r="J221" s="98"/>
      <c r="K221" s="37"/>
      <c r="L221" s="37"/>
      <c r="M221" s="37"/>
      <c r="N221" s="37"/>
      <c r="O221" s="37"/>
      <c r="P221" s="37"/>
      <c r="Q221" s="37"/>
      <c r="R221" s="37"/>
      <c r="S221" s="37"/>
      <c r="T221" s="37"/>
      <c r="U221" s="3"/>
    </row>
    <row r="222" spans="1:21" ht="14.25" customHeight="1" x14ac:dyDescent="0.3">
      <c r="A222" s="3"/>
      <c r="B222" s="3"/>
      <c r="C222" s="37"/>
      <c r="D222" s="37"/>
      <c r="E222" s="37"/>
      <c r="F222" s="37"/>
      <c r="G222" s="99"/>
      <c r="H222" s="98"/>
      <c r="I222" s="99"/>
      <c r="J222" s="98"/>
      <c r="K222" s="37"/>
      <c r="L222" s="37"/>
      <c r="M222" s="37"/>
      <c r="N222" s="37"/>
      <c r="O222" s="37"/>
      <c r="P222" s="37"/>
      <c r="Q222" s="37"/>
      <c r="R222" s="37"/>
      <c r="S222" s="37"/>
      <c r="T222" s="37"/>
      <c r="U222" s="3"/>
    </row>
    <row r="223" spans="1:21" ht="14.25" customHeight="1" x14ac:dyDescent="0.3">
      <c r="A223" s="3"/>
      <c r="B223" s="3"/>
      <c r="C223" s="37"/>
      <c r="D223" s="37"/>
      <c r="E223" s="37"/>
      <c r="F223" s="37"/>
      <c r="G223" s="99"/>
      <c r="H223" s="98"/>
      <c r="I223" s="99"/>
      <c r="J223" s="98"/>
      <c r="K223" s="37"/>
      <c r="L223" s="37"/>
      <c r="M223" s="37"/>
      <c r="N223" s="37"/>
      <c r="O223" s="37"/>
      <c r="P223" s="37"/>
      <c r="Q223" s="37"/>
      <c r="R223" s="37"/>
      <c r="S223" s="37"/>
      <c r="T223" s="37"/>
      <c r="U223" s="3"/>
    </row>
    <row r="224" spans="1:21" ht="14.25" customHeight="1" x14ac:dyDescent="0.3">
      <c r="A224" s="3"/>
      <c r="B224" s="3"/>
      <c r="C224" s="37"/>
      <c r="D224" s="37"/>
      <c r="E224" s="37"/>
      <c r="F224" s="37"/>
      <c r="G224" s="99"/>
      <c r="H224" s="98"/>
      <c r="I224" s="99"/>
      <c r="J224" s="98"/>
      <c r="K224" s="37"/>
      <c r="L224" s="37"/>
      <c r="M224" s="37"/>
      <c r="N224" s="37"/>
      <c r="O224" s="37"/>
      <c r="P224" s="37"/>
      <c r="Q224" s="37"/>
      <c r="R224" s="37"/>
      <c r="S224" s="37"/>
      <c r="T224" s="37"/>
      <c r="U224" s="3"/>
    </row>
    <row r="225" spans="1:21" ht="14.25" customHeight="1" x14ac:dyDescent="0.3">
      <c r="A225" s="3"/>
      <c r="B225" s="3"/>
      <c r="C225" s="37"/>
      <c r="D225" s="37"/>
      <c r="E225" s="37"/>
      <c r="F225" s="37"/>
      <c r="G225" s="99"/>
      <c r="H225" s="98"/>
      <c r="I225" s="99"/>
      <c r="J225" s="98"/>
      <c r="K225" s="37"/>
      <c r="L225" s="37"/>
      <c r="M225" s="37"/>
      <c r="N225" s="37"/>
      <c r="O225" s="37"/>
      <c r="P225" s="37"/>
      <c r="Q225" s="37"/>
      <c r="R225" s="37"/>
      <c r="S225" s="37"/>
      <c r="T225" s="37"/>
      <c r="U225" s="3"/>
    </row>
    <row r="226" spans="1:21" ht="14.25" customHeight="1" x14ac:dyDescent="0.3">
      <c r="A226" s="3"/>
      <c r="B226" s="3"/>
      <c r="C226" s="37"/>
      <c r="D226" s="37"/>
      <c r="E226" s="37"/>
      <c r="F226" s="37"/>
      <c r="G226" s="99"/>
      <c r="H226" s="98"/>
      <c r="I226" s="99"/>
      <c r="J226" s="98"/>
      <c r="K226" s="37"/>
      <c r="L226" s="37"/>
      <c r="M226" s="37"/>
      <c r="N226" s="37"/>
      <c r="O226" s="37"/>
      <c r="P226" s="37"/>
      <c r="Q226" s="37"/>
      <c r="R226" s="37"/>
      <c r="S226" s="37"/>
      <c r="T226" s="37"/>
      <c r="U226" s="3"/>
    </row>
    <row r="227" spans="1:21" ht="14.25" customHeight="1" x14ac:dyDescent="0.3">
      <c r="A227" s="3"/>
      <c r="B227" s="3"/>
      <c r="C227" s="37"/>
      <c r="D227" s="37"/>
      <c r="E227" s="37"/>
      <c r="F227" s="37"/>
      <c r="G227" s="99"/>
      <c r="H227" s="98"/>
      <c r="I227" s="99"/>
      <c r="J227" s="98"/>
      <c r="K227" s="37"/>
      <c r="L227" s="37"/>
      <c r="M227" s="37"/>
      <c r="N227" s="37"/>
      <c r="O227" s="37"/>
      <c r="P227" s="37"/>
      <c r="Q227" s="37"/>
      <c r="R227" s="37"/>
      <c r="S227" s="37"/>
      <c r="T227" s="37"/>
      <c r="U227" s="3"/>
    </row>
    <row r="228" spans="1:21" ht="14.25" customHeight="1" x14ac:dyDescent="0.3">
      <c r="A228" s="3"/>
      <c r="B228" s="3"/>
      <c r="C228" s="37"/>
      <c r="D228" s="37"/>
      <c r="E228" s="37"/>
      <c r="F228" s="37"/>
      <c r="G228" s="99"/>
      <c r="H228" s="98"/>
      <c r="I228" s="99"/>
      <c r="J228" s="98"/>
      <c r="K228" s="37"/>
      <c r="L228" s="37"/>
      <c r="M228" s="37"/>
      <c r="N228" s="37"/>
      <c r="O228" s="37"/>
      <c r="P228" s="37"/>
      <c r="Q228" s="37"/>
      <c r="R228" s="37"/>
      <c r="S228" s="37"/>
      <c r="T228" s="37"/>
      <c r="U228" s="3"/>
    </row>
    <row r="229" spans="1:21" ht="14.25" customHeight="1" x14ac:dyDescent="0.3">
      <c r="A229" s="3"/>
      <c r="B229" s="3"/>
      <c r="C229" s="37"/>
      <c r="D229" s="37"/>
      <c r="E229" s="37"/>
      <c r="F229" s="37"/>
      <c r="G229" s="99"/>
      <c r="H229" s="98"/>
      <c r="I229" s="99"/>
      <c r="J229" s="98"/>
      <c r="K229" s="37"/>
      <c r="L229" s="37"/>
      <c r="M229" s="37"/>
      <c r="N229" s="37"/>
      <c r="O229" s="37"/>
      <c r="P229" s="37"/>
      <c r="Q229" s="37"/>
      <c r="R229" s="37"/>
      <c r="S229" s="37"/>
      <c r="T229" s="37"/>
      <c r="U229" s="3"/>
    </row>
    <row r="230" spans="1:21" ht="14.25" customHeight="1" x14ac:dyDescent="0.3">
      <c r="A230" s="3"/>
      <c r="B230" s="3"/>
      <c r="C230" s="37"/>
      <c r="D230" s="37"/>
      <c r="E230" s="37"/>
      <c r="F230" s="37"/>
      <c r="G230" s="99"/>
      <c r="H230" s="98"/>
      <c r="I230" s="99"/>
      <c r="J230" s="98"/>
      <c r="K230" s="37"/>
      <c r="L230" s="37"/>
      <c r="M230" s="37"/>
      <c r="N230" s="37"/>
      <c r="O230" s="37"/>
      <c r="P230" s="37"/>
      <c r="Q230" s="37"/>
      <c r="R230" s="37"/>
      <c r="S230" s="37"/>
      <c r="T230" s="37"/>
      <c r="U230" s="3"/>
    </row>
    <row r="231" spans="1:21" ht="14.25" customHeight="1" x14ac:dyDescent="0.3">
      <c r="A231" s="3"/>
      <c r="B231" s="3"/>
      <c r="C231" s="37"/>
      <c r="D231" s="37"/>
      <c r="E231" s="37"/>
      <c r="F231" s="37"/>
      <c r="G231" s="99"/>
      <c r="H231" s="98"/>
      <c r="I231" s="99"/>
      <c r="J231" s="98"/>
      <c r="K231" s="37"/>
      <c r="L231" s="37"/>
      <c r="M231" s="37"/>
      <c r="N231" s="37"/>
      <c r="O231" s="37"/>
      <c r="P231" s="37"/>
      <c r="Q231" s="37"/>
      <c r="R231" s="37"/>
      <c r="S231" s="37"/>
      <c r="T231" s="37"/>
      <c r="U231" s="3"/>
    </row>
    <row r="232" spans="1:21" ht="14.25" customHeight="1" x14ac:dyDescent="0.3">
      <c r="A232" s="3"/>
      <c r="B232" s="3"/>
      <c r="C232" s="37"/>
      <c r="D232" s="37"/>
      <c r="E232" s="37"/>
      <c r="F232" s="37"/>
      <c r="G232" s="99"/>
      <c r="H232" s="98"/>
      <c r="I232" s="99"/>
      <c r="J232" s="98"/>
      <c r="K232" s="37"/>
      <c r="L232" s="37"/>
      <c r="M232" s="37"/>
      <c r="N232" s="37"/>
      <c r="O232" s="37"/>
      <c r="P232" s="37"/>
      <c r="Q232" s="37"/>
      <c r="R232" s="37"/>
      <c r="S232" s="37"/>
      <c r="T232" s="37"/>
      <c r="U232" s="3"/>
    </row>
    <row r="233" spans="1:21" ht="14.25" customHeight="1" x14ac:dyDescent="0.3">
      <c r="A233" s="3"/>
      <c r="B233" s="3"/>
      <c r="C233" s="37"/>
      <c r="D233" s="37"/>
      <c r="E233" s="37"/>
      <c r="F233" s="37"/>
      <c r="G233" s="99"/>
      <c r="H233" s="98"/>
      <c r="I233" s="99"/>
      <c r="J233" s="98"/>
      <c r="K233" s="37"/>
      <c r="L233" s="37"/>
      <c r="M233" s="37"/>
      <c r="N233" s="37"/>
      <c r="O233" s="37"/>
      <c r="P233" s="37"/>
      <c r="Q233" s="37"/>
      <c r="R233" s="37"/>
      <c r="S233" s="37"/>
      <c r="T233" s="37"/>
      <c r="U233" s="3"/>
    </row>
    <row r="234" spans="1:21" ht="14.25" customHeight="1" x14ac:dyDescent="0.3">
      <c r="A234" s="3"/>
      <c r="B234" s="3"/>
      <c r="C234" s="37"/>
      <c r="D234" s="37"/>
      <c r="E234" s="37"/>
      <c r="F234" s="37"/>
      <c r="G234" s="99"/>
      <c r="H234" s="98"/>
      <c r="I234" s="99"/>
      <c r="J234" s="98"/>
      <c r="K234" s="37"/>
      <c r="L234" s="37"/>
      <c r="M234" s="37"/>
      <c r="N234" s="37"/>
      <c r="O234" s="37"/>
      <c r="P234" s="37"/>
      <c r="Q234" s="37"/>
      <c r="R234" s="37"/>
      <c r="S234" s="37"/>
      <c r="T234" s="37"/>
      <c r="U234" s="3"/>
    </row>
    <row r="235" spans="1:21" ht="14.25" customHeight="1" x14ac:dyDescent="0.3">
      <c r="A235" s="3"/>
      <c r="B235" s="3"/>
      <c r="C235" s="37"/>
      <c r="D235" s="37"/>
      <c r="E235" s="37"/>
      <c r="F235" s="37"/>
      <c r="G235" s="99"/>
      <c r="H235" s="98"/>
      <c r="I235" s="99"/>
      <c r="J235" s="98"/>
      <c r="K235" s="37"/>
      <c r="L235" s="37"/>
      <c r="M235" s="37"/>
      <c r="N235" s="37"/>
      <c r="O235" s="37"/>
      <c r="P235" s="37"/>
      <c r="Q235" s="37"/>
      <c r="R235" s="37"/>
      <c r="S235" s="37"/>
      <c r="T235" s="37"/>
      <c r="U235" s="3"/>
    </row>
    <row r="236" spans="1:21" ht="14.25" customHeight="1" x14ac:dyDescent="0.3">
      <c r="A236" s="3"/>
      <c r="B236" s="3"/>
      <c r="C236" s="37"/>
      <c r="D236" s="37"/>
      <c r="E236" s="37"/>
      <c r="F236" s="37"/>
      <c r="G236" s="99"/>
      <c r="H236" s="98"/>
      <c r="I236" s="99"/>
      <c r="J236" s="98"/>
      <c r="K236" s="37"/>
      <c r="L236" s="37"/>
      <c r="M236" s="37"/>
      <c r="N236" s="37"/>
      <c r="O236" s="37"/>
      <c r="P236" s="37"/>
      <c r="Q236" s="37"/>
      <c r="R236" s="37"/>
      <c r="S236" s="37"/>
      <c r="T236" s="37"/>
      <c r="U236" s="3"/>
    </row>
    <row r="237" spans="1:21" ht="14.25" customHeight="1" x14ac:dyDescent="0.3">
      <c r="A237" s="3"/>
      <c r="B237" s="3"/>
      <c r="C237" s="37"/>
      <c r="D237" s="37"/>
      <c r="E237" s="37"/>
      <c r="F237" s="37"/>
      <c r="G237" s="99"/>
      <c r="H237" s="98"/>
      <c r="I237" s="99"/>
      <c r="J237" s="98"/>
      <c r="K237" s="37"/>
      <c r="L237" s="37"/>
      <c r="M237" s="37"/>
      <c r="N237" s="37"/>
      <c r="O237" s="37"/>
      <c r="P237" s="37"/>
      <c r="Q237" s="37"/>
      <c r="R237" s="37"/>
      <c r="S237" s="37"/>
      <c r="T237" s="37"/>
      <c r="U237" s="3"/>
    </row>
    <row r="238" spans="1:21" ht="14.25" customHeight="1" x14ac:dyDescent="0.3">
      <c r="A238" s="3"/>
      <c r="B238" s="3"/>
      <c r="C238" s="37"/>
      <c r="D238" s="37"/>
      <c r="E238" s="37"/>
      <c r="F238" s="37"/>
      <c r="G238" s="99"/>
      <c r="H238" s="98"/>
      <c r="I238" s="99"/>
      <c r="J238" s="98"/>
      <c r="K238" s="37"/>
      <c r="L238" s="37"/>
      <c r="M238" s="37"/>
      <c r="N238" s="37"/>
      <c r="O238" s="37"/>
      <c r="P238" s="37"/>
      <c r="Q238" s="37"/>
      <c r="R238" s="37"/>
      <c r="S238" s="37"/>
      <c r="T238" s="37"/>
      <c r="U238" s="3"/>
    </row>
    <row r="239" spans="1:21" ht="14.25" customHeight="1" x14ac:dyDescent="0.3">
      <c r="A239" s="3"/>
      <c r="B239" s="3"/>
      <c r="C239" s="37"/>
      <c r="D239" s="37"/>
      <c r="E239" s="37"/>
      <c r="F239" s="37"/>
      <c r="G239" s="99"/>
      <c r="H239" s="98"/>
      <c r="I239" s="99"/>
      <c r="J239" s="98"/>
      <c r="K239" s="37"/>
      <c r="L239" s="37"/>
      <c r="M239" s="37"/>
      <c r="N239" s="37"/>
      <c r="O239" s="37"/>
      <c r="P239" s="37"/>
      <c r="Q239" s="37"/>
      <c r="R239" s="37"/>
      <c r="S239" s="37"/>
      <c r="T239" s="37"/>
      <c r="U239" s="3"/>
    </row>
    <row r="240" spans="1:21" ht="14.25" customHeight="1" x14ac:dyDescent="0.3">
      <c r="A240" s="3"/>
      <c r="B240" s="3"/>
      <c r="C240" s="37"/>
      <c r="D240" s="37"/>
      <c r="E240" s="37"/>
      <c r="F240" s="37"/>
      <c r="G240" s="99"/>
      <c r="H240" s="98"/>
      <c r="I240" s="99"/>
      <c r="J240" s="98"/>
      <c r="K240" s="37"/>
      <c r="L240" s="37"/>
      <c r="M240" s="37"/>
      <c r="N240" s="37"/>
      <c r="O240" s="37"/>
      <c r="P240" s="37"/>
      <c r="Q240" s="37"/>
      <c r="R240" s="37"/>
      <c r="S240" s="37"/>
      <c r="T240" s="37"/>
      <c r="U240" s="3"/>
    </row>
    <row r="241" spans="1:21" ht="14.25" customHeight="1" x14ac:dyDescent="0.3">
      <c r="A241" s="3"/>
      <c r="B241" s="3"/>
      <c r="C241" s="37"/>
      <c r="D241" s="37"/>
      <c r="E241" s="37"/>
      <c r="F241" s="37"/>
      <c r="G241" s="99"/>
      <c r="H241" s="98"/>
      <c r="I241" s="99"/>
      <c r="J241" s="98"/>
      <c r="K241" s="37"/>
      <c r="L241" s="37"/>
      <c r="M241" s="37"/>
      <c r="N241" s="37"/>
      <c r="O241" s="37"/>
      <c r="P241" s="37"/>
      <c r="Q241" s="37"/>
      <c r="R241" s="37"/>
      <c r="S241" s="37"/>
      <c r="T241" s="37"/>
      <c r="U241" s="3"/>
    </row>
    <row r="242" spans="1:21" ht="14.25" customHeight="1" x14ac:dyDescent="0.3">
      <c r="A242" s="3"/>
      <c r="B242" s="3"/>
      <c r="C242" s="37"/>
      <c r="D242" s="37"/>
      <c r="E242" s="37"/>
      <c r="F242" s="37"/>
      <c r="G242" s="99"/>
      <c r="H242" s="98"/>
      <c r="I242" s="99"/>
      <c r="J242" s="98"/>
      <c r="K242" s="37"/>
      <c r="L242" s="37"/>
      <c r="M242" s="37"/>
      <c r="N242" s="37"/>
      <c r="O242" s="37"/>
      <c r="P242" s="37"/>
      <c r="Q242" s="37"/>
      <c r="R242" s="37"/>
      <c r="S242" s="37"/>
      <c r="T242" s="37"/>
      <c r="U242" s="3"/>
    </row>
    <row r="243" spans="1:21" ht="14.25" customHeight="1" x14ac:dyDescent="0.3">
      <c r="A243" s="3"/>
      <c r="B243" s="3"/>
      <c r="C243" s="37"/>
      <c r="D243" s="37"/>
      <c r="E243" s="37"/>
      <c r="F243" s="37"/>
      <c r="G243" s="99"/>
      <c r="H243" s="98"/>
      <c r="I243" s="99"/>
      <c r="J243" s="98"/>
      <c r="K243" s="37"/>
      <c r="L243" s="37"/>
      <c r="M243" s="37"/>
      <c r="N243" s="37"/>
      <c r="O243" s="37"/>
      <c r="P243" s="37"/>
      <c r="Q243" s="37"/>
      <c r="R243" s="37"/>
      <c r="S243" s="37"/>
      <c r="T243" s="37"/>
      <c r="U243" s="3"/>
    </row>
    <row r="244" spans="1:21" ht="14.25" customHeight="1" x14ac:dyDescent="0.3">
      <c r="A244" s="3"/>
      <c r="B244" s="3"/>
      <c r="C244" s="37"/>
      <c r="D244" s="37"/>
      <c r="E244" s="37"/>
      <c r="F244" s="37"/>
      <c r="G244" s="99"/>
      <c r="H244" s="98"/>
      <c r="I244" s="99"/>
      <c r="J244" s="98"/>
      <c r="K244" s="37"/>
      <c r="L244" s="37"/>
      <c r="M244" s="37"/>
      <c r="N244" s="37"/>
      <c r="O244" s="37"/>
      <c r="P244" s="37"/>
      <c r="Q244" s="37"/>
      <c r="R244" s="37"/>
      <c r="S244" s="37"/>
      <c r="T244" s="37"/>
      <c r="U244" s="3"/>
    </row>
    <row r="245" spans="1:21" ht="14.25" customHeight="1" x14ac:dyDescent="0.3">
      <c r="A245" s="3"/>
      <c r="B245" s="3"/>
      <c r="C245" s="37"/>
      <c r="D245" s="37"/>
      <c r="E245" s="37"/>
      <c r="F245" s="37"/>
      <c r="G245" s="99"/>
      <c r="H245" s="98"/>
      <c r="I245" s="99"/>
      <c r="J245" s="98"/>
      <c r="K245" s="37"/>
      <c r="L245" s="37"/>
      <c r="M245" s="37"/>
      <c r="N245" s="37"/>
      <c r="O245" s="37"/>
      <c r="P245" s="37"/>
      <c r="Q245" s="37"/>
      <c r="R245" s="37"/>
      <c r="S245" s="37"/>
      <c r="T245" s="37"/>
      <c r="U245" s="3"/>
    </row>
    <row r="246" spans="1:21" ht="14.25" customHeight="1" x14ac:dyDescent="0.3">
      <c r="A246" s="3"/>
      <c r="B246" s="3"/>
      <c r="C246" s="37"/>
      <c r="D246" s="37"/>
      <c r="E246" s="37"/>
      <c r="F246" s="37"/>
      <c r="G246" s="99"/>
      <c r="H246" s="98"/>
      <c r="I246" s="99"/>
      <c r="J246" s="98"/>
      <c r="K246" s="37"/>
      <c r="L246" s="37"/>
      <c r="M246" s="37"/>
      <c r="N246" s="37"/>
      <c r="O246" s="37"/>
      <c r="P246" s="37"/>
      <c r="Q246" s="37"/>
      <c r="R246" s="37"/>
      <c r="S246" s="37"/>
      <c r="T246" s="37"/>
      <c r="U246" s="3"/>
    </row>
    <row r="247" spans="1:21" ht="14.25" customHeight="1" x14ac:dyDescent="0.3">
      <c r="A247" s="3"/>
      <c r="B247" s="3"/>
      <c r="C247" s="37"/>
      <c r="D247" s="37"/>
      <c r="E247" s="37"/>
      <c r="F247" s="37"/>
      <c r="G247" s="99"/>
      <c r="H247" s="98"/>
      <c r="I247" s="99"/>
      <c r="J247" s="98"/>
      <c r="K247" s="37"/>
      <c r="L247" s="37"/>
      <c r="M247" s="37"/>
      <c r="N247" s="37"/>
      <c r="O247" s="37"/>
      <c r="P247" s="37"/>
      <c r="Q247" s="37"/>
      <c r="R247" s="37"/>
      <c r="S247" s="37"/>
      <c r="T247" s="37"/>
      <c r="U247" s="3"/>
    </row>
    <row r="248" spans="1:21" ht="14.25" customHeight="1" x14ac:dyDescent="0.3">
      <c r="A248" s="3"/>
      <c r="B248" s="3"/>
      <c r="C248" s="37"/>
      <c r="D248" s="37"/>
      <c r="E248" s="37"/>
      <c r="F248" s="37"/>
      <c r="G248" s="99"/>
      <c r="H248" s="98"/>
      <c r="I248" s="99"/>
      <c r="J248" s="98"/>
      <c r="K248" s="37"/>
      <c r="L248" s="37"/>
      <c r="M248" s="37"/>
      <c r="N248" s="37"/>
      <c r="O248" s="37"/>
      <c r="P248" s="37"/>
      <c r="Q248" s="37"/>
      <c r="R248" s="37"/>
      <c r="S248" s="37"/>
      <c r="T248" s="37"/>
      <c r="U248" s="3"/>
    </row>
    <row r="249" spans="1:21" ht="14.25" customHeight="1" x14ac:dyDescent="0.3">
      <c r="A249" s="3"/>
      <c r="B249" s="3"/>
      <c r="C249" s="37"/>
      <c r="D249" s="37"/>
      <c r="E249" s="37"/>
      <c r="F249" s="37"/>
      <c r="G249" s="99"/>
      <c r="H249" s="98"/>
      <c r="I249" s="99"/>
      <c r="J249" s="98"/>
      <c r="K249" s="37"/>
      <c r="L249" s="37"/>
      <c r="M249" s="37"/>
      <c r="N249" s="37"/>
      <c r="O249" s="37"/>
      <c r="P249" s="37"/>
      <c r="Q249" s="37"/>
      <c r="R249" s="37"/>
      <c r="S249" s="37"/>
      <c r="T249" s="37"/>
      <c r="U249" s="3"/>
    </row>
    <row r="250" spans="1:21" ht="14.25" customHeight="1" x14ac:dyDescent="0.3">
      <c r="A250" s="3"/>
      <c r="B250" s="3"/>
      <c r="C250" s="37"/>
      <c r="D250" s="37"/>
      <c r="E250" s="37"/>
      <c r="F250" s="37"/>
      <c r="G250" s="99"/>
      <c r="H250" s="98"/>
      <c r="I250" s="99"/>
      <c r="J250" s="98"/>
      <c r="K250" s="37"/>
      <c r="L250" s="37"/>
      <c r="M250" s="37"/>
      <c r="N250" s="37"/>
      <c r="O250" s="37"/>
      <c r="P250" s="37"/>
      <c r="Q250" s="37"/>
      <c r="R250" s="37"/>
      <c r="S250" s="37"/>
      <c r="T250" s="37"/>
      <c r="U250" s="3"/>
    </row>
    <row r="251" spans="1:21" ht="14.25" customHeight="1" x14ac:dyDescent="0.3">
      <c r="A251" s="3"/>
      <c r="B251" s="3"/>
      <c r="C251" s="37"/>
      <c r="D251" s="37"/>
      <c r="E251" s="37"/>
      <c r="F251" s="37"/>
      <c r="G251" s="99"/>
      <c r="H251" s="98"/>
      <c r="I251" s="99"/>
      <c r="J251" s="98"/>
      <c r="K251" s="37"/>
      <c r="L251" s="37"/>
      <c r="M251" s="37"/>
      <c r="N251" s="37"/>
      <c r="O251" s="37"/>
      <c r="P251" s="37"/>
      <c r="Q251" s="37"/>
      <c r="R251" s="37"/>
      <c r="S251" s="37"/>
      <c r="T251" s="37"/>
      <c r="U251" s="3"/>
    </row>
    <row r="252" spans="1:21" ht="14.25" customHeight="1" x14ac:dyDescent="0.3">
      <c r="A252" s="3"/>
      <c r="B252" s="3"/>
      <c r="C252" s="37"/>
      <c r="D252" s="37"/>
      <c r="E252" s="37"/>
      <c r="F252" s="37"/>
      <c r="G252" s="99"/>
      <c r="H252" s="98"/>
      <c r="I252" s="99"/>
      <c r="J252" s="98"/>
      <c r="K252" s="37"/>
      <c r="L252" s="37"/>
      <c r="M252" s="37"/>
      <c r="N252" s="37"/>
      <c r="O252" s="37"/>
      <c r="P252" s="37"/>
      <c r="Q252" s="37"/>
      <c r="R252" s="37"/>
      <c r="S252" s="37"/>
      <c r="T252" s="37"/>
      <c r="U252" s="3"/>
    </row>
    <row r="253" spans="1:21" ht="14.25" customHeight="1" x14ac:dyDescent="0.3">
      <c r="A253" s="3"/>
      <c r="B253" s="3"/>
      <c r="C253" s="37"/>
      <c r="D253" s="37"/>
      <c r="E253" s="37"/>
      <c r="F253" s="37"/>
      <c r="G253" s="99"/>
      <c r="H253" s="98"/>
      <c r="I253" s="99"/>
      <c r="J253" s="98"/>
      <c r="K253" s="37"/>
      <c r="L253" s="37"/>
      <c r="M253" s="37"/>
      <c r="N253" s="37"/>
      <c r="O253" s="37"/>
      <c r="P253" s="37"/>
      <c r="Q253" s="37"/>
      <c r="R253" s="37"/>
      <c r="S253" s="37"/>
      <c r="T253" s="37"/>
      <c r="U253" s="3"/>
    </row>
    <row r="254" spans="1:21" ht="14.25" customHeight="1" x14ac:dyDescent="0.3">
      <c r="A254" s="3"/>
      <c r="B254" s="3"/>
      <c r="C254" s="37"/>
      <c r="D254" s="37"/>
      <c r="E254" s="37"/>
      <c r="F254" s="37"/>
      <c r="G254" s="99"/>
      <c r="H254" s="98"/>
      <c r="I254" s="99"/>
      <c r="J254" s="98"/>
      <c r="K254" s="37"/>
      <c r="L254" s="37"/>
      <c r="M254" s="37"/>
      <c r="N254" s="37"/>
      <c r="O254" s="37"/>
      <c r="P254" s="37"/>
      <c r="Q254" s="37"/>
      <c r="R254" s="37"/>
      <c r="S254" s="37"/>
      <c r="T254" s="37"/>
      <c r="U254" s="3"/>
    </row>
    <row r="255" spans="1:21" ht="14.25" customHeight="1" x14ac:dyDescent="0.3">
      <c r="A255" s="3"/>
      <c r="B255" s="3"/>
      <c r="C255" s="37"/>
      <c r="D255" s="37"/>
      <c r="E255" s="37"/>
      <c r="F255" s="37"/>
      <c r="G255" s="99"/>
      <c r="H255" s="98"/>
      <c r="I255" s="99"/>
      <c r="J255" s="98"/>
      <c r="K255" s="37"/>
      <c r="L255" s="37"/>
      <c r="M255" s="37"/>
      <c r="N255" s="37"/>
      <c r="O255" s="37"/>
      <c r="P255" s="37"/>
      <c r="Q255" s="37"/>
      <c r="R255" s="37"/>
      <c r="S255" s="37"/>
      <c r="T255" s="37"/>
      <c r="U255" s="3"/>
    </row>
    <row r="256" spans="1:21" ht="14.25" customHeight="1" x14ac:dyDescent="0.3">
      <c r="A256" s="3"/>
      <c r="B256" s="3"/>
      <c r="C256" s="37"/>
      <c r="D256" s="37"/>
      <c r="E256" s="37"/>
      <c r="F256" s="37"/>
      <c r="G256" s="99"/>
      <c r="H256" s="98"/>
      <c r="I256" s="99"/>
      <c r="J256" s="98"/>
      <c r="K256" s="37"/>
      <c r="L256" s="37"/>
      <c r="M256" s="37"/>
      <c r="N256" s="37"/>
      <c r="O256" s="37"/>
      <c r="P256" s="37"/>
      <c r="Q256" s="37"/>
      <c r="R256" s="37"/>
      <c r="S256" s="37"/>
      <c r="T256" s="37"/>
      <c r="U256" s="3"/>
    </row>
    <row r="257" spans="1:21" ht="14.25" customHeight="1" x14ac:dyDescent="0.3">
      <c r="A257" s="3"/>
      <c r="B257" s="3"/>
      <c r="C257" s="37"/>
      <c r="D257" s="37"/>
      <c r="E257" s="37"/>
      <c r="F257" s="37"/>
      <c r="G257" s="99"/>
      <c r="H257" s="98"/>
      <c r="I257" s="99"/>
      <c r="J257" s="98"/>
      <c r="K257" s="37"/>
      <c r="L257" s="37"/>
      <c r="M257" s="37"/>
      <c r="N257" s="37"/>
      <c r="O257" s="37"/>
      <c r="P257" s="37"/>
      <c r="Q257" s="37"/>
      <c r="R257" s="37"/>
      <c r="S257" s="37"/>
      <c r="T257" s="37"/>
      <c r="U257" s="3"/>
    </row>
    <row r="258" spans="1:21" ht="14.25" customHeight="1" x14ac:dyDescent="0.3">
      <c r="A258" s="3"/>
      <c r="B258" s="3"/>
      <c r="C258" s="37"/>
      <c r="D258" s="37"/>
      <c r="E258" s="37"/>
      <c r="F258" s="37"/>
      <c r="G258" s="99"/>
      <c r="H258" s="98"/>
      <c r="I258" s="99"/>
      <c r="J258" s="98"/>
      <c r="K258" s="37"/>
      <c r="L258" s="37"/>
      <c r="M258" s="37"/>
      <c r="N258" s="37"/>
      <c r="O258" s="37"/>
      <c r="P258" s="37"/>
      <c r="Q258" s="37"/>
      <c r="R258" s="37"/>
      <c r="S258" s="37"/>
      <c r="T258" s="37"/>
      <c r="U258" s="3"/>
    </row>
    <row r="259" spans="1:21" ht="14.25" customHeight="1" x14ac:dyDescent="0.3">
      <c r="A259" s="3"/>
      <c r="B259" s="3"/>
      <c r="C259" s="37"/>
      <c r="D259" s="37"/>
      <c r="E259" s="37"/>
      <c r="F259" s="37"/>
      <c r="G259" s="99"/>
      <c r="H259" s="98"/>
      <c r="I259" s="99"/>
      <c r="J259" s="98"/>
      <c r="K259" s="37"/>
      <c r="L259" s="37"/>
      <c r="M259" s="37"/>
      <c r="N259" s="37"/>
      <c r="O259" s="37"/>
      <c r="P259" s="37"/>
      <c r="Q259" s="37"/>
      <c r="R259" s="37"/>
      <c r="S259" s="37"/>
      <c r="T259" s="37"/>
      <c r="U259" s="3"/>
    </row>
    <row r="260" spans="1:21" ht="14.25" customHeight="1" x14ac:dyDescent="0.3">
      <c r="A260" s="3"/>
      <c r="B260" s="3"/>
      <c r="C260" s="37"/>
      <c r="D260" s="37"/>
      <c r="E260" s="37"/>
      <c r="F260" s="37"/>
      <c r="G260" s="99"/>
      <c r="H260" s="98"/>
      <c r="I260" s="99"/>
      <c r="J260" s="98"/>
      <c r="K260" s="37"/>
      <c r="L260" s="37"/>
      <c r="M260" s="37"/>
      <c r="N260" s="37"/>
      <c r="O260" s="37"/>
      <c r="P260" s="37"/>
      <c r="Q260" s="37"/>
      <c r="R260" s="37"/>
      <c r="S260" s="37"/>
      <c r="T260" s="37"/>
      <c r="U260" s="3"/>
    </row>
    <row r="261" spans="1:21" ht="14.25" customHeight="1" x14ac:dyDescent="0.3">
      <c r="A261" s="3"/>
      <c r="B261" s="3"/>
      <c r="C261" s="37"/>
      <c r="D261" s="37"/>
      <c r="E261" s="37"/>
      <c r="F261" s="37"/>
      <c r="G261" s="99"/>
      <c r="H261" s="98"/>
      <c r="I261" s="99"/>
      <c r="J261" s="98"/>
      <c r="K261" s="37"/>
      <c r="L261" s="37"/>
      <c r="M261" s="37"/>
      <c r="N261" s="37"/>
      <c r="O261" s="37"/>
      <c r="P261" s="37"/>
      <c r="Q261" s="37"/>
      <c r="R261" s="37"/>
      <c r="S261" s="37"/>
      <c r="T261" s="37"/>
      <c r="U261" s="3"/>
    </row>
    <row r="262" spans="1:21" ht="14.25" customHeight="1" x14ac:dyDescent="0.3">
      <c r="A262" s="3"/>
      <c r="B262" s="3"/>
      <c r="C262" s="37"/>
      <c r="D262" s="37"/>
      <c r="E262" s="37"/>
      <c r="F262" s="37"/>
      <c r="G262" s="99"/>
      <c r="H262" s="98"/>
      <c r="I262" s="99"/>
      <c r="J262" s="98"/>
      <c r="K262" s="37"/>
      <c r="L262" s="37"/>
      <c r="M262" s="37"/>
      <c r="N262" s="37"/>
      <c r="O262" s="37"/>
      <c r="P262" s="37"/>
      <c r="Q262" s="37"/>
      <c r="R262" s="37"/>
      <c r="S262" s="37"/>
      <c r="T262" s="37"/>
      <c r="U262" s="3"/>
    </row>
    <row r="263" spans="1:21" ht="14.25" customHeight="1" x14ac:dyDescent="0.3">
      <c r="A263" s="3"/>
      <c r="B263" s="3"/>
      <c r="C263" s="37"/>
      <c r="D263" s="37"/>
      <c r="E263" s="37"/>
      <c r="F263" s="37"/>
      <c r="G263" s="99"/>
      <c r="H263" s="98"/>
      <c r="I263" s="99"/>
      <c r="J263" s="98"/>
      <c r="K263" s="37"/>
      <c r="L263" s="37"/>
      <c r="M263" s="37"/>
      <c r="N263" s="37"/>
      <c r="O263" s="37"/>
      <c r="P263" s="37"/>
      <c r="Q263" s="37"/>
      <c r="R263" s="37"/>
      <c r="S263" s="37"/>
      <c r="T263" s="37"/>
      <c r="U263" s="3"/>
    </row>
    <row r="264" spans="1:21" ht="14.25" customHeight="1" x14ac:dyDescent="0.3">
      <c r="A264" s="3"/>
      <c r="B264" s="3"/>
      <c r="C264" s="37"/>
      <c r="D264" s="37"/>
      <c r="E264" s="37"/>
      <c r="F264" s="37"/>
      <c r="G264" s="99"/>
      <c r="H264" s="98"/>
      <c r="I264" s="99"/>
      <c r="J264" s="98"/>
      <c r="K264" s="37"/>
      <c r="L264" s="37"/>
      <c r="M264" s="37"/>
      <c r="N264" s="37"/>
      <c r="O264" s="37"/>
      <c r="P264" s="37"/>
      <c r="Q264" s="37"/>
      <c r="R264" s="37"/>
      <c r="S264" s="37"/>
      <c r="T264" s="37"/>
      <c r="U264" s="3"/>
    </row>
    <row r="265" spans="1:21" ht="14.25" customHeight="1" x14ac:dyDescent="0.3">
      <c r="A265" s="3"/>
      <c r="B265" s="3"/>
      <c r="C265" s="37"/>
      <c r="D265" s="37"/>
      <c r="E265" s="37"/>
      <c r="F265" s="37"/>
      <c r="G265" s="99"/>
      <c r="H265" s="98"/>
      <c r="I265" s="99"/>
      <c r="J265" s="98"/>
      <c r="K265" s="37"/>
      <c r="L265" s="37"/>
      <c r="M265" s="37"/>
      <c r="N265" s="37"/>
      <c r="O265" s="37"/>
      <c r="P265" s="37"/>
      <c r="Q265" s="37"/>
      <c r="R265" s="37"/>
      <c r="S265" s="37"/>
      <c r="T265" s="37"/>
      <c r="U265" s="3"/>
    </row>
    <row r="266" spans="1:21" ht="14.25" customHeight="1" x14ac:dyDescent="0.3">
      <c r="A266" s="3"/>
      <c r="B266" s="3"/>
      <c r="C266" s="37"/>
      <c r="D266" s="37"/>
      <c r="E266" s="37"/>
      <c r="F266" s="37"/>
      <c r="G266" s="99"/>
      <c r="H266" s="98"/>
      <c r="I266" s="99"/>
      <c r="J266" s="98"/>
      <c r="K266" s="37"/>
      <c r="L266" s="37"/>
      <c r="M266" s="37"/>
      <c r="N266" s="37"/>
      <c r="O266" s="37"/>
      <c r="P266" s="37"/>
      <c r="Q266" s="37"/>
      <c r="R266" s="37"/>
      <c r="S266" s="37"/>
      <c r="T266" s="37"/>
      <c r="U266" s="3"/>
    </row>
    <row r="267" spans="1:21" ht="14.25" customHeight="1" x14ac:dyDescent="0.3">
      <c r="A267" s="3"/>
      <c r="B267" s="3"/>
      <c r="C267" s="37"/>
      <c r="D267" s="37"/>
      <c r="E267" s="37"/>
      <c r="F267" s="37"/>
      <c r="G267" s="99"/>
      <c r="H267" s="98"/>
      <c r="I267" s="99"/>
      <c r="J267" s="98"/>
      <c r="K267" s="37"/>
      <c r="L267" s="37"/>
      <c r="M267" s="37"/>
      <c r="N267" s="37"/>
      <c r="O267" s="37"/>
      <c r="P267" s="37"/>
      <c r="Q267" s="37"/>
      <c r="R267" s="37"/>
      <c r="S267" s="37"/>
      <c r="T267" s="37"/>
      <c r="U267" s="3"/>
    </row>
    <row r="268" spans="1:21" ht="14.25" customHeight="1" x14ac:dyDescent="0.3">
      <c r="A268" s="3"/>
      <c r="B268" s="3"/>
      <c r="C268" s="37"/>
      <c r="D268" s="37"/>
      <c r="E268" s="37"/>
      <c r="F268" s="37"/>
      <c r="G268" s="99"/>
      <c r="H268" s="98"/>
      <c r="I268" s="99"/>
      <c r="J268" s="98"/>
      <c r="K268" s="37"/>
      <c r="L268" s="37"/>
      <c r="M268" s="37"/>
      <c r="N268" s="37"/>
      <c r="O268" s="37"/>
      <c r="P268" s="37"/>
      <c r="Q268" s="37"/>
      <c r="R268" s="37"/>
      <c r="S268" s="37"/>
      <c r="T268" s="37"/>
      <c r="U268" s="3"/>
    </row>
    <row r="269" spans="1:21" ht="14.25" customHeight="1" x14ac:dyDescent="0.3">
      <c r="A269" s="3"/>
      <c r="B269" s="3"/>
      <c r="C269" s="37"/>
      <c r="D269" s="37"/>
      <c r="E269" s="37"/>
      <c r="F269" s="37"/>
      <c r="G269" s="99"/>
      <c r="H269" s="98"/>
      <c r="I269" s="99"/>
      <c r="J269" s="98"/>
      <c r="K269" s="37"/>
      <c r="L269" s="37"/>
      <c r="M269" s="37"/>
      <c r="N269" s="37"/>
      <c r="O269" s="37"/>
      <c r="P269" s="37"/>
      <c r="Q269" s="37"/>
      <c r="R269" s="37"/>
      <c r="S269" s="37"/>
      <c r="T269" s="37"/>
      <c r="U269" s="3"/>
    </row>
    <row r="270" spans="1:21" ht="14.25" customHeight="1" x14ac:dyDescent="0.3">
      <c r="A270" s="3"/>
      <c r="B270" s="3"/>
      <c r="C270" s="37"/>
      <c r="D270" s="37"/>
      <c r="E270" s="37"/>
      <c r="F270" s="37"/>
      <c r="G270" s="99"/>
      <c r="H270" s="98"/>
      <c r="I270" s="99"/>
      <c r="J270" s="98"/>
      <c r="K270" s="37"/>
      <c r="L270" s="37"/>
      <c r="M270" s="37"/>
      <c r="N270" s="37"/>
      <c r="O270" s="37"/>
      <c r="P270" s="37"/>
      <c r="Q270" s="37"/>
      <c r="R270" s="37"/>
      <c r="S270" s="37"/>
      <c r="T270" s="37"/>
      <c r="U270" s="3"/>
    </row>
    <row r="271" spans="1:21" ht="14.25" customHeight="1" x14ac:dyDescent="0.3">
      <c r="A271" s="3"/>
      <c r="B271" s="3"/>
      <c r="C271" s="37"/>
      <c r="D271" s="37"/>
      <c r="E271" s="37"/>
      <c r="F271" s="37"/>
      <c r="G271" s="99"/>
      <c r="H271" s="98"/>
      <c r="I271" s="99"/>
      <c r="J271" s="98"/>
      <c r="K271" s="37"/>
      <c r="L271" s="37"/>
      <c r="M271" s="37"/>
      <c r="N271" s="37"/>
      <c r="O271" s="37"/>
      <c r="P271" s="37"/>
      <c r="Q271" s="37"/>
      <c r="R271" s="37"/>
      <c r="S271" s="37"/>
      <c r="T271" s="37"/>
      <c r="U271" s="3"/>
    </row>
    <row r="272" spans="1:21" ht="14.25" customHeight="1" x14ac:dyDescent="0.3">
      <c r="A272" s="3"/>
      <c r="B272" s="3"/>
      <c r="C272" s="37"/>
      <c r="D272" s="37"/>
      <c r="E272" s="37"/>
      <c r="F272" s="37"/>
      <c r="G272" s="99"/>
      <c r="H272" s="98"/>
      <c r="I272" s="99"/>
      <c r="J272" s="98"/>
      <c r="K272" s="37"/>
      <c r="L272" s="37"/>
      <c r="M272" s="37"/>
      <c r="N272" s="37"/>
      <c r="O272" s="37"/>
      <c r="P272" s="37"/>
      <c r="Q272" s="37"/>
      <c r="R272" s="37"/>
      <c r="S272" s="37"/>
      <c r="T272" s="37"/>
      <c r="U272" s="3"/>
    </row>
    <row r="273" spans="1:21" ht="14.25" customHeight="1" x14ac:dyDescent="0.3">
      <c r="A273" s="3"/>
      <c r="B273" s="3"/>
      <c r="C273" s="37"/>
      <c r="D273" s="37"/>
      <c r="E273" s="37"/>
      <c r="F273" s="37"/>
      <c r="G273" s="99"/>
      <c r="H273" s="98"/>
      <c r="I273" s="99"/>
      <c r="J273" s="98"/>
      <c r="K273" s="37"/>
      <c r="L273" s="37"/>
      <c r="M273" s="37"/>
      <c r="N273" s="37"/>
      <c r="O273" s="37"/>
      <c r="P273" s="37"/>
      <c r="Q273" s="37"/>
      <c r="R273" s="37"/>
      <c r="S273" s="37"/>
      <c r="T273" s="37"/>
      <c r="U273" s="3"/>
    </row>
    <row r="274" spans="1:21" ht="14.25" customHeight="1" x14ac:dyDescent="0.3">
      <c r="A274" s="3"/>
      <c r="B274" s="3"/>
      <c r="C274" s="37"/>
      <c r="D274" s="37"/>
      <c r="E274" s="37"/>
      <c r="F274" s="37"/>
      <c r="G274" s="99"/>
      <c r="H274" s="98"/>
      <c r="I274" s="99"/>
      <c r="J274" s="98"/>
      <c r="K274" s="37"/>
      <c r="L274" s="37"/>
      <c r="M274" s="37"/>
      <c r="N274" s="37"/>
      <c r="O274" s="37"/>
      <c r="P274" s="37"/>
      <c r="Q274" s="37"/>
      <c r="R274" s="37"/>
      <c r="S274" s="37"/>
      <c r="T274" s="37"/>
      <c r="U274" s="3"/>
    </row>
    <row r="275" spans="1:21" ht="14.25" customHeight="1" x14ac:dyDescent="0.3">
      <c r="A275" s="3"/>
      <c r="B275" s="3"/>
      <c r="C275" s="37"/>
      <c r="D275" s="37"/>
      <c r="E275" s="37"/>
      <c r="F275" s="37"/>
      <c r="G275" s="99"/>
      <c r="H275" s="98"/>
      <c r="I275" s="99"/>
      <c r="J275" s="98"/>
      <c r="K275" s="37"/>
      <c r="L275" s="37"/>
      <c r="M275" s="37"/>
      <c r="N275" s="37"/>
      <c r="O275" s="37"/>
      <c r="P275" s="37"/>
      <c r="Q275" s="37"/>
      <c r="R275" s="37"/>
      <c r="S275" s="37"/>
      <c r="T275" s="37"/>
      <c r="U275" s="3"/>
    </row>
    <row r="276" spans="1:21" ht="14.25" customHeight="1" x14ac:dyDescent="0.3">
      <c r="A276" s="3"/>
      <c r="B276" s="3"/>
      <c r="C276" s="37"/>
      <c r="D276" s="37"/>
      <c r="E276" s="37"/>
      <c r="F276" s="37"/>
      <c r="G276" s="99"/>
      <c r="H276" s="98"/>
      <c r="I276" s="99"/>
      <c r="J276" s="98"/>
      <c r="K276" s="37"/>
      <c r="L276" s="37"/>
      <c r="M276" s="37"/>
      <c r="N276" s="37"/>
      <c r="O276" s="37"/>
      <c r="P276" s="37"/>
      <c r="Q276" s="37"/>
      <c r="R276" s="37"/>
      <c r="S276" s="37"/>
      <c r="T276" s="37"/>
      <c r="U276" s="3"/>
    </row>
    <row r="277" spans="1:21" ht="14.25" customHeight="1" x14ac:dyDescent="0.3">
      <c r="A277" s="3"/>
      <c r="B277" s="3"/>
      <c r="C277" s="37"/>
      <c r="D277" s="37"/>
      <c r="E277" s="37"/>
      <c r="F277" s="37"/>
      <c r="G277" s="99"/>
      <c r="H277" s="98"/>
      <c r="I277" s="99"/>
      <c r="J277" s="98"/>
      <c r="K277" s="37"/>
      <c r="L277" s="37"/>
      <c r="M277" s="37"/>
      <c r="N277" s="37"/>
      <c r="O277" s="37"/>
      <c r="P277" s="37"/>
      <c r="Q277" s="37"/>
      <c r="R277" s="37"/>
      <c r="S277" s="37"/>
      <c r="T277" s="37"/>
      <c r="U277" s="3"/>
    </row>
    <row r="278" spans="1:21" ht="14.25" customHeight="1" x14ac:dyDescent="0.3">
      <c r="A278" s="3"/>
      <c r="B278" s="3"/>
      <c r="C278" s="37"/>
      <c r="D278" s="37"/>
      <c r="E278" s="37"/>
      <c r="F278" s="37"/>
      <c r="G278" s="99"/>
      <c r="H278" s="98"/>
      <c r="I278" s="99"/>
      <c r="J278" s="98"/>
      <c r="K278" s="37"/>
      <c r="L278" s="37"/>
      <c r="M278" s="37"/>
      <c r="N278" s="37"/>
      <c r="O278" s="37"/>
      <c r="P278" s="37"/>
      <c r="Q278" s="37"/>
      <c r="R278" s="37"/>
      <c r="S278" s="37"/>
      <c r="T278" s="37"/>
      <c r="U278" s="3"/>
    </row>
    <row r="279" spans="1:21" ht="14.25" customHeight="1" x14ac:dyDescent="0.3">
      <c r="A279" s="3"/>
      <c r="B279" s="3"/>
      <c r="C279" s="37"/>
      <c r="D279" s="37"/>
      <c r="E279" s="37"/>
      <c r="F279" s="37"/>
      <c r="G279" s="99"/>
      <c r="H279" s="98"/>
      <c r="I279" s="99"/>
      <c r="J279" s="98"/>
      <c r="K279" s="37"/>
      <c r="L279" s="37"/>
      <c r="M279" s="37"/>
      <c r="N279" s="37"/>
      <c r="O279" s="37"/>
      <c r="P279" s="37"/>
      <c r="Q279" s="37"/>
      <c r="R279" s="37"/>
      <c r="S279" s="37"/>
      <c r="T279" s="37"/>
      <c r="U279" s="3"/>
    </row>
    <row r="280" spans="1:21" ht="14.25" customHeight="1" x14ac:dyDescent="0.3">
      <c r="A280" s="3"/>
      <c r="B280" s="3"/>
      <c r="C280" s="37"/>
      <c r="D280" s="37"/>
      <c r="E280" s="37"/>
      <c r="F280" s="37"/>
      <c r="G280" s="99"/>
      <c r="H280" s="98"/>
      <c r="I280" s="99"/>
      <c r="J280" s="98"/>
      <c r="K280" s="37"/>
      <c r="L280" s="37"/>
      <c r="M280" s="37"/>
      <c r="N280" s="37"/>
      <c r="O280" s="37"/>
      <c r="P280" s="37"/>
      <c r="Q280" s="37"/>
      <c r="R280" s="37"/>
      <c r="S280" s="37"/>
      <c r="T280" s="37"/>
      <c r="U280" s="3"/>
    </row>
    <row r="281" spans="1:21" ht="14.25" customHeight="1" x14ac:dyDescent="0.3">
      <c r="A281" s="3"/>
      <c r="B281" s="3"/>
      <c r="C281" s="37"/>
      <c r="D281" s="37"/>
      <c r="E281" s="37"/>
      <c r="F281" s="37"/>
      <c r="G281" s="99"/>
      <c r="H281" s="98"/>
      <c r="I281" s="99"/>
      <c r="J281" s="98"/>
      <c r="K281" s="37"/>
      <c r="L281" s="37"/>
      <c r="M281" s="37"/>
      <c r="N281" s="37"/>
      <c r="O281" s="37"/>
      <c r="P281" s="37"/>
      <c r="Q281" s="37"/>
      <c r="R281" s="37"/>
      <c r="S281" s="37"/>
      <c r="T281" s="37"/>
      <c r="U281" s="3"/>
    </row>
    <row r="282" spans="1:21" ht="14.25" customHeight="1" x14ac:dyDescent="0.3">
      <c r="A282" s="3"/>
      <c r="B282" s="3"/>
      <c r="C282" s="37"/>
      <c r="D282" s="37"/>
      <c r="E282" s="37"/>
      <c r="F282" s="37"/>
      <c r="G282" s="99"/>
      <c r="H282" s="98"/>
      <c r="I282" s="99"/>
      <c r="J282" s="98"/>
      <c r="K282" s="37"/>
      <c r="L282" s="37"/>
      <c r="M282" s="37"/>
      <c r="N282" s="37"/>
      <c r="O282" s="37"/>
      <c r="P282" s="37"/>
      <c r="Q282" s="37"/>
      <c r="R282" s="37"/>
      <c r="S282" s="37"/>
      <c r="T282" s="37"/>
      <c r="U282" s="3"/>
    </row>
    <row r="283" spans="1:21" ht="14.25" customHeight="1" x14ac:dyDescent="0.3">
      <c r="A283" s="3"/>
      <c r="B283" s="3"/>
      <c r="C283" s="37"/>
      <c r="D283" s="37"/>
      <c r="E283" s="37"/>
      <c r="F283" s="37"/>
      <c r="G283" s="99"/>
      <c r="H283" s="98"/>
      <c r="I283" s="99"/>
      <c r="J283" s="98"/>
      <c r="K283" s="37"/>
      <c r="L283" s="37"/>
      <c r="M283" s="37"/>
      <c r="N283" s="37"/>
      <c r="O283" s="37"/>
      <c r="P283" s="37"/>
      <c r="Q283" s="37"/>
      <c r="R283" s="37"/>
      <c r="S283" s="37"/>
      <c r="T283" s="37"/>
      <c r="U283" s="3"/>
    </row>
    <row r="284" spans="1:21" ht="14.25" customHeight="1" x14ac:dyDescent="0.3">
      <c r="A284" s="3"/>
      <c r="B284" s="3"/>
      <c r="C284" s="37"/>
      <c r="D284" s="37"/>
      <c r="E284" s="37"/>
      <c r="F284" s="37"/>
      <c r="G284" s="99"/>
      <c r="H284" s="98"/>
      <c r="I284" s="99"/>
      <c r="J284" s="98"/>
      <c r="K284" s="37"/>
      <c r="L284" s="37"/>
      <c r="M284" s="37"/>
      <c r="N284" s="37"/>
      <c r="O284" s="37"/>
      <c r="P284" s="37"/>
      <c r="Q284" s="37"/>
      <c r="R284" s="37"/>
      <c r="S284" s="37"/>
      <c r="T284" s="37"/>
      <c r="U284" s="3"/>
    </row>
    <row r="285" spans="1:21" ht="14.25" customHeight="1" x14ac:dyDescent="0.3">
      <c r="A285" s="3"/>
      <c r="B285" s="3"/>
      <c r="C285" s="37"/>
      <c r="D285" s="37"/>
      <c r="E285" s="37"/>
      <c r="F285" s="37"/>
      <c r="G285" s="99"/>
      <c r="H285" s="98"/>
      <c r="I285" s="99"/>
      <c r="J285" s="98"/>
      <c r="K285" s="37"/>
      <c r="L285" s="37"/>
      <c r="M285" s="37"/>
      <c r="N285" s="37"/>
      <c r="O285" s="37"/>
      <c r="P285" s="37"/>
      <c r="Q285" s="37"/>
      <c r="R285" s="37"/>
      <c r="S285" s="37"/>
      <c r="T285" s="37"/>
      <c r="U285" s="3"/>
    </row>
    <row r="286" spans="1:21" ht="14.25" customHeight="1" x14ac:dyDescent="0.3">
      <c r="A286" s="3"/>
      <c r="B286" s="3"/>
      <c r="C286" s="37"/>
      <c r="D286" s="37"/>
      <c r="E286" s="37"/>
      <c r="F286" s="37"/>
      <c r="G286" s="99"/>
      <c r="H286" s="98"/>
      <c r="I286" s="99"/>
      <c r="J286" s="98"/>
      <c r="K286" s="37"/>
      <c r="L286" s="37"/>
      <c r="M286" s="37"/>
      <c r="N286" s="37"/>
      <c r="O286" s="37"/>
      <c r="P286" s="37"/>
      <c r="Q286" s="37"/>
      <c r="R286" s="37"/>
      <c r="S286" s="37"/>
      <c r="T286" s="37"/>
      <c r="U286" s="3"/>
    </row>
    <row r="287" spans="1:21" ht="14.25" customHeight="1" x14ac:dyDescent="0.3">
      <c r="A287" s="3"/>
      <c r="B287" s="3"/>
      <c r="C287" s="37"/>
      <c r="D287" s="37"/>
      <c r="E287" s="37"/>
      <c r="F287" s="37"/>
      <c r="G287" s="99"/>
      <c r="H287" s="98"/>
      <c r="I287" s="99"/>
      <c r="J287" s="98"/>
      <c r="K287" s="37"/>
      <c r="L287" s="37"/>
      <c r="M287" s="37"/>
      <c r="N287" s="37"/>
      <c r="O287" s="37"/>
      <c r="P287" s="37"/>
      <c r="Q287" s="37"/>
      <c r="R287" s="37"/>
      <c r="S287" s="37"/>
      <c r="T287" s="37"/>
      <c r="U287" s="3"/>
    </row>
    <row r="288" spans="1:21" ht="14.25" customHeight="1" x14ac:dyDescent="0.3">
      <c r="A288" s="3"/>
      <c r="B288" s="3"/>
      <c r="C288" s="37"/>
      <c r="D288" s="37"/>
      <c r="E288" s="37"/>
      <c r="F288" s="37"/>
      <c r="G288" s="99"/>
      <c r="H288" s="98"/>
      <c r="I288" s="99"/>
      <c r="J288" s="98"/>
      <c r="K288" s="37"/>
      <c r="L288" s="37"/>
      <c r="M288" s="37"/>
      <c r="N288" s="37"/>
      <c r="O288" s="37"/>
      <c r="P288" s="37"/>
      <c r="Q288" s="37"/>
      <c r="R288" s="37"/>
      <c r="S288" s="37"/>
      <c r="T288" s="37"/>
      <c r="U288" s="3"/>
    </row>
    <row r="289" spans="1:21" ht="14.25" customHeight="1" x14ac:dyDescent="0.3">
      <c r="A289" s="3"/>
      <c r="B289" s="3"/>
      <c r="C289" s="37"/>
      <c r="D289" s="37"/>
      <c r="E289" s="37"/>
      <c r="F289" s="37"/>
      <c r="G289" s="99"/>
      <c r="H289" s="98"/>
      <c r="I289" s="99"/>
      <c r="J289" s="98"/>
      <c r="K289" s="37"/>
      <c r="L289" s="37"/>
      <c r="M289" s="37"/>
      <c r="N289" s="37"/>
      <c r="O289" s="37"/>
      <c r="P289" s="37"/>
      <c r="Q289" s="37"/>
      <c r="R289" s="37"/>
      <c r="S289" s="37"/>
      <c r="T289" s="37"/>
      <c r="U289" s="3"/>
    </row>
    <row r="290" spans="1:21" ht="14.25" customHeight="1" x14ac:dyDescent="0.3">
      <c r="A290" s="3"/>
      <c r="B290" s="3"/>
      <c r="C290" s="37"/>
      <c r="D290" s="37"/>
      <c r="E290" s="37"/>
      <c r="F290" s="37"/>
      <c r="G290" s="99"/>
      <c r="H290" s="98"/>
      <c r="I290" s="99"/>
      <c r="J290" s="98"/>
      <c r="K290" s="37"/>
      <c r="L290" s="37"/>
      <c r="M290" s="37"/>
      <c r="N290" s="37"/>
      <c r="O290" s="37"/>
      <c r="P290" s="37"/>
      <c r="Q290" s="37"/>
      <c r="R290" s="37"/>
      <c r="S290" s="37"/>
      <c r="T290" s="37"/>
      <c r="U290" s="3"/>
    </row>
    <row r="291" spans="1:21" ht="14.25" customHeight="1" x14ac:dyDescent="0.3">
      <c r="A291" s="3"/>
      <c r="B291" s="3"/>
      <c r="C291" s="37"/>
      <c r="D291" s="37"/>
      <c r="E291" s="37"/>
      <c r="F291" s="37"/>
      <c r="G291" s="99"/>
      <c r="H291" s="98"/>
      <c r="I291" s="99"/>
      <c r="J291" s="98"/>
      <c r="K291" s="37"/>
      <c r="L291" s="37"/>
      <c r="M291" s="37"/>
      <c r="N291" s="37"/>
      <c r="O291" s="37"/>
      <c r="P291" s="37"/>
      <c r="Q291" s="37"/>
      <c r="R291" s="37"/>
      <c r="S291" s="37"/>
      <c r="T291" s="37"/>
      <c r="U291" s="3"/>
    </row>
    <row r="292" spans="1:21" ht="14.25" customHeight="1" x14ac:dyDescent="0.3">
      <c r="A292" s="3"/>
      <c r="B292" s="3"/>
      <c r="C292" s="37"/>
      <c r="D292" s="37"/>
      <c r="E292" s="37"/>
      <c r="F292" s="37"/>
      <c r="G292" s="99"/>
      <c r="H292" s="98"/>
      <c r="I292" s="99"/>
      <c r="J292" s="98"/>
      <c r="K292" s="37"/>
      <c r="L292" s="37"/>
      <c r="M292" s="37"/>
      <c r="N292" s="37"/>
      <c r="O292" s="37"/>
      <c r="P292" s="37"/>
      <c r="Q292" s="37"/>
      <c r="R292" s="37"/>
      <c r="S292" s="37"/>
      <c r="T292" s="37"/>
      <c r="U292" s="3"/>
    </row>
    <row r="293" spans="1:21" ht="14.25" customHeight="1" x14ac:dyDescent="0.3">
      <c r="A293" s="3"/>
      <c r="B293" s="3"/>
      <c r="C293" s="37"/>
      <c r="D293" s="37"/>
      <c r="E293" s="37"/>
      <c r="F293" s="37"/>
      <c r="G293" s="99"/>
      <c r="H293" s="98"/>
      <c r="I293" s="99"/>
      <c r="J293" s="98"/>
      <c r="K293" s="37"/>
      <c r="L293" s="37"/>
      <c r="M293" s="37"/>
      <c r="N293" s="37"/>
      <c r="O293" s="37"/>
      <c r="P293" s="37"/>
      <c r="Q293" s="37"/>
      <c r="R293" s="37"/>
      <c r="S293" s="37"/>
      <c r="T293" s="37"/>
      <c r="U293" s="3"/>
    </row>
    <row r="294" spans="1:21" ht="14.25" customHeight="1" x14ac:dyDescent="0.3">
      <c r="A294" s="3"/>
      <c r="B294" s="3"/>
      <c r="C294" s="37"/>
      <c r="D294" s="37"/>
      <c r="E294" s="37"/>
      <c r="F294" s="37"/>
      <c r="G294" s="99"/>
      <c r="H294" s="98"/>
      <c r="I294" s="99"/>
      <c r="J294" s="98"/>
      <c r="K294" s="37"/>
      <c r="L294" s="37"/>
      <c r="M294" s="37"/>
      <c r="N294" s="37"/>
      <c r="O294" s="37"/>
      <c r="P294" s="37"/>
      <c r="Q294" s="37"/>
      <c r="R294" s="37"/>
      <c r="S294" s="37"/>
      <c r="T294" s="37"/>
      <c r="U294" s="3"/>
    </row>
    <row r="295" spans="1:21" ht="15.75" customHeight="1" x14ac:dyDescent="0.3">
      <c r="G295" s="155"/>
      <c r="I295" s="155"/>
    </row>
    <row r="296" spans="1:21" ht="15.75" customHeight="1" x14ac:dyDescent="0.3">
      <c r="G296" s="155"/>
      <c r="I296" s="155"/>
    </row>
    <row r="297" spans="1:21" ht="15.75" customHeight="1" x14ac:dyDescent="0.3">
      <c r="G297" s="155"/>
      <c r="I297" s="155"/>
    </row>
    <row r="298" spans="1:21" ht="15.75" customHeight="1" x14ac:dyDescent="0.3">
      <c r="G298" s="155"/>
      <c r="I298" s="155"/>
    </row>
    <row r="299" spans="1:21" ht="15.75" customHeight="1" x14ac:dyDescent="0.3">
      <c r="G299" s="155"/>
      <c r="I299" s="155"/>
    </row>
    <row r="300" spans="1:21" ht="15.75" customHeight="1" x14ac:dyDescent="0.3">
      <c r="G300" s="155"/>
      <c r="I300" s="155"/>
    </row>
    <row r="301" spans="1:21" ht="15.75" customHeight="1" x14ac:dyDescent="0.3">
      <c r="G301" s="155"/>
      <c r="I301" s="155"/>
    </row>
    <row r="302" spans="1:21" ht="15.75" customHeight="1" x14ac:dyDescent="0.3">
      <c r="G302" s="155"/>
      <c r="I302" s="155"/>
    </row>
    <row r="303" spans="1:21" ht="15.75" customHeight="1" x14ac:dyDescent="0.3">
      <c r="G303" s="155"/>
      <c r="I303" s="155"/>
    </row>
    <row r="304" spans="1:21" ht="15.75" customHeight="1" x14ac:dyDescent="0.3">
      <c r="G304" s="155"/>
      <c r="I304" s="155"/>
    </row>
    <row r="305" spans="7:9" ht="15.75" customHeight="1" x14ac:dyDescent="0.3">
      <c r="G305" s="155"/>
      <c r="I305" s="155"/>
    </row>
    <row r="306" spans="7:9" ht="15.75" customHeight="1" x14ac:dyDescent="0.3">
      <c r="G306" s="155"/>
      <c r="I306" s="155"/>
    </row>
    <row r="307" spans="7:9" ht="15.75" customHeight="1" x14ac:dyDescent="0.3">
      <c r="G307" s="155"/>
      <c r="I307" s="155"/>
    </row>
    <row r="308" spans="7:9" ht="15.75" customHeight="1" x14ac:dyDescent="0.3">
      <c r="G308" s="155"/>
      <c r="I308" s="155"/>
    </row>
    <row r="309" spans="7:9" ht="15.75" customHeight="1" x14ac:dyDescent="0.3">
      <c r="G309" s="155"/>
      <c r="I309" s="155"/>
    </row>
    <row r="310" spans="7:9" ht="15.75" customHeight="1" x14ac:dyDescent="0.3">
      <c r="G310" s="155"/>
      <c r="I310" s="155"/>
    </row>
    <row r="311" spans="7:9" ht="15.75" customHeight="1" x14ac:dyDescent="0.3">
      <c r="G311" s="155"/>
      <c r="I311" s="155"/>
    </row>
    <row r="312" spans="7:9" ht="15.75" customHeight="1" x14ac:dyDescent="0.3">
      <c r="G312" s="155"/>
      <c r="I312" s="155"/>
    </row>
    <row r="313" spans="7:9" ht="15.75" customHeight="1" x14ac:dyDescent="0.3">
      <c r="G313" s="155"/>
      <c r="I313" s="155"/>
    </row>
    <row r="314" spans="7:9" ht="15.75" customHeight="1" x14ac:dyDescent="0.3">
      <c r="G314" s="155"/>
      <c r="I314" s="155"/>
    </row>
    <row r="315" spans="7:9" ht="15.75" customHeight="1" x14ac:dyDescent="0.3">
      <c r="G315" s="155"/>
      <c r="I315" s="155"/>
    </row>
    <row r="316" spans="7:9" ht="15.75" customHeight="1" x14ac:dyDescent="0.3">
      <c r="G316" s="155"/>
      <c r="I316" s="155"/>
    </row>
    <row r="317" spans="7:9" ht="15.75" customHeight="1" x14ac:dyDescent="0.3">
      <c r="G317" s="155"/>
      <c r="I317" s="155"/>
    </row>
    <row r="318" spans="7:9" ht="15.75" customHeight="1" x14ac:dyDescent="0.3">
      <c r="G318" s="155"/>
      <c r="I318" s="155"/>
    </row>
    <row r="319" spans="7:9" ht="15.75" customHeight="1" x14ac:dyDescent="0.3">
      <c r="G319" s="155"/>
      <c r="I319" s="155"/>
    </row>
    <row r="320" spans="7:9" ht="15.75" customHeight="1" x14ac:dyDescent="0.3">
      <c r="G320" s="155"/>
      <c r="I320" s="155"/>
    </row>
    <row r="321" spans="7:9" ht="15.75" customHeight="1" x14ac:dyDescent="0.3">
      <c r="G321" s="155"/>
      <c r="I321" s="155"/>
    </row>
    <row r="322" spans="7:9" ht="15.75" customHeight="1" x14ac:dyDescent="0.3">
      <c r="G322" s="155"/>
      <c r="I322" s="155"/>
    </row>
    <row r="323" spans="7:9" ht="15.75" customHeight="1" x14ac:dyDescent="0.3">
      <c r="G323" s="155"/>
      <c r="I323" s="155"/>
    </row>
    <row r="324" spans="7:9" ht="15.75" customHeight="1" x14ac:dyDescent="0.3">
      <c r="G324" s="155"/>
      <c r="I324" s="155"/>
    </row>
    <row r="325" spans="7:9" ht="15.75" customHeight="1" x14ac:dyDescent="0.3">
      <c r="G325" s="155"/>
      <c r="I325" s="155"/>
    </row>
    <row r="326" spans="7:9" ht="15.75" customHeight="1" x14ac:dyDescent="0.3">
      <c r="G326" s="155"/>
      <c r="I326" s="155"/>
    </row>
    <row r="327" spans="7:9" ht="15.75" customHeight="1" x14ac:dyDescent="0.3">
      <c r="G327" s="155"/>
      <c r="I327" s="155"/>
    </row>
    <row r="328" spans="7:9" ht="15.75" customHeight="1" x14ac:dyDescent="0.3">
      <c r="G328" s="155"/>
      <c r="I328" s="155"/>
    </row>
    <row r="329" spans="7:9" ht="15.75" customHeight="1" x14ac:dyDescent="0.3">
      <c r="G329" s="155"/>
      <c r="I329" s="155"/>
    </row>
    <row r="330" spans="7:9" ht="15.75" customHeight="1" x14ac:dyDescent="0.3">
      <c r="G330" s="155"/>
      <c r="I330" s="155"/>
    </row>
    <row r="331" spans="7:9" ht="15.75" customHeight="1" x14ac:dyDescent="0.3">
      <c r="G331" s="155"/>
      <c r="I331" s="155"/>
    </row>
    <row r="332" spans="7:9" ht="15.75" customHeight="1" x14ac:dyDescent="0.3">
      <c r="G332" s="155"/>
      <c r="I332" s="155"/>
    </row>
    <row r="333" spans="7:9" ht="15.75" customHeight="1" x14ac:dyDescent="0.3">
      <c r="G333" s="155"/>
      <c r="I333" s="155"/>
    </row>
    <row r="334" spans="7:9" ht="15.75" customHeight="1" x14ac:dyDescent="0.3">
      <c r="G334" s="155"/>
      <c r="I334" s="155"/>
    </row>
    <row r="335" spans="7:9" ht="15.75" customHeight="1" x14ac:dyDescent="0.3">
      <c r="G335" s="155"/>
      <c r="I335" s="155"/>
    </row>
    <row r="336" spans="7:9" ht="15.75" customHeight="1" x14ac:dyDescent="0.3">
      <c r="G336" s="155"/>
      <c r="I336" s="155"/>
    </row>
    <row r="337" spans="7:9" ht="15.75" customHeight="1" x14ac:dyDescent="0.3">
      <c r="G337" s="155"/>
      <c r="I337" s="155"/>
    </row>
    <row r="338" spans="7:9" ht="15.75" customHeight="1" x14ac:dyDescent="0.3">
      <c r="G338" s="155"/>
      <c r="I338" s="155"/>
    </row>
    <row r="339" spans="7:9" ht="15.75" customHeight="1" x14ac:dyDescent="0.3">
      <c r="G339" s="155"/>
      <c r="I339" s="155"/>
    </row>
    <row r="340" spans="7:9" ht="15.75" customHeight="1" x14ac:dyDescent="0.3">
      <c r="G340" s="155"/>
      <c r="I340" s="155"/>
    </row>
    <row r="341" spans="7:9" ht="15.75" customHeight="1" x14ac:dyDescent="0.3">
      <c r="G341" s="155"/>
      <c r="I341" s="155"/>
    </row>
    <row r="342" spans="7:9" ht="15.75" customHeight="1" x14ac:dyDescent="0.3">
      <c r="G342" s="155"/>
      <c r="I342" s="155"/>
    </row>
    <row r="343" spans="7:9" ht="15.75" customHeight="1" x14ac:dyDescent="0.3">
      <c r="G343" s="155"/>
      <c r="I343" s="155"/>
    </row>
    <row r="344" spans="7:9" ht="15.75" customHeight="1" x14ac:dyDescent="0.3">
      <c r="G344" s="155"/>
      <c r="I344" s="155"/>
    </row>
    <row r="345" spans="7:9" ht="15.75" customHeight="1" x14ac:dyDescent="0.3">
      <c r="G345" s="155"/>
      <c r="I345" s="155"/>
    </row>
    <row r="346" spans="7:9" ht="15.75" customHeight="1" x14ac:dyDescent="0.3">
      <c r="G346" s="155"/>
      <c r="I346" s="155"/>
    </row>
    <row r="347" spans="7:9" ht="15.75" customHeight="1" x14ac:dyDescent="0.3">
      <c r="G347" s="155"/>
      <c r="I347" s="155"/>
    </row>
    <row r="348" spans="7:9" ht="15.75" customHeight="1" x14ac:dyDescent="0.3">
      <c r="G348" s="155"/>
      <c r="I348" s="155"/>
    </row>
    <row r="349" spans="7:9" ht="15.75" customHeight="1" x14ac:dyDescent="0.3">
      <c r="G349" s="155"/>
      <c r="I349" s="155"/>
    </row>
    <row r="350" spans="7:9" ht="15.75" customHeight="1" x14ac:dyDescent="0.3">
      <c r="G350" s="155"/>
      <c r="I350" s="155"/>
    </row>
    <row r="351" spans="7:9" ht="15.75" customHeight="1" x14ac:dyDescent="0.3">
      <c r="G351" s="155"/>
      <c r="I351" s="155"/>
    </row>
    <row r="352" spans="7:9" ht="15.75" customHeight="1" x14ac:dyDescent="0.3">
      <c r="G352" s="155"/>
      <c r="I352" s="155"/>
    </row>
    <row r="353" spans="7:9" ht="15.75" customHeight="1" x14ac:dyDescent="0.3">
      <c r="G353" s="155"/>
      <c r="I353" s="155"/>
    </row>
    <row r="354" spans="7:9" ht="15.75" customHeight="1" x14ac:dyDescent="0.3">
      <c r="G354" s="155"/>
      <c r="I354" s="155"/>
    </row>
    <row r="355" spans="7:9" ht="15.75" customHeight="1" x14ac:dyDescent="0.3">
      <c r="G355" s="155"/>
      <c r="I355" s="155"/>
    </row>
    <row r="356" spans="7:9" ht="15.75" customHeight="1" x14ac:dyDescent="0.3">
      <c r="G356" s="155"/>
      <c r="I356" s="155"/>
    </row>
    <row r="357" spans="7:9" ht="15.75" customHeight="1" x14ac:dyDescent="0.3">
      <c r="G357" s="155"/>
      <c r="I357" s="155"/>
    </row>
    <row r="358" spans="7:9" ht="15.75" customHeight="1" x14ac:dyDescent="0.3">
      <c r="G358" s="155"/>
      <c r="I358" s="155"/>
    </row>
    <row r="359" spans="7:9" ht="15.75" customHeight="1" x14ac:dyDescent="0.3">
      <c r="G359" s="155"/>
      <c r="I359" s="155"/>
    </row>
    <row r="360" spans="7:9" ht="15.75" customHeight="1" x14ac:dyDescent="0.3">
      <c r="G360" s="155"/>
      <c r="I360" s="155"/>
    </row>
    <row r="361" spans="7:9" ht="15.75" customHeight="1" x14ac:dyDescent="0.3">
      <c r="G361" s="155"/>
      <c r="I361" s="155"/>
    </row>
    <row r="362" spans="7:9" ht="15.75" customHeight="1" x14ac:dyDescent="0.3">
      <c r="G362" s="155"/>
      <c r="I362" s="155"/>
    </row>
    <row r="363" spans="7:9" ht="15.75" customHeight="1" x14ac:dyDescent="0.3">
      <c r="G363" s="155"/>
      <c r="I363" s="155"/>
    </row>
    <row r="364" spans="7:9" ht="15.75" customHeight="1" x14ac:dyDescent="0.3">
      <c r="G364" s="155"/>
      <c r="I364" s="155"/>
    </row>
    <row r="365" spans="7:9" ht="15.75" customHeight="1" x14ac:dyDescent="0.3">
      <c r="G365" s="155"/>
      <c r="I365" s="155"/>
    </row>
    <row r="366" spans="7:9" ht="15.75" customHeight="1" x14ac:dyDescent="0.3">
      <c r="G366" s="155"/>
      <c r="I366" s="155"/>
    </row>
    <row r="367" spans="7:9" ht="15.75" customHeight="1" x14ac:dyDescent="0.3">
      <c r="G367" s="155"/>
      <c r="I367" s="155"/>
    </row>
    <row r="368" spans="7:9" ht="15.75" customHeight="1" x14ac:dyDescent="0.3">
      <c r="G368" s="155"/>
      <c r="I368" s="155"/>
    </row>
    <row r="369" spans="7:9" ht="15.75" customHeight="1" x14ac:dyDescent="0.3">
      <c r="G369" s="155"/>
      <c r="I369" s="155"/>
    </row>
    <row r="370" spans="7:9" ht="15.75" customHeight="1" x14ac:dyDescent="0.3">
      <c r="G370" s="155"/>
      <c r="I370" s="155"/>
    </row>
    <row r="371" spans="7:9" ht="15.75" customHeight="1" x14ac:dyDescent="0.3">
      <c r="G371" s="155"/>
      <c r="I371" s="155"/>
    </row>
    <row r="372" spans="7:9" ht="15.75" customHeight="1" x14ac:dyDescent="0.3">
      <c r="G372" s="155"/>
      <c r="I372" s="155"/>
    </row>
    <row r="373" spans="7:9" ht="15.75" customHeight="1" x14ac:dyDescent="0.3">
      <c r="G373" s="155"/>
      <c r="I373" s="155"/>
    </row>
    <row r="374" spans="7:9" ht="15.75" customHeight="1" x14ac:dyDescent="0.3">
      <c r="G374" s="155"/>
      <c r="I374" s="155"/>
    </row>
    <row r="375" spans="7:9" ht="15.75" customHeight="1" x14ac:dyDescent="0.3">
      <c r="G375" s="155"/>
      <c r="I375" s="155"/>
    </row>
    <row r="376" spans="7:9" ht="15.75" customHeight="1" x14ac:dyDescent="0.3">
      <c r="G376" s="155"/>
      <c r="I376" s="155"/>
    </row>
    <row r="377" spans="7:9" ht="15.75" customHeight="1" x14ac:dyDescent="0.3">
      <c r="G377" s="155"/>
      <c r="I377" s="155"/>
    </row>
    <row r="378" spans="7:9" ht="15.75" customHeight="1" x14ac:dyDescent="0.3">
      <c r="G378" s="155"/>
      <c r="I378" s="155"/>
    </row>
    <row r="379" spans="7:9" ht="15.75" customHeight="1" x14ac:dyDescent="0.3">
      <c r="G379" s="155"/>
      <c r="I379" s="155"/>
    </row>
    <row r="380" spans="7:9" ht="15.75" customHeight="1" x14ac:dyDescent="0.3">
      <c r="G380" s="155"/>
      <c r="I380" s="155"/>
    </row>
    <row r="381" spans="7:9" ht="15.75" customHeight="1" x14ac:dyDescent="0.3">
      <c r="G381" s="155"/>
      <c r="I381" s="155"/>
    </row>
    <row r="382" spans="7:9" ht="15.75" customHeight="1" x14ac:dyDescent="0.3">
      <c r="G382" s="155"/>
      <c r="I382" s="155"/>
    </row>
    <row r="383" spans="7:9" ht="15.75" customHeight="1" x14ac:dyDescent="0.3">
      <c r="G383" s="155"/>
      <c r="I383" s="155"/>
    </row>
    <row r="384" spans="7:9" ht="15.75" customHeight="1" x14ac:dyDescent="0.3">
      <c r="G384" s="155"/>
      <c r="I384" s="155"/>
    </row>
    <row r="385" spans="7:9" ht="15.75" customHeight="1" x14ac:dyDescent="0.3">
      <c r="G385" s="155"/>
      <c r="I385" s="155"/>
    </row>
    <row r="386" spans="7:9" ht="15.75" customHeight="1" x14ac:dyDescent="0.3">
      <c r="G386" s="155"/>
      <c r="I386" s="155"/>
    </row>
    <row r="387" spans="7:9" ht="15.75" customHeight="1" x14ac:dyDescent="0.3">
      <c r="G387" s="155"/>
      <c r="I387" s="155"/>
    </row>
    <row r="388" spans="7:9" ht="15.75" customHeight="1" x14ac:dyDescent="0.3">
      <c r="G388" s="155"/>
      <c r="I388" s="155"/>
    </row>
    <row r="389" spans="7:9" ht="15.75" customHeight="1" x14ac:dyDescent="0.3">
      <c r="G389" s="155"/>
      <c r="I389" s="155"/>
    </row>
    <row r="390" spans="7:9" ht="15.75" customHeight="1" x14ac:dyDescent="0.3">
      <c r="G390" s="155"/>
      <c r="I390" s="155"/>
    </row>
    <row r="391" spans="7:9" ht="15.75" customHeight="1" x14ac:dyDescent="0.3">
      <c r="G391" s="155"/>
      <c r="I391" s="155"/>
    </row>
    <row r="392" spans="7:9" ht="15.75" customHeight="1" x14ac:dyDescent="0.3">
      <c r="G392" s="155"/>
      <c r="I392" s="155"/>
    </row>
    <row r="393" spans="7:9" ht="15.75" customHeight="1" x14ac:dyDescent="0.3">
      <c r="G393" s="155"/>
      <c r="I393" s="155"/>
    </row>
    <row r="394" spans="7:9" ht="15.75" customHeight="1" x14ac:dyDescent="0.3">
      <c r="G394" s="155"/>
      <c r="I394" s="155"/>
    </row>
    <row r="395" spans="7:9" ht="15.75" customHeight="1" x14ac:dyDescent="0.3">
      <c r="G395" s="155"/>
      <c r="I395" s="155"/>
    </row>
    <row r="396" spans="7:9" ht="15.75" customHeight="1" x14ac:dyDescent="0.3">
      <c r="G396" s="155"/>
      <c r="I396" s="155"/>
    </row>
    <row r="397" spans="7:9" ht="15.75" customHeight="1" x14ac:dyDescent="0.3">
      <c r="G397" s="155"/>
      <c r="I397" s="155"/>
    </row>
    <row r="398" spans="7:9" ht="15.75" customHeight="1" x14ac:dyDescent="0.3">
      <c r="G398" s="155"/>
      <c r="I398" s="155"/>
    </row>
    <row r="399" spans="7:9" ht="15.75" customHeight="1" x14ac:dyDescent="0.3">
      <c r="G399" s="155"/>
      <c r="I399" s="155"/>
    </row>
    <row r="400" spans="7:9" ht="15.75" customHeight="1" x14ac:dyDescent="0.3">
      <c r="G400" s="155"/>
      <c r="I400" s="155"/>
    </row>
    <row r="401" spans="7:9" ht="15.75" customHeight="1" x14ac:dyDescent="0.3">
      <c r="G401" s="155"/>
      <c r="I401" s="155"/>
    </row>
    <row r="402" spans="7:9" ht="15.75" customHeight="1" x14ac:dyDescent="0.3">
      <c r="G402" s="155"/>
      <c r="I402" s="155"/>
    </row>
    <row r="403" spans="7:9" ht="15.75" customHeight="1" x14ac:dyDescent="0.3">
      <c r="G403" s="155"/>
      <c r="I403" s="155"/>
    </row>
    <row r="404" spans="7:9" ht="15.75" customHeight="1" x14ac:dyDescent="0.3">
      <c r="G404" s="155"/>
      <c r="I404" s="155"/>
    </row>
    <row r="405" spans="7:9" ht="15.75" customHeight="1" x14ac:dyDescent="0.3">
      <c r="G405" s="155"/>
      <c r="I405" s="155"/>
    </row>
    <row r="406" spans="7:9" ht="15.75" customHeight="1" x14ac:dyDescent="0.3">
      <c r="G406" s="155"/>
      <c r="I406" s="155"/>
    </row>
    <row r="407" spans="7:9" ht="15.75" customHeight="1" x14ac:dyDescent="0.3">
      <c r="G407" s="155"/>
      <c r="I407" s="155"/>
    </row>
    <row r="408" spans="7:9" ht="15.75" customHeight="1" x14ac:dyDescent="0.3">
      <c r="G408" s="155"/>
      <c r="I408" s="155"/>
    </row>
    <row r="409" spans="7:9" ht="15.75" customHeight="1" x14ac:dyDescent="0.3">
      <c r="G409" s="155"/>
      <c r="I409" s="155"/>
    </row>
    <row r="410" spans="7:9" ht="15.75" customHeight="1" x14ac:dyDescent="0.3">
      <c r="G410" s="155"/>
      <c r="I410" s="155"/>
    </row>
    <row r="411" spans="7:9" ht="15.75" customHeight="1" x14ac:dyDescent="0.3">
      <c r="G411" s="155"/>
      <c r="I411" s="155"/>
    </row>
    <row r="412" spans="7:9" ht="15.75" customHeight="1" x14ac:dyDescent="0.3">
      <c r="G412" s="155"/>
      <c r="I412" s="155"/>
    </row>
    <row r="413" spans="7:9" ht="15.75" customHeight="1" x14ac:dyDescent="0.3">
      <c r="G413" s="155"/>
      <c r="I413" s="155"/>
    </row>
    <row r="414" spans="7:9" ht="15.75" customHeight="1" x14ac:dyDescent="0.3">
      <c r="G414" s="155"/>
      <c r="I414" s="155"/>
    </row>
    <row r="415" spans="7:9" ht="15.75" customHeight="1" x14ac:dyDescent="0.3">
      <c r="G415" s="155"/>
      <c r="I415" s="155"/>
    </row>
    <row r="416" spans="7:9" ht="15.75" customHeight="1" x14ac:dyDescent="0.3">
      <c r="G416" s="155"/>
      <c r="I416" s="155"/>
    </row>
    <row r="417" spans="7:9" ht="15.75" customHeight="1" x14ac:dyDescent="0.3">
      <c r="G417" s="155"/>
      <c r="I417" s="155"/>
    </row>
    <row r="418" spans="7:9" ht="15.75" customHeight="1" x14ac:dyDescent="0.3">
      <c r="G418" s="155"/>
      <c r="I418" s="155"/>
    </row>
    <row r="419" spans="7:9" ht="15.75" customHeight="1" x14ac:dyDescent="0.3">
      <c r="G419" s="155"/>
      <c r="I419" s="155"/>
    </row>
    <row r="420" spans="7:9" ht="15.75" customHeight="1" x14ac:dyDescent="0.3">
      <c r="G420" s="155"/>
      <c r="I420" s="155"/>
    </row>
    <row r="421" spans="7:9" ht="15.75" customHeight="1" x14ac:dyDescent="0.3">
      <c r="G421" s="155"/>
      <c r="I421" s="155"/>
    </row>
    <row r="422" spans="7:9" ht="15.75" customHeight="1" x14ac:dyDescent="0.3">
      <c r="G422" s="155"/>
      <c r="I422" s="155"/>
    </row>
    <row r="423" spans="7:9" ht="15.75" customHeight="1" x14ac:dyDescent="0.3">
      <c r="G423" s="155"/>
      <c r="I423" s="155"/>
    </row>
    <row r="424" spans="7:9" ht="15.75" customHeight="1" x14ac:dyDescent="0.3">
      <c r="G424" s="155"/>
      <c r="I424" s="155"/>
    </row>
    <row r="425" spans="7:9" ht="15.75" customHeight="1" x14ac:dyDescent="0.3">
      <c r="G425" s="155"/>
      <c r="I425" s="155"/>
    </row>
    <row r="426" spans="7:9" ht="15.75" customHeight="1" x14ac:dyDescent="0.3">
      <c r="G426" s="155"/>
      <c r="I426" s="155"/>
    </row>
    <row r="427" spans="7:9" ht="15.75" customHeight="1" x14ac:dyDescent="0.3">
      <c r="G427" s="155"/>
      <c r="I427" s="155"/>
    </row>
    <row r="428" spans="7:9" ht="15.75" customHeight="1" x14ac:dyDescent="0.3">
      <c r="G428" s="155"/>
      <c r="I428" s="155"/>
    </row>
    <row r="429" spans="7:9" ht="15.75" customHeight="1" x14ac:dyDescent="0.3">
      <c r="G429" s="155"/>
      <c r="I429" s="155"/>
    </row>
    <row r="430" spans="7:9" ht="15.75" customHeight="1" x14ac:dyDescent="0.3">
      <c r="G430" s="155"/>
      <c r="I430" s="155"/>
    </row>
    <row r="431" spans="7:9" ht="15.75" customHeight="1" x14ac:dyDescent="0.3">
      <c r="G431" s="155"/>
      <c r="I431" s="155"/>
    </row>
    <row r="432" spans="7:9" ht="15.75" customHeight="1" x14ac:dyDescent="0.3">
      <c r="G432" s="155"/>
      <c r="I432" s="155"/>
    </row>
    <row r="433" spans="7:9" ht="15.75" customHeight="1" x14ac:dyDescent="0.3">
      <c r="G433" s="155"/>
      <c r="I433" s="155"/>
    </row>
    <row r="434" spans="7:9" ht="15.75" customHeight="1" x14ac:dyDescent="0.3">
      <c r="G434" s="155"/>
      <c r="I434" s="155"/>
    </row>
    <row r="435" spans="7:9" ht="15.75" customHeight="1" x14ac:dyDescent="0.3">
      <c r="G435" s="155"/>
      <c r="I435" s="155"/>
    </row>
    <row r="436" spans="7:9" ht="15.75" customHeight="1" x14ac:dyDescent="0.3">
      <c r="G436" s="155"/>
      <c r="I436" s="155"/>
    </row>
    <row r="437" spans="7:9" ht="15.75" customHeight="1" x14ac:dyDescent="0.3">
      <c r="G437" s="155"/>
      <c r="I437" s="155"/>
    </row>
    <row r="438" spans="7:9" ht="15.75" customHeight="1" x14ac:dyDescent="0.3">
      <c r="G438" s="155"/>
      <c r="I438" s="155"/>
    </row>
    <row r="439" spans="7:9" ht="15.75" customHeight="1" x14ac:dyDescent="0.3">
      <c r="G439" s="155"/>
      <c r="I439" s="155"/>
    </row>
    <row r="440" spans="7:9" ht="15.75" customHeight="1" x14ac:dyDescent="0.3">
      <c r="G440" s="155"/>
      <c r="I440" s="155"/>
    </row>
    <row r="441" spans="7:9" ht="15.75" customHeight="1" x14ac:dyDescent="0.3">
      <c r="G441" s="155"/>
      <c r="I441" s="155"/>
    </row>
    <row r="442" spans="7:9" ht="15.75" customHeight="1" x14ac:dyDescent="0.3">
      <c r="G442" s="155"/>
      <c r="I442" s="155"/>
    </row>
    <row r="443" spans="7:9" ht="15.75" customHeight="1" x14ac:dyDescent="0.3">
      <c r="G443" s="155"/>
      <c r="I443" s="155"/>
    </row>
    <row r="444" spans="7:9" ht="15.75" customHeight="1" x14ac:dyDescent="0.3">
      <c r="G444" s="155"/>
      <c r="I444" s="155"/>
    </row>
    <row r="445" spans="7:9" ht="15.75" customHeight="1" x14ac:dyDescent="0.3">
      <c r="G445" s="155"/>
      <c r="I445" s="155"/>
    </row>
    <row r="446" spans="7:9" ht="15.75" customHeight="1" x14ac:dyDescent="0.3">
      <c r="G446" s="155"/>
      <c r="I446" s="155"/>
    </row>
    <row r="447" spans="7:9" ht="15.75" customHeight="1" x14ac:dyDescent="0.3">
      <c r="G447" s="155"/>
      <c r="I447" s="155"/>
    </row>
    <row r="448" spans="7:9" ht="15.75" customHeight="1" x14ac:dyDescent="0.3">
      <c r="G448" s="155"/>
      <c r="I448" s="155"/>
    </row>
    <row r="449" spans="7:9" ht="15.75" customHeight="1" x14ac:dyDescent="0.3">
      <c r="G449" s="155"/>
      <c r="I449" s="155"/>
    </row>
    <row r="450" spans="7:9" ht="15.75" customHeight="1" x14ac:dyDescent="0.3">
      <c r="G450" s="155"/>
      <c r="I450" s="155"/>
    </row>
    <row r="451" spans="7:9" ht="15.75" customHeight="1" x14ac:dyDescent="0.3">
      <c r="G451" s="155"/>
      <c r="I451" s="155"/>
    </row>
    <row r="452" spans="7:9" ht="15.75" customHeight="1" x14ac:dyDescent="0.3">
      <c r="G452" s="155"/>
      <c r="I452" s="155"/>
    </row>
    <row r="453" spans="7:9" ht="15.75" customHeight="1" x14ac:dyDescent="0.3">
      <c r="G453" s="155"/>
      <c r="I453" s="155"/>
    </row>
    <row r="454" spans="7:9" ht="15.75" customHeight="1" x14ac:dyDescent="0.3">
      <c r="G454" s="155"/>
      <c r="I454" s="155"/>
    </row>
    <row r="455" spans="7:9" ht="15.75" customHeight="1" x14ac:dyDescent="0.3">
      <c r="G455" s="155"/>
      <c r="I455" s="155"/>
    </row>
    <row r="456" spans="7:9" ht="15.75" customHeight="1" x14ac:dyDescent="0.3">
      <c r="G456" s="155"/>
      <c r="I456" s="155"/>
    </row>
    <row r="457" spans="7:9" ht="15.75" customHeight="1" x14ac:dyDescent="0.3">
      <c r="G457" s="155"/>
      <c r="I457" s="155"/>
    </row>
    <row r="458" spans="7:9" ht="15.75" customHeight="1" x14ac:dyDescent="0.3">
      <c r="G458" s="155"/>
      <c r="I458" s="155"/>
    </row>
    <row r="459" spans="7:9" ht="15.75" customHeight="1" x14ac:dyDescent="0.3">
      <c r="G459" s="155"/>
      <c r="I459" s="155"/>
    </row>
    <row r="460" spans="7:9" ht="15.75" customHeight="1" x14ac:dyDescent="0.3">
      <c r="G460" s="155"/>
      <c r="I460" s="155"/>
    </row>
    <row r="461" spans="7:9" ht="15.75" customHeight="1" x14ac:dyDescent="0.3">
      <c r="G461" s="155"/>
      <c r="I461" s="155"/>
    </row>
    <row r="462" spans="7:9" ht="15.75" customHeight="1" x14ac:dyDescent="0.3">
      <c r="G462" s="155"/>
      <c r="I462" s="155"/>
    </row>
    <row r="463" spans="7:9" ht="15.75" customHeight="1" x14ac:dyDescent="0.3">
      <c r="G463" s="155"/>
      <c r="I463" s="155"/>
    </row>
    <row r="464" spans="7:9" ht="15.75" customHeight="1" x14ac:dyDescent="0.3">
      <c r="G464" s="155"/>
      <c r="I464" s="155"/>
    </row>
    <row r="465" spans="7:9" ht="15.75" customHeight="1" x14ac:dyDescent="0.3">
      <c r="G465" s="155"/>
      <c r="I465" s="155"/>
    </row>
    <row r="466" spans="7:9" ht="15.75" customHeight="1" x14ac:dyDescent="0.3">
      <c r="G466" s="155"/>
      <c r="I466" s="155"/>
    </row>
    <row r="467" spans="7:9" ht="15.75" customHeight="1" x14ac:dyDescent="0.3">
      <c r="G467" s="155"/>
      <c r="I467" s="155"/>
    </row>
    <row r="468" spans="7:9" ht="15.75" customHeight="1" x14ac:dyDescent="0.3">
      <c r="G468" s="155"/>
      <c r="I468" s="155"/>
    </row>
    <row r="469" spans="7:9" ht="15.75" customHeight="1" x14ac:dyDescent="0.3">
      <c r="G469" s="155"/>
      <c r="I469" s="155"/>
    </row>
    <row r="470" spans="7:9" ht="15.75" customHeight="1" x14ac:dyDescent="0.3">
      <c r="G470" s="155"/>
      <c r="I470" s="155"/>
    </row>
    <row r="471" spans="7:9" ht="15.75" customHeight="1" x14ac:dyDescent="0.3">
      <c r="G471" s="155"/>
      <c r="I471" s="155"/>
    </row>
    <row r="472" spans="7:9" ht="15.75" customHeight="1" x14ac:dyDescent="0.3">
      <c r="G472" s="155"/>
      <c r="I472" s="155"/>
    </row>
    <row r="473" spans="7:9" ht="15.75" customHeight="1" x14ac:dyDescent="0.3">
      <c r="G473" s="155"/>
      <c r="I473" s="155"/>
    </row>
    <row r="474" spans="7:9" ht="15.75" customHeight="1" x14ac:dyDescent="0.3">
      <c r="G474" s="155"/>
      <c r="I474" s="155"/>
    </row>
    <row r="475" spans="7:9" ht="15.75" customHeight="1" x14ac:dyDescent="0.3">
      <c r="G475" s="155"/>
      <c r="I475" s="155"/>
    </row>
    <row r="476" spans="7:9" ht="15.75" customHeight="1" x14ac:dyDescent="0.3">
      <c r="G476" s="155"/>
      <c r="I476" s="155"/>
    </row>
    <row r="477" spans="7:9" ht="15.75" customHeight="1" x14ac:dyDescent="0.3">
      <c r="G477" s="155"/>
      <c r="I477" s="155"/>
    </row>
    <row r="478" spans="7:9" ht="15.75" customHeight="1" x14ac:dyDescent="0.3">
      <c r="G478" s="155"/>
      <c r="I478" s="155"/>
    </row>
    <row r="479" spans="7:9" ht="15.75" customHeight="1" x14ac:dyDescent="0.3">
      <c r="G479" s="155"/>
      <c r="I479" s="155"/>
    </row>
    <row r="480" spans="7:9" ht="15.75" customHeight="1" x14ac:dyDescent="0.3">
      <c r="G480" s="155"/>
      <c r="I480" s="155"/>
    </row>
    <row r="481" spans="7:9" ht="15.75" customHeight="1" x14ac:dyDescent="0.3">
      <c r="G481" s="155"/>
      <c r="I481" s="155"/>
    </row>
    <row r="482" spans="7:9" ht="15.75" customHeight="1" x14ac:dyDescent="0.3">
      <c r="G482" s="155"/>
      <c r="I482" s="155"/>
    </row>
    <row r="483" spans="7:9" ht="15.75" customHeight="1" x14ac:dyDescent="0.3">
      <c r="G483" s="155"/>
      <c r="I483" s="155"/>
    </row>
    <row r="484" spans="7:9" ht="15.75" customHeight="1" x14ac:dyDescent="0.3">
      <c r="G484" s="155"/>
      <c r="I484" s="155"/>
    </row>
    <row r="485" spans="7:9" ht="15.75" customHeight="1" x14ac:dyDescent="0.3">
      <c r="G485" s="155"/>
      <c r="I485" s="155"/>
    </row>
    <row r="486" spans="7:9" ht="15.75" customHeight="1" x14ac:dyDescent="0.3">
      <c r="G486" s="155"/>
      <c r="I486" s="155"/>
    </row>
    <row r="487" spans="7:9" ht="15.75" customHeight="1" x14ac:dyDescent="0.3">
      <c r="G487" s="155"/>
      <c r="I487" s="155"/>
    </row>
    <row r="488" spans="7:9" ht="15.75" customHeight="1" x14ac:dyDescent="0.3">
      <c r="G488" s="155"/>
      <c r="I488" s="155"/>
    </row>
    <row r="489" spans="7:9" ht="15.75" customHeight="1" x14ac:dyDescent="0.3">
      <c r="G489" s="155"/>
      <c r="I489" s="155"/>
    </row>
    <row r="490" spans="7:9" ht="15.75" customHeight="1" x14ac:dyDescent="0.3">
      <c r="G490" s="155"/>
      <c r="I490" s="155"/>
    </row>
    <row r="491" spans="7:9" ht="15.75" customHeight="1" x14ac:dyDescent="0.3">
      <c r="G491" s="155"/>
      <c r="I491" s="155"/>
    </row>
    <row r="492" spans="7:9" ht="15.75" customHeight="1" x14ac:dyDescent="0.3">
      <c r="G492" s="155"/>
      <c r="I492" s="155"/>
    </row>
    <row r="493" spans="7:9" ht="15.75" customHeight="1" x14ac:dyDescent="0.3">
      <c r="G493" s="155"/>
      <c r="I493" s="155"/>
    </row>
    <row r="494" spans="7:9" ht="15.75" customHeight="1" x14ac:dyDescent="0.3">
      <c r="G494" s="155"/>
      <c r="I494" s="155"/>
    </row>
    <row r="495" spans="7:9" ht="15.75" customHeight="1" x14ac:dyDescent="0.3">
      <c r="G495" s="155"/>
      <c r="I495" s="155"/>
    </row>
    <row r="496" spans="7:9" ht="15.75" customHeight="1" x14ac:dyDescent="0.3">
      <c r="G496" s="155"/>
      <c r="I496" s="155"/>
    </row>
    <row r="497" spans="7:9" ht="15.75" customHeight="1" x14ac:dyDescent="0.3">
      <c r="G497" s="155"/>
      <c r="I497" s="155"/>
    </row>
    <row r="498" spans="7:9" ht="15.75" customHeight="1" x14ac:dyDescent="0.3">
      <c r="G498" s="155"/>
      <c r="I498" s="155"/>
    </row>
    <row r="499" spans="7:9" ht="15.75" customHeight="1" x14ac:dyDescent="0.3">
      <c r="G499" s="155"/>
      <c r="I499" s="155"/>
    </row>
    <row r="500" spans="7:9" ht="15.75" customHeight="1" x14ac:dyDescent="0.3">
      <c r="G500" s="155"/>
      <c r="I500" s="155"/>
    </row>
    <row r="501" spans="7:9" ht="15.75" customHeight="1" x14ac:dyDescent="0.3">
      <c r="G501" s="155"/>
      <c r="I501" s="155"/>
    </row>
    <row r="502" spans="7:9" ht="15.75" customHeight="1" x14ac:dyDescent="0.3">
      <c r="G502" s="155"/>
      <c r="I502" s="155"/>
    </row>
    <row r="503" spans="7:9" ht="15.75" customHeight="1" x14ac:dyDescent="0.3">
      <c r="G503" s="155"/>
      <c r="I503" s="155"/>
    </row>
    <row r="504" spans="7:9" ht="15.75" customHeight="1" x14ac:dyDescent="0.3">
      <c r="G504" s="155"/>
      <c r="I504" s="155"/>
    </row>
    <row r="505" spans="7:9" ht="15.75" customHeight="1" x14ac:dyDescent="0.3">
      <c r="G505" s="155"/>
      <c r="I505" s="155"/>
    </row>
    <row r="506" spans="7:9" ht="15.75" customHeight="1" x14ac:dyDescent="0.3">
      <c r="G506" s="155"/>
      <c r="I506" s="155"/>
    </row>
    <row r="507" spans="7:9" ht="15.75" customHeight="1" x14ac:dyDescent="0.3">
      <c r="G507" s="155"/>
      <c r="I507" s="155"/>
    </row>
    <row r="508" spans="7:9" ht="15.75" customHeight="1" x14ac:dyDescent="0.3">
      <c r="G508" s="155"/>
      <c r="I508" s="155"/>
    </row>
    <row r="509" spans="7:9" ht="15.75" customHeight="1" x14ac:dyDescent="0.3">
      <c r="G509" s="155"/>
      <c r="I509" s="155"/>
    </row>
    <row r="510" spans="7:9" ht="15.75" customHeight="1" x14ac:dyDescent="0.3">
      <c r="G510" s="155"/>
      <c r="I510" s="155"/>
    </row>
    <row r="511" spans="7:9" ht="15.75" customHeight="1" x14ac:dyDescent="0.3">
      <c r="G511" s="155"/>
      <c r="I511" s="155"/>
    </row>
    <row r="512" spans="7:9" ht="15.75" customHeight="1" x14ac:dyDescent="0.3">
      <c r="G512" s="155"/>
      <c r="I512" s="155"/>
    </row>
    <row r="513" spans="7:9" ht="15.75" customHeight="1" x14ac:dyDescent="0.3">
      <c r="G513" s="155"/>
      <c r="I513" s="155"/>
    </row>
    <row r="514" spans="7:9" ht="15.75" customHeight="1" x14ac:dyDescent="0.3">
      <c r="G514" s="155"/>
      <c r="I514" s="155"/>
    </row>
    <row r="515" spans="7:9" ht="15.75" customHeight="1" x14ac:dyDescent="0.3">
      <c r="G515" s="155"/>
      <c r="I515" s="155"/>
    </row>
    <row r="516" spans="7:9" ht="15.75" customHeight="1" x14ac:dyDescent="0.3">
      <c r="G516" s="155"/>
      <c r="I516" s="155"/>
    </row>
    <row r="517" spans="7:9" ht="15.75" customHeight="1" x14ac:dyDescent="0.3">
      <c r="G517" s="155"/>
      <c r="I517" s="155"/>
    </row>
    <row r="518" spans="7:9" ht="15.75" customHeight="1" x14ac:dyDescent="0.3">
      <c r="G518" s="155"/>
      <c r="I518" s="155"/>
    </row>
    <row r="519" spans="7:9" ht="15.75" customHeight="1" x14ac:dyDescent="0.3">
      <c r="G519" s="155"/>
      <c r="I519" s="155"/>
    </row>
    <row r="520" spans="7:9" ht="15.75" customHeight="1" x14ac:dyDescent="0.3">
      <c r="G520" s="155"/>
      <c r="I520" s="155"/>
    </row>
    <row r="521" spans="7:9" ht="15.75" customHeight="1" x14ac:dyDescent="0.3">
      <c r="G521" s="155"/>
      <c r="I521" s="155"/>
    </row>
    <row r="522" spans="7:9" ht="15.75" customHeight="1" x14ac:dyDescent="0.3">
      <c r="G522" s="155"/>
      <c r="I522" s="155"/>
    </row>
    <row r="523" spans="7:9" ht="15.75" customHeight="1" x14ac:dyDescent="0.3">
      <c r="G523" s="155"/>
      <c r="I523" s="155"/>
    </row>
    <row r="524" spans="7:9" ht="15.75" customHeight="1" x14ac:dyDescent="0.3">
      <c r="G524" s="155"/>
      <c r="I524" s="155"/>
    </row>
    <row r="525" spans="7:9" ht="15.75" customHeight="1" x14ac:dyDescent="0.3">
      <c r="G525" s="155"/>
      <c r="I525" s="155"/>
    </row>
    <row r="526" spans="7:9" ht="15.75" customHeight="1" x14ac:dyDescent="0.3">
      <c r="G526" s="155"/>
      <c r="I526" s="155"/>
    </row>
    <row r="527" spans="7:9" ht="15.75" customHeight="1" x14ac:dyDescent="0.3">
      <c r="G527" s="155"/>
      <c r="I527" s="155"/>
    </row>
    <row r="528" spans="7:9" ht="15.75" customHeight="1" x14ac:dyDescent="0.3">
      <c r="G528" s="155"/>
      <c r="I528" s="155"/>
    </row>
    <row r="529" spans="7:9" ht="15.75" customHeight="1" x14ac:dyDescent="0.3">
      <c r="G529" s="155"/>
      <c r="I529" s="155"/>
    </row>
    <row r="530" spans="7:9" ht="15.75" customHeight="1" x14ac:dyDescent="0.3">
      <c r="G530" s="155"/>
      <c r="I530" s="155"/>
    </row>
    <row r="531" spans="7:9" ht="15.75" customHeight="1" x14ac:dyDescent="0.3">
      <c r="G531" s="155"/>
      <c r="I531" s="155"/>
    </row>
    <row r="532" spans="7:9" ht="15.75" customHeight="1" x14ac:dyDescent="0.3">
      <c r="G532" s="155"/>
      <c r="I532" s="155"/>
    </row>
    <row r="533" spans="7:9" ht="15.75" customHeight="1" x14ac:dyDescent="0.3">
      <c r="G533" s="155"/>
      <c r="I533" s="155"/>
    </row>
    <row r="534" spans="7:9" ht="15.75" customHeight="1" x14ac:dyDescent="0.3">
      <c r="G534" s="155"/>
      <c r="I534" s="155"/>
    </row>
    <row r="535" spans="7:9" ht="15.75" customHeight="1" x14ac:dyDescent="0.3">
      <c r="G535" s="155"/>
      <c r="I535" s="155"/>
    </row>
    <row r="536" spans="7:9" ht="15.75" customHeight="1" x14ac:dyDescent="0.3">
      <c r="G536" s="155"/>
      <c r="I536" s="155"/>
    </row>
    <row r="537" spans="7:9" ht="15.75" customHeight="1" x14ac:dyDescent="0.3">
      <c r="G537" s="155"/>
      <c r="I537" s="155"/>
    </row>
    <row r="538" spans="7:9" ht="15.75" customHeight="1" x14ac:dyDescent="0.3">
      <c r="G538" s="155"/>
      <c r="I538" s="155"/>
    </row>
    <row r="539" spans="7:9" ht="15.75" customHeight="1" x14ac:dyDescent="0.3">
      <c r="G539" s="155"/>
      <c r="I539" s="155"/>
    </row>
    <row r="540" spans="7:9" ht="15.75" customHeight="1" x14ac:dyDescent="0.3">
      <c r="G540" s="155"/>
      <c r="I540" s="155"/>
    </row>
    <row r="541" spans="7:9" ht="15.75" customHeight="1" x14ac:dyDescent="0.3">
      <c r="G541" s="155"/>
      <c r="I541" s="155"/>
    </row>
    <row r="542" spans="7:9" ht="15.75" customHeight="1" x14ac:dyDescent="0.3">
      <c r="G542" s="155"/>
      <c r="I542" s="155"/>
    </row>
    <row r="543" spans="7:9" ht="15.75" customHeight="1" x14ac:dyDescent="0.3">
      <c r="G543" s="155"/>
      <c r="I543" s="155"/>
    </row>
    <row r="544" spans="7:9" ht="15.75" customHeight="1" x14ac:dyDescent="0.3">
      <c r="G544" s="155"/>
      <c r="I544" s="155"/>
    </row>
    <row r="545" spans="7:9" ht="15.75" customHeight="1" x14ac:dyDescent="0.3">
      <c r="G545" s="155"/>
      <c r="I545" s="155"/>
    </row>
    <row r="546" spans="7:9" ht="15.75" customHeight="1" x14ac:dyDescent="0.3">
      <c r="G546" s="155"/>
      <c r="I546" s="155"/>
    </row>
    <row r="547" spans="7:9" ht="15.75" customHeight="1" x14ac:dyDescent="0.3">
      <c r="G547" s="155"/>
      <c r="I547" s="155"/>
    </row>
    <row r="548" spans="7:9" ht="15.75" customHeight="1" x14ac:dyDescent="0.3">
      <c r="G548" s="155"/>
      <c r="I548" s="155"/>
    </row>
    <row r="549" spans="7:9" ht="15.75" customHeight="1" x14ac:dyDescent="0.3">
      <c r="G549" s="155"/>
      <c r="I549" s="155"/>
    </row>
    <row r="550" spans="7:9" ht="15.75" customHeight="1" x14ac:dyDescent="0.3">
      <c r="G550" s="155"/>
      <c r="I550" s="155"/>
    </row>
    <row r="551" spans="7:9" ht="15.75" customHeight="1" x14ac:dyDescent="0.3">
      <c r="G551" s="155"/>
      <c r="I551" s="155"/>
    </row>
    <row r="552" spans="7:9" ht="15.75" customHeight="1" x14ac:dyDescent="0.3">
      <c r="G552" s="155"/>
      <c r="I552" s="155"/>
    </row>
    <row r="553" spans="7:9" ht="15.75" customHeight="1" x14ac:dyDescent="0.3">
      <c r="G553" s="155"/>
      <c r="I553" s="155"/>
    </row>
    <row r="554" spans="7:9" ht="15.75" customHeight="1" x14ac:dyDescent="0.3">
      <c r="G554" s="155"/>
      <c r="I554" s="155"/>
    </row>
    <row r="555" spans="7:9" ht="15.75" customHeight="1" x14ac:dyDescent="0.3">
      <c r="G555" s="155"/>
      <c r="I555" s="155"/>
    </row>
    <row r="556" spans="7:9" ht="15.75" customHeight="1" x14ac:dyDescent="0.3">
      <c r="G556" s="155"/>
      <c r="I556" s="155"/>
    </row>
    <row r="557" spans="7:9" ht="15.75" customHeight="1" x14ac:dyDescent="0.3">
      <c r="G557" s="155"/>
      <c r="I557" s="155"/>
    </row>
    <row r="558" spans="7:9" ht="15.75" customHeight="1" x14ac:dyDescent="0.3">
      <c r="G558" s="155"/>
      <c r="I558" s="155"/>
    </row>
    <row r="559" spans="7:9" ht="15.75" customHeight="1" x14ac:dyDescent="0.3">
      <c r="G559" s="155"/>
      <c r="I559" s="155"/>
    </row>
    <row r="560" spans="7:9" ht="15.75" customHeight="1" x14ac:dyDescent="0.3">
      <c r="G560" s="155"/>
      <c r="I560" s="155"/>
    </row>
    <row r="561" spans="7:9" ht="15.75" customHeight="1" x14ac:dyDescent="0.3">
      <c r="G561" s="155"/>
      <c r="I561" s="155"/>
    </row>
    <row r="562" spans="7:9" ht="15.75" customHeight="1" x14ac:dyDescent="0.3">
      <c r="G562" s="155"/>
      <c r="I562" s="155"/>
    </row>
    <row r="563" spans="7:9" ht="15.75" customHeight="1" x14ac:dyDescent="0.3">
      <c r="G563" s="155"/>
      <c r="I563" s="155"/>
    </row>
    <row r="564" spans="7:9" ht="15.75" customHeight="1" x14ac:dyDescent="0.3">
      <c r="G564" s="155"/>
      <c r="I564" s="155"/>
    </row>
    <row r="565" spans="7:9" ht="15.75" customHeight="1" x14ac:dyDescent="0.3">
      <c r="G565" s="155"/>
      <c r="I565" s="155"/>
    </row>
    <row r="566" spans="7:9" ht="15.75" customHeight="1" x14ac:dyDescent="0.3">
      <c r="G566" s="155"/>
      <c r="I566" s="155"/>
    </row>
    <row r="567" spans="7:9" ht="15.75" customHeight="1" x14ac:dyDescent="0.3">
      <c r="G567" s="155"/>
      <c r="I567" s="155"/>
    </row>
    <row r="568" spans="7:9" ht="15.75" customHeight="1" x14ac:dyDescent="0.3">
      <c r="G568" s="155"/>
      <c r="I568" s="155"/>
    </row>
    <row r="569" spans="7:9" ht="15.75" customHeight="1" x14ac:dyDescent="0.3">
      <c r="G569" s="155"/>
      <c r="I569" s="155"/>
    </row>
    <row r="570" spans="7:9" ht="15.75" customHeight="1" x14ac:dyDescent="0.3">
      <c r="G570" s="155"/>
      <c r="I570" s="155"/>
    </row>
    <row r="571" spans="7:9" ht="15.75" customHeight="1" x14ac:dyDescent="0.3">
      <c r="G571" s="155"/>
      <c r="I571" s="155"/>
    </row>
    <row r="572" spans="7:9" ht="15.75" customHeight="1" x14ac:dyDescent="0.3">
      <c r="G572" s="155"/>
      <c r="I572" s="155"/>
    </row>
    <row r="573" spans="7:9" ht="15.75" customHeight="1" x14ac:dyDescent="0.3">
      <c r="G573" s="155"/>
      <c r="I573" s="155"/>
    </row>
    <row r="574" spans="7:9" ht="15.75" customHeight="1" x14ac:dyDescent="0.3">
      <c r="G574" s="155"/>
      <c r="I574" s="155"/>
    </row>
    <row r="575" spans="7:9" ht="15.75" customHeight="1" x14ac:dyDescent="0.3">
      <c r="G575" s="155"/>
      <c r="I575" s="155"/>
    </row>
    <row r="576" spans="7:9" ht="15.75" customHeight="1" x14ac:dyDescent="0.3">
      <c r="G576" s="155"/>
      <c r="I576" s="155"/>
    </row>
    <row r="577" spans="7:9" ht="15.75" customHeight="1" x14ac:dyDescent="0.3">
      <c r="G577" s="155"/>
      <c r="I577" s="155"/>
    </row>
    <row r="578" spans="7:9" ht="15.75" customHeight="1" x14ac:dyDescent="0.3">
      <c r="G578" s="155"/>
      <c r="I578" s="155"/>
    </row>
    <row r="579" spans="7:9" ht="15.75" customHeight="1" x14ac:dyDescent="0.3">
      <c r="G579" s="155"/>
      <c r="I579" s="155"/>
    </row>
    <row r="580" spans="7:9" ht="15.75" customHeight="1" x14ac:dyDescent="0.3">
      <c r="G580" s="155"/>
      <c r="I580" s="155"/>
    </row>
    <row r="581" spans="7:9" ht="15.75" customHeight="1" x14ac:dyDescent="0.3">
      <c r="G581" s="155"/>
      <c r="I581" s="155"/>
    </row>
    <row r="582" spans="7:9" ht="15.75" customHeight="1" x14ac:dyDescent="0.3">
      <c r="G582" s="155"/>
      <c r="I582" s="155"/>
    </row>
    <row r="583" spans="7:9" ht="15.75" customHeight="1" x14ac:dyDescent="0.3">
      <c r="G583" s="155"/>
      <c r="I583" s="155"/>
    </row>
    <row r="584" spans="7:9" ht="15.75" customHeight="1" x14ac:dyDescent="0.3">
      <c r="G584" s="155"/>
      <c r="I584" s="155"/>
    </row>
    <row r="585" spans="7:9" ht="15.75" customHeight="1" x14ac:dyDescent="0.3">
      <c r="G585" s="155"/>
      <c r="I585" s="155"/>
    </row>
    <row r="586" spans="7:9" ht="15.75" customHeight="1" x14ac:dyDescent="0.3">
      <c r="G586" s="155"/>
      <c r="I586" s="155"/>
    </row>
    <row r="587" spans="7:9" ht="15.75" customHeight="1" x14ac:dyDescent="0.3">
      <c r="G587" s="155"/>
      <c r="I587" s="155"/>
    </row>
    <row r="588" spans="7:9" ht="15.75" customHeight="1" x14ac:dyDescent="0.3">
      <c r="G588" s="155"/>
      <c r="I588" s="155"/>
    </row>
    <row r="589" spans="7:9" ht="15.75" customHeight="1" x14ac:dyDescent="0.3">
      <c r="G589" s="155"/>
      <c r="I589" s="155"/>
    </row>
    <row r="590" spans="7:9" ht="15.75" customHeight="1" x14ac:dyDescent="0.3">
      <c r="G590" s="155"/>
      <c r="I590" s="155"/>
    </row>
    <row r="591" spans="7:9" ht="15.75" customHeight="1" x14ac:dyDescent="0.3">
      <c r="G591" s="155"/>
      <c r="I591" s="155"/>
    </row>
    <row r="592" spans="7:9" ht="15.75" customHeight="1" x14ac:dyDescent="0.3">
      <c r="G592" s="155"/>
      <c r="I592" s="155"/>
    </row>
    <row r="593" spans="7:9" ht="15.75" customHeight="1" x14ac:dyDescent="0.3">
      <c r="G593" s="155"/>
      <c r="I593" s="155"/>
    </row>
    <row r="594" spans="7:9" ht="15.75" customHeight="1" x14ac:dyDescent="0.3">
      <c r="G594" s="155"/>
      <c r="I594" s="155"/>
    </row>
    <row r="595" spans="7:9" ht="15.75" customHeight="1" x14ac:dyDescent="0.3">
      <c r="G595" s="155"/>
      <c r="I595" s="155"/>
    </row>
    <row r="596" spans="7:9" ht="15.75" customHeight="1" x14ac:dyDescent="0.3">
      <c r="G596" s="155"/>
      <c r="I596" s="155"/>
    </row>
    <row r="597" spans="7:9" ht="15.75" customHeight="1" x14ac:dyDescent="0.3">
      <c r="G597" s="155"/>
      <c r="I597" s="155"/>
    </row>
    <row r="598" spans="7:9" ht="15.75" customHeight="1" x14ac:dyDescent="0.3">
      <c r="G598" s="155"/>
      <c r="I598" s="155"/>
    </row>
    <row r="599" spans="7:9" ht="15.75" customHeight="1" x14ac:dyDescent="0.3">
      <c r="G599" s="155"/>
      <c r="I599" s="155"/>
    </row>
    <row r="600" spans="7:9" ht="15.75" customHeight="1" x14ac:dyDescent="0.3">
      <c r="G600" s="155"/>
      <c r="I600" s="155"/>
    </row>
    <row r="601" spans="7:9" ht="15.75" customHeight="1" x14ac:dyDescent="0.3">
      <c r="G601" s="155"/>
      <c r="I601" s="155"/>
    </row>
    <row r="602" spans="7:9" ht="15.75" customHeight="1" x14ac:dyDescent="0.3">
      <c r="G602" s="155"/>
      <c r="I602" s="155"/>
    </row>
    <row r="603" spans="7:9" ht="15.75" customHeight="1" x14ac:dyDescent="0.3">
      <c r="G603" s="155"/>
      <c r="I603" s="155"/>
    </row>
    <row r="604" spans="7:9" ht="15.75" customHeight="1" x14ac:dyDescent="0.3">
      <c r="G604" s="155"/>
      <c r="I604" s="155"/>
    </row>
    <row r="605" spans="7:9" ht="15.75" customHeight="1" x14ac:dyDescent="0.3">
      <c r="G605" s="155"/>
      <c r="I605" s="155"/>
    </row>
    <row r="606" spans="7:9" ht="15.75" customHeight="1" x14ac:dyDescent="0.3">
      <c r="G606" s="155"/>
      <c r="I606" s="155"/>
    </row>
    <row r="607" spans="7:9" ht="15.75" customHeight="1" x14ac:dyDescent="0.3">
      <c r="G607" s="155"/>
      <c r="I607" s="155"/>
    </row>
    <row r="608" spans="7:9" ht="15.75" customHeight="1" x14ac:dyDescent="0.3">
      <c r="G608" s="155"/>
      <c r="I608" s="155"/>
    </row>
    <row r="609" spans="7:9" ht="15.75" customHeight="1" x14ac:dyDescent="0.3">
      <c r="G609" s="155"/>
      <c r="I609" s="155"/>
    </row>
    <row r="610" spans="7:9" ht="15.75" customHeight="1" x14ac:dyDescent="0.3">
      <c r="G610" s="155"/>
      <c r="I610" s="155"/>
    </row>
    <row r="611" spans="7:9" ht="15.75" customHeight="1" x14ac:dyDescent="0.3">
      <c r="G611" s="155"/>
      <c r="I611" s="155"/>
    </row>
    <row r="612" spans="7:9" ht="15.75" customHeight="1" x14ac:dyDescent="0.3">
      <c r="G612" s="155"/>
      <c r="I612" s="155"/>
    </row>
    <row r="613" spans="7:9" ht="15.75" customHeight="1" x14ac:dyDescent="0.3">
      <c r="G613" s="155"/>
      <c r="I613" s="155"/>
    </row>
    <row r="614" spans="7:9" ht="15.75" customHeight="1" x14ac:dyDescent="0.3">
      <c r="G614" s="155"/>
      <c r="I614" s="155"/>
    </row>
    <row r="615" spans="7:9" ht="15.75" customHeight="1" x14ac:dyDescent="0.3">
      <c r="G615" s="155"/>
      <c r="I615" s="155"/>
    </row>
    <row r="616" spans="7:9" ht="15.75" customHeight="1" x14ac:dyDescent="0.3">
      <c r="G616" s="155"/>
      <c r="I616" s="155"/>
    </row>
    <row r="617" spans="7:9" ht="15.75" customHeight="1" x14ac:dyDescent="0.3">
      <c r="G617" s="155"/>
      <c r="I617" s="155"/>
    </row>
    <row r="618" spans="7:9" ht="15.75" customHeight="1" x14ac:dyDescent="0.3">
      <c r="G618" s="155"/>
      <c r="I618" s="155"/>
    </row>
    <row r="619" spans="7:9" ht="15.75" customHeight="1" x14ac:dyDescent="0.3">
      <c r="G619" s="155"/>
      <c r="I619" s="155"/>
    </row>
    <row r="620" spans="7:9" ht="15.75" customHeight="1" x14ac:dyDescent="0.3">
      <c r="G620" s="155"/>
      <c r="I620" s="155"/>
    </row>
    <row r="621" spans="7:9" ht="15.75" customHeight="1" x14ac:dyDescent="0.3">
      <c r="G621" s="155"/>
      <c r="I621" s="155"/>
    </row>
    <row r="622" spans="7:9" ht="15.75" customHeight="1" x14ac:dyDescent="0.3">
      <c r="G622" s="155"/>
      <c r="I622" s="155"/>
    </row>
    <row r="623" spans="7:9" ht="15.75" customHeight="1" x14ac:dyDescent="0.3">
      <c r="G623" s="155"/>
      <c r="I623" s="155"/>
    </row>
    <row r="624" spans="7:9" ht="15.75" customHeight="1" x14ac:dyDescent="0.3">
      <c r="G624" s="155"/>
      <c r="I624" s="155"/>
    </row>
    <row r="625" spans="7:9" ht="15.75" customHeight="1" x14ac:dyDescent="0.3">
      <c r="G625" s="155"/>
      <c r="I625" s="155"/>
    </row>
    <row r="626" spans="7:9" ht="15.75" customHeight="1" x14ac:dyDescent="0.3">
      <c r="G626" s="155"/>
      <c r="I626" s="155"/>
    </row>
    <row r="627" spans="7:9" ht="15.75" customHeight="1" x14ac:dyDescent="0.3">
      <c r="G627" s="155"/>
      <c r="I627" s="155"/>
    </row>
    <row r="628" spans="7:9" ht="15.75" customHeight="1" x14ac:dyDescent="0.3">
      <c r="G628" s="155"/>
      <c r="I628" s="155"/>
    </row>
    <row r="629" spans="7:9" ht="15.75" customHeight="1" x14ac:dyDescent="0.3">
      <c r="G629" s="155"/>
      <c r="I629" s="155"/>
    </row>
    <row r="630" spans="7:9" ht="15.75" customHeight="1" x14ac:dyDescent="0.3">
      <c r="G630" s="155"/>
      <c r="I630" s="155"/>
    </row>
    <row r="631" spans="7:9" ht="15.75" customHeight="1" x14ac:dyDescent="0.3">
      <c r="G631" s="155"/>
      <c r="I631" s="155"/>
    </row>
    <row r="632" spans="7:9" ht="15.75" customHeight="1" x14ac:dyDescent="0.3">
      <c r="G632" s="155"/>
      <c r="I632" s="155"/>
    </row>
    <row r="633" spans="7:9" ht="15.75" customHeight="1" x14ac:dyDescent="0.3">
      <c r="G633" s="155"/>
      <c r="I633" s="155"/>
    </row>
    <row r="634" spans="7:9" ht="15.75" customHeight="1" x14ac:dyDescent="0.3">
      <c r="G634" s="155"/>
      <c r="I634" s="155"/>
    </row>
    <row r="635" spans="7:9" ht="15.75" customHeight="1" x14ac:dyDescent="0.3">
      <c r="G635" s="155"/>
      <c r="I635" s="155"/>
    </row>
    <row r="636" spans="7:9" ht="15.75" customHeight="1" x14ac:dyDescent="0.3">
      <c r="G636" s="155"/>
      <c r="I636" s="155"/>
    </row>
    <row r="637" spans="7:9" ht="15.75" customHeight="1" x14ac:dyDescent="0.3">
      <c r="G637" s="155"/>
      <c r="I637" s="155"/>
    </row>
    <row r="638" spans="7:9" ht="15.75" customHeight="1" x14ac:dyDescent="0.3">
      <c r="G638" s="155"/>
      <c r="I638" s="155"/>
    </row>
    <row r="639" spans="7:9" ht="15.75" customHeight="1" x14ac:dyDescent="0.3">
      <c r="G639" s="155"/>
      <c r="I639" s="155"/>
    </row>
    <row r="640" spans="7:9" ht="15.75" customHeight="1" x14ac:dyDescent="0.3">
      <c r="G640" s="155"/>
      <c r="I640" s="155"/>
    </row>
    <row r="641" spans="7:9" ht="15.75" customHeight="1" x14ac:dyDescent="0.3">
      <c r="G641" s="155"/>
      <c r="I641" s="155"/>
    </row>
    <row r="642" spans="7:9" ht="15.75" customHeight="1" x14ac:dyDescent="0.3">
      <c r="G642" s="155"/>
      <c r="I642" s="155"/>
    </row>
    <row r="643" spans="7:9" ht="15.75" customHeight="1" x14ac:dyDescent="0.3">
      <c r="G643" s="155"/>
      <c r="I643" s="155"/>
    </row>
    <row r="644" spans="7:9" ht="15.75" customHeight="1" x14ac:dyDescent="0.3">
      <c r="G644" s="155"/>
      <c r="I644" s="155"/>
    </row>
    <row r="645" spans="7:9" ht="15.75" customHeight="1" x14ac:dyDescent="0.3">
      <c r="G645" s="155"/>
      <c r="I645" s="155"/>
    </row>
    <row r="646" spans="7:9" ht="15.75" customHeight="1" x14ac:dyDescent="0.3">
      <c r="G646" s="155"/>
      <c r="I646" s="155"/>
    </row>
    <row r="647" spans="7:9" ht="15.75" customHeight="1" x14ac:dyDescent="0.3">
      <c r="G647" s="155"/>
      <c r="I647" s="155"/>
    </row>
    <row r="648" spans="7:9" ht="15.75" customHeight="1" x14ac:dyDescent="0.3">
      <c r="G648" s="155"/>
      <c r="I648" s="155"/>
    </row>
    <row r="649" spans="7:9" ht="15.75" customHeight="1" x14ac:dyDescent="0.3">
      <c r="G649" s="155"/>
      <c r="I649" s="155"/>
    </row>
    <row r="650" spans="7:9" ht="15.75" customHeight="1" x14ac:dyDescent="0.3">
      <c r="G650" s="155"/>
      <c r="I650" s="155"/>
    </row>
    <row r="651" spans="7:9" ht="15.75" customHeight="1" x14ac:dyDescent="0.3">
      <c r="G651" s="155"/>
      <c r="I651" s="155"/>
    </row>
    <row r="652" spans="7:9" ht="15.75" customHeight="1" x14ac:dyDescent="0.3">
      <c r="G652" s="155"/>
      <c r="I652" s="155"/>
    </row>
    <row r="653" spans="7:9" ht="15.75" customHeight="1" x14ac:dyDescent="0.3">
      <c r="G653" s="155"/>
      <c r="I653" s="155"/>
    </row>
    <row r="654" spans="7:9" ht="15.75" customHeight="1" x14ac:dyDescent="0.3">
      <c r="G654" s="155"/>
      <c r="I654" s="155"/>
    </row>
    <row r="655" spans="7:9" ht="15.75" customHeight="1" x14ac:dyDescent="0.3">
      <c r="G655" s="155"/>
      <c r="I655" s="155"/>
    </row>
    <row r="656" spans="7:9" ht="15.75" customHeight="1" x14ac:dyDescent="0.3">
      <c r="G656" s="155"/>
      <c r="I656" s="155"/>
    </row>
    <row r="657" spans="7:9" ht="15.75" customHeight="1" x14ac:dyDescent="0.3">
      <c r="G657" s="155"/>
      <c r="I657" s="155"/>
    </row>
    <row r="658" spans="7:9" ht="15.75" customHeight="1" x14ac:dyDescent="0.3">
      <c r="G658" s="155"/>
      <c r="I658" s="155"/>
    </row>
    <row r="659" spans="7:9" ht="15.75" customHeight="1" x14ac:dyDescent="0.3">
      <c r="G659" s="155"/>
      <c r="I659" s="155"/>
    </row>
    <row r="660" spans="7:9" ht="15.75" customHeight="1" x14ac:dyDescent="0.3">
      <c r="G660" s="155"/>
      <c r="I660" s="155"/>
    </row>
    <row r="661" spans="7:9" ht="15.75" customHeight="1" x14ac:dyDescent="0.3">
      <c r="G661" s="155"/>
      <c r="I661" s="155"/>
    </row>
    <row r="662" spans="7:9" ht="15.75" customHeight="1" x14ac:dyDescent="0.3">
      <c r="G662" s="155"/>
      <c r="I662" s="155"/>
    </row>
    <row r="663" spans="7:9" ht="15.75" customHeight="1" x14ac:dyDescent="0.3">
      <c r="G663" s="155"/>
      <c r="I663" s="155"/>
    </row>
    <row r="664" spans="7:9" ht="15.75" customHeight="1" x14ac:dyDescent="0.3">
      <c r="G664" s="155"/>
      <c r="I664" s="155"/>
    </row>
    <row r="665" spans="7:9" ht="15.75" customHeight="1" x14ac:dyDescent="0.3">
      <c r="G665" s="155"/>
      <c r="I665" s="155"/>
    </row>
    <row r="666" spans="7:9" ht="15.75" customHeight="1" x14ac:dyDescent="0.3">
      <c r="G666" s="155"/>
      <c r="I666" s="155"/>
    </row>
    <row r="667" spans="7:9" ht="15.75" customHeight="1" x14ac:dyDescent="0.3">
      <c r="G667" s="155"/>
      <c r="I667" s="155"/>
    </row>
    <row r="668" spans="7:9" ht="15.75" customHeight="1" x14ac:dyDescent="0.3">
      <c r="G668" s="155"/>
      <c r="I668" s="155"/>
    </row>
    <row r="669" spans="7:9" ht="15.75" customHeight="1" x14ac:dyDescent="0.3">
      <c r="G669" s="155"/>
      <c r="I669" s="155"/>
    </row>
    <row r="670" spans="7:9" ht="15.75" customHeight="1" x14ac:dyDescent="0.3">
      <c r="G670" s="155"/>
      <c r="I670" s="155"/>
    </row>
    <row r="671" spans="7:9" ht="15.75" customHeight="1" x14ac:dyDescent="0.3">
      <c r="G671" s="155"/>
      <c r="I671" s="155"/>
    </row>
    <row r="672" spans="7:9" ht="15.75" customHeight="1" x14ac:dyDescent="0.3">
      <c r="G672" s="155"/>
      <c r="I672" s="155"/>
    </row>
    <row r="673" spans="7:9" ht="15.75" customHeight="1" x14ac:dyDescent="0.3">
      <c r="G673" s="155"/>
      <c r="I673" s="155"/>
    </row>
    <row r="674" spans="7:9" ht="15.75" customHeight="1" x14ac:dyDescent="0.3">
      <c r="G674" s="155"/>
      <c r="I674" s="155"/>
    </row>
    <row r="675" spans="7:9" ht="15.75" customHeight="1" x14ac:dyDescent="0.3">
      <c r="G675" s="155"/>
      <c r="I675" s="155"/>
    </row>
    <row r="676" spans="7:9" ht="15.75" customHeight="1" x14ac:dyDescent="0.3">
      <c r="G676" s="155"/>
      <c r="I676" s="155"/>
    </row>
    <row r="677" spans="7:9" ht="15.75" customHeight="1" x14ac:dyDescent="0.3">
      <c r="G677" s="155"/>
      <c r="I677" s="155"/>
    </row>
    <row r="678" spans="7:9" ht="15.75" customHeight="1" x14ac:dyDescent="0.3">
      <c r="G678" s="155"/>
      <c r="I678" s="155"/>
    </row>
    <row r="679" spans="7:9" ht="15.75" customHeight="1" x14ac:dyDescent="0.3">
      <c r="G679" s="155"/>
      <c r="I679" s="155"/>
    </row>
    <row r="680" spans="7:9" ht="15.75" customHeight="1" x14ac:dyDescent="0.3">
      <c r="G680" s="155"/>
      <c r="I680" s="155"/>
    </row>
    <row r="681" spans="7:9" ht="15.75" customHeight="1" x14ac:dyDescent="0.3">
      <c r="G681" s="155"/>
      <c r="I681" s="155"/>
    </row>
    <row r="682" spans="7:9" ht="15.75" customHeight="1" x14ac:dyDescent="0.3">
      <c r="G682" s="155"/>
      <c r="I682" s="155"/>
    </row>
    <row r="683" spans="7:9" ht="15.75" customHeight="1" x14ac:dyDescent="0.3">
      <c r="G683" s="155"/>
      <c r="I683" s="155"/>
    </row>
    <row r="684" spans="7:9" ht="15.75" customHeight="1" x14ac:dyDescent="0.3">
      <c r="G684" s="155"/>
      <c r="I684" s="155"/>
    </row>
    <row r="685" spans="7:9" ht="15.75" customHeight="1" x14ac:dyDescent="0.3">
      <c r="G685" s="155"/>
      <c r="I685" s="155"/>
    </row>
    <row r="686" spans="7:9" ht="15.75" customHeight="1" x14ac:dyDescent="0.3">
      <c r="G686" s="155"/>
      <c r="I686" s="155"/>
    </row>
    <row r="687" spans="7:9" ht="15.75" customHeight="1" x14ac:dyDescent="0.3">
      <c r="G687" s="155"/>
      <c r="I687" s="155"/>
    </row>
    <row r="688" spans="7:9" ht="15.75" customHeight="1" x14ac:dyDescent="0.3">
      <c r="G688" s="155"/>
      <c r="I688" s="155"/>
    </row>
    <row r="689" spans="7:9" ht="15.75" customHeight="1" x14ac:dyDescent="0.3">
      <c r="G689" s="155"/>
      <c r="I689" s="155"/>
    </row>
    <row r="690" spans="7:9" ht="15.75" customHeight="1" x14ac:dyDescent="0.3">
      <c r="G690" s="155"/>
      <c r="I690" s="155"/>
    </row>
    <row r="691" spans="7:9" ht="15.75" customHeight="1" x14ac:dyDescent="0.3">
      <c r="G691" s="155"/>
      <c r="I691" s="155"/>
    </row>
    <row r="692" spans="7:9" ht="15.75" customHeight="1" x14ac:dyDescent="0.3">
      <c r="G692" s="155"/>
      <c r="I692" s="155"/>
    </row>
    <row r="693" spans="7:9" ht="15.75" customHeight="1" x14ac:dyDescent="0.3">
      <c r="G693" s="155"/>
      <c r="I693" s="155"/>
    </row>
    <row r="694" spans="7:9" ht="15.75" customHeight="1" x14ac:dyDescent="0.3">
      <c r="G694" s="155"/>
      <c r="I694" s="155"/>
    </row>
    <row r="695" spans="7:9" ht="15.75" customHeight="1" x14ac:dyDescent="0.3">
      <c r="G695" s="155"/>
      <c r="I695" s="155"/>
    </row>
    <row r="696" spans="7:9" ht="15.75" customHeight="1" x14ac:dyDescent="0.3">
      <c r="G696" s="155"/>
      <c r="I696" s="155"/>
    </row>
    <row r="697" spans="7:9" ht="15.75" customHeight="1" x14ac:dyDescent="0.3">
      <c r="G697" s="155"/>
      <c r="I697" s="155"/>
    </row>
    <row r="698" spans="7:9" ht="15.75" customHeight="1" x14ac:dyDescent="0.3">
      <c r="G698" s="155"/>
      <c r="I698" s="155"/>
    </row>
    <row r="699" spans="7:9" ht="15.75" customHeight="1" x14ac:dyDescent="0.3">
      <c r="G699" s="155"/>
      <c r="I699" s="155"/>
    </row>
    <row r="700" spans="7:9" ht="15.75" customHeight="1" x14ac:dyDescent="0.3">
      <c r="G700" s="155"/>
      <c r="I700" s="155"/>
    </row>
    <row r="701" spans="7:9" ht="15.75" customHeight="1" x14ac:dyDescent="0.3">
      <c r="G701" s="155"/>
      <c r="I701" s="155"/>
    </row>
    <row r="702" spans="7:9" ht="15.75" customHeight="1" x14ac:dyDescent="0.3">
      <c r="G702" s="155"/>
      <c r="I702" s="155"/>
    </row>
    <row r="703" spans="7:9" ht="15.75" customHeight="1" x14ac:dyDescent="0.3">
      <c r="G703" s="155"/>
      <c r="I703" s="155"/>
    </row>
    <row r="704" spans="7:9" ht="15.75" customHeight="1" x14ac:dyDescent="0.3">
      <c r="G704" s="155"/>
      <c r="I704" s="155"/>
    </row>
    <row r="705" spans="7:9" ht="15.75" customHeight="1" x14ac:dyDescent="0.3">
      <c r="G705" s="155"/>
      <c r="I705" s="155"/>
    </row>
    <row r="706" spans="7:9" ht="15.75" customHeight="1" x14ac:dyDescent="0.3">
      <c r="G706" s="155"/>
      <c r="I706" s="155"/>
    </row>
    <row r="707" spans="7:9" ht="15.75" customHeight="1" x14ac:dyDescent="0.3">
      <c r="G707" s="155"/>
      <c r="I707" s="155"/>
    </row>
    <row r="708" spans="7:9" ht="15.75" customHeight="1" x14ac:dyDescent="0.3">
      <c r="G708" s="155"/>
      <c r="I708" s="155"/>
    </row>
    <row r="709" spans="7:9" ht="15.75" customHeight="1" x14ac:dyDescent="0.3">
      <c r="G709" s="155"/>
      <c r="I709" s="155"/>
    </row>
    <row r="710" spans="7:9" ht="15.75" customHeight="1" x14ac:dyDescent="0.3">
      <c r="G710" s="155"/>
      <c r="I710" s="155"/>
    </row>
    <row r="711" spans="7:9" ht="15.75" customHeight="1" x14ac:dyDescent="0.3">
      <c r="G711" s="155"/>
      <c r="I711" s="155"/>
    </row>
    <row r="712" spans="7:9" ht="15.75" customHeight="1" x14ac:dyDescent="0.3">
      <c r="G712" s="155"/>
      <c r="I712" s="155"/>
    </row>
    <row r="713" spans="7:9" ht="15.75" customHeight="1" x14ac:dyDescent="0.3">
      <c r="G713" s="155"/>
      <c r="I713" s="155"/>
    </row>
    <row r="714" spans="7:9" ht="15.75" customHeight="1" x14ac:dyDescent="0.3">
      <c r="G714" s="155"/>
      <c r="I714" s="155"/>
    </row>
    <row r="715" spans="7:9" ht="15.75" customHeight="1" x14ac:dyDescent="0.3">
      <c r="G715" s="155"/>
      <c r="I715" s="155"/>
    </row>
    <row r="716" spans="7:9" ht="15.75" customHeight="1" x14ac:dyDescent="0.3">
      <c r="G716" s="155"/>
      <c r="I716" s="155"/>
    </row>
    <row r="717" spans="7:9" ht="15.75" customHeight="1" x14ac:dyDescent="0.3">
      <c r="G717" s="155"/>
      <c r="I717" s="155"/>
    </row>
    <row r="718" spans="7:9" ht="15.75" customHeight="1" x14ac:dyDescent="0.3">
      <c r="G718" s="155"/>
      <c r="I718" s="155"/>
    </row>
    <row r="719" spans="7:9" ht="15.75" customHeight="1" x14ac:dyDescent="0.3">
      <c r="G719" s="155"/>
      <c r="I719" s="155"/>
    </row>
    <row r="720" spans="7:9" ht="15.75" customHeight="1" x14ac:dyDescent="0.3">
      <c r="G720" s="155"/>
      <c r="I720" s="155"/>
    </row>
    <row r="721" spans="7:9" ht="15.75" customHeight="1" x14ac:dyDescent="0.3">
      <c r="G721" s="155"/>
      <c r="I721" s="155"/>
    </row>
    <row r="722" spans="7:9" ht="15.75" customHeight="1" x14ac:dyDescent="0.3">
      <c r="G722" s="155"/>
      <c r="I722" s="155"/>
    </row>
    <row r="723" spans="7:9" ht="15.75" customHeight="1" x14ac:dyDescent="0.3">
      <c r="G723" s="155"/>
      <c r="I723" s="155"/>
    </row>
    <row r="724" spans="7:9" ht="15.75" customHeight="1" x14ac:dyDescent="0.3">
      <c r="G724" s="155"/>
      <c r="I724" s="155"/>
    </row>
    <row r="725" spans="7:9" ht="15.75" customHeight="1" x14ac:dyDescent="0.3">
      <c r="G725" s="155"/>
      <c r="I725" s="155"/>
    </row>
    <row r="726" spans="7:9" ht="15.75" customHeight="1" x14ac:dyDescent="0.3">
      <c r="G726" s="155"/>
      <c r="I726" s="155"/>
    </row>
    <row r="727" spans="7:9" ht="15.75" customHeight="1" x14ac:dyDescent="0.3">
      <c r="G727" s="155"/>
      <c r="I727" s="155"/>
    </row>
    <row r="728" spans="7:9" ht="15.75" customHeight="1" x14ac:dyDescent="0.3">
      <c r="G728" s="155"/>
      <c r="I728" s="155"/>
    </row>
    <row r="729" spans="7:9" ht="15.75" customHeight="1" x14ac:dyDescent="0.3">
      <c r="G729" s="155"/>
      <c r="I729" s="155"/>
    </row>
    <row r="730" spans="7:9" ht="15.75" customHeight="1" x14ac:dyDescent="0.3">
      <c r="G730" s="155"/>
      <c r="I730" s="155"/>
    </row>
    <row r="731" spans="7:9" ht="15.75" customHeight="1" x14ac:dyDescent="0.3">
      <c r="G731" s="155"/>
      <c r="I731" s="155"/>
    </row>
    <row r="732" spans="7:9" ht="15.75" customHeight="1" x14ac:dyDescent="0.3">
      <c r="G732" s="155"/>
      <c r="I732" s="155"/>
    </row>
    <row r="733" spans="7:9" ht="15.75" customHeight="1" x14ac:dyDescent="0.3">
      <c r="G733" s="155"/>
      <c r="I733" s="155"/>
    </row>
    <row r="734" spans="7:9" ht="15.75" customHeight="1" x14ac:dyDescent="0.3">
      <c r="G734" s="155"/>
      <c r="I734" s="155"/>
    </row>
    <row r="735" spans="7:9" ht="15.75" customHeight="1" x14ac:dyDescent="0.3">
      <c r="G735" s="155"/>
      <c r="I735" s="155"/>
    </row>
    <row r="736" spans="7:9" ht="15.75" customHeight="1" x14ac:dyDescent="0.3">
      <c r="G736" s="155"/>
      <c r="I736" s="155"/>
    </row>
    <row r="737" spans="7:9" ht="15.75" customHeight="1" x14ac:dyDescent="0.3">
      <c r="G737" s="155"/>
      <c r="I737" s="155"/>
    </row>
    <row r="738" spans="7:9" ht="15.75" customHeight="1" x14ac:dyDescent="0.3">
      <c r="G738" s="155"/>
      <c r="I738" s="155"/>
    </row>
    <row r="739" spans="7:9" ht="15.75" customHeight="1" x14ac:dyDescent="0.3">
      <c r="G739" s="155"/>
      <c r="I739" s="155"/>
    </row>
    <row r="740" spans="7:9" ht="15.75" customHeight="1" x14ac:dyDescent="0.3">
      <c r="G740" s="155"/>
      <c r="I740" s="155"/>
    </row>
    <row r="741" spans="7:9" ht="15.75" customHeight="1" x14ac:dyDescent="0.3">
      <c r="G741" s="155"/>
      <c r="I741" s="155"/>
    </row>
    <row r="742" spans="7:9" ht="15.75" customHeight="1" x14ac:dyDescent="0.3">
      <c r="G742" s="155"/>
      <c r="I742" s="155"/>
    </row>
    <row r="743" spans="7:9" ht="15.75" customHeight="1" x14ac:dyDescent="0.3">
      <c r="G743" s="155"/>
      <c r="I743" s="155"/>
    </row>
    <row r="744" spans="7:9" ht="15.75" customHeight="1" x14ac:dyDescent="0.3">
      <c r="G744" s="155"/>
      <c r="I744" s="155"/>
    </row>
    <row r="745" spans="7:9" ht="15.75" customHeight="1" x14ac:dyDescent="0.3">
      <c r="G745" s="155"/>
      <c r="I745" s="155"/>
    </row>
    <row r="746" spans="7:9" ht="15.75" customHeight="1" x14ac:dyDescent="0.3">
      <c r="G746" s="155"/>
      <c r="I746" s="155"/>
    </row>
    <row r="747" spans="7:9" ht="15.75" customHeight="1" x14ac:dyDescent="0.3">
      <c r="G747" s="155"/>
      <c r="I747" s="155"/>
    </row>
    <row r="748" spans="7:9" ht="15.75" customHeight="1" x14ac:dyDescent="0.3">
      <c r="G748" s="155"/>
      <c r="I748" s="155"/>
    </row>
    <row r="749" spans="7:9" ht="15.75" customHeight="1" x14ac:dyDescent="0.3">
      <c r="G749" s="155"/>
      <c r="I749" s="155"/>
    </row>
    <row r="750" spans="7:9" ht="15.75" customHeight="1" x14ac:dyDescent="0.3">
      <c r="G750" s="155"/>
      <c r="I750" s="155"/>
    </row>
    <row r="751" spans="7:9" ht="15.75" customHeight="1" x14ac:dyDescent="0.3">
      <c r="G751" s="155"/>
      <c r="I751" s="155"/>
    </row>
    <row r="752" spans="7:9" ht="15.75" customHeight="1" x14ac:dyDescent="0.3">
      <c r="G752" s="155"/>
      <c r="I752" s="155"/>
    </row>
    <row r="753" spans="7:9" ht="14.4" x14ac:dyDescent="0.3">
      <c r="G753" s="155"/>
      <c r="I753" s="155"/>
    </row>
    <row r="754" spans="7:9" ht="14.4" x14ac:dyDescent="0.3">
      <c r="G754" s="155"/>
      <c r="I754" s="155"/>
    </row>
    <row r="755" spans="7:9" ht="14.4" x14ac:dyDescent="0.3">
      <c r="G755" s="155"/>
      <c r="I755" s="155"/>
    </row>
    <row r="756" spans="7:9" ht="14.4" x14ac:dyDescent="0.3">
      <c r="G756" s="155"/>
      <c r="I756" s="155"/>
    </row>
    <row r="757" spans="7:9" ht="14.4" x14ac:dyDescent="0.3">
      <c r="G757" s="155"/>
      <c r="I757" s="155"/>
    </row>
    <row r="758" spans="7:9" ht="14.4" x14ac:dyDescent="0.3">
      <c r="G758" s="155"/>
      <c r="I758" s="155"/>
    </row>
    <row r="759" spans="7:9" ht="14.4" x14ac:dyDescent="0.3">
      <c r="G759" s="155"/>
      <c r="I759" s="155"/>
    </row>
    <row r="760" spans="7:9" ht="14.4" x14ac:dyDescent="0.3">
      <c r="G760" s="155"/>
      <c r="I760" s="155"/>
    </row>
    <row r="761" spans="7:9" ht="14.4" x14ac:dyDescent="0.3">
      <c r="G761" s="155"/>
      <c r="I761" s="155"/>
    </row>
    <row r="762" spans="7:9" ht="14.4" x14ac:dyDescent="0.3">
      <c r="G762" s="155"/>
      <c r="I762" s="155"/>
    </row>
    <row r="763" spans="7:9" ht="14.4" x14ac:dyDescent="0.3">
      <c r="G763" s="155"/>
      <c r="I763" s="155"/>
    </row>
    <row r="764" spans="7:9" ht="14.4" x14ac:dyDescent="0.3">
      <c r="G764" s="155"/>
      <c r="I764" s="155"/>
    </row>
    <row r="765" spans="7:9" ht="14.4" x14ac:dyDescent="0.3">
      <c r="G765" s="155"/>
      <c r="I765" s="155"/>
    </row>
    <row r="766" spans="7:9" ht="14.4" x14ac:dyDescent="0.3">
      <c r="G766" s="155"/>
      <c r="I766" s="155"/>
    </row>
    <row r="767" spans="7:9" ht="14.4" x14ac:dyDescent="0.3">
      <c r="G767" s="155"/>
      <c r="I767" s="155"/>
    </row>
    <row r="768" spans="7:9" ht="14.4" x14ac:dyDescent="0.3">
      <c r="G768" s="155"/>
      <c r="I768" s="155"/>
    </row>
    <row r="769" spans="7:9" ht="14.4" x14ac:dyDescent="0.3">
      <c r="G769" s="155"/>
      <c r="I769" s="155"/>
    </row>
    <row r="770" spans="7:9" ht="14.4" x14ac:dyDescent="0.3">
      <c r="G770" s="155"/>
      <c r="I770" s="155"/>
    </row>
    <row r="771" spans="7:9" ht="14.4" x14ac:dyDescent="0.3">
      <c r="G771" s="155"/>
      <c r="I771" s="155"/>
    </row>
    <row r="772" spans="7:9" ht="14.4" x14ac:dyDescent="0.3">
      <c r="G772" s="155"/>
      <c r="I772" s="155"/>
    </row>
    <row r="773" spans="7:9" ht="14.4" x14ac:dyDescent="0.3">
      <c r="G773" s="155"/>
      <c r="I773" s="155"/>
    </row>
    <row r="774" spans="7:9" ht="14.4" x14ac:dyDescent="0.3">
      <c r="G774" s="155"/>
      <c r="I774" s="155"/>
    </row>
    <row r="775" spans="7:9" ht="14.4" x14ac:dyDescent="0.3">
      <c r="G775" s="155"/>
      <c r="I775" s="155"/>
    </row>
    <row r="776" spans="7:9" ht="14.4" x14ac:dyDescent="0.3">
      <c r="G776" s="155"/>
      <c r="I776" s="155"/>
    </row>
    <row r="777" spans="7:9" ht="14.4" x14ac:dyDescent="0.3">
      <c r="G777" s="155"/>
      <c r="I777" s="155"/>
    </row>
    <row r="778" spans="7:9" ht="14.4" x14ac:dyDescent="0.3">
      <c r="G778" s="155"/>
      <c r="I778" s="155"/>
    </row>
    <row r="779" spans="7:9" ht="14.4" x14ac:dyDescent="0.3">
      <c r="G779" s="155"/>
      <c r="I779" s="155"/>
    </row>
    <row r="780" spans="7:9" ht="14.4" x14ac:dyDescent="0.3">
      <c r="G780" s="155"/>
      <c r="I780" s="155"/>
    </row>
    <row r="781" spans="7:9" ht="14.4" x14ac:dyDescent="0.3">
      <c r="G781" s="155"/>
      <c r="I781" s="155"/>
    </row>
    <row r="782" spans="7:9" ht="14.4" x14ac:dyDescent="0.3">
      <c r="G782" s="155"/>
      <c r="I782" s="155"/>
    </row>
    <row r="783" spans="7:9" ht="14.4" x14ac:dyDescent="0.3">
      <c r="G783" s="155"/>
      <c r="I783" s="155"/>
    </row>
    <row r="784" spans="7:9" ht="14.4" x14ac:dyDescent="0.3">
      <c r="G784" s="155"/>
      <c r="I784" s="155"/>
    </row>
    <row r="785" spans="7:9" ht="14.4" x14ac:dyDescent="0.3">
      <c r="G785" s="155"/>
      <c r="I785" s="155"/>
    </row>
    <row r="786" spans="7:9" ht="14.4" x14ac:dyDescent="0.3">
      <c r="G786" s="155"/>
      <c r="I786" s="155"/>
    </row>
    <row r="787" spans="7:9" ht="14.4" x14ac:dyDescent="0.3">
      <c r="G787" s="155"/>
      <c r="I787" s="155"/>
    </row>
    <row r="788" spans="7:9" ht="14.4" x14ac:dyDescent="0.3">
      <c r="G788" s="155"/>
      <c r="I788" s="155"/>
    </row>
    <row r="789" spans="7:9" ht="14.4" x14ac:dyDescent="0.3">
      <c r="G789" s="155"/>
      <c r="I789" s="155"/>
    </row>
    <row r="790" spans="7:9" ht="14.4" x14ac:dyDescent="0.3">
      <c r="G790" s="155"/>
      <c r="I790" s="155"/>
    </row>
    <row r="791" spans="7:9" ht="14.4" x14ac:dyDescent="0.3">
      <c r="G791" s="155"/>
      <c r="I791" s="155"/>
    </row>
    <row r="792" spans="7:9" ht="14.4" x14ac:dyDescent="0.3">
      <c r="G792" s="155"/>
      <c r="I792" s="155"/>
    </row>
    <row r="793" spans="7:9" ht="14.4" x14ac:dyDescent="0.3">
      <c r="G793" s="155"/>
      <c r="I793" s="155"/>
    </row>
    <row r="794" spans="7:9" ht="14.4" x14ac:dyDescent="0.3">
      <c r="G794" s="155"/>
      <c r="I794" s="155"/>
    </row>
    <row r="795" spans="7:9" ht="14.4" x14ac:dyDescent="0.3">
      <c r="G795" s="155"/>
      <c r="I795" s="155"/>
    </row>
    <row r="796" spans="7:9" ht="14.4" x14ac:dyDescent="0.3">
      <c r="G796" s="155"/>
      <c r="I796" s="155"/>
    </row>
    <row r="797" spans="7:9" ht="14.4" x14ac:dyDescent="0.3">
      <c r="G797" s="155"/>
      <c r="I797" s="155"/>
    </row>
    <row r="798" spans="7:9" ht="14.4" x14ac:dyDescent="0.3">
      <c r="G798" s="155"/>
      <c r="I798" s="155"/>
    </row>
    <row r="799" spans="7:9" ht="14.4" x14ac:dyDescent="0.3">
      <c r="G799" s="155"/>
      <c r="I799" s="155"/>
    </row>
    <row r="800" spans="7:9" ht="14.4" x14ac:dyDescent="0.3">
      <c r="G800" s="155"/>
      <c r="I800" s="155"/>
    </row>
    <row r="801" spans="7:9" ht="14.4" x14ac:dyDescent="0.3">
      <c r="G801" s="155"/>
      <c r="I801" s="155"/>
    </row>
    <row r="802" spans="7:9" ht="14.4" x14ac:dyDescent="0.3">
      <c r="G802" s="155"/>
      <c r="I802" s="155"/>
    </row>
    <row r="803" spans="7:9" ht="14.4" x14ac:dyDescent="0.3">
      <c r="G803" s="155"/>
      <c r="I803" s="155"/>
    </row>
    <row r="804" spans="7:9" ht="14.4" x14ac:dyDescent="0.3">
      <c r="G804" s="155"/>
      <c r="I804" s="155"/>
    </row>
    <row r="805" spans="7:9" ht="14.4" x14ac:dyDescent="0.3">
      <c r="G805" s="155"/>
      <c r="I805" s="155"/>
    </row>
    <row r="806" spans="7:9" ht="14.4" x14ac:dyDescent="0.3">
      <c r="G806" s="155"/>
      <c r="I806" s="155"/>
    </row>
    <row r="807" spans="7:9" ht="14.4" x14ac:dyDescent="0.3">
      <c r="G807" s="155"/>
      <c r="I807" s="155"/>
    </row>
    <row r="808" spans="7:9" ht="14.4" x14ac:dyDescent="0.3">
      <c r="G808" s="155"/>
      <c r="I808" s="155"/>
    </row>
    <row r="809" spans="7:9" ht="14.4" x14ac:dyDescent="0.3">
      <c r="G809" s="155"/>
      <c r="I809" s="155"/>
    </row>
    <row r="810" spans="7:9" ht="14.4" x14ac:dyDescent="0.3">
      <c r="G810" s="155"/>
      <c r="I810" s="155"/>
    </row>
    <row r="811" spans="7:9" ht="14.4" x14ac:dyDescent="0.3">
      <c r="G811" s="155"/>
      <c r="I811" s="155"/>
    </row>
    <row r="812" spans="7:9" ht="14.4" x14ac:dyDescent="0.3">
      <c r="G812" s="155"/>
      <c r="I812" s="155"/>
    </row>
    <row r="813" spans="7:9" ht="14.4" x14ac:dyDescent="0.3">
      <c r="G813" s="155"/>
      <c r="I813" s="155"/>
    </row>
    <row r="814" spans="7:9" ht="14.4" x14ac:dyDescent="0.3">
      <c r="G814" s="155"/>
      <c r="I814" s="155"/>
    </row>
    <row r="815" spans="7:9" ht="14.4" x14ac:dyDescent="0.3">
      <c r="G815" s="155"/>
      <c r="I815" s="155"/>
    </row>
    <row r="816" spans="7:9" ht="14.4" x14ac:dyDescent="0.3">
      <c r="G816" s="155"/>
      <c r="I816" s="155"/>
    </row>
    <row r="817" spans="7:9" ht="14.4" x14ac:dyDescent="0.3">
      <c r="G817" s="155"/>
      <c r="I817" s="155"/>
    </row>
    <row r="818" spans="7:9" ht="14.4" x14ac:dyDescent="0.3">
      <c r="G818" s="155"/>
      <c r="I818" s="155"/>
    </row>
    <row r="819" spans="7:9" ht="14.4" x14ac:dyDescent="0.3">
      <c r="G819" s="155"/>
      <c r="I819" s="155"/>
    </row>
    <row r="820" spans="7:9" ht="14.4" x14ac:dyDescent="0.3">
      <c r="G820" s="155"/>
      <c r="I820" s="155"/>
    </row>
    <row r="821" spans="7:9" ht="14.4" x14ac:dyDescent="0.3">
      <c r="G821" s="155"/>
      <c r="I821" s="155"/>
    </row>
    <row r="822" spans="7:9" ht="14.4" x14ac:dyDescent="0.3">
      <c r="G822" s="155"/>
      <c r="I822" s="155"/>
    </row>
    <row r="823" spans="7:9" ht="14.4" x14ac:dyDescent="0.3">
      <c r="G823" s="155"/>
      <c r="I823" s="155"/>
    </row>
    <row r="824" spans="7:9" ht="14.4" x14ac:dyDescent="0.3">
      <c r="G824" s="155"/>
      <c r="I824" s="155"/>
    </row>
    <row r="825" spans="7:9" ht="14.4" x14ac:dyDescent="0.3">
      <c r="G825" s="155"/>
      <c r="I825" s="155"/>
    </row>
    <row r="826" spans="7:9" ht="14.4" x14ac:dyDescent="0.3">
      <c r="G826" s="155"/>
      <c r="I826" s="155"/>
    </row>
    <row r="827" spans="7:9" ht="14.4" x14ac:dyDescent="0.3">
      <c r="G827" s="155"/>
      <c r="I827" s="155"/>
    </row>
    <row r="828" spans="7:9" ht="14.4" x14ac:dyDescent="0.3">
      <c r="G828" s="155"/>
      <c r="I828" s="155"/>
    </row>
    <row r="829" spans="7:9" ht="14.4" x14ac:dyDescent="0.3">
      <c r="G829" s="155"/>
      <c r="I829" s="155"/>
    </row>
    <row r="830" spans="7:9" ht="14.4" x14ac:dyDescent="0.3">
      <c r="G830" s="155"/>
      <c r="I830" s="155"/>
    </row>
    <row r="831" spans="7:9" ht="14.4" x14ac:dyDescent="0.3">
      <c r="G831" s="155"/>
      <c r="I831" s="155"/>
    </row>
    <row r="832" spans="7:9" ht="14.4" x14ac:dyDescent="0.3">
      <c r="G832" s="155"/>
      <c r="I832" s="155"/>
    </row>
    <row r="833" spans="7:9" ht="14.4" x14ac:dyDescent="0.3">
      <c r="G833" s="155"/>
      <c r="I833" s="155"/>
    </row>
    <row r="834" spans="7:9" ht="14.4" x14ac:dyDescent="0.3">
      <c r="G834" s="155"/>
      <c r="I834" s="155"/>
    </row>
    <row r="835" spans="7:9" ht="14.4" x14ac:dyDescent="0.3">
      <c r="G835" s="155"/>
      <c r="I835" s="155"/>
    </row>
    <row r="836" spans="7:9" ht="14.4" x14ac:dyDescent="0.3">
      <c r="G836" s="155"/>
      <c r="I836" s="155"/>
    </row>
    <row r="837" spans="7:9" ht="14.4" x14ac:dyDescent="0.3">
      <c r="G837" s="155"/>
      <c r="I837" s="155"/>
    </row>
    <row r="838" spans="7:9" ht="14.4" x14ac:dyDescent="0.3">
      <c r="G838" s="155"/>
      <c r="I838" s="155"/>
    </row>
    <row r="839" spans="7:9" ht="14.4" x14ac:dyDescent="0.3">
      <c r="G839" s="155"/>
      <c r="I839" s="155"/>
    </row>
    <row r="840" spans="7:9" ht="14.4" x14ac:dyDescent="0.3">
      <c r="G840" s="155"/>
      <c r="I840" s="155"/>
    </row>
    <row r="841" spans="7:9" ht="14.4" x14ac:dyDescent="0.3">
      <c r="G841" s="155"/>
      <c r="I841" s="155"/>
    </row>
    <row r="842" spans="7:9" ht="14.4" x14ac:dyDescent="0.3">
      <c r="G842" s="155"/>
      <c r="I842" s="155"/>
    </row>
    <row r="843" spans="7:9" ht="14.4" x14ac:dyDescent="0.3">
      <c r="G843" s="155"/>
      <c r="I843" s="155"/>
    </row>
    <row r="844" spans="7:9" ht="14.4" x14ac:dyDescent="0.3">
      <c r="G844" s="155"/>
      <c r="I844" s="155"/>
    </row>
    <row r="845" spans="7:9" ht="14.4" x14ac:dyDescent="0.3">
      <c r="G845" s="155"/>
      <c r="I845" s="155"/>
    </row>
    <row r="846" spans="7:9" ht="14.4" x14ac:dyDescent="0.3">
      <c r="G846" s="155"/>
      <c r="I846" s="155"/>
    </row>
    <row r="847" spans="7:9" ht="14.4" x14ac:dyDescent="0.3">
      <c r="G847" s="155"/>
      <c r="I847" s="155"/>
    </row>
    <row r="848" spans="7:9" ht="14.4" x14ac:dyDescent="0.3">
      <c r="G848" s="155"/>
      <c r="I848" s="155"/>
    </row>
    <row r="849" spans="7:9" ht="14.4" x14ac:dyDescent="0.3">
      <c r="G849" s="155"/>
      <c r="I849" s="155"/>
    </row>
    <row r="850" spans="7:9" ht="14.4" x14ac:dyDescent="0.3">
      <c r="G850" s="155"/>
      <c r="I850" s="155"/>
    </row>
    <row r="851" spans="7:9" ht="14.4" x14ac:dyDescent="0.3">
      <c r="G851" s="155"/>
      <c r="I851" s="155"/>
    </row>
    <row r="852" spans="7:9" ht="14.4" x14ac:dyDescent="0.3">
      <c r="G852" s="155"/>
      <c r="I852" s="155"/>
    </row>
    <row r="853" spans="7:9" ht="14.4" x14ac:dyDescent="0.3">
      <c r="G853" s="155"/>
      <c r="I853" s="155"/>
    </row>
    <row r="854" spans="7:9" ht="14.4" x14ac:dyDescent="0.3">
      <c r="G854" s="155"/>
      <c r="I854" s="155"/>
    </row>
    <row r="855" spans="7:9" ht="14.4" x14ac:dyDescent="0.3">
      <c r="G855" s="155"/>
      <c r="I855" s="155"/>
    </row>
    <row r="856" spans="7:9" ht="14.4" x14ac:dyDescent="0.3">
      <c r="G856" s="155"/>
      <c r="I856" s="155"/>
    </row>
    <row r="857" spans="7:9" ht="14.4" x14ac:dyDescent="0.3">
      <c r="G857" s="155"/>
      <c r="I857" s="155"/>
    </row>
    <row r="858" spans="7:9" ht="14.4" x14ac:dyDescent="0.3">
      <c r="G858" s="155"/>
      <c r="I858" s="155"/>
    </row>
    <row r="859" spans="7:9" ht="14.4" x14ac:dyDescent="0.3">
      <c r="G859" s="155"/>
      <c r="I859" s="155"/>
    </row>
    <row r="860" spans="7:9" ht="14.4" x14ac:dyDescent="0.3">
      <c r="G860" s="155"/>
      <c r="I860" s="155"/>
    </row>
    <row r="861" spans="7:9" ht="14.4" x14ac:dyDescent="0.3">
      <c r="G861" s="155"/>
      <c r="I861" s="155"/>
    </row>
    <row r="862" spans="7:9" ht="14.4" x14ac:dyDescent="0.3">
      <c r="G862" s="155"/>
      <c r="I862" s="155"/>
    </row>
    <row r="863" spans="7:9" ht="14.4" x14ac:dyDescent="0.3">
      <c r="G863" s="155"/>
      <c r="I863" s="155"/>
    </row>
    <row r="864" spans="7:9" ht="14.4" x14ac:dyDescent="0.3">
      <c r="G864" s="155"/>
      <c r="I864" s="155"/>
    </row>
    <row r="865" spans="7:9" ht="14.4" x14ac:dyDescent="0.3">
      <c r="G865" s="155"/>
      <c r="I865" s="155"/>
    </row>
    <row r="866" spans="7:9" ht="14.4" x14ac:dyDescent="0.3">
      <c r="G866" s="155"/>
      <c r="I866" s="155"/>
    </row>
    <row r="867" spans="7:9" ht="14.4" x14ac:dyDescent="0.3">
      <c r="G867" s="155"/>
      <c r="I867" s="155"/>
    </row>
    <row r="868" spans="7:9" ht="14.4" x14ac:dyDescent="0.3">
      <c r="G868" s="155"/>
      <c r="I868" s="155"/>
    </row>
    <row r="869" spans="7:9" ht="14.4" x14ac:dyDescent="0.3">
      <c r="G869" s="155"/>
      <c r="I869" s="155"/>
    </row>
    <row r="870" spans="7:9" ht="14.4" x14ac:dyDescent="0.3">
      <c r="G870" s="155"/>
      <c r="I870" s="155"/>
    </row>
    <row r="871" spans="7:9" ht="14.4" x14ac:dyDescent="0.3">
      <c r="G871" s="155"/>
      <c r="I871" s="155"/>
    </row>
    <row r="872" spans="7:9" ht="14.4" x14ac:dyDescent="0.3">
      <c r="G872" s="155"/>
      <c r="I872" s="155"/>
    </row>
    <row r="873" spans="7:9" ht="14.4" x14ac:dyDescent="0.3">
      <c r="G873" s="155"/>
      <c r="I873" s="155"/>
    </row>
    <row r="874" spans="7:9" ht="14.4" x14ac:dyDescent="0.3">
      <c r="G874" s="155"/>
      <c r="I874" s="155"/>
    </row>
    <row r="875" spans="7:9" ht="14.4" x14ac:dyDescent="0.3">
      <c r="G875" s="155"/>
      <c r="I875" s="155"/>
    </row>
    <row r="876" spans="7:9" ht="14.4" x14ac:dyDescent="0.3">
      <c r="G876" s="155"/>
      <c r="I876" s="155"/>
    </row>
    <row r="877" spans="7:9" ht="14.4" x14ac:dyDescent="0.3">
      <c r="G877" s="155"/>
      <c r="I877" s="155"/>
    </row>
    <row r="878" spans="7:9" ht="14.4" x14ac:dyDescent="0.3">
      <c r="G878" s="155"/>
      <c r="I878" s="155"/>
    </row>
    <row r="879" spans="7:9" ht="14.4" x14ac:dyDescent="0.3">
      <c r="G879" s="155"/>
      <c r="I879" s="155"/>
    </row>
    <row r="880" spans="7:9" ht="14.4" x14ac:dyDescent="0.3">
      <c r="G880" s="155"/>
      <c r="I880" s="155"/>
    </row>
    <row r="881" spans="7:9" ht="14.4" x14ac:dyDescent="0.3">
      <c r="G881" s="155"/>
      <c r="I881" s="155"/>
    </row>
    <row r="882" spans="7:9" ht="14.4" x14ac:dyDescent="0.3">
      <c r="G882" s="155"/>
      <c r="I882" s="155"/>
    </row>
    <row r="883" spans="7:9" ht="14.4" x14ac:dyDescent="0.3">
      <c r="G883" s="155"/>
      <c r="I883" s="155"/>
    </row>
    <row r="884" spans="7:9" ht="14.4" x14ac:dyDescent="0.3">
      <c r="G884" s="155"/>
      <c r="I884" s="155"/>
    </row>
    <row r="885" spans="7:9" ht="14.4" x14ac:dyDescent="0.3">
      <c r="G885" s="155"/>
      <c r="I885" s="155"/>
    </row>
    <row r="886" spans="7:9" ht="14.4" x14ac:dyDescent="0.3">
      <c r="G886" s="155"/>
      <c r="I886" s="155"/>
    </row>
    <row r="887" spans="7:9" ht="14.4" x14ac:dyDescent="0.3">
      <c r="G887" s="155"/>
      <c r="I887" s="155"/>
    </row>
    <row r="888" spans="7:9" ht="14.4" x14ac:dyDescent="0.3">
      <c r="G888" s="155"/>
      <c r="I888" s="155"/>
    </row>
    <row r="889" spans="7:9" ht="14.4" x14ac:dyDescent="0.3">
      <c r="G889" s="155"/>
      <c r="I889" s="155"/>
    </row>
    <row r="890" spans="7:9" ht="14.4" x14ac:dyDescent="0.3">
      <c r="G890" s="155"/>
      <c r="I890" s="155"/>
    </row>
    <row r="891" spans="7:9" ht="14.4" x14ac:dyDescent="0.3">
      <c r="G891" s="155"/>
      <c r="I891" s="155"/>
    </row>
    <row r="892" spans="7:9" ht="14.4" x14ac:dyDescent="0.3">
      <c r="G892" s="155"/>
      <c r="I892" s="155"/>
    </row>
    <row r="893" spans="7:9" ht="14.4" x14ac:dyDescent="0.3">
      <c r="G893" s="155"/>
      <c r="I893" s="155"/>
    </row>
    <row r="894" spans="7:9" ht="14.4" x14ac:dyDescent="0.3">
      <c r="G894" s="155"/>
      <c r="I894" s="155"/>
    </row>
    <row r="895" spans="7:9" ht="14.4" x14ac:dyDescent="0.3">
      <c r="G895" s="155"/>
      <c r="I895" s="155"/>
    </row>
    <row r="896" spans="7:9" ht="14.4" x14ac:dyDescent="0.3">
      <c r="G896" s="155"/>
      <c r="I896" s="155"/>
    </row>
    <row r="897" spans="7:9" ht="14.4" x14ac:dyDescent="0.3">
      <c r="G897" s="155"/>
      <c r="I897" s="155"/>
    </row>
    <row r="898" spans="7:9" ht="14.4" x14ac:dyDescent="0.3">
      <c r="G898" s="155"/>
      <c r="I898" s="155"/>
    </row>
    <row r="899" spans="7:9" ht="14.4" x14ac:dyDescent="0.3">
      <c r="G899" s="155"/>
      <c r="I899" s="155"/>
    </row>
    <row r="900" spans="7:9" ht="14.4" x14ac:dyDescent="0.3">
      <c r="G900" s="155"/>
      <c r="I900" s="155"/>
    </row>
    <row r="901" spans="7:9" ht="14.4" x14ac:dyDescent="0.3">
      <c r="G901" s="155"/>
      <c r="I901" s="155"/>
    </row>
    <row r="902" spans="7:9" ht="14.4" x14ac:dyDescent="0.3">
      <c r="G902" s="155"/>
      <c r="I902" s="155"/>
    </row>
    <row r="903" spans="7:9" ht="14.4" x14ac:dyDescent="0.3">
      <c r="G903" s="155"/>
      <c r="I903" s="155"/>
    </row>
    <row r="904" spans="7:9" ht="14.4" x14ac:dyDescent="0.3">
      <c r="G904" s="155"/>
      <c r="I904" s="155"/>
    </row>
    <row r="905" spans="7:9" ht="14.4" x14ac:dyDescent="0.3">
      <c r="G905" s="155"/>
      <c r="I905" s="155"/>
    </row>
    <row r="906" spans="7:9" ht="14.4" x14ac:dyDescent="0.3">
      <c r="G906" s="155"/>
      <c r="I906" s="155"/>
    </row>
    <row r="907" spans="7:9" ht="14.4" x14ac:dyDescent="0.3">
      <c r="G907" s="155"/>
      <c r="I907" s="155"/>
    </row>
    <row r="908" spans="7:9" ht="14.4" x14ac:dyDescent="0.3">
      <c r="G908" s="155"/>
      <c r="I908" s="155"/>
    </row>
    <row r="909" spans="7:9" ht="14.4" x14ac:dyDescent="0.3">
      <c r="G909" s="155"/>
      <c r="I909" s="155"/>
    </row>
    <row r="910" spans="7:9" ht="14.4" x14ac:dyDescent="0.3">
      <c r="G910" s="155"/>
      <c r="I910" s="155"/>
    </row>
    <row r="911" spans="7:9" ht="14.4" x14ac:dyDescent="0.3">
      <c r="G911" s="155"/>
      <c r="I911" s="155"/>
    </row>
    <row r="912" spans="7:9" ht="14.4" x14ac:dyDescent="0.3">
      <c r="G912" s="155"/>
      <c r="I912" s="155"/>
    </row>
    <row r="913" spans="7:9" ht="14.4" x14ac:dyDescent="0.3">
      <c r="G913" s="155"/>
      <c r="I913" s="155"/>
    </row>
    <row r="914" spans="7:9" ht="14.4" x14ac:dyDescent="0.3">
      <c r="G914" s="155"/>
      <c r="I914" s="155"/>
    </row>
    <row r="915" spans="7:9" ht="14.4" x14ac:dyDescent="0.3">
      <c r="G915" s="155"/>
      <c r="I915" s="155"/>
    </row>
    <row r="916" spans="7:9" ht="14.4" x14ac:dyDescent="0.3">
      <c r="G916" s="155"/>
      <c r="I916" s="155"/>
    </row>
    <row r="917" spans="7:9" ht="14.4" x14ac:dyDescent="0.3">
      <c r="G917" s="155"/>
      <c r="I917" s="155"/>
    </row>
    <row r="918" spans="7:9" ht="14.4" x14ac:dyDescent="0.3">
      <c r="G918" s="155"/>
      <c r="I918" s="155"/>
    </row>
    <row r="919" spans="7:9" ht="14.4" x14ac:dyDescent="0.3">
      <c r="G919" s="155"/>
      <c r="I919" s="155"/>
    </row>
    <row r="920" spans="7:9" ht="14.4" x14ac:dyDescent="0.3">
      <c r="G920" s="155"/>
      <c r="I920" s="155"/>
    </row>
    <row r="921" spans="7:9" ht="14.4" x14ac:dyDescent="0.3">
      <c r="G921" s="155"/>
      <c r="I921" s="155"/>
    </row>
    <row r="922" spans="7:9" ht="14.4" x14ac:dyDescent="0.3">
      <c r="G922" s="155"/>
      <c r="I922" s="155"/>
    </row>
    <row r="923" spans="7:9" ht="14.4" x14ac:dyDescent="0.3">
      <c r="G923" s="155"/>
      <c r="I923" s="155"/>
    </row>
    <row r="924" spans="7:9" ht="14.4" x14ac:dyDescent="0.3">
      <c r="G924" s="155"/>
      <c r="I924" s="155"/>
    </row>
    <row r="925" spans="7:9" ht="14.4" x14ac:dyDescent="0.3">
      <c r="G925" s="155"/>
      <c r="I925" s="155"/>
    </row>
    <row r="926" spans="7:9" ht="14.4" x14ac:dyDescent="0.3">
      <c r="G926" s="155"/>
      <c r="I926" s="155"/>
    </row>
    <row r="927" spans="7:9" ht="14.4" x14ac:dyDescent="0.3">
      <c r="G927" s="155"/>
      <c r="I927" s="155"/>
    </row>
    <row r="928" spans="7:9" ht="14.4" x14ac:dyDescent="0.3">
      <c r="G928" s="155"/>
      <c r="I928" s="155"/>
    </row>
    <row r="929" spans="7:9" ht="14.4" x14ac:dyDescent="0.3">
      <c r="G929" s="155"/>
      <c r="I929" s="155"/>
    </row>
    <row r="930" spans="7:9" ht="14.4" x14ac:dyDescent="0.3">
      <c r="G930" s="155"/>
      <c r="I930" s="155"/>
    </row>
    <row r="931" spans="7:9" ht="14.4" x14ac:dyDescent="0.3">
      <c r="G931" s="155"/>
      <c r="I931" s="155"/>
    </row>
    <row r="932" spans="7:9" ht="14.4" x14ac:dyDescent="0.3">
      <c r="G932" s="155"/>
      <c r="I932" s="155"/>
    </row>
    <row r="933" spans="7:9" ht="14.4" x14ac:dyDescent="0.3">
      <c r="G933" s="155"/>
      <c r="I933" s="155"/>
    </row>
    <row r="934" spans="7:9" ht="14.4" x14ac:dyDescent="0.3">
      <c r="G934" s="155"/>
      <c r="I934" s="155"/>
    </row>
    <row r="935" spans="7:9" ht="14.4" x14ac:dyDescent="0.3">
      <c r="G935" s="155"/>
      <c r="I935" s="155"/>
    </row>
    <row r="936" spans="7:9" ht="14.4" x14ac:dyDescent="0.3">
      <c r="G936" s="155"/>
      <c r="I936" s="155"/>
    </row>
    <row r="937" spans="7:9" ht="14.4" x14ac:dyDescent="0.3">
      <c r="G937" s="155"/>
      <c r="I937" s="155"/>
    </row>
    <row r="938" spans="7:9" ht="14.4" x14ac:dyDescent="0.3">
      <c r="G938" s="155"/>
      <c r="I938" s="155"/>
    </row>
    <row r="939" spans="7:9" ht="14.4" x14ac:dyDescent="0.3">
      <c r="G939" s="155"/>
      <c r="I939" s="155"/>
    </row>
    <row r="940" spans="7:9" ht="14.4" x14ac:dyDescent="0.3">
      <c r="G940" s="155"/>
      <c r="I940" s="155"/>
    </row>
    <row r="941" spans="7:9" ht="14.4" x14ac:dyDescent="0.3">
      <c r="G941" s="155"/>
      <c r="I941" s="155"/>
    </row>
    <row r="942" spans="7:9" ht="14.4" x14ac:dyDescent="0.3">
      <c r="G942" s="155"/>
      <c r="I942" s="155"/>
    </row>
    <row r="943" spans="7:9" ht="14.4" x14ac:dyDescent="0.3">
      <c r="G943" s="155"/>
      <c r="I943" s="155"/>
    </row>
    <row r="944" spans="7:9" ht="14.4" x14ac:dyDescent="0.3">
      <c r="G944" s="155"/>
      <c r="I944" s="155"/>
    </row>
    <row r="945" spans="7:9" ht="14.4" x14ac:dyDescent="0.3">
      <c r="G945" s="155"/>
      <c r="I945" s="155"/>
    </row>
    <row r="946" spans="7:9" ht="14.4" x14ac:dyDescent="0.3">
      <c r="G946" s="155"/>
      <c r="I946" s="155"/>
    </row>
    <row r="947" spans="7:9" ht="14.4" x14ac:dyDescent="0.3">
      <c r="G947" s="155"/>
      <c r="I947" s="155"/>
    </row>
    <row r="948" spans="7:9" ht="14.4" x14ac:dyDescent="0.3">
      <c r="G948" s="155"/>
      <c r="I948" s="155"/>
    </row>
    <row r="949" spans="7:9" ht="14.4" x14ac:dyDescent="0.3">
      <c r="G949" s="155"/>
      <c r="I949" s="155"/>
    </row>
    <row r="950" spans="7:9" ht="14.4" x14ac:dyDescent="0.3">
      <c r="G950" s="155"/>
      <c r="I950" s="155"/>
    </row>
    <row r="951" spans="7:9" ht="14.4" x14ac:dyDescent="0.3">
      <c r="G951" s="155"/>
      <c r="I951" s="155"/>
    </row>
    <row r="952" spans="7:9" ht="14.4" x14ac:dyDescent="0.3">
      <c r="G952" s="155"/>
      <c r="I952" s="155"/>
    </row>
    <row r="953" spans="7:9" ht="14.4" x14ac:dyDescent="0.3">
      <c r="G953" s="155"/>
      <c r="I953" s="155"/>
    </row>
    <row r="954" spans="7:9" ht="14.4" x14ac:dyDescent="0.3">
      <c r="G954" s="155"/>
      <c r="I954" s="155"/>
    </row>
    <row r="955" spans="7:9" ht="14.4" x14ac:dyDescent="0.3">
      <c r="G955" s="155"/>
      <c r="I955" s="155"/>
    </row>
    <row r="956" spans="7:9" ht="14.4" x14ac:dyDescent="0.3">
      <c r="G956" s="155"/>
      <c r="I956" s="155"/>
    </row>
    <row r="957" spans="7:9" ht="14.4" x14ac:dyDescent="0.3">
      <c r="G957" s="155"/>
      <c r="I957" s="155"/>
    </row>
    <row r="958" spans="7:9" ht="14.4" x14ac:dyDescent="0.3">
      <c r="G958" s="155"/>
      <c r="I958" s="155"/>
    </row>
    <row r="959" spans="7:9" ht="14.4" x14ac:dyDescent="0.3">
      <c r="G959" s="155"/>
      <c r="I959" s="155"/>
    </row>
    <row r="960" spans="7:9" ht="14.4" x14ac:dyDescent="0.3">
      <c r="G960" s="155"/>
      <c r="I960" s="155"/>
    </row>
    <row r="961" spans="7:9" ht="14.4" x14ac:dyDescent="0.3">
      <c r="G961" s="155"/>
      <c r="I961" s="155"/>
    </row>
    <row r="962" spans="7:9" ht="14.4" x14ac:dyDescent="0.3">
      <c r="G962" s="155"/>
      <c r="I962" s="155"/>
    </row>
    <row r="963" spans="7:9" ht="14.4" x14ac:dyDescent="0.3">
      <c r="G963" s="155"/>
      <c r="I963" s="155"/>
    </row>
    <row r="964" spans="7:9" ht="14.4" x14ac:dyDescent="0.3">
      <c r="G964" s="155"/>
      <c r="I964" s="155"/>
    </row>
    <row r="965" spans="7:9" ht="14.4" x14ac:dyDescent="0.3">
      <c r="G965" s="155"/>
      <c r="I965" s="155"/>
    </row>
    <row r="966" spans="7:9" ht="14.4" x14ac:dyDescent="0.3">
      <c r="G966" s="155"/>
      <c r="I966" s="155"/>
    </row>
    <row r="967" spans="7:9" ht="14.4" x14ac:dyDescent="0.3">
      <c r="G967" s="155"/>
      <c r="I967" s="155"/>
    </row>
    <row r="968" spans="7:9" ht="14.4" x14ac:dyDescent="0.3">
      <c r="G968" s="155"/>
      <c r="I968" s="155"/>
    </row>
    <row r="969" spans="7:9" ht="14.4" x14ac:dyDescent="0.3">
      <c r="G969" s="155"/>
      <c r="I969" s="155"/>
    </row>
    <row r="970" spans="7:9" ht="14.4" x14ac:dyDescent="0.3">
      <c r="G970" s="155"/>
      <c r="I970" s="155"/>
    </row>
    <row r="971" spans="7:9" ht="14.4" x14ac:dyDescent="0.3">
      <c r="G971" s="155"/>
      <c r="I971" s="155"/>
    </row>
    <row r="972" spans="7:9" ht="14.4" x14ac:dyDescent="0.3">
      <c r="G972" s="155"/>
      <c r="I972" s="155"/>
    </row>
    <row r="973" spans="7:9" ht="14.4" x14ac:dyDescent="0.3">
      <c r="G973" s="155"/>
      <c r="I973" s="155"/>
    </row>
    <row r="974" spans="7:9" ht="14.4" x14ac:dyDescent="0.3">
      <c r="G974" s="155"/>
      <c r="I974" s="155"/>
    </row>
    <row r="975" spans="7:9" ht="14.4" x14ac:dyDescent="0.3">
      <c r="G975" s="155"/>
      <c r="I975" s="155"/>
    </row>
    <row r="976" spans="7:9" ht="14.4" x14ac:dyDescent="0.3">
      <c r="G976" s="155"/>
      <c r="I976" s="155"/>
    </row>
    <row r="977" spans="7:9" ht="14.4" x14ac:dyDescent="0.3">
      <c r="G977" s="155"/>
      <c r="I977" s="155"/>
    </row>
    <row r="978" spans="7:9" ht="14.4" x14ac:dyDescent="0.3">
      <c r="G978" s="155"/>
      <c r="I978" s="155"/>
    </row>
    <row r="979" spans="7:9" ht="14.4" x14ac:dyDescent="0.3">
      <c r="G979" s="155"/>
      <c r="I979" s="155"/>
    </row>
    <row r="980" spans="7:9" ht="14.4" x14ac:dyDescent="0.3">
      <c r="G980" s="155"/>
      <c r="I980" s="155"/>
    </row>
    <row r="981" spans="7:9" ht="14.4" x14ac:dyDescent="0.3">
      <c r="G981" s="155"/>
      <c r="I981" s="155"/>
    </row>
    <row r="982" spans="7:9" ht="14.4" x14ac:dyDescent="0.3">
      <c r="G982" s="155"/>
      <c r="I982" s="155"/>
    </row>
    <row r="983" spans="7:9" ht="14.4" x14ac:dyDescent="0.3">
      <c r="G983" s="155"/>
      <c r="I983" s="155"/>
    </row>
    <row r="984" spans="7:9" ht="14.4" x14ac:dyDescent="0.3">
      <c r="G984" s="155"/>
      <c r="I984" s="155"/>
    </row>
    <row r="985" spans="7:9" ht="14.4" x14ac:dyDescent="0.3">
      <c r="G985" s="155"/>
      <c r="I985" s="155"/>
    </row>
    <row r="986" spans="7:9" ht="14.4" x14ac:dyDescent="0.3">
      <c r="G986" s="155"/>
      <c r="I986" s="155"/>
    </row>
    <row r="987" spans="7:9" ht="14.4" x14ac:dyDescent="0.3">
      <c r="G987" s="155"/>
      <c r="I987" s="155"/>
    </row>
    <row r="988" spans="7:9" ht="14.4" x14ac:dyDescent="0.3">
      <c r="G988" s="155"/>
      <c r="I988" s="155"/>
    </row>
    <row r="989" spans="7:9" ht="14.4" x14ac:dyDescent="0.3">
      <c r="G989" s="155"/>
      <c r="I989" s="155"/>
    </row>
    <row r="990" spans="7:9" ht="14.4" x14ac:dyDescent="0.3">
      <c r="G990" s="155"/>
      <c r="I990" s="155"/>
    </row>
    <row r="991" spans="7:9" ht="14.4" x14ac:dyDescent="0.3">
      <c r="G991" s="155"/>
      <c r="I991" s="155"/>
    </row>
    <row r="992" spans="7:9" ht="14.4" x14ac:dyDescent="0.3">
      <c r="G992" s="155"/>
      <c r="I992" s="155"/>
    </row>
    <row r="993" spans="7:9" ht="14.4" x14ac:dyDescent="0.3">
      <c r="G993" s="155"/>
      <c r="I993" s="155"/>
    </row>
    <row r="994" spans="7:9" ht="14.4" x14ac:dyDescent="0.3">
      <c r="G994" s="155"/>
      <c r="I994" s="155"/>
    </row>
    <row r="995" spans="7:9" ht="14.4" x14ac:dyDescent="0.3">
      <c r="G995" s="155"/>
      <c r="I995" s="155"/>
    </row>
    <row r="996" spans="7:9" ht="14.4" x14ac:dyDescent="0.3">
      <c r="G996" s="155"/>
      <c r="I996" s="155"/>
    </row>
    <row r="997" spans="7:9" ht="14.4" x14ac:dyDescent="0.3">
      <c r="G997" s="155"/>
      <c r="I997" s="155"/>
    </row>
    <row r="998" spans="7:9" ht="14.4" x14ac:dyDescent="0.3">
      <c r="G998" s="155"/>
      <c r="I998" s="155"/>
    </row>
    <row r="999" spans="7:9" ht="14.4" x14ac:dyDescent="0.3">
      <c r="G999" s="155"/>
      <c r="I999" s="155"/>
    </row>
    <row r="1000" spans="7:9" ht="14.4" x14ac:dyDescent="0.3">
      <c r="G1000" s="155"/>
      <c r="I1000" s="155"/>
    </row>
    <row r="1001" spans="7:9" ht="14.4" x14ac:dyDescent="0.3">
      <c r="G1001" s="155"/>
      <c r="I1001" s="155"/>
    </row>
  </sheetData>
  <autoFilter ref="C5:F94" xr:uid="{00000000-0009-0000-0000-000015000000}"/>
  <mergeCells count="8">
    <mergeCell ref="J4:J5"/>
    <mergeCell ref="G13:G17"/>
    <mergeCell ref="I13:I17"/>
    <mergeCell ref="B2:B3"/>
    <mergeCell ref="C2:F3"/>
    <mergeCell ref="B4:B5"/>
    <mergeCell ref="H4:H5"/>
    <mergeCell ref="I4:I5"/>
  </mergeCells>
  <dataValidations disablePrompts="1" count="1">
    <dataValidation type="list" allowBlank="1" showErrorMessage="1" sqref="D7:D23 D25:D31 D33:D60 D62:D63 D66:D69 D71:D86 D89:D90 D92 D94" xr:uid="{00000000-0002-0000-1500-000001000000}">
      <formula1>"OK,Parcial,Pendente"</formula1>
    </dataValidation>
  </dataValidations>
  <hyperlinks>
    <hyperlink ref="I7" r:id="rId1" xr:uid="{00000000-0004-0000-1500-000000000000}"/>
    <hyperlink ref="I8" r:id="rId2" xr:uid="{00000000-0004-0000-1500-000001000000}"/>
    <hyperlink ref="I9" r:id="rId3" xr:uid="{00000000-0004-0000-1500-000002000000}"/>
    <hyperlink ref="I10" r:id="rId4" xr:uid="{00000000-0004-0000-1500-000003000000}"/>
    <hyperlink ref="I11" r:id="rId5" xr:uid="{00000000-0004-0000-1500-000004000000}"/>
    <hyperlink ref="I13" r:id="rId6" xr:uid="{00000000-0004-0000-1500-000005000000}"/>
    <hyperlink ref="I18" r:id="rId7" xr:uid="{00000000-0004-0000-1500-000006000000}"/>
    <hyperlink ref="I19" r:id="rId8" xr:uid="{00000000-0004-0000-1500-000007000000}"/>
    <hyperlink ref="I20" r:id="rId9" xr:uid="{00000000-0004-0000-1500-000008000000}"/>
    <hyperlink ref="I21" r:id="rId10" xr:uid="{00000000-0004-0000-1500-000009000000}"/>
    <hyperlink ref="I23" r:id="rId11" xr:uid="{00000000-0004-0000-1500-00000A000000}"/>
    <hyperlink ref="I25" r:id="rId12" xr:uid="{00000000-0004-0000-1500-00000B000000}"/>
    <hyperlink ref="I26" r:id="rId13" xr:uid="{00000000-0004-0000-1500-00000C000000}"/>
    <hyperlink ref="I27" r:id="rId14" xr:uid="{00000000-0004-0000-1500-00000D000000}"/>
    <hyperlink ref="I28" r:id="rId15" xr:uid="{00000000-0004-0000-1500-00000E000000}"/>
    <hyperlink ref="I29" r:id="rId16" xr:uid="{00000000-0004-0000-1500-00000F000000}"/>
    <hyperlink ref="I30" r:id="rId17" xr:uid="{00000000-0004-0000-1500-000010000000}"/>
    <hyperlink ref="I31" r:id="rId18" xr:uid="{00000000-0004-0000-1500-000011000000}"/>
    <hyperlink ref="I33" r:id="rId19" xr:uid="{00000000-0004-0000-1500-000012000000}"/>
    <hyperlink ref="I34" r:id="rId20" xr:uid="{00000000-0004-0000-1500-000013000000}"/>
    <hyperlink ref="I35" r:id="rId21" xr:uid="{00000000-0004-0000-1500-000014000000}"/>
    <hyperlink ref="I36" r:id="rId22" xr:uid="{00000000-0004-0000-1500-000015000000}"/>
    <hyperlink ref="I37" r:id="rId23" xr:uid="{00000000-0004-0000-1500-000016000000}"/>
    <hyperlink ref="I38" r:id="rId24" xr:uid="{00000000-0004-0000-1500-000017000000}"/>
    <hyperlink ref="I39" r:id="rId25" xr:uid="{00000000-0004-0000-1500-000018000000}"/>
    <hyperlink ref="I40" r:id="rId26" xr:uid="{00000000-0004-0000-1500-000019000000}"/>
    <hyperlink ref="I41" r:id="rId27" xr:uid="{00000000-0004-0000-1500-00001A000000}"/>
    <hyperlink ref="I42" r:id="rId28" xr:uid="{00000000-0004-0000-1500-00001B000000}"/>
    <hyperlink ref="I43" r:id="rId29" xr:uid="{00000000-0004-0000-1500-00001C000000}"/>
    <hyperlink ref="I44" r:id="rId30" xr:uid="{00000000-0004-0000-1500-00001D000000}"/>
    <hyperlink ref="I45" r:id="rId31" xr:uid="{00000000-0004-0000-1500-00001E000000}"/>
    <hyperlink ref="I46" r:id="rId32" xr:uid="{00000000-0004-0000-1500-00001F000000}"/>
    <hyperlink ref="I47" r:id="rId33" xr:uid="{00000000-0004-0000-1500-000020000000}"/>
    <hyperlink ref="I48" r:id="rId34" xr:uid="{00000000-0004-0000-1500-000021000000}"/>
    <hyperlink ref="I49" r:id="rId35" xr:uid="{00000000-0004-0000-1500-000022000000}"/>
    <hyperlink ref="I50" r:id="rId36" xr:uid="{00000000-0004-0000-1500-000023000000}"/>
    <hyperlink ref="I51" r:id="rId37" xr:uid="{00000000-0004-0000-1500-000024000000}"/>
    <hyperlink ref="I54" r:id="rId38" xr:uid="{00000000-0004-0000-1500-000025000000}"/>
    <hyperlink ref="I55" r:id="rId39" xr:uid="{00000000-0004-0000-1500-000026000000}"/>
    <hyperlink ref="I56" r:id="rId40" xr:uid="{00000000-0004-0000-1500-000027000000}"/>
    <hyperlink ref="I57" r:id="rId41" xr:uid="{00000000-0004-0000-1500-000028000000}"/>
    <hyperlink ref="I58" r:id="rId42" xr:uid="{00000000-0004-0000-1500-000029000000}"/>
    <hyperlink ref="I59" r:id="rId43" xr:uid="{00000000-0004-0000-1500-00002A000000}"/>
    <hyperlink ref="I60" r:id="rId44" xr:uid="{00000000-0004-0000-1500-00002B000000}"/>
    <hyperlink ref="I62" r:id="rId45" xr:uid="{00000000-0004-0000-1500-00002C000000}"/>
    <hyperlink ref="I63" r:id="rId46" xr:uid="{00000000-0004-0000-1500-00002D000000}"/>
    <hyperlink ref="I66" r:id="rId47" xr:uid="{00000000-0004-0000-1500-00002E000000}"/>
    <hyperlink ref="I67" r:id="rId48" xr:uid="{00000000-0004-0000-1500-00002F000000}"/>
    <hyperlink ref="I68" r:id="rId49" xr:uid="{00000000-0004-0000-1500-000030000000}"/>
    <hyperlink ref="I69" r:id="rId50" xr:uid="{00000000-0004-0000-1500-000031000000}"/>
    <hyperlink ref="I71" r:id="rId51" xr:uid="{00000000-0004-0000-1500-000032000000}"/>
    <hyperlink ref="I72" r:id="rId52" xr:uid="{00000000-0004-0000-1500-000033000000}"/>
    <hyperlink ref="I73" r:id="rId53" xr:uid="{00000000-0004-0000-1500-000034000000}"/>
    <hyperlink ref="I74" r:id="rId54" xr:uid="{00000000-0004-0000-1500-000035000000}"/>
    <hyperlink ref="I75" r:id="rId55" xr:uid="{00000000-0004-0000-1500-000036000000}"/>
    <hyperlink ref="I76" r:id="rId56" xr:uid="{00000000-0004-0000-1500-000037000000}"/>
    <hyperlink ref="I77" r:id="rId57" xr:uid="{00000000-0004-0000-1500-000038000000}"/>
    <hyperlink ref="I78" r:id="rId58" xr:uid="{00000000-0004-0000-1500-000039000000}"/>
    <hyperlink ref="I79" r:id="rId59" xr:uid="{00000000-0004-0000-1500-00003A000000}"/>
    <hyperlink ref="I80" r:id="rId60" xr:uid="{00000000-0004-0000-1500-00003B000000}"/>
    <hyperlink ref="I81" r:id="rId61" xr:uid="{00000000-0004-0000-1500-00003C000000}"/>
    <hyperlink ref="I83" r:id="rId62" xr:uid="{00000000-0004-0000-1500-00003D000000}"/>
    <hyperlink ref="I85" r:id="rId63" xr:uid="{00000000-0004-0000-1500-00003E000000}"/>
    <hyperlink ref="I86" r:id="rId64" xr:uid="{00000000-0004-0000-1500-00003F000000}"/>
    <hyperlink ref="I89" r:id="rId65" xr:uid="{00000000-0004-0000-1500-000040000000}"/>
    <hyperlink ref="I90" r:id="rId66" xr:uid="{00000000-0004-0000-1500-000041000000}"/>
    <hyperlink ref="I94" r:id="rId67" xr:uid="{00000000-0004-0000-1500-000042000000}"/>
  </hyperlinks>
  <pageMargins left="0.23622047244094491" right="0.23622047244094491" top="0.74803149606299213" bottom="0.74803149606299213" header="0" footer="0"/>
  <pageSetup paperSize="9" scale="80" orientation="landscape"/>
  <extLst>
    <ext xmlns:x14="http://schemas.microsoft.com/office/spreadsheetml/2009/9/main" uri="{CCE6A557-97BC-4b89-ADB6-D9C93CAAB3DF}">
      <x14:dataValidations xmlns:xm="http://schemas.microsoft.com/office/excel/2006/main" disablePrompts="1" count="4">
        <x14:dataValidation type="list" allowBlank="1" showErrorMessage="1" xr:uid="{00000000-0002-0000-1500-000000000000}">
          <x14:formula1>
            <xm:f>Caixa!$B$5:$B$8</xm:f>
          </x14:formula1>
          <xm:sqref>H7:H11 H13:H21 H23 H25:H31 H33:H51 H54:H60 H62:H63 H66:H69 H71:H81 H83 H85:H86 H89:H90 H92 H94</xm:sqref>
        </x14:dataValidation>
        <x14:dataValidation type="list" allowBlank="1" showErrorMessage="1" xr:uid="{00000000-0002-0000-1500-000002000000}">
          <x14:formula1>
            <xm:f>'Plano de contas DG'!$C$43:$C$145</xm:f>
          </x14:formula1>
          <xm:sqref>J86</xm:sqref>
        </x14:dataValidation>
        <x14:dataValidation type="list" allowBlank="1" showErrorMessage="1" xr:uid="{00000000-0002-0000-1500-000003000000}">
          <x14:formula1>
            <xm:f>'Plano de contas DG'!$C$5:$C$145</xm:f>
          </x14:formula1>
          <xm:sqref>J6:J85 J87:J94</xm:sqref>
        </x14:dataValidation>
        <x14:dataValidation type="list" allowBlank="1" showErrorMessage="1" xr:uid="{00000000-0002-0000-1500-000004000000}">
          <x14:formula1>
            <xm:f>Caixa!$B$5:$B$7</xm:f>
          </x14:formula1>
          <xm:sqref>H12 H22 H52:H53 H82 H84</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SUM(E6,E126,E154,E184,E188)</f>
        <v>0</v>
      </c>
      <c r="F4" s="26">
        <f t="shared" si="0"/>
        <v>0</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SUM(E7:E125)</f>
        <v>0</v>
      </c>
      <c r="F6" s="57">
        <f>SUMIF(D7:D125,"OK",F7:F125)+SUMIF(D7:D125,"Parcial",F7:F125)</f>
        <v>0</v>
      </c>
      <c r="G6" s="118" t="s">
        <v>43</v>
      </c>
      <c r="H6" s="59"/>
      <c r="I6" s="59"/>
      <c r="J6" s="60">
        <f>(COUNTIF(D7:D125,"Pendente")+COUNTIF(D7:D125,"Parcial"))/COUNTA(B7:B125)</f>
        <v>0</v>
      </c>
      <c r="K6" s="60" t="str">
        <f>IFERROR(-(X6/E6),"Pendente info")</f>
        <v>Pendente info</v>
      </c>
      <c r="L6" s="100">
        <f>SUM(L7:L104)/COUNTA(B7:B104)</f>
        <v>0</v>
      </c>
      <c r="M6" s="57">
        <f t="shared" ref="M6:U6" si="1">SUMIF($D$7:$D$125,"OK",M7:M125)+SUMIF($D$7:$D$125,"Parcial",M7:M125)</f>
        <v>0</v>
      </c>
      <c r="N6" s="57">
        <f t="shared" si="1"/>
        <v>0</v>
      </c>
      <c r="O6" s="57">
        <f t="shared" si="1"/>
        <v>0</v>
      </c>
      <c r="P6" s="57">
        <f t="shared" si="1"/>
        <v>0</v>
      </c>
      <c r="Q6" s="57">
        <f t="shared" si="1"/>
        <v>0</v>
      </c>
      <c r="R6" s="57">
        <f t="shared" si="1"/>
        <v>0</v>
      </c>
      <c r="S6" s="57">
        <f t="shared" si="1"/>
        <v>0</v>
      </c>
      <c r="T6" s="57">
        <f t="shared" si="1"/>
        <v>0</v>
      </c>
      <c r="U6" s="57">
        <f t="shared" si="1"/>
        <v>0</v>
      </c>
      <c r="V6" s="56" t="s">
        <v>43</v>
      </c>
      <c r="W6" s="44" t="str">
        <f t="shared" ref="W6:W125" si="2">IF(F6=SUM(M6:U6),"OK","Diferente")</f>
        <v>OK</v>
      </c>
      <c r="X6" s="47">
        <f>SUM(X7:X125)</f>
        <v>0</v>
      </c>
      <c r="Y6" s="18">
        <f>SUM(M6:U6)-F6</f>
        <v>0</v>
      </c>
      <c r="Z6" s="3"/>
    </row>
    <row r="7" spans="1:26" ht="14.4" hidden="1" outlineLevel="1" x14ac:dyDescent="0.3">
      <c r="A7" s="3"/>
      <c r="B7" s="150" t="s">
        <v>422</v>
      </c>
      <c r="C7" s="62"/>
      <c r="D7" s="62"/>
      <c r="E7" s="12"/>
      <c r="F7" s="101"/>
      <c r="G7" s="250"/>
      <c r="H7" s="103"/>
      <c r="I7" s="63"/>
      <c r="J7" s="64"/>
      <c r="K7" s="62"/>
      <c r="L7" s="62" t="str">
        <f t="shared" ref="L7:L125" si="3">IF(C7&gt;=13,1,"")</f>
        <v/>
      </c>
      <c r="M7" s="12"/>
      <c r="N7" s="12"/>
      <c r="O7" s="12"/>
      <c r="P7" s="12"/>
      <c r="Q7" s="12"/>
      <c r="R7" s="12"/>
      <c r="S7" s="12"/>
      <c r="T7" s="12"/>
      <c r="U7" s="12"/>
      <c r="V7" s="65"/>
      <c r="W7" s="44" t="str">
        <f t="shared" si="2"/>
        <v>OK</v>
      </c>
      <c r="X7" s="47" t="str">
        <f t="shared" ref="X7:X125" si="4">IF(W7="Diferente",F7-SUM(M7:U7),"")</f>
        <v/>
      </c>
      <c r="Y7" s="3"/>
      <c r="Z7" s="127"/>
    </row>
    <row r="8" spans="1:26" ht="14.4" hidden="1" outlineLevel="1" x14ac:dyDescent="0.3">
      <c r="A8" s="3"/>
      <c r="B8" s="150" t="s">
        <v>424</v>
      </c>
      <c r="C8" s="62"/>
      <c r="D8" s="62"/>
      <c r="E8" s="12"/>
      <c r="F8" s="101"/>
      <c r="G8" s="251"/>
      <c r="H8" s="103"/>
      <c r="I8" s="63"/>
      <c r="J8" s="64"/>
      <c r="K8" s="62"/>
      <c r="L8" s="62" t="str">
        <f t="shared" si="3"/>
        <v/>
      </c>
      <c r="M8" s="12"/>
      <c r="N8" s="12"/>
      <c r="O8" s="12"/>
      <c r="P8" s="12"/>
      <c r="Q8" s="12"/>
      <c r="R8" s="12"/>
      <c r="S8" s="12"/>
      <c r="T8" s="12"/>
      <c r="U8" s="12"/>
      <c r="V8" s="65"/>
      <c r="W8" s="44" t="str">
        <f t="shared" si="2"/>
        <v>OK</v>
      </c>
      <c r="X8" s="47" t="str">
        <f t="shared" si="4"/>
        <v/>
      </c>
      <c r="Y8" s="3"/>
      <c r="Z8" s="127"/>
    </row>
    <row r="9" spans="1:26" ht="14.4" hidden="1" outlineLevel="1" x14ac:dyDescent="0.3">
      <c r="A9" s="3"/>
      <c r="B9" s="150" t="s">
        <v>425</v>
      </c>
      <c r="C9" s="62"/>
      <c r="D9" s="62"/>
      <c r="E9" s="12"/>
      <c r="F9" s="101"/>
      <c r="G9" s="251"/>
      <c r="H9" s="103"/>
      <c r="I9" s="63"/>
      <c r="J9" s="64"/>
      <c r="K9" s="62"/>
      <c r="L9" s="62" t="str">
        <f t="shared" si="3"/>
        <v/>
      </c>
      <c r="M9" s="12"/>
      <c r="N9" s="12"/>
      <c r="O9" s="12"/>
      <c r="P9" s="12"/>
      <c r="Q9" s="12"/>
      <c r="R9" s="12"/>
      <c r="S9" s="12"/>
      <c r="T9" s="12"/>
      <c r="U9" s="12"/>
      <c r="V9" s="65"/>
      <c r="W9" s="44" t="str">
        <f t="shared" si="2"/>
        <v>OK</v>
      </c>
      <c r="X9" s="47" t="str">
        <f t="shared" si="4"/>
        <v/>
      </c>
      <c r="Y9" s="3"/>
      <c r="Z9" s="127"/>
    </row>
    <row r="10" spans="1:26" ht="14.4" hidden="1" outlineLevel="1" x14ac:dyDescent="0.3">
      <c r="A10" s="3"/>
      <c r="B10" s="150" t="s">
        <v>426</v>
      </c>
      <c r="C10" s="62"/>
      <c r="D10" s="62"/>
      <c r="E10" s="12"/>
      <c r="F10" s="101"/>
      <c r="G10" s="252"/>
      <c r="H10" s="103"/>
      <c r="I10" s="63"/>
      <c r="J10" s="64"/>
      <c r="K10" s="62"/>
      <c r="L10" s="62" t="str">
        <f t="shared" si="3"/>
        <v/>
      </c>
      <c r="M10" s="12"/>
      <c r="N10" s="12"/>
      <c r="O10" s="12"/>
      <c r="P10" s="12"/>
      <c r="Q10" s="12"/>
      <c r="R10" s="12"/>
      <c r="S10" s="12"/>
      <c r="T10" s="12"/>
      <c r="U10" s="12"/>
      <c r="V10" s="65"/>
      <c r="W10" s="44" t="str">
        <f t="shared" si="2"/>
        <v>OK</v>
      </c>
      <c r="X10" s="47" t="str">
        <f t="shared" si="4"/>
        <v/>
      </c>
      <c r="Y10" s="3"/>
      <c r="Z10" s="127"/>
    </row>
    <row r="11" spans="1:26" ht="14.4" hidden="1" outlineLevel="1" x14ac:dyDescent="0.3">
      <c r="A11" s="3"/>
      <c r="B11" s="109" t="s">
        <v>427</v>
      </c>
      <c r="C11" s="62"/>
      <c r="D11" s="62"/>
      <c r="E11" s="12"/>
      <c r="F11" s="101"/>
      <c r="G11" s="250"/>
      <c r="H11" s="103"/>
      <c r="I11" s="63"/>
      <c r="J11" s="64"/>
      <c r="K11" s="62"/>
      <c r="L11" s="62" t="str">
        <f t="shared" si="3"/>
        <v/>
      </c>
      <c r="M11" s="12"/>
      <c r="N11" s="12"/>
      <c r="O11" s="12"/>
      <c r="P11" s="12"/>
      <c r="Q11" s="12"/>
      <c r="R11" s="12"/>
      <c r="S11" s="12"/>
      <c r="T11" s="12"/>
      <c r="U11" s="12"/>
      <c r="V11" s="65"/>
      <c r="W11" s="44" t="str">
        <f t="shared" si="2"/>
        <v>OK</v>
      </c>
      <c r="X11" s="47" t="str">
        <f t="shared" si="4"/>
        <v/>
      </c>
      <c r="Y11" s="3"/>
      <c r="Z11" s="127"/>
    </row>
    <row r="12" spans="1:26" ht="14.4" hidden="1" outlineLevel="1" x14ac:dyDescent="0.3">
      <c r="A12" s="3"/>
      <c r="B12" s="109" t="s">
        <v>428</v>
      </c>
      <c r="C12" s="62"/>
      <c r="D12" s="62"/>
      <c r="E12" s="12"/>
      <c r="F12" s="101"/>
      <c r="G12" s="252"/>
      <c r="H12" s="103"/>
      <c r="I12" s="63"/>
      <c r="J12" s="64"/>
      <c r="K12" s="62"/>
      <c r="L12" s="62" t="str">
        <f t="shared" si="3"/>
        <v/>
      </c>
      <c r="M12" s="12"/>
      <c r="N12" s="12"/>
      <c r="O12" s="12"/>
      <c r="P12" s="12"/>
      <c r="Q12" s="12"/>
      <c r="R12" s="12"/>
      <c r="S12" s="12"/>
      <c r="T12" s="12"/>
      <c r="U12" s="12"/>
      <c r="V12" s="65"/>
      <c r="W12" s="44" t="str">
        <f t="shared" si="2"/>
        <v>OK</v>
      </c>
      <c r="X12" s="47" t="str">
        <f t="shared" si="4"/>
        <v/>
      </c>
      <c r="Y12" s="3"/>
      <c r="Z12" s="127"/>
    </row>
    <row r="13" spans="1:26" ht="14.4" hidden="1" outlineLevel="1" x14ac:dyDescent="0.3">
      <c r="A13" s="3"/>
      <c r="B13" s="150" t="s">
        <v>429</v>
      </c>
      <c r="C13" s="62"/>
      <c r="D13" s="62"/>
      <c r="E13" s="12"/>
      <c r="F13" s="101"/>
      <c r="G13" s="253"/>
      <c r="H13" s="103"/>
      <c r="I13" s="63"/>
      <c r="J13" s="64"/>
      <c r="K13" s="62"/>
      <c r="L13" s="62" t="str">
        <f t="shared" si="3"/>
        <v/>
      </c>
      <c r="M13" s="12"/>
      <c r="N13" s="12"/>
      <c r="O13" s="12"/>
      <c r="P13" s="12"/>
      <c r="Q13" s="12"/>
      <c r="R13" s="12"/>
      <c r="S13" s="12"/>
      <c r="T13" s="12"/>
      <c r="U13" s="12"/>
      <c r="V13" s="65"/>
      <c r="W13" s="44" t="str">
        <f t="shared" si="2"/>
        <v>OK</v>
      </c>
      <c r="X13" s="47" t="str">
        <f t="shared" si="4"/>
        <v/>
      </c>
      <c r="Y13" s="3"/>
      <c r="Z13" s="127"/>
    </row>
    <row r="14" spans="1:26" ht="14.4" hidden="1" outlineLevel="1" x14ac:dyDescent="0.3">
      <c r="A14" s="3"/>
      <c r="B14" s="150" t="s">
        <v>431</v>
      </c>
      <c r="C14" s="62"/>
      <c r="D14" s="62"/>
      <c r="E14" s="12"/>
      <c r="F14" s="101"/>
      <c r="G14" s="252"/>
      <c r="H14" s="103"/>
      <c r="I14" s="63"/>
      <c r="J14" s="64"/>
      <c r="K14" s="62"/>
      <c r="L14" s="62" t="str">
        <f t="shared" si="3"/>
        <v/>
      </c>
      <c r="M14" s="12"/>
      <c r="N14" s="12"/>
      <c r="O14" s="12"/>
      <c r="P14" s="12"/>
      <c r="Q14" s="12"/>
      <c r="R14" s="12"/>
      <c r="S14" s="12"/>
      <c r="T14" s="12"/>
      <c r="U14" s="12"/>
      <c r="V14" s="65"/>
      <c r="W14" s="44" t="str">
        <f t="shared" si="2"/>
        <v>OK</v>
      </c>
      <c r="X14" s="47" t="str">
        <f t="shared" si="4"/>
        <v/>
      </c>
      <c r="Y14" s="3"/>
      <c r="Z14" s="127"/>
    </row>
    <row r="15" spans="1:26" ht="18" hidden="1" customHeight="1" outlineLevel="1" x14ac:dyDescent="0.3">
      <c r="A15" s="3"/>
      <c r="B15" s="109" t="s">
        <v>432</v>
      </c>
      <c r="C15" s="62"/>
      <c r="D15" s="62"/>
      <c r="E15" s="12"/>
      <c r="F15" s="101"/>
      <c r="G15" s="253"/>
      <c r="H15" s="103"/>
      <c r="I15" s="63"/>
      <c r="J15" s="64"/>
      <c r="K15" s="62"/>
      <c r="L15" s="62" t="str">
        <f t="shared" si="3"/>
        <v/>
      </c>
      <c r="M15" s="12"/>
      <c r="N15" s="12"/>
      <c r="O15" s="12"/>
      <c r="P15" s="12"/>
      <c r="Q15" s="12"/>
      <c r="R15" s="12"/>
      <c r="S15" s="12"/>
      <c r="T15" s="12"/>
      <c r="U15" s="12"/>
      <c r="V15" s="65"/>
      <c r="W15" s="44" t="str">
        <f t="shared" si="2"/>
        <v>OK</v>
      </c>
      <c r="X15" s="47" t="str">
        <f t="shared" si="4"/>
        <v/>
      </c>
      <c r="Y15" s="3"/>
      <c r="Z15" s="127"/>
    </row>
    <row r="16" spans="1:26" ht="18" hidden="1" customHeight="1" outlineLevel="1" x14ac:dyDescent="0.3">
      <c r="A16" s="3"/>
      <c r="B16" s="109" t="s">
        <v>433</v>
      </c>
      <c r="C16" s="62"/>
      <c r="D16" s="62"/>
      <c r="E16" s="12"/>
      <c r="F16" s="101"/>
      <c r="G16" s="252"/>
      <c r="H16" s="103"/>
      <c r="I16" s="63"/>
      <c r="J16" s="64"/>
      <c r="K16" s="62"/>
      <c r="L16" s="62" t="str">
        <f t="shared" si="3"/>
        <v/>
      </c>
      <c r="M16" s="12"/>
      <c r="N16" s="12"/>
      <c r="O16" s="12"/>
      <c r="P16" s="12"/>
      <c r="Q16" s="12"/>
      <c r="R16" s="12"/>
      <c r="S16" s="12"/>
      <c r="T16" s="12"/>
      <c r="U16" s="12"/>
      <c r="V16" s="65"/>
      <c r="W16" s="44" t="str">
        <f t="shared" si="2"/>
        <v>OK</v>
      </c>
      <c r="X16" s="47" t="str">
        <f t="shared" si="4"/>
        <v/>
      </c>
      <c r="Y16" s="3"/>
      <c r="Z16" s="127"/>
    </row>
    <row r="17" spans="1:26" ht="14.4" hidden="1" outlineLevel="1" x14ac:dyDescent="0.3">
      <c r="A17" s="3"/>
      <c r="B17" s="150" t="s">
        <v>434</v>
      </c>
      <c r="C17" s="62"/>
      <c r="D17" s="62"/>
      <c r="E17" s="12"/>
      <c r="F17" s="101"/>
      <c r="G17" s="250"/>
      <c r="H17" s="103"/>
      <c r="I17" s="63"/>
      <c r="J17" s="64"/>
      <c r="K17" s="62"/>
      <c r="L17" s="62" t="str">
        <f t="shared" si="3"/>
        <v/>
      </c>
      <c r="M17" s="12"/>
      <c r="N17" s="12"/>
      <c r="O17" s="12"/>
      <c r="P17" s="12"/>
      <c r="Q17" s="12"/>
      <c r="R17" s="12"/>
      <c r="S17" s="12"/>
      <c r="T17" s="12"/>
      <c r="U17" s="12"/>
      <c r="V17" s="65"/>
      <c r="W17" s="44" t="str">
        <f t="shared" si="2"/>
        <v>OK</v>
      </c>
      <c r="X17" s="47" t="str">
        <f t="shared" si="4"/>
        <v/>
      </c>
      <c r="Y17" s="3"/>
      <c r="Z17" s="127"/>
    </row>
    <row r="18" spans="1:26" ht="14.4" hidden="1" outlineLevel="1" x14ac:dyDescent="0.3">
      <c r="A18" s="3"/>
      <c r="B18" s="150" t="s">
        <v>435</v>
      </c>
      <c r="C18" s="62"/>
      <c r="D18" s="62"/>
      <c r="E18" s="12"/>
      <c r="F18" s="101"/>
      <c r="G18" s="252"/>
      <c r="H18" s="103"/>
      <c r="I18" s="63"/>
      <c r="J18" s="64"/>
      <c r="K18" s="62"/>
      <c r="L18" s="62" t="str">
        <f t="shared" si="3"/>
        <v/>
      </c>
      <c r="M18" s="12"/>
      <c r="N18" s="12"/>
      <c r="O18" s="12"/>
      <c r="P18" s="12"/>
      <c r="Q18" s="12"/>
      <c r="R18" s="12"/>
      <c r="S18" s="12"/>
      <c r="T18" s="12"/>
      <c r="U18" s="12"/>
      <c r="V18" s="65"/>
      <c r="W18" s="44" t="str">
        <f t="shared" si="2"/>
        <v>OK</v>
      </c>
      <c r="X18" s="47" t="str">
        <f t="shared" si="4"/>
        <v/>
      </c>
      <c r="Y18" s="3"/>
      <c r="Z18" s="127"/>
    </row>
    <row r="19" spans="1:26" ht="14.4" hidden="1" outlineLevel="1" x14ac:dyDescent="0.3">
      <c r="A19" s="3"/>
      <c r="B19" s="109" t="s">
        <v>436</v>
      </c>
      <c r="C19" s="62"/>
      <c r="D19" s="62"/>
      <c r="E19" s="12"/>
      <c r="F19" s="101"/>
      <c r="G19" s="250"/>
      <c r="H19" s="103"/>
      <c r="I19" s="63"/>
      <c r="J19" s="64"/>
      <c r="K19" s="62"/>
      <c r="L19" s="62" t="str">
        <f t="shared" si="3"/>
        <v/>
      </c>
      <c r="M19" s="12"/>
      <c r="N19" s="12"/>
      <c r="O19" s="12"/>
      <c r="P19" s="12"/>
      <c r="Q19" s="12"/>
      <c r="R19" s="12"/>
      <c r="S19" s="12"/>
      <c r="T19" s="12"/>
      <c r="U19" s="12"/>
      <c r="V19" s="65"/>
      <c r="W19" s="44" t="str">
        <f t="shared" si="2"/>
        <v>OK</v>
      </c>
      <c r="X19" s="47" t="str">
        <f t="shared" si="4"/>
        <v/>
      </c>
      <c r="Y19" s="3"/>
      <c r="Z19" s="127"/>
    </row>
    <row r="20" spans="1:26" ht="14.4" hidden="1" outlineLevel="1" x14ac:dyDescent="0.3">
      <c r="A20" s="3"/>
      <c r="B20" s="109" t="s">
        <v>437</v>
      </c>
      <c r="C20" s="62"/>
      <c r="D20" s="62"/>
      <c r="E20" s="12"/>
      <c r="F20" s="101"/>
      <c r="G20" s="252"/>
      <c r="H20" s="103"/>
      <c r="I20" s="63"/>
      <c r="J20" s="64"/>
      <c r="K20" s="62"/>
      <c r="L20" s="62" t="str">
        <f t="shared" si="3"/>
        <v/>
      </c>
      <c r="M20" s="12"/>
      <c r="N20" s="12"/>
      <c r="O20" s="12"/>
      <c r="P20" s="12"/>
      <c r="Q20" s="12"/>
      <c r="R20" s="12"/>
      <c r="S20" s="12"/>
      <c r="T20" s="12"/>
      <c r="U20" s="12"/>
      <c r="V20" s="65"/>
      <c r="W20" s="44" t="str">
        <f t="shared" si="2"/>
        <v>OK</v>
      </c>
      <c r="X20" s="47" t="str">
        <f t="shared" si="4"/>
        <v/>
      </c>
      <c r="Y20" s="3"/>
      <c r="Z20" s="127"/>
    </row>
    <row r="21" spans="1:26" ht="15.75" hidden="1" customHeight="1" outlineLevel="1" x14ac:dyDescent="0.3">
      <c r="A21" s="3"/>
      <c r="B21" s="150" t="s">
        <v>438</v>
      </c>
      <c r="C21" s="62"/>
      <c r="D21" s="62"/>
      <c r="E21" s="12"/>
      <c r="F21" s="101"/>
      <c r="G21" s="253"/>
      <c r="H21" s="103"/>
      <c r="I21" s="63"/>
      <c r="J21" s="64"/>
      <c r="K21" s="62"/>
      <c r="L21" s="62" t="str">
        <f t="shared" si="3"/>
        <v/>
      </c>
      <c r="M21" s="12"/>
      <c r="N21" s="12"/>
      <c r="O21" s="12"/>
      <c r="P21" s="12"/>
      <c r="Q21" s="12"/>
      <c r="R21" s="12"/>
      <c r="S21" s="12"/>
      <c r="T21" s="12"/>
      <c r="U21" s="12"/>
      <c r="V21" s="65"/>
      <c r="W21" s="44" t="str">
        <f t="shared" si="2"/>
        <v>OK</v>
      </c>
      <c r="X21" s="47" t="str">
        <f t="shared" si="4"/>
        <v/>
      </c>
      <c r="Y21" s="3"/>
      <c r="Z21" s="127"/>
    </row>
    <row r="22" spans="1:26" ht="15.75" hidden="1" customHeight="1" outlineLevel="1" x14ac:dyDescent="0.3">
      <c r="A22" s="3"/>
      <c r="B22" s="150" t="s">
        <v>439</v>
      </c>
      <c r="C22" s="62"/>
      <c r="D22" s="62"/>
      <c r="E22" s="12"/>
      <c r="F22" s="101"/>
      <c r="G22" s="252"/>
      <c r="H22" s="103"/>
      <c r="I22" s="63"/>
      <c r="J22" s="64"/>
      <c r="K22" s="62"/>
      <c r="L22" s="62" t="str">
        <f t="shared" si="3"/>
        <v/>
      </c>
      <c r="M22" s="12"/>
      <c r="N22" s="12"/>
      <c r="O22" s="12"/>
      <c r="P22" s="12"/>
      <c r="Q22" s="12"/>
      <c r="R22" s="12"/>
      <c r="S22" s="12"/>
      <c r="T22" s="12"/>
      <c r="U22" s="12"/>
      <c r="V22" s="65"/>
      <c r="W22" s="44" t="str">
        <f t="shared" si="2"/>
        <v>OK</v>
      </c>
      <c r="X22" s="47" t="str">
        <f t="shared" si="4"/>
        <v/>
      </c>
      <c r="Y22" s="3"/>
      <c r="Z22" s="127"/>
    </row>
    <row r="23" spans="1:26" ht="15.75" hidden="1" customHeight="1" outlineLevel="1" x14ac:dyDescent="0.3">
      <c r="A23" s="3"/>
      <c r="B23" s="109" t="s">
        <v>440</v>
      </c>
      <c r="C23" s="62"/>
      <c r="D23" s="62"/>
      <c r="E23" s="12"/>
      <c r="F23" s="101"/>
      <c r="G23" s="253"/>
      <c r="H23" s="103"/>
      <c r="I23" s="63"/>
      <c r="J23" s="64"/>
      <c r="K23" s="12"/>
      <c r="L23" s="62" t="str">
        <f t="shared" si="3"/>
        <v/>
      </c>
      <c r="M23" s="12"/>
      <c r="N23" s="12"/>
      <c r="O23" s="12"/>
      <c r="P23" s="12"/>
      <c r="Q23" s="12"/>
      <c r="R23" s="12"/>
      <c r="S23" s="12"/>
      <c r="T23" s="12"/>
      <c r="U23" s="12"/>
      <c r="V23" s="65"/>
      <c r="W23" s="44" t="str">
        <f t="shared" si="2"/>
        <v>OK</v>
      </c>
      <c r="X23" s="47" t="str">
        <f t="shared" si="4"/>
        <v/>
      </c>
      <c r="Y23" s="3"/>
      <c r="Z23" s="127"/>
    </row>
    <row r="24" spans="1:26" ht="15.75" hidden="1" customHeight="1" outlineLevel="1" x14ac:dyDescent="0.3">
      <c r="A24" s="3"/>
      <c r="B24" s="109" t="s">
        <v>441</v>
      </c>
      <c r="C24" s="62"/>
      <c r="D24" s="62"/>
      <c r="E24" s="12"/>
      <c r="F24" s="101"/>
      <c r="G24" s="252"/>
      <c r="H24" s="103"/>
      <c r="I24" s="63"/>
      <c r="J24" s="64"/>
      <c r="K24" s="12"/>
      <c r="L24" s="62" t="str">
        <f t="shared" si="3"/>
        <v/>
      </c>
      <c r="M24" s="12"/>
      <c r="N24" s="12"/>
      <c r="O24" s="12"/>
      <c r="P24" s="12"/>
      <c r="Q24" s="12"/>
      <c r="R24" s="12"/>
      <c r="S24" s="12"/>
      <c r="T24" s="12"/>
      <c r="U24" s="12"/>
      <c r="V24" s="65"/>
      <c r="W24" s="44" t="str">
        <f t="shared" si="2"/>
        <v>OK</v>
      </c>
      <c r="X24" s="47" t="str">
        <f t="shared" si="4"/>
        <v/>
      </c>
      <c r="Y24" s="3"/>
      <c r="Z24" s="127"/>
    </row>
    <row r="25" spans="1:26" ht="15.75" hidden="1" customHeight="1" outlineLevel="1" x14ac:dyDescent="0.3">
      <c r="A25" s="3"/>
      <c r="B25" s="150" t="s">
        <v>442</v>
      </c>
      <c r="C25" s="62"/>
      <c r="D25" s="62"/>
      <c r="E25" s="12"/>
      <c r="F25" s="101"/>
      <c r="G25" s="119"/>
      <c r="H25" s="103"/>
      <c r="I25" s="63"/>
      <c r="J25" s="64"/>
      <c r="K25" s="12"/>
      <c r="L25" s="62" t="str">
        <f t="shared" si="3"/>
        <v/>
      </c>
      <c r="M25" s="12"/>
      <c r="N25" s="12"/>
      <c r="O25" s="12"/>
      <c r="P25" s="12"/>
      <c r="Q25" s="12"/>
      <c r="R25" s="12"/>
      <c r="S25" s="12"/>
      <c r="T25" s="12"/>
      <c r="U25" s="12"/>
      <c r="V25" s="65"/>
      <c r="W25" s="44" t="str">
        <f t="shared" si="2"/>
        <v>OK</v>
      </c>
      <c r="X25" s="47" t="str">
        <f t="shared" si="4"/>
        <v/>
      </c>
      <c r="Y25" s="3"/>
      <c r="Z25" s="127"/>
    </row>
    <row r="26" spans="1:26" ht="15.75" hidden="1" customHeight="1" outlineLevel="1" x14ac:dyDescent="0.3">
      <c r="A26" s="3"/>
      <c r="B26" s="109" t="s">
        <v>443</v>
      </c>
      <c r="C26" s="62"/>
      <c r="D26" s="62"/>
      <c r="E26" s="12"/>
      <c r="F26" s="101"/>
      <c r="G26" s="119"/>
      <c r="H26" s="103"/>
      <c r="I26" s="63"/>
      <c r="J26" s="64"/>
      <c r="K26" s="12"/>
      <c r="L26" s="62" t="str">
        <f t="shared" si="3"/>
        <v/>
      </c>
      <c r="M26" s="12"/>
      <c r="N26" s="12"/>
      <c r="O26" s="12"/>
      <c r="P26" s="12"/>
      <c r="Q26" s="12"/>
      <c r="R26" s="12"/>
      <c r="S26" s="12"/>
      <c r="T26" s="12"/>
      <c r="U26" s="12"/>
      <c r="V26" s="65"/>
      <c r="W26" s="44" t="str">
        <f t="shared" si="2"/>
        <v>OK</v>
      </c>
      <c r="X26" s="47" t="str">
        <f t="shared" si="4"/>
        <v/>
      </c>
      <c r="Y26" s="3"/>
      <c r="Z26" s="127"/>
    </row>
    <row r="27" spans="1:26" ht="15.75" hidden="1" customHeight="1" outlineLevel="1" x14ac:dyDescent="0.3">
      <c r="A27" s="3"/>
      <c r="B27" s="150" t="s">
        <v>444</v>
      </c>
      <c r="C27" s="62"/>
      <c r="D27" s="62"/>
      <c r="E27" s="12"/>
      <c r="F27" s="101"/>
      <c r="G27" s="253"/>
      <c r="H27" s="103"/>
      <c r="I27" s="63"/>
      <c r="J27" s="64"/>
      <c r="K27" s="12"/>
      <c r="L27" s="62" t="str">
        <f t="shared" si="3"/>
        <v/>
      </c>
      <c r="M27" s="12"/>
      <c r="N27" s="12"/>
      <c r="O27" s="12"/>
      <c r="P27" s="12"/>
      <c r="Q27" s="12"/>
      <c r="R27" s="12"/>
      <c r="S27" s="12"/>
      <c r="T27" s="12"/>
      <c r="U27" s="12"/>
      <c r="V27" s="65"/>
      <c r="W27" s="44" t="str">
        <f t="shared" si="2"/>
        <v>OK</v>
      </c>
      <c r="X27" s="47" t="str">
        <f t="shared" si="4"/>
        <v/>
      </c>
      <c r="Y27" s="3"/>
      <c r="Z27" s="127"/>
    </row>
    <row r="28" spans="1:26" ht="15.75" hidden="1" customHeight="1" outlineLevel="1" x14ac:dyDescent="0.3">
      <c r="A28" s="3"/>
      <c r="B28" s="150" t="s">
        <v>446</v>
      </c>
      <c r="C28" s="62"/>
      <c r="D28" s="62"/>
      <c r="E28" s="12"/>
      <c r="F28" s="101"/>
      <c r="G28" s="252"/>
      <c r="H28" s="103"/>
      <c r="I28" s="63"/>
      <c r="J28" s="64"/>
      <c r="K28" s="12"/>
      <c r="L28" s="62" t="str">
        <f t="shared" si="3"/>
        <v/>
      </c>
      <c r="M28" s="12"/>
      <c r="N28" s="12"/>
      <c r="O28" s="12"/>
      <c r="P28" s="12"/>
      <c r="Q28" s="12"/>
      <c r="R28" s="12"/>
      <c r="S28" s="12"/>
      <c r="T28" s="12"/>
      <c r="U28" s="12"/>
      <c r="V28" s="65"/>
      <c r="W28" s="44" t="str">
        <f t="shared" si="2"/>
        <v>OK</v>
      </c>
      <c r="X28" s="47" t="str">
        <f t="shared" si="4"/>
        <v/>
      </c>
      <c r="Y28" s="3"/>
      <c r="Z28" s="127"/>
    </row>
    <row r="29" spans="1:26" ht="15.75" hidden="1" customHeight="1" outlineLevel="1" x14ac:dyDescent="0.3">
      <c r="A29" s="3"/>
      <c r="B29" s="109" t="s">
        <v>447</v>
      </c>
      <c r="C29" s="62"/>
      <c r="D29" s="62"/>
      <c r="E29" s="12"/>
      <c r="F29" s="101"/>
      <c r="G29" s="253"/>
      <c r="H29" s="103"/>
      <c r="I29" s="63"/>
      <c r="J29" s="64"/>
      <c r="K29" s="12"/>
      <c r="L29" s="62" t="str">
        <f t="shared" si="3"/>
        <v/>
      </c>
      <c r="M29" s="12"/>
      <c r="N29" s="12"/>
      <c r="O29" s="12"/>
      <c r="P29" s="12"/>
      <c r="Q29" s="12"/>
      <c r="R29" s="12"/>
      <c r="S29" s="12"/>
      <c r="T29" s="12"/>
      <c r="U29" s="12"/>
      <c r="V29" s="65"/>
      <c r="W29" s="44" t="str">
        <f t="shared" si="2"/>
        <v>OK</v>
      </c>
      <c r="X29" s="47" t="str">
        <f t="shared" si="4"/>
        <v/>
      </c>
      <c r="Y29" s="3"/>
      <c r="Z29" s="127"/>
    </row>
    <row r="30" spans="1:26" ht="15.75" hidden="1" customHeight="1" outlineLevel="1" x14ac:dyDescent="0.3">
      <c r="A30" s="3"/>
      <c r="B30" s="109" t="s">
        <v>448</v>
      </c>
      <c r="C30" s="62"/>
      <c r="D30" s="62"/>
      <c r="E30" s="12"/>
      <c r="F30" s="101"/>
      <c r="G30" s="252"/>
      <c r="H30" s="103"/>
      <c r="I30" s="63"/>
      <c r="J30" s="64"/>
      <c r="K30" s="12"/>
      <c r="L30" s="62" t="str">
        <f t="shared" si="3"/>
        <v/>
      </c>
      <c r="M30" s="12"/>
      <c r="N30" s="12"/>
      <c r="O30" s="12"/>
      <c r="P30" s="12"/>
      <c r="Q30" s="12"/>
      <c r="R30" s="12"/>
      <c r="S30" s="12"/>
      <c r="T30" s="12"/>
      <c r="U30" s="12"/>
      <c r="V30" s="65"/>
      <c r="W30" s="44" t="str">
        <f t="shared" si="2"/>
        <v>OK</v>
      </c>
      <c r="X30" s="47" t="str">
        <f t="shared" si="4"/>
        <v/>
      </c>
      <c r="Y30" s="3"/>
      <c r="Z30" s="127"/>
    </row>
    <row r="31" spans="1:26" ht="15.75" hidden="1" customHeight="1" outlineLevel="1" x14ac:dyDescent="0.3">
      <c r="A31" s="3"/>
      <c r="B31" s="150" t="s">
        <v>449</v>
      </c>
      <c r="C31" s="62"/>
      <c r="D31" s="62"/>
      <c r="E31" s="12"/>
      <c r="F31" s="101"/>
      <c r="G31" s="253"/>
      <c r="H31" s="103"/>
      <c r="I31" s="63"/>
      <c r="J31" s="64"/>
      <c r="K31" s="12"/>
      <c r="L31" s="62" t="str">
        <f t="shared" si="3"/>
        <v/>
      </c>
      <c r="M31" s="12"/>
      <c r="N31" s="12"/>
      <c r="O31" s="12"/>
      <c r="P31" s="12"/>
      <c r="Q31" s="12"/>
      <c r="R31" s="12"/>
      <c r="S31" s="12"/>
      <c r="T31" s="12"/>
      <c r="U31" s="12"/>
      <c r="V31" s="65"/>
      <c r="W31" s="44" t="str">
        <f t="shared" si="2"/>
        <v>OK</v>
      </c>
      <c r="X31" s="47" t="str">
        <f t="shared" si="4"/>
        <v/>
      </c>
      <c r="Y31" s="3"/>
      <c r="Z31" s="127"/>
    </row>
    <row r="32" spans="1:26" ht="15.75" hidden="1" customHeight="1" outlineLevel="1" x14ac:dyDescent="0.3">
      <c r="A32" s="3"/>
      <c r="B32" s="150" t="s">
        <v>450</v>
      </c>
      <c r="C32" s="62"/>
      <c r="D32" s="62"/>
      <c r="E32" s="12"/>
      <c r="F32" s="101"/>
      <c r="G32" s="252"/>
      <c r="H32" s="103"/>
      <c r="I32" s="63"/>
      <c r="J32" s="64"/>
      <c r="K32" s="12"/>
      <c r="L32" s="62" t="str">
        <f t="shared" si="3"/>
        <v/>
      </c>
      <c r="M32" s="12"/>
      <c r="N32" s="12"/>
      <c r="O32" s="12"/>
      <c r="P32" s="12"/>
      <c r="Q32" s="12"/>
      <c r="R32" s="12"/>
      <c r="S32" s="12"/>
      <c r="T32" s="12"/>
      <c r="U32" s="12"/>
      <c r="V32" s="65"/>
      <c r="W32" s="44" t="str">
        <f t="shared" si="2"/>
        <v>OK</v>
      </c>
      <c r="X32" s="47" t="str">
        <f t="shared" si="4"/>
        <v/>
      </c>
      <c r="Y32" s="3"/>
      <c r="Z32" s="127"/>
    </row>
    <row r="33" spans="1:26" ht="15.75" hidden="1" customHeight="1" outlineLevel="1" x14ac:dyDescent="0.3">
      <c r="A33" s="3"/>
      <c r="B33" s="109" t="s">
        <v>451</v>
      </c>
      <c r="C33" s="62"/>
      <c r="D33" s="62"/>
      <c r="E33" s="12"/>
      <c r="F33" s="101"/>
      <c r="G33" s="253"/>
      <c r="H33" s="103"/>
      <c r="I33" s="63"/>
      <c r="J33" s="64"/>
      <c r="K33" s="12"/>
      <c r="L33" s="62" t="str">
        <f t="shared" si="3"/>
        <v/>
      </c>
      <c r="M33" s="12"/>
      <c r="N33" s="12"/>
      <c r="O33" s="12"/>
      <c r="P33" s="12"/>
      <c r="Q33" s="12"/>
      <c r="R33" s="12"/>
      <c r="S33" s="12"/>
      <c r="T33" s="12"/>
      <c r="U33" s="12"/>
      <c r="V33" s="65"/>
      <c r="W33" s="44" t="str">
        <f t="shared" si="2"/>
        <v>OK</v>
      </c>
      <c r="X33" s="47" t="str">
        <f t="shared" si="4"/>
        <v/>
      </c>
      <c r="Y33" s="3"/>
      <c r="Z33" s="127"/>
    </row>
    <row r="34" spans="1:26" ht="15.75" hidden="1" customHeight="1" outlineLevel="1" x14ac:dyDescent="0.3">
      <c r="A34" s="3"/>
      <c r="B34" s="109" t="s">
        <v>452</v>
      </c>
      <c r="C34" s="62"/>
      <c r="D34" s="62"/>
      <c r="E34" s="12"/>
      <c r="F34" s="101"/>
      <c r="G34" s="252"/>
      <c r="H34" s="103"/>
      <c r="I34" s="63"/>
      <c r="J34" s="64"/>
      <c r="K34" s="12"/>
      <c r="L34" s="62" t="str">
        <f t="shared" si="3"/>
        <v/>
      </c>
      <c r="M34" s="12"/>
      <c r="N34" s="12"/>
      <c r="O34" s="12"/>
      <c r="P34" s="12"/>
      <c r="Q34" s="12"/>
      <c r="R34" s="12"/>
      <c r="S34" s="12"/>
      <c r="T34" s="12"/>
      <c r="U34" s="12"/>
      <c r="V34" s="65"/>
      <c r="W34" s="44" t="str">
        <f t="shared" si="2"/>
        <v>OK</v>
      </c>
      <c r="X34" s="47" t="str">
        <f t="shared" si="4"/>
        <v/>
      </c>
      <c r="Y34" s="3"/>
      <c r="Z34" s="127"/>
    </row>
    <row r="35" spans="1:26" ht="15.75" hidden="1" customHeight="1" outlineLevel="1" x14ac:dyDescent="0.3">
      <c r="A35" s="3"/>
      <c r="B35" s="150" t="s">
        <v>453</v>
      </c>
      <c r="C35" s="62"/>
      <c r="D35" s="62"/>
      <c r="E35" s="12"/>
      <c r="F35" s="101"/>
      <c r="G35" s="120"/>
      <c r="H35" s="103"/>
      <c r="I35" s="63"/>
      <c r="J35" s="64"/>
      <c r="K35" s="12"/>
      <c r="L35" s="62" t="str">
        <f t="shared" si="3"/>
        <v/>
      </c>
      <c r="M35" s="12"/>
      <c r="N35" s="12"/>
      <c r="O35" s="12"/>
      <c r="P35" s="12"/>
      <c r="Q35" s="12"/>
      <c r="R35" s="12"/>
      <c r="S35" s="12"/>
      <c r="T35" s="12"/>
      <c r="U35" s="12"/>
      <c r="V35" s="65"/>
      <c r="W35" s="44" t="str">
        <f t="shared" si="2"/>
        <v>OK</v>
      </c>
      <c r="X35" s="47" t="str">
        <f t="shared" si="4"/>
        <v/>
      </c>
      <c r="Y35" s="3"/>
      <c r="Z35" s="127"/>
    </row>
    <row r="36" spans="1:26" ht="15.75" hidden="1" customHeight="1" outlineLevel="1" x14ac:dyDescent="0.3">
      <c r="A36" s="3"/>
      <c r="B36" s="109" t="s">
        <v>454</v>
      </c>
      <c r="C36" s="62"/>
      <c r="D36" s="62"/>
      <c r="E36" s="12"/>
      <c r="F36" s="101"/>
      <c r="G36" s="119"/>
      <c r="H36" s="103"/>
      <c r="I36" s="63"/>
      <c r="J36" s="64"/>
      <c r="K36" s="12"/>
      <c r="L36" s="62" t="str">
        <f t="shared" si="3"/>
        <v/>
      </c>
      <c r="M36" s="12"/>
      <c r="N36" s="12"/>
      <c r="O36" s="12"/>
      <c r="P36" s="12"/>
      <c r="Q36" s="12"/>
      <c r="R36" s="12"/>
      <c r="S36" s="12"/>
      <c r="T36" s="12"/>
      <c r="U36" s="12"/>
      <c r="V36" s="65"/>
      <c r="W36" s="44" t="str">
        <f t="shared" si="2"/>
        <v>OK</v>
      </c>
      <c r="X36" s="47" t="str">
        <f t="shared" si="4"/>
        <v/>
      </c>
      <c r="Y36" s="3"/>
      <c r="Z36" s="127"/>
    </row>
    <row r="37" spans="1:26" ht="15.75" hidden="1" customHeight="1" outlineLevel="1" x14ac:dyDescent="0.3">
      <c r="A37" s="3"/>
      <c r="B37" s="150" t="s">
        <v>455</v>
      </c>
      <c r="C37" s="62"/>
      <c r="D37" s="62"/>
      <c r="E37" s="12"/>
      <c r="F37" s="101"/>
      <c r="G37" s="253"/>
      <c r="H37" s="103"/>
      <c r="I37" s="63"/>
      <c r="J37" s="64"/>
      <c r="K37" s="12"/>
      <c r="L37" s="62" t="str">
        <f t="shared" si="3"/>
        <v/>
      </c>
      <c r="M37" s="12"/>
      <c r="N37" s="12"/>
      <c r="O37" s="12"/>
      <c r="P37" s="12"/>
      <c r="Q37" s="12"/>
      <c r="R37" s="12"/>
      <c r="S37" s="12"/>
      <c r="T37" s="12"/>
      <c r="U37" s="12"/>
      <c r="V37" s="65"/>
      <c r="W37" s="44" t="str">
        <f t="shared" si="2"/>
        <v>OK</v>
      </c>
      <c r="X37" s="47" t="str">
        <f t="shared" si="4"/>
        <v/>
      </c>
      <c r="Y37" s="3"/>
      <c r="Z37" s="127"/>
    </row>
    <row r="38" spans="1:26" ht="15.75" hidden="1" customHeight="1" outlineLevel="1" x14ac:dyDescent="0.3">
      <c r="A38" s="3"/>
      <c r="B38" s="150" t="s">
        <v>456</v>
      </c>
      <c r="C38" s="62"/>
      <c r="D38" s="62"/>
      <c r="E38" s="12"/>
      <c r="F38" s="101"/>
      <c r="G38" s="252"/>
      <c r="H38" s="103"/>
      <c r="I38" s="63"/>
      <c r="J38" s="64"/>
      <c r="K38" s="12"/>
      <c r="L38" s="62" t="str">
        <f t="shared" si="3"/>
        <v/>
      </c>
      <c r="M38" s="12"/>
      <c r="N38" s="12"/>
      <c r="O38" s="12"/>
      <c r="P38" s="12"/>
      <c r="Q38" s="12"/>
      <c r="R38" s="12"/>
      <c r="S38" s="12"/>
      <c r="T38" s="12"/>
      <c r="U38" s="12"/>
      <c r="V38" s="65"/>
      <c r="W38" s="44" t="str">
        <f t="shared" si="2"/>
        <v>OK</v>
      </c>
      <c r="X38" s="47" t="str">
        <f t="shared" si="4"/>
        <v/>
      </c>
      <c r="Y38" s="3"/>
      <c r="Z38" s="127"/>
    </row>
    <row r="39" spans="1:26" ht="15.75" hidden="1" customHeight="1" outlineLevel="1" x14ac:dyDescent="0.3">
      <c r="A39" s="3"/>
      <c r="B39" s="109" t="s">
        <v>457</v>
      </c>
      <c r="C39" s="62"/>
      <c r="D39" s="62"/>
      <c r="E39" s="12"/>
      <c r="F39" s="101"/>
      <c r="G39" s="250"/>
      <c r="H39" s="63"/>
      <c r="I39" s="63"/>
      <c r="J39" s="64"/>
      <c r="K39" s="12"/>
      <c r="L39" s="62" t="str">
        <f t="shared" si="3"/>
        <v/>
      </c>
      <c r="M39" s="12"/>
      <c r="N39" s="12"/>
      <c r="O39" s="12"/>
      <c r="P39" s="12"/>
      <c r="Q39" s="12"/>
      <c r="R39" s="12"/>
      <c r="S39" s="12"/>
      <c r="T39" s="12"/>
      <c r="U39" s="12"/>
      <c r="V39" s="65"/>
      <c r="W39" s="44" t="str">
        <f t="shared" si="2"/>
        <v>OK</v>
      </c>
      <c r="X39" s="47" t="str">
        <f t="shared" si="4"/>
        <v/>
      </c>
      <c r="Y39" s="3"/>
      <c r="Z39" s="127"/>
    </row>
    <row r="40" spans="1:26" ht="15.75" hidden="1" customHeight="1" outlineLevel="1" x14ac:dyDescent="0.3">
      <c r="A40" s="3"/>
      <c r="B40" s="109" t="s">
        <v>458</v>
      </c>
      <c r="C40" s="62"/>
      <c r="D40" s="62"/>
      <c r="E40" s="12"/>
      <c r="F40" s="101"/>
      <c r="G40" s="251"/>
      <c r="H40" s="63"/>
      <c r="I40" s="63"/>
      <c r="J40" s="64"/>
      <c r="K40" s="12"/>
      <c r="L40" s="62" t="str">
        <f t="shared" si="3"/>
        <v/>
      </c>
      <c r="M40" s="12"/>
      <c r="N40" s="12"/>
      <c r="O40" s="12"/>
      <c r="P40" s="12"/>
      <c r="Q40" s="12"/>
      <c r="R40" s="12"/>
      <c r="S40" s="12"/>
      <c r="T40" s="12"/>
      <c r="U40" s="12"/>
      <c r="V40" s="65"/>
      <c r="W40" s="44" t="str">
        <f t="shared" si="2"/>
        <v>OK</v>
      </c>
      <c r="X40" s="47" t="str">
        <f t="shared" si="4"/>
        <v/>
      </c>
      <c r="Y40" s="3"/>
      <c r="Z40" s="127"/>
    </row>
    <row r="41" spans="1:26" ht="15.75" hidden="1" customHeight="1" outlineLevel="1" x14ac:dyDescent="0.3">
      <c r="A41" s="3"/>
      <c r="B41" s="109" t="s">
        <v>459</v>
      </c>
      <c r="C41" s="62"/>
      <c r="D41" s="62"/>
      <c r="E41" s="12"/>
      <c r="F41" s="101"/>
      <c r="G41" s="251"/>
      <c r="H41" s="63"/>
      <c r="I41" s="63"/>
      <c r="J41" s="64"/>
      <c r="K41" s="12"/>
      <c r="L41" s="62" t="str">
        <f t="shared" si="3"/>
        <v/>
      </c>
      <c r="M41" s="12"/>
      <c r="N41" s="12"/>
      <c r="O41" s="12"/>
      <c r="P41" s="12"/>
      <c r="Q41" s="12"/>
      <c r="R41" s="12"/>
      <c r="S41" s="12"/>
      <c r="T41" s="12"/>
      <c r="U41" s="12"/>
      <c r="V41" s="65"/>
      <c r="W41" s="44" t="str">
        <f t="shared" si="2"/>
        <v>OK</v>
      </c>
      <c r="X41" s="47" t="str">
        <f t="shared" si="4"/>
        <v/>
      </c>
      <c r="Y41" s="3"/>
      <c r="Z41" s="127"/>
    </row>
    <row r="42" spans="1:26" ht="15.75" hidden="1" customHeight="1" outlineLevel="1" x14ac:dyDescent="0.3">
      <c r="A42" s="3"/>
      <c r="B42" s="109" t="s">
        <v>460</v>
      </c>
      <c r="C42" s="62"/>
      <c r="D42" s="62"/>
      <c r="E42" s="12"/>
      <c r="F42" s="101"/>
      <c r="G42" s="252"/>
      <c r="H42" s="63"/>
      <c r="I42" s="63"/>
      <c r="J42" s="64"/>
      <c r="K42" s="12"/>
      <c r="L42" s="62" t="str">
        <f t="shared" si="3"/>
        <v/>
      </c>
      <c r="M42" s="12"/>
      <c r="N42" s="12"/>
      <c r="O42" s="12"/>
      <c r="P42" s="12"/>
      <c r="Q42" s="12"/>
      <c r="R42" s="12"/>
      <c r="S42" s="12"/>
      <c r="T42" s="12"/>
      <c r="U42" s="12"/>
      <c r="V42" s="65"/>
      <c r="W42" s="44" t="str">
        <f t="shared" si="2"/>
        <v>OK</v>
      </c>
      <c r="X42" s="47" t="str">
        <f t="shared" si="4"/>
        <v/>
      </c>
      <c r="Y42" s="3"/>
      <c r="Z42" s="127"/>
    </row>
    <row r="43" spans="1:26" ht="15.75" hidden="1" customHeight="1" outlineLevel="1" x14ac:dyDescent="0.3">
      <c r="A43" s="3"/>
      <c r="B43" s="150" t="s">
        <v>461</v>
      </c>
      <c r="C43" s="62"/>
      <c r="D43" s="62"/>
      <c r="E43" s="12"/>
      <c r="F43" s="101"/>
      <c r="G43" s="121"/>
      <c r="H43" s="63"/>
      <c r="I43" s="63"/>
      <c r="J43" s="64"/>
      <c r="K43" s="12"/>
      <c r="L43" s="62" t="str">
        <f t="shared" si="3"/>
        <v/>
      </c>
      <c r="M43" s="12"/>
      <c r="N43" s="12"/>
      <c r="O43" s="12"/>
      <c r="P43" s="12"/>
      <c r="Q43" s="12"/>
      <c r="R43" s="12"/>
      <c r="S43" s="12"/>
      <c r="T43" s="12"/>
      <c r="U43" s="12"/>
      <c r="V43" s="65"/>
      <c r="W43" s="44" t="str">
        <f t="shared" si="2"/>
        <v>OK</v>
      </c>
      <c r="X43" s="47" t="str">
        <f t="shared" si="4"/>
        <v/>
      </c>
      <c r="Y43" s="3"/>
      <c r="Z43" s="127"/>
    </row>
    <row r="44" spans="1:26" ht="15.75" hidden="1" customHeight="1" outlineLevel="1" x14ac:dyDescent="0.3">
      <c r="A44" s="3"/>
      <c r="B44" s="109" t="s">
        <v>462</v>
      </c>
      <c r="C44" s="62"/>
      <c r="D44" s="62"/>
      <c r="E44" s="12"/>
      <c r="F44" s="101"/>
      <c r="G44" s="250"/>
      <c r="H44" s="63"/>
      <c r="I44" s="63"/>
      <c r="J44" s="64"/>
      <c r="K44" s="12"/>
      <c r="L44" s="62" t="str">
        <f t="shared" si="3"/>
        <v/>
      </c>
      <c r="M44" s="12"/>
      <c r="N44" s="12"/>
      <c r="O44" s="12"/>
      <c r="P44" s="12"/>
      <c r="Q44" s="12"/>
      <c r="R44" s="12"/>
      <c r="S44" s="12"/>
      <c r="T44" s="12"/>
      <c r="U44" s="12"/>
      <c r="V44" s="65"/>
      <c r="W44" s="44" t="str">
        <f t="shared" si="2"/>
        <v>OK</v>
      </c>
      <c r="X44" s="47" t="str">
        <f t="shared" si="4"/>
        <v/>
      </c>
      <c r="Y44" s="3"/>
      <c r="Z44" s="127"/>
    </row>
    <row r="45" spans="1:26" ht="15.75" hidden="1" customHeight="1" outlineLevel="1" x14ac:dyDescent="0.3">
      <c r="A45" s="3"/>
      <c r="B45" s="109" t="s">
        <v>463</v>
      </c>
      <c r="C45" s="62"/>
      <c r="D45" s="62"/>
      <c r="E45" s="12"/>
      <c r="F45" s="101"/>
      <c r="G45" s="252"/>
      <c r="H45" s="63"/>
      <c r="I45" s="63"/>
      <c r="J45" s="64"/>
      <c r="K45" s="12"/>
      <c r="L45" s="62" t="str">
        <f t="shared" si="3"/>
        <v/>
      </c>
      <c r="M45" s="12"/>
      <c r="N45" s="12"/>
      <c r="O45" s="12"/>
      <c r="P45" s="12"/>
      <c r="Q45" s="12"/>
      <c r="R45" s="12"/>
      <c r="S45" s="12"/>
      <c r="T45" s="12"/>
      <c r="U45" s="12"/>
      <c r="V45" s="65"/>
      <c r="W45" s="44" t="str">
        <f t="shared" si="2"/>
        <v>OK</v>
      </c>
      <c r="X45" s="47" t="str">
        <f t="shared" si="4"/>
        <v/>
      </c>
      <c r="Y45" s="3"/>
      <c r="Z45" s="127"/>
    </row>
    <row r="46" spans="1:26" ht="15.75" hidden="1" customHeight="1" outlineLevel="1" x14ac:dyDescent="0.3">
      <c r="A46" s="3"/>
      <c r="B46" s="150" t="s">
        <v>464</v>
      </c>
      <c r="C46" s="62"/>
      <c r="D46" s="62"/>
      <c r="E46" s="12"/>
      <c r="F46" s="101"/>
      <c r="G46" s="232"/>
      <c r="H46" s="63"/>
      <c r="I46" s="63"/>
      <c r="J46" s="64"/>
      <c r="K46" s="12"/>
      <c r="L46" s="62" t="str">
        <f t="shared" si="3"/>
        <v/>
      </c>
      <c r="M46" s="12"/>
      <c r="N46" s="12"/>
      <c r="O46" s="12"/>
      <c r="P46" s="12"/>
      <c r="Q46" s="12"/>
      <c r="R46" s="12"/>
      <c r="S46" s="12"/>
      <c r="T46" s="12"/>
      <c r="U46" s="12"/>
      <c r="V46" s="65"/>
      <c r="W46" s="44" t="str">
        <f t="shared" si="2"/>
        <v>OK</v>
      </c>
      <c r="X46" s="47" t="str">
        <f t="shared" si="4"/>
        <v/>
      </c>
      <c r="Y46" s="3"/>
      <c r="Z46" s="127"/>
    </row>
    <row r="47" spans="1:26" ht="15.75" hidden="1" customHeight="1" outlineLevel="1" x14ac:dyDescent="0.3">
      <c r="A47" s="3"/>
      <c r="B47" s="150" t="s">
        <v>465</v>
      </c>
      <c r="C47" s="62"/>
      <c r="D47" s="62"/>
      <c r="E47" s="12"/>
      <c r="F47" s="101"/>
      <c r="G47" s="234"/>
      <c r="H47" s="63"/>
      <c r="I47" s="63"/>
      <c r="J47" s="64"/>
      <c r="K47" s="12"/>
      <c r="L47" s="62" t="str">
        <f t="shared" si="3"/>
        <v/>
      </c>
      <c r="M47" s="12"/>
      <c r="N47" s="12"/>
      <c r="O47" s="12"/>
      <c r="P47" s="12"/>
      <c r="Q47" s="12"/>
      <c r="R47" s="12"/>
      <c r="S47" s="12"/>
      <c r="T47" s="12"/>
      <c r="U47" s="12"/>
      <c r="V47" s="65"/>
      <c r="W47" s="44" t="str">
        <f t="shared" si="2"/>
        <v>OK</v>
      </c>
      <c r="X47" s="47" t="str">
        <f t="shared" si="4"/>
        <v/>
      </c>
      <c r="Y47" s="3"/>
      <c r="Z47" s="127"/>
    </row>
    <row r="48" spans="1:26" ht="15.75" hidden="1" customHeight="1" outlineLevel="1" x14ac:dyDescent="0.3">
      <c r="A48" s="3"/>
      <c r="B48" s="109" t="s">
        <v>466</v>
      </c>
      <c r="C48" s="62"/>
      <c r="D48" s="62"/>
      <c r="E48" s="12"/>
      <c r="F48" s="101"/>
      <c r="G48" s="232"/>
      <c r="H48" s="63"/>
      <c r="I48" s="63"/>
      <c r="J48" s="64"/>
      <c r="K48" s="12"/>
      <c r="L48" s="62" t="str">
        <f t="shared" si="3"/>
        <v/>
      </c>
      <c r="M48" s="12"/>
      <c r="N48" s="12"/>
      <c r="O48" s="12"/>
      <c r="P48" s="12"/>
      <c r="Q48" s="12"/>
      <c r="R48" s="12"/>
      <c r="S48" s="12"/>
      <c r="T48" s="12"/>
      <c r="U48" s="12"/>
      <c r="V48" s="65"/>
      <c r="W48" s="44" t="str">
        <f t="shared" si="2"/>
        <v>OK</v>
      </c>
      <c r="X48" s="47" t="str">
        <f t="shared" si="4"/>
        <v/>
      </c>
      <c r="Y48" s="3"/>
      <c r="Z48" s="127"/>
    </row>
    <row r="49" spans="1:26" ht="15.75" hidden="1" customHeight="1" outlineLevel="1" x14ac:dyDescent="0.3">
      <c r="A49" s="3"/>
      <c r="B49" s="109" t="s">
        <v>467</v>
      </c>
      <c r="C49" s="62"/>
      <c r="D49" s="62"/>
      <c r="E49" s="12"/>
      <c r="F49" s="101"/>
      <c r="G49" s="234"/>
      <c r="H49" s="63"/>
      <c r="I49" s="63"/>
      <c r="J49" s="64"/>
      <c r="K49" s="12"/>
      <c r="L49" s="62" t="str">
        <f t="shared" si="3"/>
        <v/>
      </c>
      <c r="M49" s="12"/>
      <c r="N49" s="12"/>
      <c r="O49" s="12"/>
      <c r="P49" s="12"/>
      <c r="Q49" s="12"/>
      <c r="R49" s="12"/>
      <c r="S49" s="12"/>
      <c r="T49" s="12"/>
      <c r="U49" s="12"/>
      <c r="V49" s="65"/>
      <c r="W49" s="44" t="str">
        <f t="shared" si="2"/>
        <v>OK</v>
      </c>
      <c r="X49" s="47" t="str">
        <f t="shared" si="4"/>
        <v/>
      </c>
      <c r="Y49" s="3"/>
      <c r="Z49" s="127"/>
    </row>
    <row r="50" spans="1:26" ht="15.75" hidden="1" customHeight="1" outlineLevel="1" x14ac:dyDescent="0.3">
      <c r="A50" s="3"/>
      <c r="B50" s="150" t="s">
        <v>468</v>
      </c>
      <c r="C50" s="62"/>
      <c r="D50" s="62"/>
      <c r="E50" s="12"/>
      <c r="F50" s="101"/>
      <c r="G50" s="232"/>
      <c r="H50" s="63"/>
      <c r="I50" s="63"/>
      <c r="J50" s="64"/>
      <c r="K50" s="12"/>
      <c r="L50" s="62" t="str">
        <f t="shared" si="3"/>
        <v/>
      </c>
      <c r="M50" s="12"/>
      <c r="N50" s="12"/>
      <c r="O50" s="12"/>
      <c r="P50" s="12"/>
      <c r="Q50" s="12"/>
      <c r="R50" s="12"/>
      <c r="S50" s="12"/>
      <c r="T50" s="12"/>
      <c r="U50" s="12"/>
      <c r="V50" s="65"/>
      <c r="W50" s="44" t="str">
        <f t="shared" si="2"/>
        <v>OK</v>
      </c>
      <c r="X50" s="47" t="str">
        <f t="shared" si="4"/>
        <v/>
      </c>
      <c r="Y50" s="3"/>
      <c r="Z50" s="127"/>
    </row>
    <row r="51" spans="1:26" ht="15.75" hidden="1" customHeight="1" outlineLevel="1" x14ac:dyDescent="0.3">
      <c r="A51" s="3"/>
      <c r="B51" s="150" t="s">
        <v>469</v>
      </c>
      <c r="C51" s="62"/>
      <c r="D51" s="62"/>
      <c r="E51" s="12"/>
      <c r="F51" s="101"/>
      <c r="G51" s="234"/>
      <c r="H51" s="63"/>
      <c r="I51" s="63"/>
      <c r="J51" s="64"/>
      <c r="K51" s="12"/>
      <c r="L51" s="62" t="str">
        <f t="shared" si="3"/>
        <v/>
      </c>
      <c r="M51" s="12"/>
      <c r="N51" s="12"/>
      <c r="O51" s="12"/>
      <c r="P51" s="12"/>
      <c r="Q51" s="12"/>
      <c r="R51" s="12"/>
      <c r="S51" s="12"/>
      <c r="T51" s="12"/>
      <c r="U51" s="12"/>
      <c r="V51" s="65"/>
      <c r="W51" s="44" t="str">
        <f t="shared" si="2"/>
        <v>OK</v>
      </c>
      <c r="X51" s="47" t="str">
        <f t="shared" si="4"/>
        <v/>
      </c>
      <c r="Y51" s="3"/>
      <c r="Z51" s="127"/>
    </row>
    <row r="52" spans="1:26" ht="15.75" hidden="1" customHeight="1" outlineLevel="1" x14ac:dyDescent="0.3">
      <c r="A52" s="3"/>
      <c r="B52" s="109" t="s">
        <v>470</v>
      </c>
      <c r="C52" s="62"/>
      <c r="D52" s="62"/>
      <c r="E52" s="12"/>
      <c r="F52" s="101"/>
      <c r="G52" s="253"/>
      <c r="H52" s="63"/>
      <c r="I52" s="63"/>
      <c r="J52" s="64"/>
      <c r="K52" s="12"/>
      <c r="L52" s="62" t="str">
        <f t="shared" si="3"/>
        <v/>
      </c>
      <c r="M52" s="12"/>
      <c r="N52" s="12"/>
      <c r="O52" s="12"/>
      <c r="P52" s="12"/>
      <c r="Q52" s="12"/>
      <c r="R52" s="12"/>
      <c r="S52" s="12"/>
      <c r="T52" s="12"/>
      <c r="U52" s="12"/>
      <c r="V52" s="89"/>
      <c r="W52" s="44" t="str">
        <f t="shared" si="2"/>
        <v>OK</v>
      </c>
      <c r="X52" s="47" t="str">
        <f t="shared" si="4"/>
        <v/>
      </c>
      <c r="Y52" s="3"/>
      <c r="Z52" s="127"/>
    </row>
    <row r="53" spans="1:26" ht="15.75" hidden="1" customHeight="1" outlineLevel="1" x14ac:dyDescent="0.3">
      <c r="A53" s="3"/>
      <c r="B53" s="109" t="s">
        <v>472</v>
      </c>
      <c r="C53" s="62"/>
      <c r="D53" s="62"/>
      <c r="E53" s="12"/>
      <c r="F53" s="101"/>
      <c r="G53" s="252"/>
      <c r="H53" s="63"/>
      <c r="I53" s="63"/>
      <c r="J53" s="64"/>
      <c r="K53" s="12"/>
      <c r="L53" s="62" t="str">
        <f t="shared" si="3"/>
        <v/>
      </c>
      <c r="M53" s="12"/>
      <c r="N53" s="12"/>
      <c r="O53" s="12"/>
      <c r="P53" s="12"/>
      <c r="Q53" s="12"/>
      <c r="R53" s="12"/>
      <c r="S53" s="12"/>
      <c r="T53" s="12"/>
      <c r="U53" s="12"/>
      <c r="V53" s="65"/>
      <c r="W53" s="44" t="str">
        <f t="shared" si="2"/>
        <v>OK</v>
      </c>
      <c r="X53" s="47" t="str">
        <f t="shared" si="4"/>
        <v/>
      </c>
      <c r="Y53" s="3"/>
      <c r="Z53" s="127"/>
    </row>
    <row r="54" spans="1:26" ht="15.75" hidden="1" customHeight="1" outlineLevel="1" x14ac:dyDescent="0.3">
      <c r="A54" s="3"/>
      <c r="B54" s="150" t="s">
        <v>473</v>
      </c>
      <c r="C54" s="62"/>
      <c r="D54" s="62"/>
      <c r="E54" s="12"/>
      <c r="F54" s="101"/>
      <c r="G54" s="67"/>
      <c r="H54" s="63"/>
      <c r="I54" s="63"/>
      <c r="J54" s="64"/>
      <c r="K54" s="12"/>
      <c r="L54" s="62" t="str">
        <f t="shared" si="3"/>
        <v/>
      </c>
      <c r="M54" s="12"/>
      <c r="N54" s="12"/>
      <c r="O54" s="12"/>
      <c r="P54" s="12"/>
      <c r="Q54" s="12"/>
      <c r="R54" s="12"/>
      <c r="S54" s="12"/>
      <c r="T54" s="12"/>
      <c r="U54" s="12"/>
      <c r="V54" s="65"/>
      <c r="W54" s="44" t="str">
        <f t="shared" si="2"/>
        <v>OK</v>
      </c>
      <c r="X54" s="47" t="str">
        <f t="shared" si="4"/>
        <v/>
      </c>
      <c r="Y54" s="3"/>
      <c r="Z54" s="127"/>
    </row>
    <row r="55" spans="1:26" ht="15.75" hidden="1" customHeight="1" outlineLevel="1" x14ac:dyDescent="0.3">
      <c r="A55" s="3"/>
      <c r="B55" s="109" t="s">
        <v>474</v>
      </c>
      <c r="C55" s="62"/>
      <c r="D55" s="62"/>
      <c r="E55" s="12"/>
      <c r="F55" s="101"/>
      <c r="G55" s="232"/>
      <c r="H55" s="63"/>
      <c r="I55" s="63"/>
      <c r="J55" s="64"/>
      <c r="K55" s="12"/>
      <c r="L55" s="62" t="str">
        <f t="shared" si="3"/>
        <v/>
      </c>
      <c r="M55" s="12"/>
      <c r="N55" s="12"/>
      <c r="O55" s="12"/>
      <c r="P55" s="12"/>
      <c r="Q55" s="12"/>
      <c r="R55" s="12"/>
      <c r="S55" s="12"/>
      <c r="T55" s="12"/>
      <c r="U55" s="12"/>
      <c r="V55" s="65"/>
      <c r="W55" s="44" t="str">
        <f t="shared" si="2"/>
        <v>OK</v>
      </c>
      <c r="X55" s="47" t="str">
        <f t="shared" si="4"/>
        <v/>
      </c>
      <c r="Y55" s="3"/>
      <c r="Z55" s="127"/>
    </row>
    <row r="56" spans="1:26" ht="15.75" hidden="1" customHeight="1" outlineLevel="1" x14ac:dyDescent="0.3">
      <c r="A56" s="3"/>
      <c r="B56" s="109" t="s">
        <v>476</v>
      </c>
      <c r="C56" s="62"/>
      <c r="D56" s="62"/>
      <c r="E56" s="12"/>
      <c r="F56" s="101"/>
      <c r="G56" s="234"/>
      <c r="H56" s="63"/>
      <c r="I56" s="63"/>
      <c r="J56" s="64"/>
      <c r="K56" s="12"/>
      <c r="L56" s="62" t="str">
        <f t="shared" si="3"/>
        <v/>
      </c>
      <c r="M56" s="12"/>
      <c r="N56" s="12"/>
      <c r="O56" s="12"/>
      <c r="P56" s="12"/>
      <c r="Q56" s="12"/>
      <c r="R56" s="12"/>
      <c r="S56" s="12"/>
      <c r="T56" s="12"/>
      <c r="U56" s="12"/>
      <c r="V56" s="65"/>
      <c r="W56" s="44" t="str">
        <f t="shared" si="2"/>
        <v>OK</v>
      </c>
      <c r="X56" s="47" t="str">
        <f t="shared" si="4"/>
        <v/>
      </c>
      <c r="Y56" s="3"/>
      <c r="Z56" s="127"/>
    </row>
    <row r="57" spans="1:26" ht="15.75" hidden="1" customHeight="1" outlineLevel="1" x14ac:dyDescent="0.3">
      <c r="A57" s="3"/>
      <c r="B57" s="150" t="s">
        <v>477</v>
      </c>
      <c r="C57" s="62"/>
      <c r="D57" s="62"/>
      <c r="E57" s="12"/>
      <c r="F57" s="101"/>
      <c r="G57" s="70"/>
      <c r="H57" s="63"/>
      <c r="I57" s="63"/>
      <c r="J57" s="64"/>
      <c r="K57" s="12"/>
      <c r="L57" s="62" t="str">
        <f t="shared" si="3"/>
        <v/>
      </c>
      <c r="M57" s="12"/>
      <c r="N57" s="12"/>
      <c r="O57" s="12"/>
      <c r="P57" s="12"/>
      <c r="Q57" s="12"/>
      <c r="R57" s="12"/>
      <c r="S57" s="12"/>
      <c r="T57" s="12"/>
      <c r="U57" s="12"/>
      <c r="V57" s="65"/>
      <c r="W57" s="44" t="str">
        <f t="shared" si="2"/>
        <v>OK</v>
      </c>
      <c r="X57" s="47" t="str">
        <f t="shared" si="4"/>
        <v/>
      </c>
      <c r="Y57" s="3"/>
      <c r="Z57" s="127"/>
    </row>
    <row r="58" spans="1:26" ht="15.75" hidden="1" customHeight="1" outlineLevel="1" x14ac:dyDescent="0.3">
      <c r="A58" s="3"/>
      <c r="B58" s="109" t="s">
        <v>478</v>
      </c>
      <c r="C58" s="62"/>
      <c r="D58" s="62"/>
      <c r="E58" s="12"/>
      <c r="F58" s="101"/>
      <c r="G58" s="232"/>
      <c r="H58" s="63"/>
      <c r="I58" s="63"/>
      <c r="J58" s="64"/>
      <c r="K58" s="12"/>
      <c r="L58" s="62" t="str">
        <f t="shared" si="3"/>
        <v/>
      </c>
      <c r="M58" s="12"/>
      <c r="N58" s="12"/>
      <c r="O58" s="12"/>
      <c r="P58" s="12"/>
      <c r="Q58" s="12"/>
      <c r="R58" s="12"/>
      <c r="S58" s="12"/>
      <c r="T58" s="12"/>
      <c r="U58" s="12"/>
      <c r="V58" s="65"/>
      <c r="W58" s="44" t="str">
        <f t="shared" si="2"/>
        <v>OK</v>
      </c>
      <c r="X58" s="47" t="str">
        <f t="shared" si="4"/>
        <v/>
      </c>
      <c r="Y58" s="3"/>
      <c r="Z58" s="127"/>
    </row>
    <row r="59" spans="1:26" ht="15.75" hidden="1" customHeight="1" outlineLevel="1" x14ac:dyDescent="0.3">
      <c r="A59" s="3"/>
      <c r="B59" s="109" t="s">
        <v>479</v>
      </c>
      <c r="C59" s="62"/>
      <c r="D59" s="62"/>
      <c r="E59" s="12"/>
      <c r="F59" s="101"/>
      <c r="G59" s="234"/>
      <c r="H59" s="63"/>
      <c r="I59" s="63"/>
      <c r="J59" s="64"/>
      <c r="K59" s="12"/>
      <c r="L59" s="62" t="str">
        <f t="shared" si="3"/>
        <v/>
      </c>
      <c r="M59" s="12"/>
      <c r="N59" s="12"/>
      <c r="O59" s="12"/>
      <c r="P59" s="12"/>
      <c r="Q59" s="12"/>
      <c r="R59" s="12"/>
      <c r="S59" s="12"/>
      <c r="T59" s="12"/>
      <c r="U59" s="12"/>
      <c r="V59" s="65"/>
      <c r="W59" s="44" t="str">
        <f t="shared" si="2"/>
        <v>OK</v>
      </c>
      <c r="X59" s="47" t="str">
        <f t="shared" si="4"/>
        <v/>
      </c>
      <c r="Y59" s="3"/>
      <c r="Z59" s="127"/>
    </row>
    <row r="60" spans="1:26" ht="15.75" hidden="1" customHeight="1" outlineLevel="1" x14ac:dyDescent="0.3">
      <c r="A60" s="3"/>
      <c r="B60" s="150" t="s">
        <v>480</v>
      </c>
      <c r="C60" s="62"/>
      <c r="D60" s="62"/>
      <c r="E60" s="12"/>
      <c r="F60" s="101"/>
      <c r="G60" s="67"/>
      <c r="H60" s="63"/>
      <c r="I60" s="63"/>
      <c r="J60" s="64"/>
      <c r="K60" s="12"/>
      <c r="L60" s="62" t="str">
        <f t="shared" si="3"/>
        <v/>
      </c>
      <c r="M60" s="12"/>
      <c r="N60" s="12"/>
      <c r="O60" s="12"/>
      <c r="P60" s="12"/>
      <c r="Q60" s="12"/>
      <c r="R60" s="12"/>
      <c r="S60" s="12"/>
      <c r="T60" s="12"/>
      <c r="U60" s="12"/>
      <c r="V60" s="65"/>
      <c r="W60" s="44" t="str">
        <f t="shared" si="2"/>
        <v>OK</v>
      </c>
      <c r="X60" s="47" t="str">
        <f t="shared" si="4"/>
        <v/>
      </c>
      <c r="Y60" s="3"/>
      <c r="Z60" s="127"/>
    </row>
    <row r="61" spans="1:26" ht="15.75" hidden="1" customHeight="1" outlineLevel="1" x14ac:dyDescent="0.3">
      <c r="A61" s="3"/>
      <c r="B61" s="109" t="s">
        <v>481</v>
      </c>
      <c r="C61" s="62"/>
      <c r="D61" s="62"/>
      <c r="E61" s="12"/>
      <c r="F61" s="101"/>
      <c r="G61" s="69"/>
      <c r="H61" s="63"/>
      <c r="I61" s="63"/>
      <c r="J61" s="64"/>
      <c r="K61" s="12"/>
      <c r="L61" s="62" t="str">
        <f t="shared" si="3"/>
        <v/>
      </c>
      <c r="M61" s="12"/>
      <c r="N61" s="12"/>
      <c r="O61" s="12"/>
      <c r="P61" s="12"/>
      <c r="Q61" s="12"/>
      <c r="R61" s="12"/>
      <c r="S61" s="12"/>
      <c r="T61" s="12"/>
      <c r="U61" s="12"/>
      <c r="V61" s="65"/>
      <c r="W61" s="44" t="str">
        <f t="shared" si="2"/>
        <v>OK</v>
      </c>
      <c r="X61" s="47" t="str">
        <f t="shared" si="4"/>
        <v/>
      </c>
      <c r="Y61" s="3"/>
      <c r="Z61" s="127"/>
    </row>
    <row r="62" spans="1:26" ht="15.75" hidden="1" customHeight="1" outlineLevel="1" x14ac:dyDescent="0.3">
      <c r="A62" s="3"/>
      <c r="B62" s="150" t="s">
        <v>482</v>
      </c>
      <c r="C62" s="62"/>
      <c r="D62" s="62"/>
      <c r="E62" s="12"/>
      <c r="F62" s="101"/>
      <c r="G62" s="235"/>
      <c r="H62" s="63"/>
      <c r="I62" s="63"/>
      <c r="J62" s="64"/>
      <c r="K62" s="12"/>
      <c r="L62" s="62" t="str">
        <f t="shared" si="3"/>
        <v/>
      </c>
      <c r="M62" s="12"/>
      <c r="N62" s="12"/>
      <c r="O62" s="12"/>
      <c r="P62" s="12"/>
      <c r="Q62" s="12"/>
      <c r="R62" s="12"/>
      <c r="S62" s="12"/>
      <c r="T62" s="12"/>
      <c r="U62" s="12"/>
      <c r="V62" s="65"/>
      <c r="W62" s="44" t="str">
        <f t="shared" si="2"/>
        <v>OK</v>
      </c>
      <c r="X62" s="47" t="str">
        <f t="shared" si="4"/>
        <v/>
      </c>
      <c r="Y62" s="3"/>
      <c r="Z62" s="127"/>
    </row>
    <row r="63" spans="1:26" ht="15.75" hidden="1" customHeight="1" outlineLevel="1" x14ac:dyDescent="0.3">
      <c r="A63" s="3"/>
      <c r="B63" s="150" t="s">
        <v>483</v>
      </c>
      <c r="C63" s="62"/>
      <c r="D63" s="62"/>
      <c r="E63" s="12"/>
      <c r="F63" s="101"/>
      <c r="G63" s="234"/>
      <c r="H63" s="63"/>
      <c r="I63" s="63"/>
      <c r="J63" s="64"/>
      <c r="K63" s="12"/>
      <c r="L63" s="62" t="str">
        <f t="shared" si="3"/>
        <v/>
      </c>
      <c r="M63" s="12"/>
      <c r="N63" s="12"/>
      <c r="O63" s="12"/>
      <c r="P63" s="12"/>
      <c r="Q63" s="12"/>
      <c r="R63" s="12"/>
      <c r="S63" s="12"/>
      <c r="T63" s="12"/>
      <c r="U63" s="12"/>
      <c r="V63" s="65"/>
      <c r="W63" s="44" t="str">
        <f t="shared" si="2"/>
        <v>OK</v>
      </c>
      <c r="X63" s="47" t="str">
        <f t="shared" si="4"/>
        <v/>
      </c>
      <c r="Y63" s="3"/>
      <c r="Z63" s="127"/>
    </row>
    <row r="64" spans="1:26" ht="15.75" hidden="1" customHeight="1" outlineLevel="1" x14ac:dyDescent="0.3">
      <c r="A64" s="3"/>
      <c r="B64" s="109" t="s">
        <v>484</v>
      </c>
      <c r="C64" s="62"/>
      <c r="D64" s="62"/>
      <c r="E64" s="12"/>
      <c r="F64" s="101"/>
      <c r="G64" s="69"/>
      <c r="H64" s="63"/>
      <c r="I64" s="63"/>
      <c r="J64" s="64"/>
      <c r="K64" s="12"/>
      <c r="L64" s="62" t="str">
        <f t="shared" si="3"/>
        <v/>
      </c>
      <c r="M64" s="12"/>
      <c r="N64" s="12"/>
      <c r="O64" s="12"/>
      <c r="P64" s="12"/>
      <c r="Q64" s="12"/>
      <c r="R64" s="12"/>
      <c r="S64" s="12"/>
      <c r="T64" s="12"/>
      <c r="U64" s="12"/>
      <c r="V64" s="65"/>
      <c r="W64" s="44" t="str">
        <f t="shared" si="2"/>
        <v>OK</v>
      </c>
      <c r="X64" s="47" t="str">
        <f t="shared" si="4"/>
        <v/>
      </c>
      <c r="Y64" s="3"/>
      <c r="Z64" s="127"/>
    </row>
    <row r="65" spans="1:26" ht="15.75" hidden="1" customHeight="1" outlineLevel="1" x14ac:dyDescent="0.3">
      <c r="A65" s="3"/>
      <c r="B65" s="150" t="s">
        <v>486</v>
      </c>
      <c r="C65" s="62"/>
      <c r="D65" s="62"/>
      <c r="E65" s="12"/>
      <c r="F65" s="101"/>
      <c r="G65" s="69"/>
      <c r="H65" s="63"/>
      <c r="I65" s="63"/>
      <c r="J65" s="64"/>
      <c r="K65" s="12"/>
      <c r="L65" s="62" t="str">
        <f t="shared" si="3"/>
        <v/>
      </c>
      <c r="M65" s="12"/>
      <c r="N65" s="12"/>
      <c r="O65" s="12"/>
      <c r="P65" s="12"/>
      <c r="Q65" s="12"/>
      <c r="R65" s="12"/>
      <c r="S65" s="12"/>
      <c r="T65" s="12"/>
      <c r="U65" s="12"/>
      <c r="V65" s="65"/>
      <c r="W65" s="44" t="str">
        <f t="shared" si="2"/>
        <v>OK</v>
      </c>
      <c r="X65" s="47" t="str">
        <f t="shared" si="4"/>
        <v/>
      </c>
      <c r="Y65" s="3"/>
      <c r="Z65" s="127"/>
    </row>
    <row r="66" spans="1:26" ht="15.75" hidden="1" customHeight="1" outlineLevel="1" x14ac:dyDescent="0.3">
      <c r="A66" s="3"/>
      <c r="B66" s="109" t="s">
        <v>1513</v>
      </c>
      <c r="C66" s="62"/>
      <c r="D66" s="62"/>
      <c r="E66" s="12"/>
      <c r="F66" s="101"/>
      <c r="G66" s="70"/>
      <c r="H66" s="63"/>
      <c r="I66" s="63"/>
      <c r="J66" s="64"/>
      <c r="K66" s="12"/>
      <c r="L66" s="62" t="str">
        <f t="shared" si="3"/>
        <v/>
      </c>
      <c r="M66" s="12"/>
      <c r="N66" s="12"/>
      <c r="O66" s="12"/>
      <c r="P66" s="12"/>
      <c r="Q66" s="12"/>
      <c r="R66" s="12"/>
      <c r="S66" s="12"/>
      <c r="T66" s="12"/>
      <c r="U66" s="12"/>
      <c r="V66" s="65"/>
      <c r="W66" s="44" t="str">
        <f t="shared" si="2"/>
        <v>OK</v>
      </c>
      <c r="X66" s="47" t="str">
        <f t="shared" si="4"/>
        <v/>
      </c>
      <c r="Y66" s="3"/>
      <c r="Z66" s="127"/>
    </row>
    <row r="67" spans="1:26" ht="15.75" hidden="1" customHeight="1" outlineLevel="1" x14ac:dyDescent="0.3">
      <c r="A67" s="3"/>
      <c r="B67" s="150" t="s">
        <v>488</v>
      </c>
      <c r="C67" s="62"/>
      <c r="D67" s="62"/>
      <c r="E67" s="12"/>
      <c r="F67" s="101"/>
      <c r="G67" s="69"/>
      <c r="H67" s="63"/>
      <c r="I67" s="63"/>
      <c r="J67" s="64"/>
      <c r="K67" s="12"/>
      <c r="L67" s="62" t="str">
        <f t="shared" si="3"/>
        <v/>
      </c>
      <c r="M67" s="12"/>
      <c r="N67" s="12"/>
      <c r="O67" s="12"/>
      <c r="P67" s="12"/>
      <c r="Q67" s="12"/>
      <c r="R67" s="12"/>
      <c r="S67" s="12"/>
      <c r="T67" s="12"/>
      <c r="U67" s="12"/>
      <c r="V67" s="65"/>
      <c r="W67" s="44" t="str">
        <f t="shared" si="2"/>
        <v>OK</v>
      </c>
      <c r="X67" s="47" t="str">
        <f t="shared" si="4"/>
        <v/>
      </c>
      <c r="Y67" s="3"/>
      <c r="Z67" s="127"/>
    </row>
    <row r="68" spans="1:26" ht="15.75" hidden="1" customHeight="1" outlineLevel="1" x14ac:dyDescent="0.3">
      <c r="A68" s="3"/>
      <c r="B68" s="109" t="s">
        <v>489</v>
      </c>
      <c r="C68" s="62"/>
      <c r="D68" s="62"/>
      <c r="E68" s="12"/>
      <c r="F68" s="101"/>
      <c r="G68" s="232"/>
      <c r="H68" s="63"/>
      <c r="I68" s="63"/>
      <c r="J68" s="64"/>
      <c r="K68" s="12"/>
      <c r="L68" s="62" t="str">
        <f t="shared" si="3"/>
        <v/>
      </c>
      <c r="M68" s="12"/>
      <c r="N68" s="12"/>
      <c r="O68" s="12"/>
      <c r="P68" s="12"/>
      <c r="Q68" s="12"/>
      <c r="R68" s="12"/>
      <c r="S68" s="12"/>
      <c r="T68" s="12"/>
      <c r="U68" s="12"/>
      <c r="V68" s="65"/>
      <c r="W68" s="44" t="str">
        <f t="shared" si="2"/>
        <v>OK</v>
      </c>
      <c r="X68" s="47" t="str">
        <f t="shared" si="4"/>
        <v/>
      </c>
      <c r="Y68" s="3"/>
      <c r="Z68" s="127"/>
    </row>
    <row r="69" spans="1:26" ht="15.75" hidden="1" customHeight="1" outlineLevel="1" x14ac:dyDescent="0.3">
      <c r="A69" s="3"/>
      <c r="B69" s="109" t="s">
        <v>490</v>
      </c>
      <c r="C69" s="62"/>
      <c r="D69" s="62"/>
      <c r="E69" s="12"/>
      <c r="F69" s="101"/>
      <c r="G69" s="234"/>
      <c r="H69" s="63"/>
      <c r="I69" s="63"/>
      <c r="J69" s="64"/>
      <c r="K69" s="12"/>
      <c r="L69" s="62" t="str">
        <f t="shared" si="3"/>
        <v/>
      </c>
      <c r="M69" s="12"/>
      <c r="N69" s="12"/>
      <c r="O69" s="12"/>
      <c r="P69" s="12"/>
      <c r="Q69" s="12"/>
      <c r="R69" s="12"/>
      <c r="S69" s="12"/>
      <c r="T69" s="12"/>
      <c r="U69" s="12"/>
      <c r="V69" s="65"/>
      <c r="W69" s="44" t="str">
        <f t="shared" si="2"/>
        <v>OK</v>
      </c>
      <c r="X69" s="47" t="str">
        <f t="shared" si="4"/>
        <v/>
      </c>
      <c r="Y69" s="3"/>
      <c r="Z69" s="127"/>
    </row>
    <row r="70" spans="1:26" ht="15.75" hidden="1" customHeight="1" outlineLevel="1" x14ac:dyDescent="0.3">
      <c r="A70" s="3"/>
      <c r="B70" s="150" t="s">
        <v>491</v>
      </c>
      <c r="C70" s="62"/>
      <c r="D70" s="62"/>
      <c r="E70" s="12"/>
      <c r="F70" s="101"/>
      <c r="G70" s="67"/>
      <c r="H70" s="63"/>
      <c r="I70" s="63"/>
      <c r="J70" s="64"/>
      <c r="K70" s="12"/>
      <c r="L70" s="62" t="str">
        <f t="shared" si="3"/>
        <v/>
      </c>
      <c r="M70" s="12"/>
      <c r="N70" s="12"/>
      <c r="O70" s="12"/>
      <c r="P70" s="12"/>
      <c r="Q70" s="12"/>
      <c r="R70" s="12"/>
      <c r="S70" s="12"/>
      <c r="T70" s="12"/>
      <c r="U70" s="12"/>
      <c r="V70" s="65"/>
      <c r="W70" s="44" t="str">
        <f t="shared" si="2"/>
        <v>OK</v>
      </c>
      <c r="X70" s="47" t="str">
        <f t="shared" si="4"/>
        <v/>
      </c>
      <c r="Y70" s="3"/>
      <c r="Z70" s="127"/>
    </row>
    <row r="71" spans="1:26" ht="15.75" hidden="1" customHeight="1" outlineLevel="1" x14ac:dyDescent="0.3">
      <c r="A71" s="3"/>
      <c r="B71" s="109" t="s">
        <v>492</v>
      </c>
      <c r="C71" s="62"/>
      <c r="D71" s="62"/>
      <c r="E71" s="12"/>
      <c r="F71" s="101"/>
      <c r="G71" s="67"/>
      <c r="H71" s="63"/>
      <c r="I71" s="63"/>
      <c r="J71" s="64"/>
      <c r="K71" s="12"/>
      <c r="L71" s="62" t="str">
        <f t="shared" si="3"/>
        <v/>
      </c>
      <c r="M71" s="12"/>
      <c r="N71" s="12"/>
      <c r="O71" s="12"/>
      <c r="P71" s="12"/>
      <c r="Q71" s="12"/>
      <c r="R71" s="12"/>
      <c r="S71" s="12"/>
      <c r="T71" s="12"/>
      <c r="U71" s="12"/>
      <c r="V71" s="65"/>
      <c r="W71" s="44" t="str">
        <f t="shared" si="2"/>
        <v>OK</v>
      </c>
      <c r="X71" s="47" t="str">
        <f t="shared" si="4"/>
        <v/>
      </c>
      <c r="Y71" s="3"/>
      <c r="Z71" s="127"/>
    </row>
    <row r="72" spans="1:26" ht="15.75" hidden="1" customHeight="1" outlineLevel="1" x14ac:dyDescent="0.3">
      <c r="A72" s="3"/>
      <c r="B72" s="150" t="s">
        <v>493</v>
      </c>
      <c r="C72" s="62"/>
      <c r="D72" s="62"/>
      <c r="E72" s="12"/>
      <c r="F72" s="101"/>
      <c r="G72" s="67"/>
      <c r="H72" s="63"/>
      <c r="I72" s="63"/>
      <c r="J72" s="64"/>
      <c r="K72" s="12"/>
      <c r="L72" s="62" t="str">
        <f t="shared" si="3"/>
        <v/>
      </c>
      <c r="M72" s="12"/>
      <c r="N72" s="12"/>
      <c r="O72" s="12"/>
      <c r="P72" s="12"/>
      <c r="Q72" s="12"/>
      <c r="R72" s="12"/>
      <c r="S72" s="12"/>
      <c r="T72" s="12"/>
      <c r="U72" s="12"/>
      <c r="V72" s="65"/>
      <c r="W72" s="44" t="str">
        <f t="shared" si="2"/>
        <v>OK</v>
      </c>
      <c r="X72" s="47" t="str">
        <f t="shared" si="4"/>
        <v/>
      </c>
      <c r="Y72" s="3"/>
      <c r="Z72" s="127"/>
    </row>
    <row r="73" spans="1:26" ht="15.75" hidden="1" customHeight="1" outlineLevel="1" x14ac:dyDescent="0.3">
      <c r="A73" s="3"/>
      <c r="B73" s="109" t="s">
        <v>494</v>
      </c>
      <c r="C73" s="62"/>
      <c r="D73" s="62"/>
      <c r="E73" s="12"/>
      <c r="F73" s="101"/>
      <c r="G73" s="235"/>
      <c r="H73" s="63"/>
      <c r="I73" s="63"/>
      <c r="J73" s="64"/>
      <c r="K73" s="12"/>
      <c r="L73" s="62" t="str">
        <f t="shared" si="3"/>
        <v/>
      </c>
      <c r="M73" s="12"/>
      <c r="N73" s="12"/>
      <c r="O73" s="12"/>
      <c r="P73" s="12"/>
      <c r="Q73" s="12"/>
      <c r="R73" s="12"/>
      <c r="S73" s="12"/>
      <c r="T73" s="12"/>
      <c r="U73" s="12"/>
      <c r="V73" s="65"/>
      <c r="W73" s="44" t="str">
        <f t="shared" si="2"/>
        <v>OK</v>
      </c>
      <c r="X73" s="47" t="str">
        <f t="shared" si="4"/>
        <v/>
      </c>
      <c r="Y73" s="3"/>
      <c r="Z73" s="127"/>
    </row>
    <row r="74" spans="1:26" ht="15.75" hidden="1" customHeight="1" outlineLevel="1" x14ac:dyDescent="0.3">
      <c r="A74" s="3"/>
      <c r="B74" s="109" t="s">
        <v>495</v>
      </c>
      <c r="C74" s="62"/>
      <c r="D74" s="62"/>
      <c r="E74" s="12"/>
      <c r="F74" s="101"/>
      <c r="G74" s="234"/>
      <c r="H74" s="63"/>
      <c r="I74" s="63"/>
      <c r="J74" s="64"/>
      <c r="K74" s="12"/>
      <c r="L74" s="62" t="str">
        <f t="shared" si="3"/>
        <v/>
      </c>
      <c r="M74" s="12"/>
      <c r="N74" s="12"/>
      <c r="O74" s="12"/>
      <c r="P74" s="12"/>
      <c r="Q74" s="12"/>
      <c r="R74" s="12"/>
      <c r="S74" s="12"/>
      <c r="T74" s="12"/>
      <c r="U74" s="12"/>
      <c r="V74" s="65"/>
      <c r="W74" s="44" t="str">
        <f t="shared" si="2"/>
        <v>OK</v>
      </c>
      <c r="X74" s="47" t="str">
        <f t="shared" si="4"/>
        <v/>
      </c>
      <c r="Y74" s="3"/>
      <c r="Z74" s="127"/>
    </row>
    <row r="75" spans="1:26" ht="15.75" hidden="1" customHeight="1" outlineLevel="1" x14ac:dyDescent="0.3">
      <c r="A75" s="3"/>
      <c r="B75" s="150" t="s">
        <v>496</v>
      </c>
      <c r="C75" s="62"/>
      <c r="D75" s="62"/>
      <c r="E75" s="12"/>
      <c r="F75" s="101"/>
      <c r="G75" s="67"/>
      <c r="H75" s="63"/>
      <c r="I75" s="63"/>
      <c r="J75" s="64"/>
      <c r="K75" s="12"/>
      <c r="L75" s="62" t="str">
        <f t="shared" si="3"/>
        <v/>
      </c>
      <c r="M75" s="12"/>
      <c r="N75" s="12"/>
      <c r="O75" s="12"/>
      <c r="P75" s="12"/>
      <c r="Q75" s="12"/>
      <c r="R75" s="12"/>
      <c r="S75" s="12"/>
      <c r="T75" s="12"/>
      <c r="U75" s="12"/>
      <c r="V75" s="65"/>
      <c r="W75" s="44" t="str">
        <f t="shared" si="2"/>
        <v>OK</v>
      </c>
      <c r="X75" s="47" t="str">
        <f t="shared" si="4"/>
        <v/>
      </c>
      <c r="Y75" s="3"/>
      <c r="Z75" s="127"/>
    </row>
    <row r="76" spans="1:26" ht="15.75" hidden="1" customHeight="1" outlineLevel="1" x14ac:dyDescent="0.3">
      <c r="A76" s="3"/>
      <c r="B76" s="109" t="s">
        <v>497</v>
      </c>
      <c r="C76" s="62"/>
      <c r="D76" s="62"/>
      <c r="E76" s="12"/>
      <c r="F76" s="101"/>
      <c r="G76" s="67"/>
      <c r="H76" s="63"/>
      <c r="I76" s="63"/>
      <c r="J76" s="64"/>
      <c r="K76" s="12"/>
      <c r="L76" s="62" t="str">
        <f t="shared" si="3"/>
        <v/>
      </c>
      <c r="M76" s="12"/>
      <c r="N76" s="12"/>
      <c r="O76" s="12"/>
      <c r="P76" s="12"/>
      <c r="Q76" s="12"/>
      <c r="R76" s="12"/>
      <c r="S76" s="12"/>
      <c r="T76" s="12"/>
      <c r="U76" s="12"/>
      <c r="V76" s="65"/>
      <c r="W76" s="44" t="str">
        <f t="shared" si="2"/>
        <v>OK</v>
      </c>
      <c r="X76" s="47" t="str">
        <f t="shared" si="4"/>
        <v/>
      </c>
      <c r="Y76" s="3"/>
      <c r="Z76" s="127"/>
    </row>
    <row r="77" spans="1:26" ht="15.75" hidden="1" customHeight="1" outlineLevel="1" x14ac:dyDescent="0.3">
      <c r="A77" s="3"/>
      <c r="B77" s="150" t="s">
        <v>498</v>
      </c>
      <c r="C77" s="62"/>
      <c r="D77" s="62"/>
      <c r="E77" s="12"/>
      <c r="F77" s="101"/>
      <c r="G77" s="67"/>
      <c r="H77" s="63"/>
      <c r="I77" s="63"/>
      <c r="J77" s="64"/>
      <c r="K77" s="12"/>
      <c r="L77" s="62" t="str">
        <f t="shared" si="3"/>
        <v/>
      </c>
      <c r="M77" s="12"/>
      <c r="N77" s="12"/>
      <c r="O77" s="12"/>
      <c r="P77" s="12"/>
      <c r="Q77" s="12"/>
      <c r="R77" s="12"/>
      <c r="S77" s="12"/>
      <c r="T77" s="12"/>
      <c r="U77" s="12"/>
      <c r="V77" s="65"/>
      <c r="W77" s="44" t="str">
        <f t="shared" si="2"/>
        <v>OK</v>
      </c>
      <c r="X77" s="47" t="str">
        <f t="shared" si="4"/>
        <v/>
      </c>
      <c r="Y77" s="3"/>
      <c r="Z77" s="127"/>
    </row>
    <row r="78" spans="1:26" ht="15.75" hidden="1" customHeight="1" outlineLevel="1" x14ac:dyDescent="0.3">
      <c r="A78" s="3"/>
      <c r="B78" s="109" t="s">
        <v>499</v>
      </c>
      <c r="C78" s="62"/>
      <c r="D78" s="62"/>
      <c r="E78" s="12"/>
      <c r="F78" s="101"/>
      <c r="G78" s="70"/>
      <c r="H78" s="63"/>
      <c r="I78" s="63"/>
      <c r="J78" s="64"/>
      <c r="K78" s="12"/>
      <c r="L78" s="62" t="str">
        <f t="shared" si="3"/>
        <v/>
      </c>
      <c r="M78" s="12"/>
      <c r="N78" s="12"/>
      <c r="O78" s="12"/>
      <c r="P78" s="12"/>
      <c r="Q78" s="12"/>
      <c r="R78" s="12"/>
      <c r="S78" s="12"/>
      <c r="T78" s="12"/>
      <c r="U78" s="12"/>
      <c r="V78" s="65"/>
      <c r="W78" s="44" t="str">
        <f t="shared" si="2"/>
        <v>OK</v>
      </c>
      <c r="X78" s="47" t="str">
        <f t="shared" si="4"/>
        <v/>
      </c>
      <c r="Y78" s="3"/>
      <c r="Z78" s="127"/>
    </row>
    <row r="79" spans="1:26" ht="15.75" hidden="1" customHeight="1" outlineLevel="1" x14ac:dyDescent="0.3">
      <c r="A79" s="3"/>
      <c r="B79" s="150" t="s">
        <v>500</v>
      </c>
      <c r="C79" s="62"/>
      <c r="D79" s="62"/>
      <c r="E79" s="12"/>
      <c r="F79" s="101"/>
      <c r="G79" s="235"/>
      <c r="H79" s="63"/>
      <c r="I79" s="63"/>
      <c r="J79" s="64"/>
      <c r="K79" s="12"/>
      <c r="L79" s="62" t="str">
        <f t="shared" si="3"/>
        <v/>
      </c>
      <c r="M79" s="12"/>
      <c r="N79" s="12"/>
      <c r="O79" s="12"/>
      <c r="P79" s="12"/>
      <c r="Q79" s="12"/>
      <c r="R79" s="12"/>
      <c r="S79" s="12"/>
      <c r="T79" s="12"/>
      <c r="U79" s="12"/>
      <c r="V79" s="65"/>
      <c r="W79" s="44" t="str">
        <f t="shared" si="2"/>
        <v>OK</v>
      </c>
      <c r="X79" s="47" t="str">
        <f t="shared" si="4"/>
        <v/>
      </c>
      <c r="Y79" s="3"/>
      <c r="Z79" s="127"/>
    </row>
    <row r="80" spans="1:26" ht="15.75" hidden="1" customHeight="1" outlineLevel="1" x14ac:dyDescent="0.3">
      <c r="A80" s="3"/>
      <c r="B80" s="150" t="s">
        <v>501</v>
      </c>
      <c r="C80" s="62"/>
      <c r="D80" s="62"/>
      <c r="E80" s="12"/>
      <c r="F80" s="101"/>
      <c r="G80" s="234"/>
      <c r="H80" s="63"/>
      <c r="I80" s="63"/>
      <c r="J80" s="64"/>
      <c r="K80" s="12"/>
      <c r="L80" s="62" t="str">
        <f t="shared" si="3"/>
        <v/>
      </c>
      <c r="M80" s="12"/>
      <c r="N80" s="12"/>
      <c r="O80" s="12"/>
      <c r="P80" s="12"/>
      <c r="Q80" s="12"/>
      <c r="R80" s="12"/>
      <c r="S80" s="12"/>
      <c r="T80" s="12"/>
      <c r="U80" s="12"/>
      <c r="V80" s="65"/>
      <c r="W80" s="44" t="str">
        <f t="shared" si="2"/>
        <v>OK</v>
      </c>
      <c r="X80" s="47" t="str">
        <f t="shared" si="4"/>
        <v/>
      </c>
      <c r="Y80" s="3"/>
      <c r="Z80" s="127"/>
    </row>
    <row r="81" spans="1:26" ht="15.75" hidden="1" customHeight="1" outlineLevel="1" x14ac:dyDescent="0.3">
      <c r="A81" s="3"/>
      <c r="B81" s="109" t="s">
        <v>502</v>
      </c>
      <c r="C81" s="62"/>
      <c r="D81" s="62"/>
      <c r="E81" s="12"/>
      <c r="F81" s="101"/>
      <c r="G81" s="232"/>
      <c r="H81" s="63"/>
      <c r="I81" s="63"/>
      <c r="J81" s="64"/>
      <c r="K81" s="12"/>
      <c r="L81" s="62" t="str">
        <f t="shared" si="3"/>
        <v/>
      </c>
      <c r="M81" s="12"/>
      <c r="N81" s="12"/>
      <c r="O81" s="12"/>
      <c r="P81" s="12"/>
      <c r="Q81" s="12"/>
      <c r="R81" s="12"/>
      <c r="S81" s="12"/>
      <c r="T81" s="12"/>
      <c r="U81" s="12"/>
      <c r="V81" s="65"/>
      <c r="W81" s="44" t="str">
        <f t="shared" si="2"/>
        <v>OK</v>
      </c>
      <c r="X81" s="47" t="str">
        <f t="shared" si="4"/>
        <v/>
      </c>
      <c r="Y81" s="3"/>
      <c r="Z81" s="127"/>
    </row>
    <row r="82" spans="1:26" ht="15.75" hidden="1" customHeight="1" outlineLevel="1" x14ac:dyDescent="0.3">
      <c r="A82" s="3"/>
      <c r="B82" s="109" t="s">
        <v>503</v>
      </c>
      <c r="C82" s="62"/>
      <c r="D82" s="62"/>
      <c r="E82" s="12"/>
      <c r="F82" s="101"/>
      <c r="G82" s="234"/>
      <c r="H82" s="63"/>
      <c r="I82" s="63"/>
      <c r="J82" s="64"/>
      <c r="K82" s="12"/>
      <c r="L82" s="62" t="str">
        <f t="shared" si="3"/>
        <v/>
      </c>
      <c r="M82" s="12"/>
      <c r="N82" s="12"/>
      <c r="O82" s="12"/>
      <c r="P82" s="12"/>
      <c r="Q82" s="12"/>
      <c r="R82" s="12"/>
      <c r="S82" s="12"/>
      <c r="T82" s="12"/>
      <c r="U82" s="12"/>
      <c r="V82" s="65"/>
      <c r="W82" s="44" t="str">
        <f t="shared" si="2"/>
        <v>OK</v>
      </c>
      <c r="X82" s="47" t="str">
        <f t="shared" si="4"/>
        <v/>
      </c>
      <c r="Y82" s="3"/>
      <c r="Z82" s="127"/>
    </row>
    <row r="83" spans="1:26" ht="15.75" hidden="1" customHeight="1" outlineLevel="1" x14ac:dyDescent="0.3">
      <c r="A83" s="3"/>
      <c r="B83" s="150" t="s">
        <v>504</v>
      </c>
      <c r="C83" s="62"/>
      <c r="D83" s="62"/>
      <c r="E83" s="12"/>
      <c r="F83" s="101"/>
      <c r="G83" s="232"/>
      <c r="H83" s="63"/>
      <c r="I83" s="63"/>
      <c r="J83" s="64"/>
      <c r="K83" s="12"/>
      <c r="L83" s="62" t="str">
        <f t="shared" si="3"/>
        <v/>
      </c>
      <c r="M83" s="12"/>
      <c r="N83" s="12"/>
      <c r="O83" s="12"/>
      <c r="P83" s="12"/>
      <c r="Q83" s="12"/>
      <c r="R83" s="12"/>
      <c r="S83" s="12"/>
      <c r="T83" s="12"/>
      <c r="U83" s="12"/>
      <c r="V83" s="65"/>
      <c r="W83" s="44" t="str">
        <f t="shared" si="2"/>
        <v>OK</v>
      </c>
      <c r="X83" s="47" t="str">
        <f t="shared" si="4"/>
        <v/>
      </c>
      <c r="Y83" s="3"/>
      <c r="Z83" s="127"/>
    </row>
    <row r="84" spans="1:26" ht="15.75" hidden="1" customHeight="1" outlineLevel="1" x14ac:dyDescent="0.3">
      <c r="A84" s="3"/>
      <c r="B84" s="150" t="s">
        <v>506</v>
      </c>
      <c r="C84" s="62"/>
      <c r="D84" s="62"/>
      <c r="E84" s="12"/>
      <c r="F84" s="101"/>
      <c r="G84" s="234"/>
      <c r="H84" s="63"/>
      <c r="I84" s="63"/>
      <c r="J84" s="64"/>
      <c r="K84" s="12"/>
      <c r="L84" s="62" t="str">
        <f t="shared" si="3"/>
        <v/>
      </c>
      <c r="M84" s="12"/>
      <c r="N84" s="12"/>
      <c r="O84" s="12"/>
      <c r="P84" s="12"/>
      <c r="Q84" s="12"/>
      <c r="R84" s="12"/>
      <c r="S84" s="12"/>
      <c r="T84" s="12"/>
      <c r="U84" s="12"/>
      <c r="V84" s="65"/>
      <c r="W84" s="44" t="str">
        <f t="shared" si="2"/>
        <v>OK</v>
      </c>
      <c r="X84" s="47" t="str">
        <f t="shared" si="4"/>
        <v/>
      </c>
      <c r="Y84" s="3"/>
      <c r="Z84" s="127"/>
    </row>
    <row r="85" spans="1:26" ht="15.75" hidden="1" customHeight="1" outlineLevel="1" x14ac:dyDescent="0.3">
      <c r="A85" s="3"/>
      <c r="B85" s="109" t="s">
        <v>1514</v>
      </c>
      <c r="C85" s="62"/>
      <c r="D85" s="62"/>
      <c r="E85" s="12"/>
      <c r="F85" s="101"/>
      <c r="G85" s="67"/>
      <c r="H85" s="63"/>
      <c r="I85" s="63"/>
      <c r="J85" s="64"/>
      <c r="K85" s="12"/>
      <c r="L85" s="62" t="str">
        <f t="shared" si="3"/>
        <v/>
      </c>
      <c r="M85" s="12"/>
      <c r="N85" s="12"/>
      <c r="O85" s="12"/>
      <c r="P85" s="12"/>
      <c r="Q85" s="12"/>
      <c r="R85" s="12"/>
      <c r="S85" s="12"/>
      <c r="T85" s="12"/>
      <c r="U85" s="12"/>
      <c r="V85" s="65"/>
      <c r="W85" s="44" t="str">
        <f t="shared" si="2"/>
        <v>OK</v>
      </c>
      <c r="X85" s="47" t="str">
        <f t="shared" si="4"/>
        <v/>
      </c>
      <c r="Y85" s="3"/>
      <c r="Z85" s="127"/>
    </row>
    <row r="86" spans="1:26" ht="15.75" hidden="1" customHeight="1" outlineLevel="1" x14ac:dyDescent="0.3">
      <c r="A86" s="3"/>
      <c r="B86" s="150" t="s">
        <v>508</v>
      </c>
      <c r="C86" s="62"/>
      <c r="D86" s="62"/>
      <c r="E86" s="12"/>
      <c r="F86" s="101"/>
      <c r="G86" s="232"/>
      <c r="H86" s="63"/>
      <c r="I86" s="63"/>
      <c r="J86" s="64"/>
      <c r="K86" s="12"/>
      <c r="L86" s="62" t="str">
        <f t="shared" si="3"/>
        <v/>
      </c>
      <c r="M86" s="12"/>
      <c r="N86" s="12"/>
      <c r="O86" s="12"/>
      <c r="P86" s="12"/>
      <c r="Q86" s="12"/>
      <c r="R86" s="12"/>
      <c r="S86" s="12"/>
      <c r="T86" s="12"/>
      <c r="U86" s="12"/>
      <c r="V86" s="65"/>
      <c r="W86" s="44" t="str">
        <f t="shared" si="2"/>
        <v>OK</v>
      </c>
      <c r="X86" s="47" t="str">
        <f t="shared" si="4"/>
        <v/>
      </c>
      <c r="Y86" s="3"/>
      <c r="Z86" s="127"/>
    </row>
    <row r="87" spans="1:26" ht="15.75" hidden="1" customHeight="1" outlineLevel="1" x14ac:dyDescent="0.3">
      <c r="A87" s="3"/>
      <c r="B87" s="150" t="s">
        <v>509</v>
      </c>
      <c r="C87" s="62"/>
      <c r="D87" s="62"/>
      <c r="E87" s="12"/>
      <c r="F87" s="101"/>
      <c r="G87" s="234"/>
      <c r="H87" s="63"/>
      <c r="I87" s="63"/>
      <c r="J87" s="64"/>
      <c r="K87" s="12"/>
      <c r="L87" s="62" t="str">
        <f t="shared" si="3"/>
        <v/>
      </c>
      <c r="M87" s="12"/>
      <c r="N87" s="12"/>
      <c r="O87" s="12"/>
      <c r="P87" s="12"/>
      <c r="Q87" s="12"/>
      <c r="R87" s="12"/>
      <c r="S87" s="12"/>
      <c r="T87" s="12"/>
      <c r="U87" s="12"/>
      <c r="V87" s="65"/>
      <c r="W87" s="44" t="str">
        <f t="shared" si="2"/>
        <v>OK</v>
      </c>
      <c r="X87" s="47" t="str">
        <f t="shared" si="4"/>
        <v/>
      </c>
      <c r="Y87" s="3"/>
      <c r="Z87" s="127"/>
    </row>
    <row r="88" spans="1:26" ht="15.75" hidden="1" customHeight="1" outlineLevel="1" x14ac:dyDescent="0.3">
      <c r="A88" s="3"/>
      <c r="B88" s="109" t="s">
        <v>1515</v>
      </c>
      <c r="C88" s="62"/>
      <c r="D88" s="62"/>
      <c r="E88" s="12"/>
      <c r="F88" s="101"/>
      <c r="G88" s="67"/>
      <c r="H88" s="63"/>
      <c r="I88" s="63"/>
      <c r="J88" s="64"/>
      <c r="K88" s="12"/>
      <c r="L88" s="62" t="str">
        <f t="shared" si="3"/>
        <v/>
      </c>
      <c r="M88" s="12"/>
      <c r="N88" s="12"/>
      <c r="O88" s="12"/>
      <c r="P88" s="12"/>
      <c r="Q88" s="12"/>
      <c r="R88" s="12"/>
      <c r="S88" s="12"/>
      <c r="T88" s="12"/>
      <c r="U88" s="12"/>
      <c r="V88" s="65"/>
      <c r="W88" s="44" t="str">
        <f t="shared" si="2"/>
        <v>OK</v>
      </c>
      <c r="X88" s="47" t="str">
        <f t="shared" si="4"/>
        <v/>
      </c>
      <c r="Y88" s="3"/>
      <c r="Z88" s="127"/>
    </row>
    <row r="89" spans="1:26" ht="15.75" hidden="1" customHeight="1" outlineLevel="1" x14ac:dyDescent="0.3">
      <c r="A89" s="3"/>
      <c r="B89" s="150" t="s">
        <v>510</v>
      </c>
      <c r="C89" s="62"/>
      <c r="D89" s="62"/>
      <c r="E89" s="12"/>
      <c r="F89" s="101"/>
      <c r="G89" s="67"/>
      <c r="H89" s="63"/>
      <c r="I89" s="63"/>
      <c r="J89" s="64"/>
      <c r="K89" s="12"/>
      <c r="L89" s="62" t="str">
        <f t="shared" si="3"/>
        <v/>
      </c>
      <c r="M89" s="12"/>
      <c r="N89" s="12"/>
      <c r="O89" s="12"/>
      <c r="P89" s="12"/>
      <c r="Q89" s="12"/>
      <c r="R89" s="12"/>
      <c r="S89" s="12"/>
      <c r="T89" s="12"/>
      <c r="U89" s="12"/>
      <c r="V89" s="65"/>
      <c r="W89" s="44" t="str">
        <f t="shared" si="2"/>
        <v>OK</v>
      </c>
      <c r="X89" s="47" t="str">
        <f t="shared" si="4"/>
        <v/>
      </c>
      <c r="Y89" s="3"/>
      <c r="Z89" s="127"/>
    </row>
    <row r="90" spans="1:26" ht="15.75" hidden="1" customHeight="1" outlineLevel="1" x14ac:dyDescent="0.3">
      <c r="A90" s="3"/>
      <c r="B90" s="109" t="s">
        <v>512</v>
      </c>
      <c r="C90" s="62"/>
      <c r="D90" s="62"/>
      <c r="E90" s="12"/>
      <c r="F90" s="101"/>
      <c r="G90" s="232"/>
      <c r="H90" s="63"/>
      <c r="I90" s="63"/>
      <c r="J90" s="64"/>
      <c r="K90" s="12"/>
      <c r="L90" s="62" t="str">
        <f t="shared" si="3"/>
        <v/>
      </c>
      <c r="M90" s="12"/>
      <c r="N90" s="12"/>
      <c r="O90" s="12"/>
      <c r="P90" s="12"/>
      <c r="Q90" s="12"/>
      <c r="R90" s="12"/>
      <c r="S90" s="12"/>
      <c r="T90" s="12"/>
      <c r="U90" s="12"/>
      <c r="V90" s="65"/>
      <c r="W90" s="44" t="str">
        <f t="shared" si="2"/>
        <v>OK</v>
      </c>
      <c r="X90" s="47" t="str">
        <f t="shared" si="4"/>
        <v/>
      </c>
      <c r="Y90" s="3"/>
      <c r="Z90" s="127"/>
    </row>
    <row r="91" spans="1:26" ht="15.75" hidden="1" customHeight="1" outlineLevel="1" x14ac:dyDescent="0.3">
      <c r="A91" s="3"/>
      <c r="B91" s="109" t="s">
        <v>513</v>
      </c>
      <c r="C91" s="62"/>
      <c r="D91" s="62"/>
      <c r="E91" s="12"/>
      <c r="F91" s="101"/>
      <c r="G91" s="234"/>
      <c r="H91" s="63"/>
      <c r="I91" s="63"/>
      <c r="J91" s="64"/>
      <c r="K91" s="12"/>
      <c r="L91" s="62" t="str">
        <f t="shared" si="3"/>
        <v/>
      </c>
      <c r="M91" s="12"/>
      <c r="N91" s="12"/>
      <c r="O91" s="12"/>
      <c r="P91" s="12"/>
      <c r="Q91" s="12"/>
      <c r="R91" s="12"/>
      <c r="S91" s="12"/>
      <c r="T91" s="12"/>
      <c r="U91" s="12"/>
      <c r="V91" s="65"/>
      <c r="W91" s="44" t="str">
        <f t="shared" si="2"/>
        <v>OK</v>
      </c>
      <c r="X91" s="47" t="str">
        <f t="shared" si="4"/>
        <v/>
      </c>
      <c r="Y91" s="3"/>
      <c r="Z91" s="127"/>
    </row>
    <row r="92" spans="1:26" ht="15.75" hidden="1" customHeight="1" outlineLevel="1" x14ac:dyDescent="0.3">
      <c r="A92" s="3"/>
      <c r="B92" s="150" t="s">
        <v>514</v>
      </c>
      <c r="C92" s="62"/>
      <c r="D92" s="62"/>
      <c r="E92" s="12"/>
      <c r="F92" s="101"/>
      <c r="G92" s="67"/>
      <c r="H92" s="63"/>
      <c r="I92" s="63"/>
      <c r="J92" s="64"/>
      <c r="K92" s="12"/>
      <c r="L92" s="62" t="str">
        <f t="shared" si="3"/>
        <v/>
      </c>
      <c r="M92" s="12"/>
      <c r="N92" s="12"/>
      <c r="O92" s="12"/>
      <c r="P92" s="12"/>
      <c r="Q92" s="12"/>
      <c r="R92" s="12"/>
      <c r="S92" s="12"/>
      <c r="T92" s="12"/>
      <c r="U92" s="12"/>
      <c r="V92" s="65"/>
      <c r="W92" s="44" t="str">
        <f t="shared" si="2"/>
        <v>OK</v>
      </c>
      <c r="X92" s="47" t="str">
        <f t="shared" si="4"/>
        <v/>
      </c>
      <c r="Y92" s="3"/>
      <c r="Z92" s="127"/>
    </row>
    <row r="93" spans="1:26" ht="15.75" hidden="1" customHeight="1" outlineLevel="1" x14ac:dyDescent="0.3">
      <c r="A93" s="3"/>
      <c r="B93" s="109" t="s">
        <v>515</v>
      </c>
      <c r="C93" s="62"/>
      <c r="D93" s="62"/>
      <c r="E93" s="12"/>
      <c r="F93" s="101"/>
      <c r="G93" s="232"/>
      <c r="H93" s="63"/>
      <c r="I93" s="63"/>
      <c r="J93" s="64"/>
      <c r="K93" s="12"/>
      <c r="L93" s="62" t="str">
        <f t="shared" si="3"/>
        <v/>
      </c>
      <c r="M93" s="12"/>
      <c r="N93" s="12"/>
      <c r="O93" s="12"/>
      <c r="P93" s="12"/>
      <c r="Q93" s="12"/>
      <c r="R93" s="12"/>
      <c r="S93" s="12"/>
      <c r="T93" s="12"/>
      <c r="U93" s="12"/>
      <c r="V93" s="65"/>
      <c r="W93" s="44" t="str">
        <f t="shared" si="2"/>
        <v>OK</v>
      </c>
      <c r="X93" s="47" t="str">
        <f t="shared" si="4"/>
        <v/>
      </c>
      <c r="Y93" s="3"/>
      <c r="Z93" s="127"/>
    </row>
    <row r="94" spans="1:26" ht="15.75" hidden="1" customHeight="1" outlineLevel="1" x14ac:dyDescent="0.3">
      <c r="A94" s="3"/>
      <c r="B94" s="109" t="s">
        <v>516</v>
      </c>
      <c r="C94" s="62"/>
      <c r="D94" s="62"/>
      <c r="E94" s="12"/>
      <c r="F94" s="101"/>
      <c r="G94" s="234"/>
      <c r="H94" s="63"/>
      <c r="I94" s="63"/>
      <c r="J94" s="64"/>
      <c r="K94" s="12"/>
      <c r="L94" s="62" t="str">
        <f t="shared" si="3"/>
        <v/>
      </c>
      <c r="M94" s="12"/>
      <c r="N94" s="12"/>
      <c r="O94" s="12"/>
      <c r="P94" s="12"/>
      <c r="Q94" s="12"/>
      <c r="R94" s="12"/>
      <c r="S94" s="12"/>
      <c r="T94" s="12"/>
      <c r="U94" s="12"/>
      <c r="V94" s="65"/>
      <c r="W94" s="44" t="str">
        <f t="shared" si="2"/>
        <v>OK</v>
      </c>
      <c r="X94" s="47" t="str">
        <f t="shared" si="4"/>
        <v/>
      </c>
      <c r="Y94" s="3"/>
      <c r="Z94" s="127"/>
    </row>
    <row r="95" spans="1:26" ht="15.75" hidden="1" customHeight="1" outlineLevel="1" x14ac:dyDescent="0.3">
      <c r="A95" s="3"/>
      <c r="B95" s="150" t="s">
        <v>517</v>
      </c>
      <c r="C95" s="62"/>
      <c r="D95" s="62"/>
      <c r="E95" s="12"/>
      <c r="F95" s="101"/>
      <c r="G95" s="67"/>
      <c r="H95" s="63"/>
      <c r="I95" s="63"/>
      <c r="J95" s="64"/>
      <c r="K95" s="12"/>
      <c r="L95" s="62" t="str">
        <f t="shared" si="3"/>
        <v/>
      </c>
      <c r="M95" s="12"/>
      <c r="N95" s="12"/>
      <c r="O95" s="12"/>
      <c r="P95" s="12"/>
      <c r="Q95" s="12"/>
      <c r="R95" s="12"/>
      <c r="S95" s="12"/>
      <c r="T95" s="12"/>
      <c r="U95" s="12"/>
      <c r="V95" s="65"/>
      <c r="W95" s="44" t="str">
        <f t="shared" si="2"/>
        <v>OK</v>
      </c>
      <c r="X95" s="47" t="str">
        <f t="shared" si="4"/>
        <v/>
      </c>
      <c r="Y95" s="3"/>
      <c r="Z95" s="127"/>
    </row>
    <row r="96" spans="1:26" ht="15.75" hidden="1" customHeight="1" outlineLevel="1" x14ac:dyDescent="0.3">
      <c r="A96" s="3"/>
      <c r="B96" s="109" t="s">
        <v>518</v>
      </c>
      <c r="C96" s="80"/>
      <c r="D96" s="62"/>
      <c r="E96" s="12"/>
      <c r="F96" s="101"/>
      <c r="G96" s="67"/>
      <c r="H96" s="63"/>
      <c r="I96" s="63"/>
      <c r="J96" s="64"/>
      <c r="K96" s="12"/>
      <c r="L96" s="62" t="str">
        <f t="shared" si="3"/>
        <v/>
      </c>
      <c r="M96" s="12"/>
      <c r="N96" s="12"/>
      <c r="O96" s="12"/>
      <c r="P96" s="12"/>
      <c r="Q96" s="12"/>
      <c r="R96" s="12"/>
      <c r="S96" s="12"/>
      <c r="T96" s="12"/>
      <c r="U96" s="12"/>
      <c r="V96" s="65"/>
      <c r="W96" s="44" t="str">
        <f t="shared" si="2"/>
        <v>OK</v>
      </c>
      <c r="X96" s="47" t="str">
        <f t="shared" si="4"/>
        <v/>
      </c>
      <c r="Y96" s="3"/>
      <c r="Z96" s="127"/>
    </row>
    <row r="97" spans="1:26" ht="15.75" hidden="1" customHeight="1" outlineLevel="1" x14ac:dyDescent="0.3">
      <c r="A97" s="3"/>
      <c r="B97" s="150" t="s">
        <v>519</v>
      </c>
      <c r="C97" s="62"/>
      <c r="D97" s="62"/>
      <c r="E97" s="12"/>
      <c r="F97" s="101"/>
      <c r="G97" s="67"/>
      <c r="H97" s="63"/>
      <c r="I97" s="63"/>
      <c r="J97" s="64"/>
      <c r="K97" s="12"/>
      <c r="L97" s="62" t="str">
        <f t="shared" si="3"/>
        <v/>
      </c>
      <c r="M97" s="12"/>
      <c r="N97" s="12"/>
      <c r="O97" s="12"/>
      <c r="P97" s="12"/>
      <c r="Q97" s="12"/>
      <c r="R97" s="12"/>
      <c r="S97" s="12"/>
      <c r="T97" s="12"/>
      <c r="U97" s="12"/>
      <c r="V97" s="65"/>
      <c r="W97" s="44" t="str">
        <f t="shared" si="2"/>
        <v>OK</v>
      </c>
      <c r="X97" s="47" t="str">
        <f t="shared" si="4"/>
        <v/>
      </c>
      <c r="Y97" s="3"/>
      <c r="Z97" s="127"/>
    </row>
    <row r="98" spans="1:26" ht="15.75" hidden="1" customHeight="1" outlineLevel="1" x14ac:dyDescent="0.3">
      <c r="A98" s="3"/>
      <c r="B98" s="109" t="s">
        <v>1516</v>
      </c>
      <c r="C98" s="62"/>
      <c r="D98" s="62"/>
      <c r="E98" s="12"/>
      <c r="F98" s="101"/>
      <c r="G98" s="70"/>
      <c r="H98" s="63"/>
      <c r="I98" s="63"/>
      <c r="J98" s="64"/>
      <c r="K98" s="12"/>
      <c r="L98" s="62" t="str">
        <f t="shared" si="3"/>
        <v/>
      </c>
      <c r="M98" s="12"/>
      <c r="N98" s="12"/>
      <c r="O98" s="12"/>
      <c r="P98" s="12"/>
      <c r="Q98" s="12"/>
      <c r="R98" s="12"/>
      <c r="S98" s="12"/>
      <c r="T98" s="12"/>
      <c r="U98" s="12"/>
      <c r="V98" s="65"/>
      <c r="W98" s="44" t="str">
        <f t="shared" si="2"/>
        <v>OK</v>
      </c>
      <c r="X98" s="47" t="str">
        <f t="shared" si="4"/>
        <v/>
      </c>
      <c r="Y98" s="3"/>
      <c r="Z98" s="127"/>
    </row>
    <row r="99" spans="1:26" ht="15.75" hidden="1" customHeight="1" outlineLevel="1" x14ac:dyDescent="0.3">
      <c r="A99" s="3"/>
      <c r="B99" s="150" t="s">
        <v>522</v>
      </c>
      <c r="C99" s="62"/>
      <c r="D99" s="62"/>
      <c r="E99" s="12"/>
      <c r="F99" s="101"/>
      <c r="G99" s="67"/>
      <c r="H99" s="63"/>
      <c r="I99" s="63"/>
      <c r="J99" s="64"/>
      <c r="K99" s="12"/>
      <c r="L99" s="62" t="str">
        <f t="shared" si="3"/>
        <v/>
      </c>
      <c r="M99" s="12"/>
      <c r="N99" s="12"/>
      <c r="O99" s="12"/>
      <c r="P99" s="12"/>
      <c r="Q99" s="12"/>
      <c r="R99" s="12"/>
      <c r="S99" s="12"/>
      <c r="T99" s="12"/>
      <c r="U99" s="12"/>
      <c r="V99" s="65"/>
      <c r="W99" s="44" t="str">
        <f t="shared" si="2"/>
        <v>OK</v>
      </c>
      <c r="X99" s="47" t="str">
        <f t="shared" si="4"/>
        <v/>
      </c>
      <c r="Y99" s="3"/>
      <c r="Z99" s="3"/>
    </row>
    <row r="100" spans="1:26" ht="15.75" hidden="1" customHeight="1" outlineLevel="1" x14ac:dyDescent="0.3">
      <c r="A100" s="3"/>
      <c r="B100" s="109" t="s">
        <v>523</v>
      </c>
      <c r="C100" s="62"/>
      <c r="D100" s="62"/>
      <c r="E100" s="12"/>
      <c r="F100" s="101"/>
      <c r="G100" s="67"/>
      <c r="H100" s="63"/>
      <c r="I100" s="63"/>
      <c r="J100" s="64"/>
      <c r="K100" s="62"/>
      <c r="L100" s="62" t="str">
        <f t="shared" si="3"/>
        <v/>
      </c>
      <c r="M100" s="12"/>
      <c r="N100" s="12"/>
      <c r="O100" s="12"/>
      <c r="P100" s="12"/>
      <c r="Q100" s="12"/>
      <c r="R100" s="12"/>
      <c r="S100" s="12"/>
      <c r="T100" s="12"/>
      <c r="U100" s="12"/>
      <c r="V100" s="65"/>
      <c r="W100" s="44" t="str">
        <f t="shared" si="2"/>
        <v>OK</v>
      </c>
      <c r="X100" s="47" t="str">
        <f t="shared" si="4"/>
        <v/>
      </c>
      <c r="Y100" s="3"/>
      <c r="Z100" s="3"/>
    </row>
    <row r="101" spans="1:26" ht="15.75" hidden="1" customHeight="1" outlineLevel="1" x14ac:dyDescent="0.3">
      <c r="A101" s="3"/>
      <c r="B101" s="150" t="s">
        <v>524</v>
      </c>
      <c r="C101" s="62"/>
      <c r="D101" s="62"/>
      <c r="E101" s="12"/>
      <c r="F101" s="101"/>
      <c r="G101" s="232"/>
      <c r="H101" s="63"/>
      <c r="I101" s="63"/>
      <c r="J101" s="64"/>
      <c r="K101" s="62"/>
      <c r="L101" s="62" t="str">
        <f t="shared" si="3"/>
        <v/>
      </c>
      <c r="M101" s="12"/>
      <c r="N101" s="12"/>
      <c r="O101" s="12"/>
      <c r="P101" s="12"/>
      <c r="Q101" s="12"/>
      <c r="R101" s="12"/>
      <c r="S101" s="12"/>
      <c r="T101" s="12"/>
      <c r="U101" s="12"/>
      <c r="V101" s="65"/>
      <c r="W101" s="44" t="str">
        <f t="shared" si="2"/>
        <v>OK</v>
      </c>
      <c r="X101" s="47" t="str">
        <f t="shared" si="4"/>
        <v/>
      </c>
      <c r="Y101" s="3"/>
      <c r="Z101" s="3"/>
    </row>
    <row r="102" spans="1:26" ht="15.75" hidden="1" customHeight="1" outlineLevel="1" x14ac:dyDescent="0.3">
      <c r="A102" s="3"/>
      <c r="B102" s="150" t="s">
        <v>525</v>
      </c>
      <c r="C102" s="62"/>
      <c r="D102" s="62"/>
      <c r="E102" s="12"/>
      <c r="F102" s="101"/>
      <c r="G102" s="234"/>
      <c r="H102" s="63"/>
      <c r="I102" s="63"/>
      <c r="J102" s="64"/>
      <c r="K102" s="62"/>
      <c r="L102" s="62" t="str">
        <f t="shared" si="3"/>
        <v/>
      </c>
      <c r="M102" s="12"/>
      <c r="N102" s="12"/>
      <c r="O102" s="12"/>
      <c r="P102" s="12"/>
      <c r="Q102" s="12"/>
      <c r="R102" s="12"/>
      <c r="S102" s="12"/>
      <c r="T102" s="12"/>
      <c r="U102" s="12"/>
      <c r="V102" s="65"/>
      <c r="W102" s="44" t="str">
        <f t="shared" si="2"/>
        <v>OK</v>
      </c>
      <c r="X102" s="47" t="str">
        <f t="shared" si="4"/>
        <v/>
      </c>
      <c r="Y102" s="3"/>
      <c r="Z102" s="3"/>
    </row>
    <row r="103" spans="1:26" ht="15.75" hidden="1" customHeight="1" outlineLevel="1" x14ac:dyDescent="0.3">
      <c r="A103" s="3"/>
      <c r="B103" s="10"/>
      <c r="C103" s="62"/>
      <c r="D103" s="62"/>
      <c r="E103" s="12"/>
      <c r="F103" s="12"/>
      <c r="G103" s="67"/>
      <c r="H103" s="63"/>
      <c r="I103" s="63"/>
      <c r="J103" s="64"/>
      <c r="K103" s="62"/>
      <c r="L103" s="62" t="str">
        <f t="shared" si="3"/>
        <v/>
      </c>
      <c r="M103" s="12"/>
      <c r="N103" s="12"/>
      <c r="O103" s="12"/>
      <c r="P103" s="12"/>
      <c r="Q103" s="12"/>
      <c r="R103" s="12"/>
      <c r="S103" s="12"/>
      <c r="T103" s="12"/>
      <c r="U103" s="12"/>
      <c r="V103" s="65"/>
      <c r="W103" s="44" t="str">
        <f t="shared" si="2"/>
        <v>OK</v>
      </c>
      <c r="X103" s="47" t="str">
        <f t="shared" si="4"/>
        <v/>
      </c>
      <c r="Y103" s="3"/>
      <c r="Z103" s="3"/>
    </row>
    <row r="104" spans="1:26" ht="15.75" hidden="1" customHeight="1" outlineLevel="1" x14ac:dyDescent="0.3">
      <c r="A104" s="3"/>
      <c r="B104" s="10"/>
      <c r="C104" s="62"/>
      <c r="D104" s="62"/>
      <c r="E104" s="12"/>
      <c r="F104" s="12"/>
      <c r="G104" s="67"/>
      <c r="H104" s="63"/>
      <c r="I104" s="63"/>
      <c r="J104" s="64"/>
      <c r="K104" s="62"/>
      <c r="L104" s="62" t="str">
        <f t="shared" si="3"/>
        <v/>
      </c>
      <c r="M104" s="12"/>
      <c r="N104" s="12"/>
      <c r="O104" s="12"/>
      <c r="P104" s="12"/>
      <c r="Q104" s="12"/>
      <c r="R104" s="12"/>
      <c r="S104" s="12"/>
      <c r="T104" s="12"/>
      <c r="U104" s="12"/>
      <c r="V104" s="62"/>
      <c r="W104" s="44" t="str">
        <f t="shared" si="2"/>
        <v>OK</v>
      </c>
      <c r="X104" s="47" t="str">
        <f t="shared" si="4"/>
        <v/>
      </c>
      <c r="Y104" s="3"/>
      <c r="Z104" s="3"/>
    </row>
    <row r="105" spans="1:26" ht="15.75" hidden="1" customHeight="1" outlineLevel="1" x14ac:dyDescent="0.3">
      <c r="A105" s="3"/>
      <c r="B105" s="10"/>
      <c r="C105" s="62"/>
      <c r="D105" s="62"/>
      <c r="E105" s="12"/>
      <c r="F105" s="12"/>
      <c r="G105" s="67"/>
      <c r="H105" s="63"/>
      <c r="I105" s="63"/>
      <c r="J105" s="64"/>
      <c r="K105" s="62"/>
      <c r="L105" s="62" t="str">
        <f t="shared" si="3"/>
        <v/>
      </c>
      <c r="M105" s="12"/>
      <c r="N105" s="12"/>
      <c r="O105" s="12"/>
      <c r="P105" s="12"/>
      <c r="Q105" s="12"/>
      <c r="R105" s="12"/>
      <c r="S105" s="12"/>
      <c r="T105" s="12"/>
      <c r="U105" s="12"/>
      <c r="V105" s="62"/>
      <c r="W105" s="44" t="str">
        <f t="shared" si="2"/>
        <v>OK</v>
      </c>
      <c r="X105" s="47" t="str">
        <f t="shared" si="4"/>
        <v/>
      </c>
      <c r="Y105" s="3"/>
      <c r="Z105" s="3"/>
    </row>
    <row r="106" spans="1:26" ht="15.75" hidden="1" customHeight="1" outlineLevel="1" x14ac:dyDescent="0.3">
      <c r="A106" s="3"/>
      <c r="B106" s="10"/>
      <c r="C106" s="62"/>
      <c r="D106" s="62"/>
      <c r="E106" s="12"/>
      <c r="F106" s="12"/>
      <c r="G106" s="67"/>
      <c r="H106" s="63"/>
      <c r="I106" s="63"/>
      <c r="J106" s="64"/>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5.75" hidden="1" customHeight="1" outlineLevel="1" x14ac:dyDescent="0.3">
      <c r="A107" s="3"/>
      <c r="B107" s="10"/>
      <c r="C107" s="62"/>
      <c r="D107" s="62"/>
      <c r="E107" s="12"/>
      <c r="F107" s="12"/>
      <c r="G107" s="67"/>
      <c r="H107" s="63"/>
      <c r="I107" s="63"/>
      <c r="J107" s="64" t="s">
        <v>96</v>
      </c>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5.75" hidden="1" customHeight="1" outlineLevel="1" x14ac:dyDescent="0.3">
      <c r="A108" s="3"/>
      <c r="B108" s="10"/>
      <c r="C108" s="62"/>
      <c r="D108" s="62"/>
      <c r="E108" s="12"/>
      <c r="F108" s="12"/>
      <c r="G108" s="67"/>
      <c r="H108" s="63"/>
      <c r="I108" s="63"/>
      <c r="J108" s="64" t="s">
        <v>96</v>
      </c>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5.75" hidden="1" customHeight="1" outlineLevel="1" x14ac:dyDescent="0.3">
      <c r="A109" s="3"/>
      <c r="B109" s="10"/>
      <c r="C109" s="62"/>
      <c r="D109" s="62"/>
      <c r="E109" s="12"/>
      <c r="F109" s="12"/>
      <c r="G109" s="67"/>
      <c r="H109" s="63"/>
      <c r="I109" s="63"/>
      <c r="J109" s="64" t="s">
        <v>96</v>
      </c>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5.75" hidden="1" customHeight="1" outlineLevel="1" x14ac:dyDescent="0.3">
      <c r="A110" s="3"/>
      <c r="B110" s="10"/>
      <c r="C110" s="62"/>
      <c r="D110" s="62"/>
      <c r="E110" s="12"/>
      <c r="F110" s="12"/>
      <c r="G110" s="67"/>
      <c r="H110" s="63"/>
      <c r="I110" s="63"/>
      <c r="J110" s="64" t="s">
        <v>96</v>
      </c>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5.75" hidden="1" customHeight="1" outlineLevel="1" x14ac:dyDescent="0.3">
      <c r="A111" s="3"/>
      <c r="B111" s="10"/>
      <c r="C111" s="62"/>
      <c r="D111" s="62"/>
      <c r="E111" s="12"/>
      <c r="F111" s="12"/>
      <c r="G111" s="67"/>
      <c r="H111" s="63"/>
      <c r="I111" s="63"/>
      <c r="J111" s="64" t="s">
        <v>96</v>
      </c>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5.75" hidden="1" customHeight="1" outlineLevel="1" x14ac:dyDescent="0.3">
      <c r="A112" s="3"/>
      <c r="B112" s="10"/>
      <c r="C112" s="62"/>
      <c r="D112" s="62"/>
      <c r="E112" s="12"/>
      <c r="F112" s="12"/>
      <c r="G112" s="67"/>
      <c r="H112" s="63"/>
      <c r="I112" s="63"/>
      <c r="J112" s="64" t="s">
        <v>96</v>
      </c>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5.75" hidden="1" customHeight="1" outlineLevel="1" x14ac:dyDescent="0.3">
      <c r="A113" s="3"/>
      <c r="B113" s="10"/>
      <c r="C113" s="62"/>
      <c r="D113" s="62"/>
      <c r="E113" s="12"/>
      <c r="F113" s="12"/>
      <c r="G113" s="67"/>
      <c r="H113" s="63"/>
      <c r="I113" s="63"/>
      <c r="J113" s="64" t="s">
        <v>96</v>
      </c>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5.75" hidden="1" customHeight="1" outlineLevel="1" x14ac:dyDescent="0.3">
      <c r="A114" s="3"/>
      <c r="B114" s="10"/>
      <c r="C114" s="62"/>
      <c r="D114" s="62"/>
      <c r="E114" s="12"/>
      <c r="F114" s="12"/>
      <c r="G114" s="67"/>
      <c r="H114" s="63"/>
      <c r="I114" s="63"/>
      <c r="J114" s="64" t="s">
        <v>96</v>
      </c>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5.75" hidden="1" customHeight="1" outlineLevel="1" x14ac:dyDescent="0.3">
      <c r="A115" s="3"/>
      <c r="B115" s="10"/>
      <c r="C115" s="62"/>
      <c r="D115" s="62"/>
      <c r="E115" s="12"/>
      <c r="F115" s="12"/>
      <c r="G115" s="67"/>
      <c r="H115" s="63"/>
      <c r="I115" s="63"/>
      <c r="J115" s="64" t="s">
        <v>96</v>
      </c>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5.75" hidden="1" customHeight="1" outlineLevel="1" x14ac:dyDescent="0.3">
      <c r="A116" s="3"/>
      <c r="B116" s="10"/>
      <c r="C116" s="62"/>
      <c r="D116" s="62"/>
      <c r="E116" s="12"/>
      <c r="F116" s="12"/>
      <c r="G116" s="67"/>
      <c r="H116" s="63"/>
      <c r="I116" s="63"/>
      <c r="J116" s="64" t="s">
        <v>96</v>
      </c>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5.75" hidden="1" customHeight="1" outlineLevel="1" x14ac:dyDescent="0.3">
      <c r="A117" s="3"/>
      <c r="B117" s="10"/>
      <c r="C117" s="62"/>
      <c r="D117" s="62"/>
      <c r="E117" s="12"/>
      <c r="F117" s="12"/>
      <c r="G117" s="67"/>
      <c r="H117" s="63"/>
      <c r="I117" s="63"/>
      <c r="J117" s="64" t="s">
        <v>96</v>
      </c>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5.75" hidden="1" customHeight="1" outlineLevel="1" x14ac:dyDescent="0.3">
      <c r="A118" s="3"/>
      <c r="B118" s="10"/>
      <c r="C118" s="62"/>
      <c r="D118" s="62"/>
      <c r="E118" s="12"/>
      <c r="F118" s="12"/>
      <c r="G118" s="67"/>
      <c r="H118" s="63"/>
      <c r="I118" s="63"/>
      <c r="J118" s="64" t="s">
        <v>96</v>
      </c>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5.75" hidden="1" customHeight="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5.75" hidden="1" customHeight="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5.75" hidden="1" customHeight="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5.75" hidden="1" customHeight="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5.75" hidden="1" customHeight="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5.75" hidden="1" customHeight="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row>
    <row r="125" spans="1:26" ht="15.75" hidden="1" customHeight="1" outlineLevel="1" x14ac:dyDescent="0.3">
      <c r="A125" s="3"/>
      <c r="B125" s="10"/>
      <c r="C125" s="62"/>
      <c r="D125" s="62"/>
      <c r="E125" s="12"/>
      <c r="F125" s="12"/>
      <c r="G125" s="67"/>
      <c r="H125" s="63"/>
      <c r="I125" s="63"/>
      <c r="J125" s="64"/>
      <c r="K125" s="62"/>
      <c r="L125" s="62" t="str">
        <f t="shared" si="3"/>
        <v/>
      </c>
      <c r="M125" s="12"/>
      <c r="N125" s="12"/>
      <c r="O125" s="12"/>
      <c r="P125" s="12"/>
      <c r="Q125" s="12"/>
      <c r="R125" s="12"/>
      <c r="S125" s="12"/>
      <c r="T125" s="12"/>
      <c r="U125" s="12"/>
      <c r="V125" s="62"/>
      <c r="W125" s="44" t="str">
        <f t="shared" si="2"/>
        <v>OK</v>
      </c>
      <c r="X125" s="47" t="str">
        <f t="shared" si="4"/>
        <v/>
      </c>
      <c r="Y125" s="3"/>
      <c r="Z125" s="3"/>
    </row>
    <row r="126" spans="1:26" ht="19.5" customHeight="1" collapsed="1" x14ac:dyDescent="0.3">
      <c r="A126" s="3"/>
      <c r="B126" s="73" t="s">
        <v>62</v>
      </c>
      <c r="C126" s="56" t="s">
        <v>43</v>
      </c>
      <c r="D126" s="56" t="s">
        <v>43</v>
      </c>
      <c r="E126" s="57">
        <f t="shared" ref="E126:F126" si="5">SUM(E127,E130,,E134,E139,E146)</f>
        <v>0</v>
      </c>
      <c r="F126" s="57">
        <f t="shared" si="5"/>
        <v>0</v>
      </c>
      <c r="G126" s="58" t="s">
        <v>43</v>
      </c>
      <c r="H126" s="74"/>
      <c r="I126" s="74"/>
      <c r="J126" s="3"/>
      <c r="K126" s="3"/>
      <c r="L126" s="3"/>
      <c r="M126" s="3"/>
      <c r="N126" s="3"/>
      <c r="O126" s="3"/>
      <c r="P126" s="3"/>
      <c r="Q126" s="3"/>
      <c r="R126" s="3"/>
      <c r="S126" s="3"/>
      <c r="T126" s="3"/>
      <c r="U126" s="3"/>
      <c r="V126" s="3"/>
      <c r="W126" s="44"/>
      <c r="X126" s="41"/>
      <c r="Y126" s="3"/>
      <c r="Z126" s="3"/>
    </row>
    <row r="127" spans="1:26" ht="15.75" hidden="1" customHeight="1" outlineLevel="1" x14ac:dyDescent="0.3">
      <c r="A127" s="3"/>
      <c r="B127" s="75" t="s">
        <v>230</v>
      </c>
      <c r="C127" s="76" t="s">
        <v>43</v>
      </c>
      <c r="D127" s="76" t="s">
        <v>43</v>
      </c>
      <c r="E127" s="77">
        <f>SUM(E128:E129)</f>
        <v>0</v>
      </c>
      <c r="F127" s="77">
        <f>SUMIF(D128:D129,"OK",F128:F129)</f>
        <v>0</v>
      </c>
      <c r="G127" s="78" t="s">
        <v>43</v>
      </c>
      <c r="H127" s="79"/>
      <c r="I127" s="79"/>
      <c r="J127" s="3"/>
      <c r="K127" s="3"/>
      <c r="L127" s="3"/>
      <c r="M127" s="3"/>
      <c r="N127" s="3"/>
      <c r="O127" s="3"/>
      <c r="P127" s="3"/>
      <c r="Q127" s="3"/>
      <c r="R127" s="3"/>
      <c r="S127" s="3"/>
      <c r="T127" s="3"/>
      <c r="U127" s="3"/>
      <c r="V127" s="3"/>
      <c r="W127" s="44"/>
      <c r="X127" s="41"/>
      <c r="Y127" s="3"/>
      <c r="Z127" s="3"/>
    </row>
    <row r="128" spans="1:26" ht="15.75" hidden="1" customHeight="1" outlineLevel="1" x14ac:dyDescent="0.3">
      <c r="A128" s="3"/>
      <c r="B128" s="10" t="s">
        <v>231</v>
      </c>
      <c r="C128" s="62"/>
      <c r="D128" s="62"/>
      <c r="E128" s="12">
        <v>0</v>
      </c>
      <c r="F128" s="12">
        <v>0</v>
      </c>
      <c r="G128" s="67"/>
      <c r="H128" s="63" t="s">
        <v>37</v>
      </c>
      <c r="I128" s="63"/>
      <c r="J128" s="3"/>
      <c r="K128" s="3"/>
      <c r="L128" s="3"/>
      <c r="M128" s="3"/>
      <c r="N128" s="3"/>
      <c r="O128" s="3"/>
      <c r="P128" s="3"/>
      <c r="Q128" s="3"/>
      <c r="R128" s="3"/>
      <c r="S128" s="3"/>
      <c r="T128" s="3"/>
      <c r="U128" s="3"/>
      <c r="V128" s="3"/>
      <c r="W128" s="44"/>
      <c r="X128" s="41"/>
      <c r="Y128" s="3"/>
      <c r="Z128" s="3"/>
    </row>
    <row r="129" spans="1:26" ht="15.75" hidden="1" customHeight="1" outlineLevel="1" x14ac:dyDescent="0.3">
      <c r="A129" s="3"/>
      <c r="B129" s="10" t="s">
        <v>61</v>
      </c>
      <c r="C129" s="62"/>
      <c r="D129" s="62"/>
      <c r="E129" s="12">
        <v>0</v>
      </c>
      <c r="F129" s="12">
        <v>0</v>
      </c>
      <c r="G129" s="67"/>
      <c r="H129" s="63"/>
      <c r="I129" s="63"/>
      <c r="J129" s="3"/>
      <c r="K129" s="3"/>
      <c r="L129" s="3"/>
      <c r="M129" s="3"/>
      <c r="N129" s="3"/>
      <c r="O129" s="3"/>
      <c r="P129" s="3"/>
      <c r="Q129" s="3"/>
      <c r="R129" s="3"/>
      <c r="S129" s="3"/>
      <c r="T129" s="3"/>
      <c r="U129" s="3"/>
      <c r="V129" s="3"/>
      <c r="W129" s="44"/>
      <c r="X129" s="41"/>
      <c r="Y129" s="3"/>
      <c r="Z129" s="3"/>
    </row>
    <row r="130" spans="1:26" ht="15.75" hidden="1" customHeight="1" outlineLevel="1" x14ac:dyDescent="0.3">
      <c r="A130" s="3"/>
      <c r="B130" s="75" t="s">
        <v>232</v>
      </c>
      <c r="C130" s="76" t="s">
        <v>43</v>
      </c>
      <c r="D130" s="76" t="s">
        <v>43</v>
      </c>
      <c r="E130" s="77">
        <f>SUM(E131:E133)</f>
        <v>0</v>
      </c>
      <c r="F130" s="77">
        <f>SUMIF(D131:D133,"OK",F131:F133)</f>
        <v>0</v>
      </c>
      <c r="G130" s="78" t="s">
        <v>43</v>
      </c>
      <c r="H130" s="79"/>
      <c r="I130" s="79"/>
      <c r="J130" s="3"/>
      <c r="K130" s="3"/>
      <c r="L130" s="3"/>
      <c r="M130" s="3"/>
      <c r="N130" s="3"/>
      <c r="O130" s="3"/>
      <c r="P130" s="3"/>
      <c r="Q130" s="3"/>
      <c r="R130" s="3"/>
      <c r="S130" s="3"/>
      <c r="T130" s="3"/>
      <c r="U130" s="3"/>
      <c r="V130" s="3"/>
      <c r="W130" s="44"/>
      <c r="X130" s="41"/>
      <c r="Y130" s="3"/>
      <c r="Z130" s="3"/>
    </row>
    <row r="131" spans="1:26" ht="15.75" hidden="1" customHeight="1" outlineLevel="1" x14ac:dyDescent="0.3">
      <c r="A131" s="3"/>
      <c r="B131" s="10" t="s">
        <v>715</v>
      </c>
      <c r="C131" s="62"/>
      <c r="D131" s="62"/>
      <c r="E131" s="12">
        <v>0</v>
      </c>
      <c r="F131" s="12">
        <v>0</v>
      </c>
      <c r="G131" s="69"/>
      <c r="H131" s="63"/>
      <c r="I131" s="63"/>
      <c r="J131" s="3"/>
      <c r="K131" s="3"/>
      <c r="L131" s="3"/>
      <c r="M131" s="3"/>
      <c r="N131" s="3"/>
      <c r="O131" s="3"/>
      <c r="P131" s="3"/>
      <c r="Q131" s="3"/>
      <c r="R131" s="3"/>
      <c r="S131" s="3"/>
      <c r="T131" s="3"/>
      <c r="U131" s="3"/>
      <c r="V131" s="3"/>
      <c r="W131" s="44"/>
      <c r="X131" s="41"/>
      <c r="Y131" s="3"/>
      <c r="Z131" s="3"/>
    </row>
    <row r="132" spans="1:26" ht="15.75" hidden="1" customHeight="1" outlineLevel="1" x14ac:dyDescent="0.3">
      <c r="A132" s="3"/>
      <c r="B132" s="10" t="s">
        <v>529</v>
      </c>
      <c r="C132" s="62"/>
      <c r="D132" s="62"/>
      <c r="E132" s="12">
        <v>0</v>
      </c>
      <c r="F132" s="12">
        <v>0</v>
      </c>
      <c r="G132" s="70"/>
      <c r="H132" s="63"/>
      <c r="I132" s="63"/>
      <c r="J132" s="3"/>
      <c r="K132" s="3"/>
      <c r="L132" s="3"/>
      <c r="M132" s="3"/>
      <c r="N132" s="3"/>
      <c r="O132" s="3"/>
      <c r="P132" s="3"/>
      <c r="Q132" s="3"/>
      <c r="R132" s="3"/>
      <c r="S132" s="3"/>
      <c r="T132" s="3"/>
      <c r="U132" s="3"/>
      <c r="V132" s="3"/>
      <c r="W132" s="44"/>
      <c r="X132" s="41"/>
      <c r="Y132" s="3"/>
      <c r="Z132" s="3"/>
    </row>
    <row r="133" spans="1:26" ht="15.75" hidden="1" customHeight="1" outlineLevel="1" x14ac:dyDescent="0.3">
      <c r="A133" s="3"/>
      <c r="B133" s="10" t="s">
        <v>532</v>
      </c>
      <c r="C133" s="62"/>
      <c r="D133" s="62"/>
      <c r="E133" s="12">
        <v>0</v>
      </c>
      <c r="F133" s="12">
        <v>0</v>
      </c>
      <c r="G133" s="69"/>
      <c r="H133" s="63"/>
      <c r="I133" s="63"/>
      <c r="J133" s="3"/>
      <c r="K133" s="3"/>
      <c r="L133" s="3"/>
      <c r="M133" s="3"/>
      <c r="N133" s="3"/>
      <c r="O133" s="3"/>
      <c r="P133" s="3"/>
      <c r="Q133" s="3"/>
      <c r="R133" s="3"/>
      <c r="S133" s="3"/>
      <c r="T133" s="3"/>
      <c r="U133" s="3"/>
      <c r="V133" s="3"/>
      <c r="W133" s="44"/>
      <c r="X133" s="41"/>
      <c r="Y133" s="3"/>
      <c r="Z133" s="3"/>
    </row>
    <row r="134" spans="1:26" ht="15.75" hidden="1" customHeight="1" outlineLevel="1" x14ac:dyDescent="0.3">
      <c r="A134" s="3"/>
      <c r="B134" s="75" t="s">
        <v>651</v>
      </c>
      <c r="C134" s="76" t="s">
        <v>43</v>
      </c>
      <c r="D134" s="76" t="s">
        <v>43</v>
      </c>
      <c r="E134" s="77">
        <f>SUM(E135:E138)</f>
        <v>0</v>
      </c>
      <c r="F134" s="77">
        <f>SUMIF(D135:D138,"OK",F135:F138)</f>
        <v>0</v>
      </c>
      <c r="G134" s="78" t="s">
        <v>43</v>
      </c>
      <c r="H134" s="79"/>
      <c r="I134" s="79"/>
      <c r="J134" s="3"/>
      <c r="K134" s="3"/>
      <c r="L134" s="3"/>
      <c r="M134" s="3"/>
      <c r="N134" s="3"/>
      <c r="O134" s="3"/>
      <c r="P134" s="3"/>
      <c r="Q134" s="3"/>
      <c r="R134" s="3"/>
      <c r="S134" s="3"/>
      <c r="T134" s="3"/>
      <c r="U134" s="3"/>
      <c r="V134" s="3"/>
      <c r="W134" s="44"/>
      <c r="X134" s="41"/>
      <c r="Y134" s="3"/>
      <c r="Z134" s="3"/>
    </row>
    <row r="135" spans="1:26" ht="15.75" hidden="1" customHeight="1" outlineLevel="1" x14ac:dyDescent="0.3">
      <c r="A135" s="3"/>
      <c r="B135" s="10" t="s">
        <v>715</v>
      </c>
      <c r="C135" s="62"/>
      <c r="D135" s="62"/>
      <c r="E135" s="12">
        <v>0</v>
      </c>
      <c r="F135" s="12">
        <v>0</v>
      </c>
      <c r="G135" s="69"/>
      <c r="H135" s="63" t="s">
        <v>36</v>
      </c>
      <c r="I135" s="63"/>
      <c r="J135" s="3"/>
      <c r="K135" s="3"/>
      <c r="L135" s="3"/>
      <c r="M135" s="3"/>
      <c r="N135" s="3"/>
      <c r="O135" s="3"/>
      <c r="P135" s="3"/>
      <c r="Q135" s="3"/>
      <c r="R135" s="3"/>
      <c r="S135" s="3"/>
      <c r="T135" s="3"/>
      <c r="U135" s="3"/>
      <c r="V135" s="3"/>
      <c r="W135" s="44"/>
      <c r="X135" s="41"/>
      <c r="Y135" s="3"/>
      <c r="Z135" s="3"/>
    </row>
    <row r="136" spans="1:26" ht="15.75" hidden="1" customHeight="1" outlineLevel="1" x14ac:dyDescent="0.3">
      <c r="A136" s="3"/>
      <c r="B136" s="10" t="s">
        <v>531</v>
      </c>
      <c r="C136" s="62"/>
      <c r="D136" s="62"/>
      <c r="E136" s="12">
        <v>0</v>
      </c>
      <c r="F136" s="12">
        <v>0</v>
      </c>
      <c r="G136" s="70"/>
      <c r="H136" s="63"/>
      <c r="I136" s="63"/>
      <c r="J136" s="3"/>
      <c r="K136" s="3"/>
      <c r="L136" s="3"/>
      <c r="M136" s="3"/>
      <c r="N136" s="3"/>
      <c r="O136" s="3"/>
      <c r="P136" s="3"/>
      <c r="Q136" s="3"/>
      <c r="R136" s="3"/>
      <c r="S136" s="3"/>
      <c r="T136" s="3"/>
      <c r="U136" s="3"/>
      <c r="V136" s="3"/>
      <c r="W136" s="44"/>
      <c r="X136" s="41"/>
      <c r="Y136" s="3"/>
      <c r="Z136" s="3"/>
    </row>
    <row r="137" spans="1:26" ht="15.75" hidden="1" customHeight="1" outlineLevel="1" x14ac:dyDescent="0.3">
      <c r="A137" s="3"/>
      <c r="B137" s="10" t="s">
        <v>532</v>
      </c>
      <c r="C137" s="62"/>
      <c r="D137" s="62"/>
      <c r="E137" s="12">
        <v>0</v>
      </c>
      <c r="F137" s="12">
        <v>0</v>
      </c>
      <c r="G137" s="69"/>
      <c r="H137" s="63"/>
      <c r="I137" s="63"/>
      <c r="J137" s="3"/>
      <c r="K137" s="3"/>
      <c r="L137" s="3"/>
      <c r="M137" s="3"/>
      <c r="N137" s="3"/>
      <c r="O137" s="3"/>
      <c r="P137" s="3"/>
      <c r="Q137" s="3"/>
      <c r="R137" s="3"/>
      <c r="S137" s="3"/>
      <c r="T137" s="3"/>
      <c r="U137" s="3"/>
      <c r="V137" s="3"/>
      <c r="W137" s="44"/>
      <c r="X137" s="41"/>
      <c r="Y137" s="3"/>
      <c r="Z137" s="3"/>
    </row>
    <row r="138" spans="1:26" ht="15.75" hidden="1" customHeight="1" outlineLevel="1" x14ac:dyDescent="0.3">
      <c r="A138" s="3"/>
      <c r="B138" s="10" t="s">
        <v>529</v>
      </c>
      <c r="C138" s="62"/>
      <c r="D138" s="62"/>
      <c r="E138" s="12">
        <v>0</v>
      </c>
      <c r="F138" s="12">
        <v>0</v>
      </c>
      <c r="G138" s="69"/>
      <c r="H138" s="63"/>
      <c r="I138" s="63"/>
      <c r="J138" s="3"/>
      <c r="K138" s="3"/>
      <c r="L138" s="3"/>
      <c r="M138" s="3"/>
      <c r="N138" s="3"/>
      <c r="O138" s="3"/>
      <c r="P138" s="3"/>
      <c r="Q138" s="3"/>
      <c r="R138" s="3"/>
      <c r="S138" s="3"/>
      <c r="T138" s="3"/>
      <c r="U138" s="3"/>
      <c r="V138" s="3"/>
      <c r="W138" s="44"/>
      <c r="X138" s="41"/>
      <c r="Y138" s="3"/>
      <c r="Z138" s="3"/>
    </row>
    <row r="139" spans="1:26" ht="15.75" hidden="1" customHeight="1" outlineLevel="1" x14ac:dyDescent="0.3">
      <c r="A139" s="3"/>
      <c r="B139" s="75" t="s">
        <v>901</v>
      </c>
      <c r="C139" s="76" t="s">
        <v>43</v>
      </c>
      <c r="D139" s="76" t="s">
        <v>43</v>
      </c>
      <c r="E139" s="77">
        <f>SUM(E140:E145)</f>
        <v>0</v>
      </c>
      <c r="F139" s="77">
        <f>SUMIF(D140:D145,"OK",F140:F145)</f>
        <v>0</v>
      </c>
      <c r="G139" s="78" t="s">
        <v>43</v>
      </c>
      <c r="H139" s="79"/>
      <c r="I139" s="79"/>
      <c r="J139" s="3"/>
      <c r="K139" s="3"/>
      <c r="L139" s="3"/>
      <c r="M139" s="3"/>
      <c r="N139" s="3"/>
      <c r="O139" s="3"/>
      <c r="P139" s="3"/>
      <c r="Q139" s="3"/>
      <c r="R139" s="3"/>
      <c r="S139" s="3"/>
      <c r="T139" s="3"/>
      <c r="U139" s="3"/>
      <c r="V139" s="3"/>
      <c r="W139" s="44"/>
      <c r="X139" s="41"/>
      <c r="Y139" s="3"/>
      <c r="Z139" s="3"/>
    </row>
    <row r="140" spans="1:26" ht="15.75" hidden="1" customHeight="1" outlineLevel="1" x14ac:dyDescent="0.3">
      <c r="A140" s="3"/>
      <c r="B140" s="10" t="s">
        <v>1036</v>
      </c>
      <c r="C140" s="62"/>
      <c r="D140" s="62"/>
      <c r="E140" s="12">
        <v>0</v>
      </c>
      <c r="F140" s="12">
        <v>0</v>
      </c>
      <c r="G140" s="67"/>
      <c r="H140" s="63"/>
      <c r="I140" s="63"/>
      <c r="J140" s="3"/>
      <c r="K140" s="3"/>
      <c r="L140" s="3"/>
      <c r="M140" s="3"/>
      <c r="N140" s="3"/>
      <c r="O140" s="3"/>
      <c r="P140" s="3"/>
      <c r="Q140" s="3"/>
      <c r="R140" s="3"/>
      <c r="S140" s="3"/>
      <c r="T140" s="3"/>
      <c r="U140" s="3"/>
      <c r="V140" s="3"/>
      <c r="W140" s="44"/>
      <c r="X140" s="41"/>
      <c r="Y140" s="3"/>
      <c r="Z140" s="3"/>
    </row>
    <row r="141" spans="1:26" ht="15.75" hidden="1" customHeight="1" outlineLevel="1" x14ac:dyDescent="0.3">
      <c r="A141" s="3"/>
      <c r="B141" s="10" t="s">
        <v>904</v>
      </c>
      <c r="C141" s="62"/>
      <c r="D141" s="62"/>
      <c r="E141" s="12">
        <v>0</v>
      </c>
      <c r="F141" s="12">
        <v>0</v>
      </c>
      <c r="G141" s="67"/>
      <c r="H141" s="63"/>
      <c r="I141" s="63"/>
      <c r="J141" s="3"/>
      <c r="K141" s="3"/>
      <c r="L141" s="3"/>
      <c r="M141" s="3"/>
      <c r="N141" s="3"/>
      <c r="O141" s="3"/>
      <c r="P141" s="3"/>
      <c r="Q141" s="3"/>
      <c r="R141" s="3"/>
      <c r="S141" s="3"/>
      <c r="T141" s="3"/>
      <c r="U141" s="3"/>
      <c r="V141" s="3"/>
      <c r="W141" s="44"/>
      <c r="X141" s="41"/>
      <c r="Y141" s="3"/>
      <c r="Z141" s="3"/>
    </row>
    <row r="142" spans="1:26" ht="15.75" hidden="1" customHeight="1" outlineLevel="1" x14ac:dyDescent="0.3">
      <c r="A142" s="3"/>
      <c r="B142" s="10" t="s">
        <v>905</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row>
    <row r="143" spans="1:26" ht="15.75" hidden="1" customHeight="1" outlineLevel="1" x14ac:dyDescent="0.3">
      <c r="A143" s="3"/>
      <c r="B143" s="10" t="s">
        <v>1040</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5.75" hidden="1" customHeight="1" outlineLevel="1" x14ac:dyDescent="0.3">
      <c r="A144" s="3"/>
      <c r="B144" s="10" t="s">
        <v>907</v>
      </c>
      <c r="C144" s="62"/>
      <c r="D144" s="62"/>
      <c r="E144" s="12">
        <v>0</v>
      </c>
      <c r="F144" s="12">
        <v>0</v>
      </c>
      <c r="G144" s="67"/>
      <c r="H144" s="63"/>
      <c r="I144" s="63"/>
      <c r="J144" s="3"/>
      <c r="K144" s="3"/>
      <c r="L144" s="3"/>
      <c r="M144" s="3"/>
      <c r="N144" s="3"/>
      <c r="O144" s="3"/>
      <c r="P144" s="3"/>
      <c r="Q144" s="3"/>
      <c r="R144" s="3"/>
      <c r="S144" s="3"/>
      <c r="T144" s="3"/>
      <c r="U144" s="3"/>
      <c r="V144" s="3"/>
      <c r="W144" s="44"/>
      <c r="X144" s="41"/>
      <c r="Y144" s="3"/>
      <c r="Z144" s="3"/>
    </row>
    <row r="145" spans="1:26" ht="15.75" hidden="1" customHeight="1" outlineLevel="1" x14ac:dyDescent="0.3">
      <c r="A145" s="3"/>
      <c r="B145" s="10" t="s">
        <v>908</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row>
    <row r="146" spans="1:26" ht="15.75" hidden="1" customHeight="1" outlineLevel="1" x14ac:dyDescent="0.3">
      <c r="A146" s="3"/>
      <c r="B146" s="75" t="s">
        <v>689</v>
      </c>
      <c r="C146" s="76" t="s">
        <v>43</v>
      </c>
      <c r="D146" s="76" t="s">
        <v>43</v>
      </c>
      <c r="E146" s="77">
        <f>SUM(E147:E152)</f>
        <v>0</v>
      </c>
      <c r="F146" s="77">
        <f>SUMIF(D147:D153,"OK",F147:F153)</f>
        <v>0</v>
      </c>
      <c r="G146" s="78" t="s">
        <v>43</v>
      </c>
      <c r="H146" s="79"/>
      <c r="I146" s="79"/>
      <c r="J146" s="3"/>
      <c r="K146" s="3"/>
      <c r="L146" s="3"/>
      <c r="M146" s="3"/>
      <c r="N146" s="3"/>
      <c r="O146" s="3"/>
      <c r="P146" s="3"/>
      <c r="Q146" s="3"/>
      <c r="R146" s="3"/>
      <c r="S146" s="3"/>
      <c r="T146" s="3"/>
      <c r="U146" s="3"/>
      <c r="V146" s="3"/>
      <c r="W146" s="44"/>
      <c r="X146" s="41"/>
      <c r="Y146" s="3"/>
      <c r="Z146" s="3"/>
    </row>
    <row r="147" spans="1:26" ht="15.75" hidden="1" customHeight="1" outlineLevel="1" x14ac:dyDescent="0.3">
      <c r="A147" s="3"/>
      <c r="B147" s="10" t="s">
        <v>1517</v>
      </c>
      <c r="C147" s="62"/>
      <c r="D147" s="62"/>
      <c r="E147" s="12">
        <v>0</v>
      </c>
      <c r="F147" s="12">
        <v>0</v>
      </c>
      <c r="G147" s="69"/>
      <c r="H147" s="63"/>
      <c r="I147" s="63"/>
      <c r="J147" s="3"/>
      <c r="K147" s="3"/>
      <c r="L147" s="3"/>
      <c r="M147" s="3"/>
      <c r="N147" s="3"/>
      <c r="O147" s="3"/>
      <c r="P147" s="3"/>
      <c r="Q147" s="3"/>
      <c r="R147" s="3"/>
      <c r="S147" s="3"/>
      <c r="T147" s="3"/>
      <c r="U147" s="3"/>
      <c r="V147" s="3"/>
      <c r="W147" s="44"/>
      <c r="X147" s="41"/>
      <c r="Y147" s="3"/>
      <c r="Z147" s="3"/>
    </row>
    <row r="148" spans="1:26" ht="15.75" hidden="1" customHeight="1" outlineLevel="1" x14ac:dyDescent="0.3">
      <c r="A148" s="3"/>
      <c r="B148" s="10" t="s">
        <v>42</v>
      </c>
      <c r="C148" s="62"/>
      <c r="D148" s="62"/>
      <c r="E148" s="12">
        <v>0</v>
      </c>
      <c r="F148" s="12">
        <v>0</v>
      </c>
      <c r="G148" s="69"/>
      <c r="H148" s="63"/>
      <c r="I148" s="63"/>
      <c r="J148" s="3"/>
      <c r="K148" s="3"/>
      <c r="L148" s="3"/>
      <c r="M148" s="3"/>
      <c r="N148" s="3"/>
      <c r="O148" s="3"/>
      <c r="P148" s="3"/>
      <c r="Q148" s="3"/>
      <c r="R148" s="3"/>
      <c r="S148" s="3"/>
      <c r="T148" s="3"/>
      <c r="U148" s="3"/>
      <c r="V148" s="3"/>
      <c r="W148" s="44"/>
      <c r="X148" s="41"/>
      <c r="Y148" s="3"/>
      <c r="Z148" s="3"/>
    </row>
    <row r="149" spans="1:26" ht="15.75" hidden="1" customHeight="1" outlineLevel="1" x14ac:dyDescent="0.3">
      <c r="A149" s="3"/>
      <c r="B149" s="10" t="s">
        <v>42</v>
      </c>
      <c r="C149" s="62"/>
      <c r="D149" s="62"/>
      <c r="E149" s="12">
        <v>0</v>
      </c>
      <c r="F149" s="12">
        <v>0</v>
      </c>
      <c r="G149" s="69"/>
      <c r="H149" s="63"/>
      <c r="I149" s="63"/>
      <c r="J149" s="3"/>
      <c r="K149" s="3"/>
      <c r="L149" s="3"/>
      <c r="M149" s="3"/>
      <c r="N149" s="3"/>
      <c r="O149" s="3"/>
      <c r="P149" s="3"/>
      <c r="Q149" s="3"/>
      <c r="R149" s="3"/>
      <c r="S149" s="3"/>
      <c r="T149" s="3"/>
      <c r="U149" s="3"/>
      <c r="V149" s="3"/>
      <c r="W149" s="44"/>
      <c r="X149" s="41"/>
      <c r="Y149" s="3"/>
      <c r="Z149" s="3"/>
    </row>
    <row r="150" spans="1:26" ht="15.75" hidden="1" customHeight="1" outlineLevel="1" x14ac:dyDescent="0.3">
      <c r="A150" s="3"/>
      <c r="B150" s="10" t="s">
        <v>42</v>
      </c>
      <c r="C150" s="62"/>
      <c r="D150" s="62"/>
      <c r="E150" s="12">
        <v>0</v>
      </c>
      <c r="F150" s="12">
        <v>0</v>
      </c>
      <c r="G150" s="69"/>
      <c r="H150" s="63"/>
      <c r="I150" s="63"/>
      <c r="J150" s="3"/>
      <c r="K150" s="3"/>
      <c r="L150" s="3"/>
      <c r="M150" s="3"/>
      <c r="N150" s="3"/>
      <c r="O150" s="3"/>
      <c r="P150" s="3"/>
      <c r="Q150" s="3"/>
      <c r="R150" s="3"/>
      <c r="S150" s="3"/>
      <c r="T150" s="3"/>
      <c r="U150" s="3"/>
      <c r="V150" s="3"/>
      <c r="W150" s="44"/>
      <c r="X150" s="41"/>
      <c r="Y150" s="3"/>
      <c r="Z150" s="3"/>
    </row>
    <row r="151" spans="1:26" ht="15.75" hidden="1" customHeight="1" outlineLevel="1" x14ac:dyDescent="0.3">
      <c r="A151" s="3"/>
      <c r="B151" s="10" t="s">
        <v>42</v>
      </c>
      <c r="C151" s="62"/>
      <c r="D151" s="62"/>
      <c r="E151" s="12">
        <v>0</v>
      </c>
      <c r="F151" s="12">
        <v>0</v>
      </c>
      <c r="G151" s="69"/>
      <c r="H151" s="63"/>
      <c r="I151" s="63"/>
      <c r="J151" s="3"/>
      <c r="K151" s="3"/>
      <c r="L151" s="3"/>
      <c r="M151" s="3"/>
      <c r="N151" s="3"/>
      <c r="O151" s="3"/>
      <c r="P151" s="3"/>
      <c r="Q151" s="3"/>
      <c r="R151" s="3"/>
      <c r="S151" s="3"/>
      <c r="T151" s="3"/>
      <c r="U151" s="3"/>
      <c r="V151" s="3"/>
      <c r="W151" s="44"/>
      <c r="X151" s="41"/>
      <c r="Y151" s="3"/>
      <c r="Z151" s="3"/>
    </row>
    <row r="152" spans="1:26" ht="15.75" hidden="1" customHeight="1" outlineLevel="1" x14ac:dyDescent="0.3">
      <c r="A152" s="3"/>
      <c r="B152" s="10" t="s">
        <v>42</v>
      </c>
      <c r="C152" s="62"/>
      <c r="D152" s="62"/>
      <c r="E152" s="12">
        <v>0</v>
      </c>
      <c r="F152" s="12">
        <v>0</v>
      </c>
      <c r="G152" s="69"/>
      <c r="H152" s="63"/>
      <c r="I152" s="63"/>
      <c r="J152" s="127"/>
      <c r="K152" s="3"/>
      <c r="L152" s="3"/>
      <c r="M152" s="3"/>
      <c r="N152" s="3"/>
      <c r="O152" s="3"/>
      <c r="P152" s="3"/>
      <c r="Q152" s="3"/>
      <c r="R152" s="3"/>
      <c r="S152" s="3"/>
      <c r="T152" s="3"/>
      <c r="U152" s="3"/>
      <c r="V152" s="3"/>
      <c r="W152" s="44"/>
      <c r="X152" s="41"/>
      <c r="Y152" s="3"/>
      <c r="Z152" s="3"/>
    </row>
    <row r="153" spans="1:26" ht="15.75" hidden="1" customHeight="1" outlineLevel="1" x14ac:dyDescent="0.3">
      <c r="A153" s="3"/>
      <c r="B153" s="10" t="s">
        <v>42</v>
      </c>
      <c r="C153" s="62"/>
      <c r="D153" s="62"/>
      <c r="E153" s="12">
        <v>0</v>
      </c>
      <c r="F153" s="12">
        <v>0</v>
      </c>
      <c r="G153" s="69"/>
      <c r="H153" s="63"/>
      <c r="I153" s="63"/>
      <c r="J153" s="3"/>
      <c r="K153" s="3"/>
      <c r="L153" s="3"/>
      <c r="M153" s="3"/>
      <c r="N153" s="3"/>
      <c r="O153" s="3"/>
      <c r="P153" s="3"/>
      <c r="Q153" s="3"/>
      <c r="R153" s="3"/>
      <c r="S153" s="3"/>
      <c r="T153" s="3"/>
      <c r="U153" s="3"/>
      <c r="V153" s="3"/>
      <c r="W153" s="44"/>
      <c r="X153" s="41"/>
      <c r="Y153" s="3"/>
      <c r="Z153" s="3"/>
    </row>
    <row r="154" spans="1:26" ht="19.5" customHeight="1" collapsed="1" x14ac:dyDescent="0.3">
      <c r="A154" s="3"/>
      <c r="B154" s="73" t="s">
        <v>239</v>
      </c>
      <c r="C154" s="56" t="s">
        <v>43</v>
      </c>
      <c r="D154" s="56" t="s">
        <v>43</v>
      </c>
      <c r="E154" s="57">
        <f t="shared" ref="E154:F154" si="6">SUM(E155,E160,E165,E169)</f>
        <v>0</v>
      </c>
      <c r="F154" s="57">
        <f t="shared" si="6"/>
        <v>0</v>
      </c>
      <c r="G154" s="58" t="s">
        <v>43</v>
      </c>
      <c r="H154" s="74"/>
      <c r="I154" s="74"/>
      <c r="J154" s="3"/>
      <c r="K154" s="3"/>
      <c r="L154" s="3"/>
      <c r="M154" s="3"/>
      <c r="N154" s="3"/>
      <c r="O154" s="3"/>
      <c r="P154" s="3"/>
      <c r="Q154" s="3"/>
      <c r="R154" s="3"/>
      <c r="S154" s="3"/>
      <c r="T154" s="3"/>
      <c r="U154" s="3"/>
      <c r="V154" s="3"/>
      <c r="W154" s="44"/>
      <c r="X154" s="41"/>
      <c r="Y154" s="3"/>
      <c r="Z154" s="3"/>
    </row>
    <row r="155" spans="1:26" ht="15.75" hidden="1" customHeight="1" outlineLevel="1" x14ac:dyDescent="0.3">
      <c r="A155" s="3"/>
      <c r="B155" s="75" t="s">
        <v>240</v>
      </c>
      <c r="C155" s="76" t="s">
        <v>43</v>
      </c>
      <c r="D155" s="76" t="s">
        <v>43</v>
      </c>
      <c r="E155" s="77">
        <f>SUM(E156:E159)</f>
        <v>0</v>
      </c>
      <c r="F155" s="77">
        <f>SUMIF(D156:D159,"OK",F156:F159)</f>
        <v>0</v>
      </c>
      <c r="G155" s="78" t="s">
        <v>43</v>
      </c>
      <c r="H155" s="79"/>
      <c r="I155" s="79"/>
      <c r="J155" s="3"/>
      <c r="K155" s="3"/>
      <c r="L155" s="3"/>
      <c r="M155" s="3"/>
      <c r="N155" s="3"/>
      <c r="O155" s="3"/>
      <c r="P155" s="3"/>
      <c r="Q155" s="3"/>
      <c r="R155" s="3"/>
      <c r="S155" s="3"/>
      <c r="T155" s="3"/>
      <c r="U155" s="3"/>
      <c r="V155" s="3"/>
      <c r="W155" s="44"/>
      <c r="X155" s="41"/>
      <c r="Y155" s="3"/>
      <c r="Z155" s="3"/>
    </row>
    <row r="156" spans="1:26" ht="15.75" hidden="1" customHeight="1" outlineLevel="1" x14ac:dyDescent="0.3">
      <c r="A156" s="3"/>
      <c r="B156" s="10" t="s">
        <v>241</v>
      </c>
      <c r="C156" s="62"/>
      <c r="D156" s="62"/>
      <c r="E156" s="12">
        <v>0</v>
      </c>
      <c r="F156" s="12">
        <v>0</v>
      </c>
      <c r="G156" s="70"/>
      <c r="H156" s="63" t="s">
        <v>37</v>
      </c>
      <c r="I156" s="63"/>
      <c r="J156" s="3"/>
      <c r="K156" s="3"/>
      <c r="L156" s="3"/>
      <c r="M156" s="3"/>
      <c r="N156" s="3"/>
      <c r="O156" s="3"/>
      <c r="P156" s="3"/>
      <c r="Q156" s="3"/>
      <c r="R156" s="3"/>
      <c r="S156" s="3"/>
      <c r="T156" s="3"/>
      <c r="U156" s="3"/>
      <c r="V156" s="3"/>
      <c r="W156" s="44"/>
      <c r="X156" s="41"/>
      <c r="Y156" s="3"/>
      <c r="Z156" s="3"/>
    </row>
    <row r="157" spans="1:26" ht="15.75" hidden="1" customHeight="1" outlineLevel="1" x14ac:dyDescent="0.3">
      <c r="A157" s="3"/>
      <c r="B157" s="10" t="s">
        <v>242</v>
      </c>
      <c r="C157" s="62"/>
      <c r="D157" s="62"/>
      <c r="E157" s="12">
        <v>0</v>
      </c>
      <c r="F157" s="12">
        <v>0</v>
      </c>
      <c r="G157" s="67"/>
      <c r="H157" s="63" t="s">
        <v>36</v>
      </c>
      <c r="I157" s="63"/>
      <c r="J157" s="3"/>
      <c r="K157" s="3"/>
      <c r="L157" s="3"/>
      <c r="M157" s="3"/>
      <c r="N157" s="3"/>
      <c r="O157" s="3"/>
      <c r="P157" s="3"/>
      <c r="Q157" s="3"/>
      <c r="R157" s="3"/>
      <c r="S157" s="3"/>
      <c r="T157" s="3"/>
      <c r="U157" s="3"/>
      <c r="V157" s="3"/>
      <c r="W157" s="44"/>
      <c r="X157" s="41"/>
      <c r="Y157" s="3"/>
      <c r="Z157" s="3"/>
    </row>
    <row r="158" spans="1:26" ht="15.75" hidden="1" customHeight="1" outlineLevel="1" x14ac:dyDescent="0.3">
      <c r="A158" s="3"/>
      <c r="B158" s="10" t="s">
        <v>243</v>
      </c>
      <c r="C158" s="62"/>
      <c r="D158" s="62"/>
      <c r="E158" s="12">
        <v>0</v>
      </c>
      <c r="F158" s="12">
        <v>0</v>
      </c>
      <c r="G158" s="67"/>
      <c r="H158" s="63" t="s">
        <v>37</v>
      </c>
      <c r="I158" s="63"/>
      <c r="J158" s="3"/>
      <c r="K158" s="3"/>
      <c r="L158" s="3"/>
      <c r="M158" s="3"/>
      <c r="N158" s="3"/>
      <c r="O158" s="3"/>
      <c r="P158" s="3"/>
      <c r="Q158" s="3"/>
      <c r="R158" s="3"/>
      <c r="S158" s="3"/>
      <c r="T158" s="3"/>
      <c r="U158" s="3"/>
      <c r="V158" s="3"/>
      <c r="W158" s="44"/>
      <c r="X158" s="41"/>
      <c r="Y158" s="3"/>
      <c r="Z158" s="3"/>
    </row>
    <row r="159" spans="1:26" ht="15.75" hidden="1" customHeight="1" outlineLevel="1" x14ac:dyDescent="0.3">
      <c r="A159" s="3"/>
      <c r="B159" s="10" t="s">
        <v>244</v>
      </c>
      <c r="C159" s="62"/>
      <c r="D159" s="62"/>
      <c r="E159" s="12">
        <v>0</v>
      </c>
      <c r="F159" s="12">
        <v>0</v>
      </c>
      <c r="G159" s="131"/>
      <c r="H159" s="63" t="s">
        <v>36</v>
      </c>
      <c r="I159" s="63"/>
      <c r="J159" s="3"/>
      <c r="K159" s="3"/>
      <c r="L159" s="3"/>
      <c r="M159" s="3"/>
      <c r="N159" s="3"/>
      <c r="O159" s="3"/>
      <c r="P159" s="3"/>
      <c r="Q159" s="3"/>
      <c r="R159" s="3"/>
      <c r="S159" s="3"/>
      <c r="T159" s="3"/>
      <c r="U159" s="3"/>
      <c r="V159" s="3"/>
      <c r="W159" s="44"/>
      <c r="X159" s="41"/>
      <c r="Y159" s="3"/>
      <c r="Z159" s="3"/>
    </row>
    <row r="160" spans="1:26" ht="15.75" hidden="1" customHeight="1" outlineLevel="1" x14ac:dyDescent="0.3">
      <c r="A160" s="3"/>
      <c r="B160" s="75" t="s">
        <v>245</v>
      </c>
      <c r="C160" s="76" t="s">
        <v>43</v>
      </c>
      <c r="D160" s="76" t="s">
        <v>43</v>
      </c>
      <c r="E160" s="77">
        <f>SUM(E161:E164)</f>
        <v>0</v>
      </c>
      <c r="F160" s="77">
        <f>SUMIF(D161:D164,"OK",F161:F164)</f>
        <v>0</v>
      </c>
      <c r="G160" s="78" t="s">
        <v>43</v>
      </c>
      <c r="H160" s="79"/>
      <c r="I160" s="79"/>
      <c r="J160" s="3"/>
      <c r="K160" s="3"/>
      <c r="L160" s="3"/>
      <c r="M160" s="3"/>
      <c r="N160" s="3"/>
      <c r="O160" s="3"/>
      <c r="P160" s="3"/>
      <c r="Q160" s="3"/>
      <c r="R160" s="3"/>
      <c r="S160" s="3"/>
      <c r="T160" s="3"/>
      <c r="U160" s="3"/>
      <c r="V160" s="3"/>
      <c r="W160" s="44"/>
      <c r="X160" s="41"/>
      <c r="Y160" s="3"/>
      <c r="Z160" s="3"/>
    </row>
    <row r="161" spans="1:26" ht="15.75" hidden="1" customHeight="1" outlineLevel="1" x14ac:dyDescent="0.3">
      <c r="A161" s="3"/>
      <c r="B161" s="10" t="s">
        <v>241</v>
      </c>
      <c r="C161" s="62"/>
      <c r="D161" s="62"/>
      <c r="E161" s="12">
        <v>0</v>
      </c>
      <c r="F161" s="12">
        <v>0</v>
      </c>
      <c r="G161" s="69"/>
      <c r="H161" s="63" t="s">
        <v>37</v>
      </c>
      <c r="I161" s="63"/>
      <c r="J161" s="3"/>
      <c r="K161" s="3"/>
      <c r="L161" s="3"/>
      <c r="M161" s="3"/>
      <c r="N161" s="3"/>
      <c r="O161" s="3"/>
      <c r="P161" s="3"/>
      <c r="Q161" s="3"/>
      <c r="R161" s="3"/>
      <c r="S161" s="3"/>
      <c r="T161" s="3"/>
      <c r="U161" s="3"/>
      <c r="V161" s="3"/>
      <c r="W161" s="44"/>
      <c r="X161" s="41"/>
      <c r="Y161" s="3"/>
      <c r="Z161" s="3"/>
    </row>
    <row r="162" spans="1:26" ht="15.75" hidden="1" customHeight="1" outlineLevel="1" x14ac:dyDescent="0.3">
      <c r="A162" s="3"/>
      <c r="B162" s="10" t="s">
        <v>242</v>
      </c>
      <c r="C162" s="62"/>
      <c r="D162" s="62"/>
      <c r="E162" s="12">
        <v>0</v>
      </c>
      <c r="F162" s="12">
        <v>0</v>
      </c>
      <c r="G162" s="67"/>
      <c r="H162" s="63" t="s">
        <v>36</v>
      </c>
      <c r="I162" s="63"/>
      <c r="J162" s="3"/>
      <c r="K162" s="3"/>
      <c r="L162" s="3"/>
      <c r="M162" s="3"/>
      <c r="N162" s="3"/>
      <c r="O162" s="3"/>
      <c r="P162" s="3"/>
      <c r="Q162" s="3"/>
      <c r="R162" s="3"/>
      <c r="S162" s="3"/>
      <c r="T162" s="3"/>
      <c r="U162" s="3"/>
      <c r="V162" s="3"/>
      <c r="W162" s="44"/>
      <c r="X162" s="41"/>
      <c r="Y162" s="3"/>
      <c r="Z162" s="3"/>
    </row>
    <row r="163" spans="1:26" ht="15.75" hidden="1" customHeight="1" outlineLevel="1" x14ac:dyDescent="0.3">
      <c r="A163" s="3"/>
      <c r="B163" s="10" t="s">
        <v>243</v>
      </c>
      <c r="C163" s="62"/>
      <c r="D163" s="62"/>
      <c r="E163" s="12">
        <v>0</v>
      </c>
      <c r="F163" s="12">
        <v>0</v>
      </c>
      <c r="G163" s="67"/>
      <c r="H163" s="63" t="s">
        <v>37</v>
      </c>
      <c r="I163" s="63"/>
      <c r="J163" s="3"/>
      <c r="K163" s="3"/>
      <c r="L163" s="3"/>
      <c r="M163" s="3"/>
      <c r="N163" s="3"/>
      <c r="O163" s="3"/>
      <c r="P163" s="3"/>
      <c r="Q163" s="3"/>
      <c r="R163" s="3"/>
      <c r="S163" s="3"/>
      <c r="T163" s="3"/>
      <c r="U163" s="3"/>
      <c r="V163" s="3"/>
      <c r="W163" s="44"/>
      <c r="X163" s="41"/>
      <c r="Y163" s="3"/>
      <c r="Z163" s="3"/>
    </row>
    <row r="164" spans="1:26" ht="15.75" hidden="1" customHeight="1" outlineLevel="1" x14ac:dyDescent="0.3">
      <c r="A164" s="3"/>
      <c r="B164" s="10" t="s">
        <v>244</v>
      </c>
      <c r="C164" s="62"/>
      <c r="D164" s="62"/>
      <c r="E164" s="12">
        <v>0</v>
      </c>
      <c r="F164" s="12">
        <v>0</v>
      </c>
      <c r="G164" s="67"/>
      <c r="H164" s="63" t="s">
        <v>36</v>
      </c>
      <c r="I164" s="63"/>
      <c r="J164" s="3"/>
      <c r="K164" s="3"/>
      <c r="L164" s="3"/>
      <c r="M164" s="3"/>
      <c r="N164" s="3"/>
      <c r="O164" s="3"/>
      <c r="P164" s="3"/>
      <c r="Q164" s="3"/>
      <c r="R164" s="3"/>
      <c r="S164" s="3"/>
      <c r="T164" s="3"/>
      <c r="U164" s="3"/>
      <c r="V164" s="3"/>
      <c r="W164" s="44"/>
      <c r="X164" s="41"/>
      <c r="Y164" s="3"/>
      <c r="Z164" s="3"/>
    </row>
    <row r="165" spans="1:26" ht="15.75" hidden="1" customHeight="1" outlineLevel="1" x14ac:dyDescent="0.3">
      <c r="A165" s="3"/>
      <c r="B165" s="75" t="s">
        <v>246</v>
      </c>
      <c r="C165" s="76" t="s">
        <v>43</v>
      </c>
      <c r="D165" s="76" t="s">
        <v>43</v>
      </c>
      <c r="E165" s="77">
        <f>SUM(E166:E168)</f>
        <v>0</v>
      </c>
      <c r="F165" s="77">
        <f>SUMIF(D166:D168,"OK",F166:F168)</f>
        <v>0</v>
      </c>
      <c r="G165" s="78" t="s">
        <v>43</v>
      </c>
      <c r="H165" s="79"/>
      <c r="I165" s="79"/>
      <c r="J165" s="3"/>
      <c r="K165" s="3"/>
      <c r="L165" s="3"/>
      <c r="M165" s="3"/>
      <c r="N165" s="3"/>
      <c r="O165" s="3"/>
      <c r="P165" s="3"/>
      <c r="Q165" s="3"/>
      <c r="R165" s="3"/>
      <c r="S165" s="3"/>
      <c r="T165" s="3"/>
      <c r="U165" s="3"/>
      <c r="V165" s="3"/>
      <c r="W165" s="44"/>
      <c r="X165" s="41"/>
      <c r="Y165" s="3"/>
      <c r="Z165" s="3"/>
    </row>
    <row r="166" spans="1:26" ht="15.75" hidden="1" customHeight="1" outlineLevel="1" x14ac:dyDescent="0.3">
      <c r="A166" s="3"/>
      <c r="B166" s="10" t="s">
        <v>1518</v>
      </c>
      <c r="C166" s="80"/>
      <c r="D166" s="62"/>
      <c r="E166" s="12">
        <v>0</v>
      </c>
      <c r="F166" s="12">
        <v>0</v>
      </c>
      <c r="G166" s="69"/>
      <c r="H166" s="63"/>
      <c r="I166" s="63"/>
      <c r="J166" s="3"/>
      <c r="K166" s="3"/>
      <c r="L166" s="3"/>
      <c r="M166" s="3"/>
      <c r="N166" s="3"/>
      <c r="O166" s="3"/>
      <c r="P166" s="3"/>
      <c r="Q166" s="3"/>
      <c r="R166" s="3"/>
      <c r="S166" s="3"/>
      <c r="T166" s="3"/>
      <c r="U166" s="3"/>
      <c r="V166" s="3"/>
      <c r="W166" s="44"/>
      <c r="X166" s="41"/>
      <c r="Y166" s="3"/>
      <c r="Z166" s="3"/>
    </row>
    <row r="167" spans="1:26" ht="15.75" hidden="1" customHeight="1" outlineLevel="1" x14ac:dyDescent="0.3">
      <c r="A167" s="3"/>
      <c r="B167" s="10" t="s">
        <v>42</v>
      </c>
      <c r="C167" s="80"/>
      <c r="D167" s="62"/>
      <c r="E167" s="12">
        <v>0</v>
      </c>
      <c r="F167" s="12">
        <v>0</v>
      </c>
      <c r="G167" s="69"/>
      <c r="H167" s="63"/>
      <c r="I167" s="63"/>
      <c r="J167" s="3"/>
      <c r="K167" s="3"/>
      <c r="L167" s="3"/>
      <c r="M167" s="3"/>
      <c r="N167" s="3"/>
      <c r="O167" s="3"/>
      <c r="P167" s="3"/>
      <c r="Q167" s="3"/>
      <c r="R167" s="3"/>
      <c r="S167" s="3"/>
      <c r="T167" s="3"/>
      <c r="U167" s="3"/>
      <c r="V167" s="3"/>
      <c r="W167" s="44"/>
      <c r="X167" s="41"/>
      <c r="Y167" s="3"/>
      <c r="Z167" s="3"/>
    </row>
    <row r="168" spans="1:26" ht="15.75" hidden="1" customHeight="1" outlineLevel="1" x14ac:dyDescent="0.3">
      <c r="A168" s="3"/>
      <c r="B168" s="10" t="s">
        <v>42</v>
      </c>
      <c r="C168" s="62"/>
      <c r="D168" s="62"/>
      <c r="E168" s="12">
        <v>0</v>
      </c>
      <c r="F168" s="12">
        <v>0</v>
      </c>
      <c r="G168" s="69"/>
      <c r="H168" s="63"/>
      <c r="I168" s="63"/>
      <c r="J168" s="3"/>
      <c r="K168" s="3"/>
      <c r="L168" s="3"/>
      <c r="M168" s="3"/>
      <c r="N168" s="3"/>
      <c r="O168" s="3"/>
      <c r="P168" s="3"/>
      <c r="Q168" s="3"/>
      <c r="R168" s="3"/>
      <c r="S168" s="3"/>
      <c r="T168" s="3"/>
      <c r="U168" s="3"/>
      <c r="V168" s="3"/>
      <c r="W168" s="44"/>
      <c r="X168" s="41"/>
      <c r="Y168" s="3"/>
      <c r="Z168" s="3"/>
    </row>
    <row r="169" spans="1:26" ht="15.75" hidden="1" customHeight="1" outlineLevel="1" x14ac:dyDescent="0.3">
      <c r="A169" s="3"/>
      <c r="B169" s="75" t="s">
        <v>61</v>
      </c>
      <c r="C169" s="76" t="s">
        <v>43</v>
      </c>
      <c r="D169" s="76" t="s">
        <v>43</v>
      </c>
      <c r="E169" s="77">
        <f>SUM(E170:E183)</f>
        <v>0</v>
      </c>
      <c r="F169" s="77">
        <f>SUMIF(D170:D183,"OK",F170:F183)</f>
        <v>0</v>
      </c>
      <c r="G169" s="78" t="s">
        <v>43</v>
      </c>
      <c r="H169" s="79"/>
      <c r="I169" s="79"/>
      <c r="J169" s="3"/>
      <c r="K169" s="3"/>
      <c r="L169" s="3"/>
      <c r="M169" s="3"/>
      <c r="N169" s="3"/>
      <c r="O169" s="3"/>
      <c r="P169" s="3"/>
      <c r="Q169" s="3"/>
      <c r="R169" s="3"/>
      <c r="S169" s="3"/>
      <c r="T169" s="3"/>
      <c r="U169" s="3"/>
      <c r="V169" s="3"/>
      <c r="W169" s="44"/>
      <c r="X169" s="41"/>
      <c r="Y169" s="3"/>
      <c r="Z169" s="3"/>
    </row>
    <row r="170" spans="1:26" ht="15.75" hidden="1" customHeight="1" outlineLevel="1" x14ac:dyDescent="0.3">
      <c r="A170" s="3"/>
      <c r="B170" s="10" t="s">
        <v>1519</v>
      </c>
      <c r="C170" s="80"/>
      <c r="D170" s="62"/>
      <c r="E170" s="12">
        <v>0</v>
      </c>
      <c r="F170" s="12">
        <v>0</v>
      </c>
      <c r="G170" s="70"/>
      <c r="H170" s="63"/>
      <c r="I170" s="63"/>
      <c r="J170" s="3"/>
      <c r="K170" s="3"/>
      <c r="L170" s="3"/>
      <c r="M170" s="3"/>
      <c r="N170" s="3"/>
      <c r="O170" s="3"/>
      <c r="P170" s="3"/>
      <c r="Q170" s="3"/>
      <c r="R170" s="3"/>
      <c r="S170" s="3"/>
      <c r="T170" s="3"/>
      <c r="U170" s="3"/>
      <c r="V170" s="3"/>
      <c r="W170" s="44"/>
      <c r="X170" s="41"/>
      <c r="Y170" s="3"/>
      <c r="Z170" s="3"/>
    </row>
    <row r="171" spans="1:26" ht="15.75" hidden="1" customHeight="1" outlineLevel="1" x14ac:dyDescent="0.3">
      <c r="A171" s="3"/>
      <c r="B171" s="10" t="s">
        <v>1520</v>
      </c>
      <c r="C171" s="80"/>
      <c r="D171" s="62"/>
      <c r="E171" s="12">
        <v>0</v>
      </c>
      <c r="F171" s="12">
        <v>0</v>
      </c>
      <c r="G171" s="70"/>
      <c r="H171" s="63"/>
      <c r="I171" s="63"/>
      <c r="J171" s="3"/>
      <c r="K171" s="3"/>
      <c r="L171" s="3"/>
      <c r="M171" s="3"/>
      <c r="N171" s="3"/>
      <c r="O171" s="3"/>
      <c r="P171" s="3"/>
      <c r="Q171" s="3"/>
      <c r="R171" s="3"/>
      <c r="S171" s="3"/>
      <c r="T171" s="3"/>
      <c r="U171" s="3"/>
      <c r="V171" s="3"/>
      <c r="W171" s="44"/>
      <c r="X171" s="41"/>
      <c r="Y171" s="3"/>
      <c r="Z171" s="3"/>
    </row>
    <row r="172" spans="1:26" ht="15.75" hidden="1" customHeight="1" outlineLevel="1" x14ac:dyDescent="0.3">
      <c r="A172" s="3"/>
      <c r="B172" s="10" t="s">
        <v>1521</v>
      </c>
      <c r="C172" s="62"/>
      <c r="D172" s="62"/>
      <c r="E172" s="12">
        <v>0</v>
      </c>
      <c r="F172" s="12">
        <v>0</v>
      </c>
      <c r="G172" s="69"/>
      <c r="H172" s="63"/>
      <c r="I172" s="63"/>
      <c r="J172" s="3"/>
      <c r="K172" s="3"/>
      <c r="L172" s="3"/>
      <c r="M172" s="3"/>
      <c r="N172" s="3"/>
      <c r="O172" s="3"/>
      <c r="P172" s="3"/>
      <c r="Q172" s="3"/>
      <c r="R172" s="3"/>
      <c r="S172" s="3"/>
      <c r="T172" s="3"/>
      <c r="U172" s="3"/>
      <c r="V172" s="3"/>
      <c r="W172" s="44"/>
      <c r="X172" s="41"/>
      <c r="Y172" s="3"/>
      <c r="Z172" s="3"/>
    </row>
    <row r="173" spans="1:26" ht="15.75" hidden="1" customHeight="1" outlineLevel="1" x14ac:dyDescent="0.3">
      <c r="A173" s="3"/>
      <c r="B173" s="10" t="s">
        <v>1522</v>
      </c>
      <c r="C173" s="62"/>
      <c r="D173" s="62"/>
      <c r="E173" s="12">
        <v>0</v>
      </c>
      <c r="F173" s="12">
        <v>0</v>
      </c>
      <c r="G173" s="70"/>
      <c r="H173" s="63"/>
      <c r="I173" s="63"/>
      <c r="J173" s="3"/>
      <c r="K173" s="3"/>
      <c r="L173" s="3"/>
      <c r="M173" s="3"/>
      <c r="N173" s="3"/>
      <c r="O173" s="3"/>
      <c r="P173" s="3"/>
      <c r="Q173" s="3"/>
      <c r="R173" s="3"/>
      <c r="S173" s="3"/>
      <c r="T173" s="3"/>
      <c r="U173" s="3"/>
      <c r="V173" s="3"/>
      <c r="W173" s="44"/>
      <c r="X173" s="41"/>
      <c r="Y173" s="3"/>
      <c r="Z173" s="3"/>
    </row>
    <row r="174" spans="1:26" ht="15.75" hidden="1" customHeight="1" outlineLevel="1" x14ac:dyDescent="0.3">
      <c r="A174" s="3"/>
      <c r="B174" s="10" t="s">
        <v>1523</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row>
    <row r="175" spans="1:26" ht="15.75" hidden="1" customHeight="1" outlineLevel="1" x14ac:dyDescent="0.3">
      <c r="A175" s="3"/>
      <c r="B175" s="10" t="s">
        <v>1150</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row>
    <row r="176" spans="1:26" ht="15.75" hidden="1" customHeight="1" outlineLevel="1" x14ac:dyDescent="0.3">
      <c r="A176" s="3"/>
      <c r="B176" s="10" t="s">
        <v>61</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5.75" hidden="1" customHeight="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5.75" hidden="1" customHeight="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row>
    <row r="179" spans="1:26" ht="15.75" hidden="1" customHeight="1" outlineLevel="1" x14ac:dyDescent="0.3">
      <c r="A179" s="3"/>
      <c r="B179" s="10" t="s">
        <v>61</v>
      </c>
      <c r="C179" s="62"/>
      <c r="D179" s="62"/>
      <c r="E179" s="12">
        <v>0</v>
      </c>
      <c r="F179" s="12">
        <v>0</v>
      </c>
      <c r="G179" s="69"/>
      <c r="H179" s="63"/>
      <c r="I179" s="63"/>
      <c r="J179" s="3"/>
      <c r="K179" s="3"/>
      <c r="L179" s="3"/>
      <c r="M179" s="3"/>
      <c r="N179" s="3"/>
      <c r="O179" s="3"/>
      <c r="P179" s="3"/>
      <c r="Q179" s="3"/>
      <c r="R179" s="3"/>
      <c r="S179" s="3"/>
      <c r="T179" s="3"/>
      <c r="U179" s="3"/>
      <c r="V179" s="3"/>
      <c r="W179" s="44"/>
      <c r="X179" s="41"/>
      <c r="Y179" s="3"/>
      <c r="Z179" s="3"/>
    </row>
    <row r="180" spans="1:26" ht="15.75" hidden="1" customHeight="1" outlineLevel="1" x14ac:dyDescent="0.3">
      <c r="A180" s="3"/>
      <c r="B180" s="10" t="s">
        <v>61</v>
      </c>
      <c r="C180" s="62"/>
      <c r="D180" s="62"/>
      <c r="E180" s="12">
        <v>0</v>
      </c>
      <c r="F180" s="12">
        <v>0</v>
      </c>
      <c r="G180" s="69"/>
      <c r="H180" s="63"/>
      <c r="I180" s="63"/>
      <c r="J180" s="3"/>
      <c r="K180" s="3"/>
      <c r="L180" s="3"/>
      <c r="M180" s="3"/>
      <c r="N180" s="3"/>
      <c r="O180" s="3"/>
      <c r="P180" s="3"/>
      <c r="Q180" s="3"/>
      <c r="R180" s="3"/>
      <c r="S180" s="3"/>
      <c r="T180" s="3"/>
      <c r="U180" s="3"/>
      <c r="V180" s="3"/>
      <c r="W180" s="44"/>
      <c r="X180" s="41"/>
      <c r="Y180" s="3"/>
      <c r="Z180" s="3"/>
    </row>
    <row r="181" spans="1:26" ht="15.75" hidden="1" customHeight="1" outlineLevel="1" x14ac:dyDescent="0.3">
      <c r="A181" s="3"/>
      <c r="B181" s="10" t="s">
        <v>61</v>
      </c>
      <c r="C181" s="62"/>
      <c r="D181" s="62"/>
      <c r="E181" s="12">
        <v>0</v>
      </c>
      <c r="F181" s="12">
        <v>0</v>
      </c>
      <c r="G181" s="69"/>
      <c r="H181" s="63"/>
      <c r="I181" s="63"/>
      <c r="J181" s="3"/>
      <c r="K181" s="3"/>
      <c r="L181" s="3"/>
      <c r="M181" s="3"/>
      <c r="N181" s="3"/>
      <c r="O181" s="3"/>
      <c r="P181" s="3"/>
      <c r="Q181" s="3"/>
      <c r="R181" s="3"/>
      <c r="S181" s="3"/>
      <c r="T181" s="3"/>
      <c r="U181" s="3"/>
      <c r="V181" s="3"/>
      <c r="W181" s="44"/>
      <c r="X181" s="41"/>
      <c r="Y181" s="3"/>
      <c r="Z181" s="3"/>
    </row>
    <row r="182" spans="1:26" ht="15.75" hidden="1" customHeight="1" outlineLevel="1" x14ac:dyDescent="0.3">
      <c r="A182" s="3"/>
      <c r="B182" s="10" t="s">
        <v>61</v>
      </c>
      <c r="C182" s="62"/>
      <c r="D182" s="62"/>
      <c r="E182" s="12">
        <v>0</v>
      </c>
      <c r="F182" s="12">
        <v>0</v>
      </c>
      <c r="G182" s="69"/>
      <c r="H182" s="63"/>
      <c r="I182" s="63"/>
      <c r="J182" s="3"/>
      <c r="K182" s="3"/>
      <c r="L182" s="3"/>
      <c r="M182" s="3"/>
      <c r="N182" s="3"/>
      <c r="O182" s="3"/>
      <c r="P182" s="3"/>
      <c r="Q182" s="3"/>
      <c r="R182" s="3"/>
      <c r="S182" s="3"/>
      <c r="T182" s="3"/>
      <c r="U182" s="3"/>
      <c r="V182" s="3"/>
      <c r="W182" s="44"/>
      <c r="X182" s="41"/>
      <c r="Y182" s="3"/>
      <c r="Z182" s="3"/>
    </row>
    <row r="183" spans="1:26" ht="15.75" hidden="1" customHeight="1" outlineLevel="1" x14ac:dyDescent="0.3">
      <c r="A183" s="3"/>
      <c r="B183" s="10" t="s">
        <v>61</v>
      </c>
      <c r="C183" s="62"/>
      <c r="D183" s="62"/>
      <c r="E183" s="12">
        <v>0</v>
      </c>
      <c r="F183" s="12">
        <v>0</v>
      </c>
      <c r="G183" s="69"/>
      <c r="H183" s="63"/>
      <c r="I183" s="63"/>
      <c r="J183" s="3"/>
      <c r="K183" s="3"/>
      <c r="L183" s="3"/>
      <c r="M183" s="3"/>
      <c r="N183" s="3"/>
      <c r="O183" s="3"/>
      <c r="P183" s="3"/>
      <c r="Q183" s="3"/>
      <c r="R183" s="3"/>
      <c r="S183" s="3"/>
      <c r="T183" s="3"/>
      <c r="U183" s="3"/>
      <c r="V183" s="3"/>
      <c r="W183" s="44"/>
      <c r="X183" s="41"/>
      <c r="Y183" s="3"/>
      <c r="Z183" s="3"/>
    </row>
    <row r="184" spans="1:26" ht="19.5" customHeight="1" collapsed="1" x14ac:dyDescent="0.3">
      <c r="A184" s="3"/>
      <c r="B184" s="73" t="s">
        <v>63</v>
      </c>
      <c r="C184" s="56" t="s">
        <v>43</v>
      </c>
      <c r="D184" s="56" t="s">
        <v>43</v>
      </c>
      <c r="E184" s="57">
        <f>SUM(E185:E187)</f>
        <v>0</v>
      </c>
      <c r="F184" s="57">
        <f>SUMIF(D185:D187,"OK",F185:F187)</f>
        <v>0</v>
      </c>
      <c r="G184" s="58" t="s">
        <v>43</v>
      </c>
      <c r="H184" s="74"/>
      <c r="I184" s="74"/>
      <c r="J184" s="3"/>
      <c r="K184" s="3"/>
      <c r="L184" s="3"/>
      <c r="M184" s="3"/>
      <c r="N184" s="3"/>
      <c r="O184" s="3"/>
      <c r="P184" s="3"/>
      <c r="Q184" s="3"/>
      <c r="R184" s="3"/>
      <c r="S184" s="3"/>
      <c r="T184" s="3"/>
      <c r="U184" s="3"/>
      <c r="V184" s="3"/>
      <c r="W184" s="44"/>
      <c r="X184" s="41"/>
      <c r="Y184" s="3"/>
      <c r="Z184" s="3"/>
    </row>
    <row r="185" spans="1:26" ht="15.75" hidden="1" customHeight="1" outlineLevel="1" x14ac:dyDescent="0.3">
      <c r="A185" s="3"/>
      <c r="B185" s="10" t="s">
        <v>63</v>
      </c>
      <c r="C185" s="62"/>
      <c r="D185" s="62"/>
      <c r="E185" s="12">
        <v>0</v>
      </c>
      <c r="F185" s="12">
        <v>0</v>
      </c>
      <c r="G185" s="69"/>
      <c r="H185" s="63"/>
      <c r="I185" s="63"/>
      <c r="J185" s="3"/>
      <c r="K185" s="3"/>
      <c r="L185" s="3"/>
      <c r="M185" s="3"/>
      <c r="N185" s="3"/>
      <c r="O185" s="3"/>
      <c r="P185" s="3"/>
      <c r="Q185" s="3"/>
      <c r="R185" s="3"/>
      <c r="S185" s="3"/>
      <c r="T185" s="3"/>
      <c r="U185" s="3"/>
      <c r="V185" s="3"/>
      <c r="W185" s="44"/>
      <c r="X185" s="41"/>
      <c r="Y185" s="3"/>
      <c r="Z185" s="3"/>
    </row>
    <row r="186" spans="1:26" ht="15.75" hidden="1" customHeight="1" outlineLevel="1" x14ac:dyDescent="0.3">
      <c r="A186" s="3"/>
      <c r="B186" s="10" t="s">
        <v>63</v>
      </c>
      <c r="C186" s="62"/>
      <c r="D186" s="62"/>
      <c r="E186" s="12">
        <v>0</v>
      </c>
      <c r="F186" s="12">
        <v>0</v>
      </c>
      <c r="G186" s="69"/>
      <c r="H186" s="63"/>
      <c r="I186" s="63"/>
      <c r="J186" s="3"/>
      <c r="K186" s="3"/>
      <c r="L186" s="3"/>
      <c r="M186" s="3"/>
      <c r="N186" s="3"/>
      <c r="O186" s="3"/>
      <c r="P186" s="3"/>
      <c r="Q186" s="3"/>
      <c r="R186" s="3"/>
      <c r="S186" s="3"/>
      <c r="T186" s="3"/>
      <c r="U186" s="3"/>
      <c r="V186" s="3"/>
      <c r="W186" s="44"/>
      <c r="X186" s="41"/>
      <c r="Y186" s="3"/>
      <c r="Z186" s="3"/>
    </row>
    <row r="187" spans="1:26" ht="15.75" hidden="1" customHeight="1" outlineLevel="1" x14ac:dyDescent="0.3">
      <c r="A187" s="3"/>
      <c r="B187" s="10" t="s">
        <v>63</v>
      </c>
      <c r="C187" s="62"/>
      <c r="D187" s="62"/>
      <c r="E187" s="12">
        <v>0</v>
      </c>
      <c r="F187" s="12">
        <v>0</v>
      </c>
      <c r="G187" s="67"/>
      <c r="H187" s="63"/>
      <c r="I187" s="63"/>
      <c r="J187" s="3"/>
      <c r="K187" s="3"/>
      <c r="L187" s="3"/>
      <c r="M187" s="3"/>
      <c r="N187" s="3"/>
      <c r="O187" s="3"/>
      <c r="P187" s="3"/>
      <c r="Q187" s="3"/>
      <c r="R187" s="3"/>
      <c r="S187" s="3"/>
      <c r="T187" s="3"/>
      <c r="U187" s="3"/>
      <c r="V187" s="3"/>
      <c r="W187" s="44"/>
      <c r="X187" s="41"/>
      <c r="Y187" s="3"/>
      <c r="Z187" s="3"/>
    </row>
    <row r="188" spans="1:26" ht="19.5" customHeight="1" collapsed="1" x14ac:dyDescent="0.3">
      <c r="A188" s="3"/>
      <c r="B188" s="73" t="s">
        <v>259</v>
      </c>
      <c r="C188" s="56" t="s">
        <v>43</v>
      </c>
      <c r="D188" s="56" t="s">
        <v>43</v>
      </c>
      <c r="E188" s="57">
        <f>SUM(E189:E195)</f>
        <v>0</v>
      </c>
      <c r="F188" s="57">
        <f>SUMIF(D189:D195,"OK",F189:F195)</f>
        <v>0</v>
      </c>
      <c r="G188" s="58" t="s">
        <v>43</v>
      </c>
      <c r="H188" s="74"/>
      <c r="I188" s="74"/>
      <c r="J188" s="3"/>
      <c r="K188" s="3"/>
      <c r="L188" s="3"/>
      <c r="M188" s="3"/>
      <c r="N188" s="3"/>
      <c r="O188" s="3"/>
      <c r="P188" s="3"/>
      <c r="Q188" s="3"/>
      <c r="R188" s="3"/>
      <c r="S188" s="3"/>
      <c r="T188" s="3"/>
      <c r="U188" s="3"/>
      <c r="V188" s="3"/>
      <c r="W188" s="44"/>
      <c r="X188" s="41"/>
      <c r="Y188" s="3"/>
      <c r="Z188" s="3"/>
    </row>
    <row r="189" spans="1:26" ht="15.75" hidden="1" customHeight="1" outlineLevel="1" x14ac:dyDescent="0.3">
      <c r="A189" s="3"/>
      <c r="B189" s="10" t="s">
        <v>260</v>
      </c>
      <c r="C189" s="62"/>
      <c r="D189" s="62"/>
      <c r="E189" s="12">
        <v>0</v>
      </c>
      <c r="F189" s="12">
        <v>0</v>
      </c>
      <c r="G189" s="67"/>
      <c r="H189" s="63" t="s">
        <v>37</v>
      </c>
      <c r="I189" s="63"/>
      <c r="J189" s="3"/>
      <c r="K189" s="3"/>
      <c r="L189" s="3"/>
      <c r="M189" s="3"/>
      <c r="N189" s="3"/>
      <c r="O189" s="3"/>
      <c r="P189" s="3"/>
      <c r="Q189" s="3"/>
      <c r="R189" s="3"/>
      <c r="S189" s="3"/>
      <c r="T189" s="3"/>
      <c r="U189" s="3"/>
      <c r="V189" s="3"/>
      <c r="W189" s="44"/>
      <c r="X189" s="41"/>
      <c r="Y189" s="3"/>
      <c r="Z189" s="3"/>
    </row>
    <row r="190" spans="1:26" ht="15.75" hidden="1" customHeight="1" outlineLevel="1" x14ac:dyDescent="0.3">
      <c r="A190" s="3"/>
      <c r="B190" s="10" t="s">
        <v>261</v>
      </c>
      <c r="C190" s="62"/>
      <c r="D190" s="62"/>
      <c r="E190" s="12">
        <v>0</v>
      </c>
      <c r="F190" s="12">
        <v>0</v>
      </c>
      <c r="G190" s="69"/>
      <c r="H190" s="63" t="s">
        <v>38</v>
      </c>
      <c r="I190" s="63"/>
      <c r="J190" s="3"/>
      <c r="K190" s="3"/>
      <c r="L190" s="3"/>
      <c r="M190" s="3"/>
      <c r="N190" s="3"/>
      <c r="O190" s="3"/>
      <c r="P190" s="3"/>
      <c r="Q190" s="3"/>
      <c r="R190" s="3"/>
      <c r="S190" s="3"/>
      <c r="T190" s="3"/>
      <c r="U190" s="3"/>
      <c r="V190" s="3"/>
      <c r="W190" s="44"/>
      <c r="X190" s="41"/>
      <c r="Y190" s="3"/>
      <c r="Z190" s="3"/>
    </row>
    <row r="191" spans="1:26" ht="15.75" hidden="1" customHeight="1" outlineLevel="1" x14ac:dyDescent="0.3">
      <c r="A191" s="3"/>
      <c r="B191" s="10" t="s">
        <v>263</v>
      </c>
      <c r="C191" s="62"/>
      <c r="D191" s="62"/>
      <c r="E191" s="12">
        <v>0</v>
      </c>
      <c r="F191" s="12">
        <v>0</v>
      </c>
      <c r="G191" s="67"/>
      <c r="H191" s="63" t="s">
        <v>234</v>
      </c>
      <c r="I191" s="63"/>
      <c r="J191" s="3"/>
      <c r="K191" s="3"/>
      <c r="L191" s="3"/>
      <c r="M191" s="3"/>
      <c r="N191" s="3"/>
      <c r="O191" s="3"/>
      <c r="P191" s="3"/>
      <c r="Q191" s="3"/>
      <c r="R191" s="3"/>
      <c r="S191" s="3"/>
      <c r="T191" s="3"/>
      <c r="U191" s="3"/>
      <c r="V191" s="3"/>
      <c r="W191" s="44"/>
      <c r="X191" s="41"/>
      <c r="Y191" s="3"/>
      <c r="Z191" s="3"/>
    </row>
    <row r="192" spans="1:26" ht="15.75" hidden="1" customHeight="1" outlineLevel="1" x14ac:dyDescent="0.3">
      <c r="A192" s="3"/>
      <c r="B192" s="10" t="s">
        <v>264</v>
      </c>
      <c r="C192" s="62"/>
      <c r="D192" s="62"/>
      <c r="E192" s="12">
        <v>0</v>
      </c>
      <c r="F192" s="12">
        <v>0</v>
      </c>
      <c r="G192" s="67"/>
      <c r="H192" s="63" t="s">
        <v>265</v>
      </c>
      <c r="I192" s="63"/>
      <c r="J192" s="3"/>
      <c r="K192" s="3"/>
      <c r="L192" s="3"/>
      <c r="M192" s="3"/>
      <c r="N192" s="3"/>
      <c r="O192" s="3"/>
      <c r="P192" s="3"/>
      <c r="Q192" s="3"/>
      <c r="R192" s="3"/>
      <c r="S192" s="3"/>
      <c r="T192" s="3"/>
      <c r="U192" s="3"/>
      <c r="V192" s="3"/>
      <c r="W192" s="44"/>
      <c r="X192" s="41"/>
      <c r="Y192" s="3"/>
      <c r="Z192" s="3"/>
    </row>
    <row r="193" spans="1:26" ht="15.75" hidden="1" customHeight="1" outlineLevel="1" x14ac:dyDescent="0.3">
      <c r="A193" s="3"/>
      <c r="B193" s="10" t="s">
        <v>551</v>
      </c>
      <c r="C193" s="62"/>
      <c r="D193" s="62"/>
      <c r="E193" s="12">
        <v>0</v>
      </c>
      <c r="F193" s="12">
        <v>0</v>
      </c>
      <c r="G193" s="67"/>
      <c r="H193" s="63" t="s">
        <v>39</v>
      </c>
      <c r="I193" s="63"/>
      <c r="J193" s="3"/>
      <c r="K193" s="3"/>
      <c r="L193" s="3"/>
      <c r="M193" s="3"/>
      <c r="N193" s="3"/>
      <c r="O193" s="3"/>
      <c r="P193" s="3"/>
      <c r="Q193" s="3"/>
      <c r="R193" s="3"/>
      <c r="S193" s="3"/>
      <c r="T193" s="3"/>
      <c r="U193" s="3"/>
      <c r="V193" s="3"/>
      <c r="W193" s="44"/>
      <c r="X193" s="41"/>
      <c r="Y193" s="3"/>
      <c r="Z193" s="3"/>
    </row>
    <row r="194" spans="1:26" ht="15.75" hidden="1" customHeight="1" outlineLevel="1" x14ac:dyDescent="0.3">
      <c r="A194" s="3"/>
      <c r="B194" s="10" t="s">
        <v>1524</v>
      </c>
      <c r="C194" s="62"/>
      <c r="D194" s="62"/>
      <c r="E194" s="12">
        <v>0</v>
      </c>
      <c r="F194" s="12">
        <v>0</v>
      </c>
      <c r="G194" s="67"/>
      <c r="H194" s="63" t="s">
        <v>38</v>
      </c>
      <c r="I194" s="63"/>
      <c r="J194" s="3"/>
      <c r="K194" s="3"/>
      <c r="L194" s="3"/>
      <c r="M194" s="3"/>
      <c r="N194" s="3"/>
      <c r="O194" s="3"/>
      <c r="P194" s="3"/>
      <c r="Q194" s="3"/>
      <c r="R194" s="3"/>
      <c r="S194" s="3"/>
      <c r="T194" s="3"/>
      <c r="U194" s="3"/>
      <c r="V194" s="3"/>
      <c r="W194" s="44"/>
      <c r="X194" s="41"/>
      <c r="Y194" s="3"/>
      <c r="Z194" s="3"/>
    </row>
    <row r="195" spans="1:26" ht="15.75" hidden="1" customHeight="1" outlineLevel="1" x14ac:dyDescent="0.3">
      <c r="A195" s="3"/>
      <c r="B195" s="10" t="s">
        <v>916</v>
      </c>
      <c r="C195" s="62"/>
      <c r="D195" s="62"/>
      <c r="E195" s="12">
        <v>0</v>
      </c>
      <c r="F195" s="12">
        <v>0</v>
      </c>
      <c r="G195" s="67"/>
      <c r="H195" s="63"/>
      <c r="I195" s="63"/>
      <c r="J195" s="3"/>
      <c r="K195" s="3"/>
      <c r="L195" s="3"/>
      <c r="M195" s="3"/>
      <c r="N195" s="3"/>
      <c r="O195" s="3"/>
      <c r="P195" s="3"/>
      <c r="Q195" s="3"/>
      <c r="R195" s="3"/>
      <c r="S195" s="3"/>
      <c r="T195" s="3"/>
      <c r="U195" s="3"/>
      <c r="V195" s="3"/>
      <c r="W195" s="44"/>
      <c r="X195" s="41"/>
      <c r="Y195" s="3"/>
      <c r="Z195" s="3"/>
    </row>
    <row r="196" spans="1:26" ht="15.75" customHeight="1" collapsed="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6" ht="15.75" customHeight="1" x14ac:dyDescent="0.3">
      <c r="A197" s="3"/>
      <c r="B197" s="3"/>
      <c r="C197" s="37"/>
      <c r="D197" s="37"/>
      <c r="E197" s="37"/>
      <c r="F197" s="111"/>
      <c r="G197" s="123"/>
      <c r="H197" s="37"/>
      <c r="I197" s="37"/>
      <c r="J197" s="37"/>
      <c r="K197" s="37"/>
      <c r="L197" s="37"/>
      <c r="M197" s="37"/>
      <c r="N197" s="37"/>
      <c r="O197" s="37"/>
      <c r="P197" s="37"/>
      <c r="Q197" s="37"/>
      <c r="R197" s="37"/>
      <c r="S197" s="37"/>
      <c r="T197" s="37"/>
      <c r="U197" s="37"/>
      <c r="V197" s="37"/>
      <c r="W197" s="44"/>
      <c r="X197" s="41"/>
    </row>
    <row r="198" spans="1:26"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6"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6"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6"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6"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6"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6"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6"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6"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6"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6"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c r="A391" s="3"/>
      <c r="B391" s="3"/>
      <c r="C391" s="37"/>
      <c r="D391" s="37"/>
      <c r="E391" s="37"/>
      <c r="F391" s="37"/>
      <c r="G391" s="123"/>
      <c r="H391" s="37"/>
      <c r="I391" s="37"/>
      <c r="J391" s="37"/>
      <c r="K391" s="37"/>
      <c r="L391" s="37"/>
      <c r="M391" s="37"/>
      <c r="N391" s="37"/>
      <c r="O391" s="37"/>
      <c r="P391" s="37"/>
      <c r="Q391" s="37"/>
      <c r="R391" s="37"/>
      <c r="S391" s="37"/>
      <c r="T391" s="37"/>
      <c r="U391" s="37"/>
      <c r="V391" s="37"/>
      <c r="W391" s="44"/>
      <c r="X391" s="41"/>
    </row>
    <row r="392" spans="1:24" ht="15.75" customHeight="1" x14ac:dyDescent="0.3">
      <c r="A392" s="3"/>
      <c r="B392" s="3"/>
      <c r="C392" s="37"/>
      <c r="D392" s="37"/>
      <c r="E392" s="37"/>
      <c r="F392" s="37"/>
      <c r="G392" s="123"/>
      <c r="H392" s="37"/>
      <c r="I392" s="37"/>
      <c r="J392" s="37"/>
      <c r="K392" s="37"/>
      <c r="L392" s="37"/>
      <c r="M392" s="37"/>
      <c r="N392" s="37"/>
      <c r="O392" s="37"/>
      <c r="P392" s="37"/>
      <c r="Q392" s="37"/>
      <c r="R392" s="37"/>
      <c r="S392" s="37"/>
      <c r="T392" s="37"/>
      <c r="U392" s="37"/>
      <c r="V392" s="37"/>
      <c r="W392" s="44"/>
      <c r="X392" s="41"/>
    </row>
    <row r="393" spans="1:24" ht="15.75" customHeight="1" x14ac:dyDescent="0.3">
      <c r="A393" s="3"/>
      <c r="B393" s="3"/>
      <c r="C393" s="37"/>
      <c r="D393" s="37"/>
      <c r="E393" s="37"/>
      <c r="F393" s="37"/>
      <c r="G393" s="123"/>
      <c r="H393" s="37"/>
      <c r="I393" s="37"/>
      <c r="J393" s="37"/>
      <c r="K393" s="37"/>
      <c r="L393" s="37"/>
      <c r="M393" s="37"/>
      <c r="N393" s="37"/>
      <c r="O393" s="37"/>
      <c r="P393" s="37"/>
      <c r="Q393" s="37"/>
      <c r="R393" s="37"/>
      <c r="S393" s="37"/>
      <c r="T393" s="37"/>
      <c r="U393" s="37"/>
      <c r="V393" s="37"/>
      <c r="W393" s="44"/>
      <c r="X393" s="41"/>
    </row>
    <row r="394" spans="1:24" ht="15.75" customHeight="1" x14ac:dyDescent="0.3">
      <c r="A394" s="3"/>
      <c r="B394" s="3"/>
      <c r="C394" s="37"/>
      <c r="D394" s="37"/>
      <c r="E394" s="37"/>
      <c r="F394" s="37"/>
      <c r="G394" s="123"/>
      <c r="H394" s="37"/>
      <c r="I394" s="37"/>
      <c r="J394" s="37"/>
      <c r="K394" s="37"/>
      <c r="L394" s="37"/>
      <c r="M394" s="37"/>
      <c r="N394" s="37"/>
      <c r="O394" s="37"/>
      <c r="P394" s="37"/>
      <c r="Q394" s="37"/>
      <c r="R394" s="37"/>
      <c r="S394" s="37"/>
      <c r="T394" s="37"/>
      <c r="U394" s="37"/>
      <c r="V394" s="37"/>
      <c r="W394" s="44"/>
      <c r="X394" s="41"/>
    </row>
    <row r="395" spans="1:24" ht="15.75" customHeight="1" x14ac:dyDescent="0.3">
      <c r="A395" s="3"/>
      <c r="B395" s="3"/>
      <c r="C395" s="37"/>
      <c r="D395" s="37"/>
      <c r="E395" s="37"/>
      <c r="F395" s="37"/>
      <c r="G395" s="123"/>
      <c r="H395" s="37"/>
      <c r="I395" s="37"/>
      <c r="J395" s="37"/>
      <c r="K395" s="37"/>
      <c r="L395" s="37"/>
      <c r="M395" s="37"/>
      <c r="N395" s="37"/>
      <c r="O395" s="37"/>
      <c r="P395" s="37"/>
      <c r="Q395" s="37"/>
      <c r="R395" s="37"/>
      <c r="S395" s="37"/>
      <c r="T395" s="37"/>
      <c r="U395" s="37"/>
      <c r="V395" s="37"/>
      <c r="W395" s="44"/>
      <c r="X395" s="41"/>
    </row>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5" xr:uid="{00000000-0009-0000-0000-000016000000}"/>
  <mergeCells count="35">
    <mergeCell ref="G90:G91"/>
    <mergeCell ref="G93:G94"/>
    <mergeCell ref="G101:G102"/>
    <mergeCell ref="G50:G51"/>
    <mergeCell ref="G52:G53"/>
    <mergeCell ref="G55:G56"/>
    <mergeCell ref="G58:G59"/>
    <mergeCell ref="G62:G63"/>
    <mergeCell ref="G68:G69"/>
    <mergeCell ref="G73:G74"/>
    <mergeCell ref="G48:G49"/>
    <mergeCell ref="G79:G80"/>
    <mergeCell ref="G81:G82"/>
    <mergeCell ref="G83:G84"/>
    <mergeCell ref="G86:G87"/>
    <mergeCell ref="G33:G34"/>
    <mergeCell ref="G37:G38"/>
    <mergeCell ref="G39:G42"/>
    <mergeCell ref="G44:G45"/>
    <mergeCell ref="G46:G47"/>
    <mergeCell ref="G21:G22"/>
    <mergeCell ref="G23:G24"/>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5">
    <cfRule type="cellIs" dxfId="13" priority="1" operator="equal">
      <formula>"Diferente"</formula>
    </cfRule>
    <cfRule type="cellIs" dxfId="12" priority="2" operator="equal">
      <formula>"OK"</formula>
    </cfRule>
  </conditionalFormatting>
  <dataValidations count="1">
    <dataValidation type="list" allowBlank="1" showErrorMessage="1" sqref="D7:D125 D128:D129 D131:D133 D135:D138 D140:D145 D147:D153 D156:D159 D161:D164 D166:D168 D170:D183 D185:D187 D189:D195" xr:uid="{00000000-0002-0000-16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600-000000000000}">
          <x14:formula1>
            <xm:f>'Plano de contas DG'!$C$5:$C$38</xm:f>
          </x14:formula1>
          <xm:sqref>I6:I195</xm:sqref>
        </x14:dataValidation>
        <x14:dataValidation type="list" allowBlank="1" showErrorMessage="1" xr:uid="{00000000-0002-0000-1600-000001000000}">
          <x14:formula1>
            <xm:f>Caixa!$B$5:$B$8</xm:f>
          </x14:formula1>
          <xm:sqref>H7:H125 H128:H129 H131:H133 H135:H138 H140:H145 H147:H153 H156:H159 H161:H164 H166:H168 H170:H183 H185:H187 H189:H195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25" customHeight="1" x14ac:dyDescent="0.3">
      <c r="A2" s="3"/>
      <c r="B2" s="238" t="s">
        <v>269</v>
      </c>
      <c r="C2" s="239"/>
      <c r="D2" s="218"/>
      <c r="E2" s="218"/>
      <c r="F2" s="219"/>
      <c r="G2" s="82"/>
      <c r="H2" s="82"/>
      <c r="I2" s="83"/>
      <c r="J2" s="82"/>
      <c r="K2" s="37"/>
      <c r="L2" s="37"/>
      <c r="M2" s="37"/>
      <c r="N2" s="37"/>
      <c r="O2" s="37"/>
      <c r="P2" s="37"/>
      <c r="Q2" s="37"/>
      <c r="R2" s="37"/>
      <c r="S2" s="37"/>
      <c r="T2" s="37"/>
      <c r="U2" s="3"/>
    </row>
    <row r="3" spans="1:26" ht="14.25" customHeight="1" x14ac:dyDescent="0.3">
      <c r="A3" s="3"/>
      <c r="B3" s="206"/>
      <c r="C3" s="240"/>
      <c r="D3" s="241"/>
      <c r="E3" s="241"/>
      <c r="F3" s="242"/>
      <c r="G3" s="82"/>
      <c r="H3" s="82"/>
      <c r="I3" s="83"/>
      <c r="J3" s="82"/>
      <c r="K3" s="37"/>
      <c r="L3" s="37"/>
      <c r="M3" s="37"/>
      <c r="N3" s="37"/>
      <c r="O3" s="37"/>
      <c r="P3" s="37"/>
      <c r="Q3" s="37"/>
      <c r="R3" s="37"/>
      <c r="S3" s="37"/>
      <c r="T3" s="37"/>
      <c r="U3" s="3"/>
    </row>
    <row r="4" spans="1:26" ht="14.25" customHeight="1" x14ac:dyDescent="0.3">
      <c r="A4" s="3"/>
      <c r="B4" s="227" t="s">
        <v>73</v>
      </c>
      <c r="C4" s="48" t="s">
        <v>43</v>
      </c>
      <c r="D4" s="48" t="s">
        <v>43</v>
      </c>
      <c r="E4" s="26">
        <f>SUBTOTAL(9,E16,E62,E37,E151,E176,E182,E89,E6,E33,E261,E324,E211,E221,E231,E241,E251,E115)</f>
        <v>0</v>
      </c>
      <c r="F4" s="26">
        <f>SUBTOTAL(9,F16,F62,F37,F141,F151,F176,F182,F89,F6,F33,F261,F324,F211,F221,F231,F241,F251,F115)</f>
        <v>0</v>
      </c>
      <c r="G4" s="48" t="s">
        <v>43</v>
      </c>
      <c r="H4" s="237" t="s">
        <v>1</v>
      </c>
      <c r="I4" s="243" t="s">
        <v>270</v>
      </c>
      <c r="J4" s="237" t="s">
        <v>74</v>
      </c>
      <c r="K4" s="37"/>
      <c r="L4" s="37"/>
      <c r="M4" s="37"/>
      <c r="N4" s="37"/>
      <c r="O4" s="37"/>
      <c r="P4" s="37"/>
      <c r="Q4" s="37"/>
      <c r="R4" s="37"/>
      <c r="S4" s="37"/>
      <c r="T4" s="37"/>
      <c r="U4" s="3"/>
      <c r="W4" s="3"/>
      <c r="X4" s="3"/>
      <c r="Y4" s="3"/>
      <c r="Z4" s="3"/>
    </row>
    <row r="5" spans="1:26" ht="14.25" customHeight="1"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0</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c r="D7" s="62"/>
      <c r="E7" s="12">
        <v>0</v>
      </c>
      <c r="F7" s="12">
        <v>0</v>
      </c>
      <c r="G7" s="89"/>
      <c r="H7" s="65"/>
      <c r="I7" s="112"/>
      <c r="J7" s="65"/>
      <c r="K7" s="37"/>
      <c r="L7" s="37"/>
      <c r="M7" s="37"/>
      <c r="N7" s="37"/>
      <c r="O7" s="37"/>
      <c r="P7" s="37"/>
      <c r="Q7" s="37"/>
      <c r="R7" s="37"/>
      <c r="S7" s="37"/>
      <c r="T7" s="37"/>
      <c r="U7" s="3"/>
      <c r="W7" s="3"/>
      <c r="X7" s="3"/>
      <c r="Y7" s="3"/>
      <c r="Z7" s="3"/>
    </row>
    <row r="8" spans="1:26" ht="14.4" hidden="1" outlineLevel="1" x14ac:dyDescent="0.3">
      <c r="A8" s="3"/>
      <c r="B8" s="10" t="s">
        <v>273</v>
      </c>
      <c r="C8" s="62"/>
      <c r="D8" s="62"/>
      <c r="E8" s="12">
        <v>0</v>
      </c>
      <c r="F8" s="12">
        <v>0</v>
      </c>
      <c r="G8" s="89"/>
      <c r="H8" s="65"/>
      <c r="I8" s="112"/>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89"/>
      <c r="H9" s="65"/>
      <c r="I9" s="112"/>
      <c r="J9" s="65"/>
      <c r="K9" s="37"/>
      <c r="L9" s="37"/>
      <c r="M9" s="37"/>
      <c r="N9" s="37"/>
      <c r="O9" s="37"/>
      <c r="P9" s="37"/>
      <c r="Q9" s="37"/>
      <c r="R9" s="37"/>
      <c r="S9" s="37"/>
      <c r="T9" s="37"/>
      <c r="U9" s="3"/>
      <c r="W9" s="3"/>
      <c r="X9" s="3"/>
      <c r="Y9" s="3"/>
      <c r="Z9" s="3"/>
    </row>
    <row r="10" spans="1:26" ht="14.4" hidden="1" outlineLevel="1" x14ac:dyDescent="0.3">
      <c r="A10" s="3"/>
      <c r="B10" s="10" t="s">
        <v>281</v>
      </c>
      <c r="C10" s="62"/>
      <c r="D10" s="62"/>
      <c r="E10" s="12">
        <v>0</v>
      </c>
      <c r="F10" s="12">
        <v>0</v>
      </c>
      <c r="G10" s="89"/>
      <c r="H10" s="65"/>
      <c r="I10" s="112"/>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c r="D11" s="62"/>
      <c r="E11" s="12">
        <v>0</v>
      </c>
      <c r="F11" s="12">
        <v>0</v>
      </c>
      <c r="G11" s="89"/>
      <c r="H11" s="65"/>
      <c r="I11" s="112"/>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c r="D12" s="62"/>
      <c r="E12" s="12">
        <v>0</v>
      </c>
      <c r="F12" s="12">
        <v>0</v>
      </c>
      <c r="G12" s="89"/>
      <c r="H12" s="65"/>
      <c r="I12" s="112"/>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c r="D14" s="62"/>
      <c r="E14" s="12">
        <v>0</v>
      </c>
      <c r="F14" s="12">
        <v>0</v>
      </c>
      <c r="G14" s="89"/>
      <c r="H14" s="65"/>
      <c r="I14" s="112"/>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c r="D15" s="62"/>
      <c r="E15" s="12">
        <v>0</v>
      </c>
      <c r="F15" s="12">
        <v>0</v>
      </c>
      <c r="G15" s="89"/>
      <c r="H15" s="65"/>
      <c r="I15" s="112"/>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SUM(E17:E32)</f>
        <v>0</v>
      </c>
      <c r="F16" s="86">
        <f>SUMIF(D17:D32,"OK",F17:F32)</f>
        <v>0</v>
      </c>
      <c r="G16" s="87"/>
      <c r="H16" s="87"/>
      <c r="I16" s="88"/>
      <c r="J16" s="87"/>
      <c r="K16" s="37"/>
      <c r="L16" s="37"/>
      <c r="M16" s="37"/>
      <c r="N16" s="37"/>
      <c r="O16" s="37"/>
      <c r="P16" s="37"/>
      <c r="Q16" s="37"/>
      <c r="R16" s="37"/>
      <c r="S16" s="37"/>
      <c r="T16" s="37"/>
      <c r="U16" s="3"/>
    </row>
    <row r="17" spans="1:22" ht="14.4" hidden="1" outlineLevel="1" x14ac:dyDescent="0.3">
      <c r="A17" s="3"/>
      <c r="B17" s="10" t="s">
        <v>561</v>
      </c>
      <c r="C17" s="62"/>
      <c r="D17" s="62"/>
      <c r="E17" s="12">
        <v>0</v>
      </c>
      <c r="F17" s="12">
        <v>0</v>
      </c>
      <c r="G17" s="249"/>
      <c r="H17" s="65"/>
      <c r="I17" s="246"/>
      <c r="J17" s="65"/>
      <c r="K17" s="37"/>
      <c r="L17" s="37"/>
      <c r="M17" s="37"/>
      <c r="N17" s="37"/>
      <c r="O17" s="37"/>
      <c r="P17" s="37"/>
      <c r="Q17" s="37"/>
      <c r="R17" s="37"/>
      <c r="S17" s="37"/>
      <c r="T17" s="37"/>
      <c r="U17" s="3"/>
    </row>
    <row r="18" spans="1:22" ht="14.4" hidden="1" outlineLevel="1" x14ac:dyDescent="0.3">
      <c r="A18" s="3"/>
      <c r="B18" s="10" t="s">
        <v>563</v>
      </c>
      <c r="C18" s="62"/>
      <c r="D18" s="62"/>
      <c r="E18" s="12">
        <v>0</v>
      </c>
      <c r="F18" s="12">
        <v>0</v>
      </c>
      <c r="G18" s="215"/>
      <c r="H18" s="65"/>
      <c r="I18" s="215"/>
      <c r="J18" s="65"/>
      <c r="K18" s="37"/>
      <c r="L18" s="37"/>
      <c r="M18" s="37"/>
      <c r="N18" s="37"/>
      <c r="O18" s="37"/>
      <c r="P18" s="37"/>
      <c r="Q18" s="37"/>
      <c r="R18" s="37"/>
      <c r="S18" s="37"/>
      <c r="T18" s="37"/>
      <c r="U18" s="3"/>
    </row>
    <row r="19" spans="1:22" ht="14.4" hidden="1" outlineLevel="1" x14ac:dyDescent="0.3">
      <c r="A19" s="3"/>
      <c r="B19" s="10" t="s">
        <v>564</v>
      </c>
      <c r="C19" s="62"/>
      <c r="D19" s="62"/>
      <c r="E19" s="12">
        <v>0</v>
      </c>
      <c r="F19" s="12">
        <v>0</v>
      </c>
      <c r="G19" s="215"/>
      <c r="H19" s="65"/>
      <c r="I19" s="215"/>
      <c r="J19" s="65"/>
      <c r="K19" s="37"/>
      <c r="L19" s="37"/>
      <c r="M19" s="37"/>
      <c r="N19" s="37"/>
      <c r="O19" s="37"/>
      <c r="P19" s="37"/>
      <c r="Q19" s="37"/>
      <c r="R19" s="37"/>
      <c r="S19" s="37"/>
      <c r="T19" s="37"/>
      <c r="U19" s="3"/>
    </row>
    <row r="20" spans="1:22" ht="14.4" hidden="1" outlineLevel="1" x14ac:dyDescent="0.3">
      <c r="A20" s="3"/>
      <c r="B20" s="10" t="s">
        <v>565</v>
      </c>
      <c r="C20" s="62"/>
      <c r="D20" s="62"/>
      <c r="E20" s="12">
        <v>0</v>
      </c>
      <c r="F20" s="12">
        <v>0</v>
      </c>
      <c r="G20" s="216"/>
      <c r="H20" s="65"/>
      <c r="I20" s="216"/>
      <c r="J20" s="65"/>
      <c r="K20" s="37"/>
      <c r="L20" s="37"/>
      <c r="M20" s="37"/>
      <c r="N20" s="37"/>
      <c r="O20" s="37"/>
      <c r="P20" s="37"/>
      <c r="Q20" s="37"/>
      <c r="R20" s="37"/>
      <c r="S20" s="37"/>
      <c r="T20" s="37"/>
      <c r="U20" s="3"/>
    </row>
    <row r="21" spans="1:22" ht="15.75" hidden="1" customHeight="1" outlineLevel="1" x14ac:dyDescent="0.3">
      <c r="A21" s="3"/>
      <c r="B21" s="10" t="s">
        <v>567</v>
      </c>
      <c r="C21" s="62"/>
      <c r="D21" s="62"/>
      <c r="E21" s="12">
        <v>0</v>
      </c>
      <c r="F21" s="12">
        <v>0</v>
      </c>
      <c r="G21" s="244"/>
      <c r="H21" s="65"/>
      <c r="I21" s="246"/>
      <c r="J21" s="65"/>
      <c r="K21" s="37"/>
      <c r="L21" s="37"/>
      <c r="M21" s="37"/>
      <c r="N21" s="37"/>
      <c r="O21" s="37"/>
      <c r="P21" s="37"/>
      <c r="Q21" s="37"/>
      <c r="R21" s="37"/>
      <c r="S21" s="37"/>
      <c r="T21" s="37"/>
      <c r="U21" s="3"/>
      <c r="V21" s="18"/>
    </row>
    <row r="22" spans="1:22" ht="15.75" hidden="1" customHeight="1" outlineLevel="1" x14ac:dyDescent="0.3">
      <c r="A22" s="3"/>
      <c r="B22" s="10" t="s">
        <v>570</v>
      </c>
      <c r="C22" s="62"/>
      <c r="D22" s="62"/>
      <c r="E22" s="12">
        <v>0</v>
      </c>
      <c r="F22" s="12">
        <v>0</v>
      </c>
      <c r="G22" s="215"/>
      <c r="H22" s="65"/>
      <c r="I22" s="215"/>
      <c r="J22" s="65"/>
      <c r="K22" s="37"/>
      <c r="L22" s="37"/>
      <c r="M22" s="37"/>
      <c r="N22" s="37"/>
      <c r="O22" s="37"/>
      <c r="P22" s="37"/>
      <c r="Q22" s="37"/>
      <c r="R22" s="37"/>
      <c r="S22" s="37"/>
      <c r="T22" s="37"/>
      <c r="U22" s="3"/>
      <c r="V22" s="18"/>
    </row>
    <row r="23" spans="1:22" ht="15.75" hidden="1" customHeight="1" outlineLevel="1" x14ac:dyDescent="0.3">
      <c r="A23" s="3"/>
      <c r="B23" s="10" t="s">
        <v>571</v>
      </c>
      <c r="C23" s="62"/>
      <c r="D23" s="62"/>
      <c r="E23" s="12">
        <v>0</v>
      </c>
      <c r="F23" s="12">
        <v>0</v>
      </c>
      <c r="G23" s="215"/>
      <c r="H23" s="65"/>
      <c r="I23" s="215"/>
      <c r="J23" s="65"/>
      <c r="K23" s="37"/>
      <c r="L23" s="37"/>
      <c r="M23" s="37"/>
      <c r="N23" s="37"/>
      <c r="O23" s="37"/>
      <c r="P23" s="37"/>
      <c r="Q23" s="37"/>
      <c r="R23" s="37"/>
      <c r="S23" s="37"/>
      <c r="T23" s="37"/>
      <c r="U23" s="3"/>
      <c r="V23" s="18"/>
    </row>
    <row r="24" spans="1:22" ht="15.75" hidden="1" customHeight="1" outlineLevel="1" x14ac:dyDescent="0.3">
      <c r="A24" s="3"/>
      <c r="B24" s="10" t="s">
        <v>572</v>
      </c>
      <c r="C24" s="62"/>
      <c r="D24" s="62"/>
      <c r="E24" s="12">
        <v>0</v>
      </c>
      <c r="F24" s="12">
        <v>0</v>
      </c>
      <c r="G24" s="215"/>
      <c r="H24" s="65"/>
      <c r="I24" s="215"/>
      <c r="J24" s="65"/>
      <c r="K24" s="37"/>
      <c r="L24" s="37"/>
      <c r="M24" s="37"/>
      <c r="N24" s="37"/>
      <c r="O24" s="37"/>
      <c r="P24" s="37"/>
      <c r="Q24" s="37"/>
      <c r="R24" s="37"/>
      <c r="S24" s="37"/>
      <c r="T24" s="37"/>
      <c r="U24" s="3"/>
      <c r="V24" s="18"/>
    </row>
    <row r="25" spans="1:22" ht="15.75" hidden="1" customHeight="1" outlineLevel="1" x14ac:dyDescent="0.3">
      <c r="A25" s="3"/>
      <c r="B25" s="10" t="s">
        <v>573</v>
      </c>
      <c r="C25" s="62"/>
      <c r="D25" s="62"/>
      <c r="E25" s="12">
        <v>0</v>
      </c>
      <c r="F25" s="12">
        <v>0</v>
      </c>
      <c r="G25" s="215"/>
      <c r="H25" s="65"/>
      <c r="I25" s="215"/>
      <c r="J25" s="65"/>
      <c r="K25" s="37"/>
      <c r="L25" s="37"/>
      <c r="M25" s="37"/>
      <c r="N25" s="37"/>
      <c r="O25" s="37"/>
      <c r="P25" s="37"/>
      <c r="Q25" s="37"/>
      <c r="R25" s="37"/>
      <c r="S25" s="37"/>
      <c r="T25" s="37"/>
      <c r="U25" s="3"/>
      <c r="V25" s="18"/>
    </row>
    <row r="26" spans="1:22" ht="15.75" hidden="1" customHeight="1" outlineLevel="1" x14ac:dyDescent="0.3">
      <c r="A26" s="3"/>
      <c r="B26" s="10" t="s">
        <v>574</v>
      </c>
      <c r="C26" s="62"/>
      <c r="D26" s="62"/>
      <c r="E26" s="12">
        <v>0</v>
      </c>
      <c r="F26" s="12">
        <v>0</v>
      </c>
      <c r="G26" s="215"/>
      <c r="H26" s="65"/>
      <c r="I26" s="215"/>
      <c r="J26" s="65"/>
      <c r="K26" s="37"/>
      <c r="L26" s="37"/>
      <c r="M26" s="37"/>
      <c r="N26" s="37"/>
      <c r="O26" s="37"/>
      <c r="P26" s="37"/>
      <c r="Q26" s="37"/>
      <c r="R26" s="37"/>
      <c r="S26" s="37"/>
      <c r="T26" s="37"/>
      <c r="U26" s="3"/>
      <c r="V26" s="18"/>
    </row>
    <row r="27" spans="1:22" ht="15.75" hidden="1" customHeight="1" outlineLevel="1" x14ac:dyDescent="0.3">
      <c r="A27" s="3"/>
      <c r="B27" s="10" t="s">
        <v>1525</v>
      </c>
      <c r="C27" s="62"/>
      <c r="D27" s="62"/>
      <c r="E27" s="12">
        <v>0</v>
      </c>
      <c r="F27" s="12">
        <v>0</v>
      </c>
      <c r="G27" s="216"/>
      <c r="H27" s="65"/>
      <c r="I27" s="216"/>
      <c r="J27" s="65"/>
      <c r="K27" s="37"/>
      <c r="L27" s="37"/>
      <c r="M27" s="37"/>
      <c r="N27" s="37"/>
      <c r="O27" s="37"/>
      <c r="P27" s="37"/>
      <c r="Q27" s="37"/>
      <c r="R27" s="37"/>
      <c r="S27" s="37"/>
      <c r="T27" s="37"/>
      <c r="U27" s="3"/>
      <c r="V27" s="18"/>
    </row>
    <row r="28" spans="1:22" ht="15.75" hidden="1" customHeight="1" outlineLevel="1" x14ac:dyDescent="0.3">
      <c r="A28" s="3"/>
      <c r="B28" s="10" t="s">
        <v>292</v>
      </c>
      <c r="C28" s="62"/>
      <c r="D28" s="62"/>
      <c r="E28" s="12">
        <v>0</v>
      </c>
      <c r="F28" s="12">
        <v>0</v>
      </c>
      <c r="G28" s="65"/>
      <c r="H28" s="65"/>
      <c r="I28" s="112"/>
      <c r="J28" s="65"/>
      <c r="K28" s="37"/>
      <c r="L28" s="37"/>
      <c r="M28" s="37"/>
      <c r="N28" s="37"/>
      <c r="O28" s="37"/>
      <c r="P28" s="37"/>
      <c r="Q28" s="37"/>
      <c r="R28" s="37"/>
      <c r="S28" s="37"/>
      <c r="T28" s="37"/>
      <c r="U28" s="3"/>
      <c r="V28" s="18"/>
    </row>
    <row r="29" spans="1:22" ht="15.75" hidden="1" customHeight="1" outlineLevel="1" x14ac:dyDescent="0.3">
      <c r="A29" s="3"/>
      <c r="B29" s="10" t="s">
        <v>294</v>
      </c>
      <c r="C29" s="62"/>
      <c r="D29" s="62"/>
      <c r="E29" s="12">
        <v>0</v>
      </c>
      <c r="F29" s="12">
        <v>0</v>
      </c>
      <c r="G29" s="89"/>
      <c r="H29" s="65"/>
      <c r="I29" s="112"/>
      <c r="J29" s="65"/>
      <c r="K29" s="37"/>
      <c r="L29" s="37"/>
      <c r="M29" s="37"/>
      <c r="N29" s="37"/>
      <c r="O29" s="37"/>
      <c r="P29" s="37"/>
      <c r="Q29" s="37"/>
      <c r="R29" s="37"/>
      <c r="S29" s="37"/>
      <c r="T29" s="37"/>
      <c r="U29" s="3"/>
    </row>
    <row r="30" spans="1:22" ht="15.75" hidden="1" customHeight="1" outlineLevel="1" x14ac:dyDescent="0.3">
      <c r="A30" s="3"/>
      <c r="B30" s="10" t="s">
        <v>579</v>
      </c>
      <c r="C30" s="62"/>
      <c r="D30" s="62"/>
      <c r="E30" s="12">
        <v>0</v>
      </c>
      <c r="F30" s="12">
        <v>0</v>
      </c>
      <c r="G30" s="65"/>
      <c r="H30" s="65"/>
      <c r="I30" s="112"/>
      <c r="J30" s="65"/>
      <c r="K30" s="37"/>
      <c r="L30" s="37"/>
      <c r="M30" s="37"/>
      <c r="N30" s="37"/>
      <c r="O30" s="37"/>
      <c r="P30" s="37"/>
      <c r="Q30" s="37"/>
      <c r="R30" s="37"/>
      <c r="S30" s="37"/>
      <c r="T30" s="37"/>
      <c r="U30" s="3"/>
    </row>
    <row r="31" spans="1:22" ht="15.75" hidden="1" customHeight="1" outlineLevel="1" x14ac:dyDescent="0.3">
      <c r="A31" s="3"/>
      <c r="B31" s="10" t="s">
        <v>582</v>
      </c>
      <c r="C31" s="62"/>
      <c r="D31" s="62"/>
      <c r="E31" s="12">
        <v>0</v>
      </c>
      <c r="F31" s="12">
        <v>0</v>
      </c>
      <c r="G31" s="89"/>
      <c r="H31" s="65"/>
      <c r="I31" s="112"/>
      <c r="J31" s="65"/>
      <c r="K31" s="37"/>
      <c r="L31" s="37"/>
      <c r="M31" s="37"/>
      <c r="N31" s="37"/>
      <c r="O31" s="37"/>
      <c r="P31" s="37"/>
      <c r="Q31" s="37"/>
      <c r="R31" s="37"/>
      <c r="S31" s="37"/>
      <c r="T31" s="37"/>
      <c r="U31" s="3"/>
    </row>
    <row r="32" spans="1:22" ht="15.75" hidden="1" customHeight="1" outlineLevel="1" x14ac:dyDescent="0.3">
      <c r="A32" s="3"/>
      <c r="B32" s="10" t="s">
        <v>582</v>
      </c>
      <c r="C32" s="62"/>
      <c r="D32" s="62"/>
      <c r="E32" s="12">
        <v>0</v>
      </c>
      <c r="F32" s="12">
        <v>0</v>
      </c>
      <c r="G32" s="65"/>
      <c r="H32" s="65"/>
      <c r="I32" s="89"/>
      <c r="J32" s="65"/>
      <c r="K32" s="37"/>
      <c r="L32" s="37"/>
      <c r="M32" s="37"/>
      <c r="N32" s="37"/>
      <c r="O32" s="37"/>
      <c r="P32" s="37"/>
      <c r="Q32" s="37"/>
      <c r="R32" s="37"/>
      <c r="S32" s="37"/>
      <c r="T32" s="37"/>
      <c r="U32" s="3"/>
    </row>
    <row r="33" spans="1:26" ht="15.75" customHeight="1" collapsed="1" x14ac:dyDescent="0.3">
      <c r="A33" s="3"/>
      <c r="B33" s="84" t="s">
        <v>300</v>
      </c>
      <c r="C33" s="85" t="s">
        <v>43</v>
      </c>
      <c r="D33" s="85" t="s">
        <v>43</v>
      </c>
      <c r="E33" s="86">
        <f>SUM(E34:E36)</f>
        <v>0</v>
      </c>
      <c r="F33" s="86">
        <f>SUMIF(D34:D36,"OK",F34:F36)</f>
        <v>0</v>
      </c>
      <c r="G33" s="87"/>
      <c r="H33" s="87"/>
      <c r="I33" s="88"/>
      <c r="J33" s="87"/>
      <c r="K33" s="37"/>
      <c r="L33" s="37"/>
      <c r="M33" s="37"/>
      <c r="N33" s="37"/>
      <c r="O33" s="37"/>
      <c r="P33" s="37"/>
      <c r="Q33" s="37"/>
      <c r="R33" s="37"/>
      <c r="S33" s="37"/>
      <c r="T33" s="37"/>
      <c r="U33" s="3"/>
      <c r="W33" s="3"/>
      <c r="X33" s="3"/>
      <c r="Y33" s="3"/>
      <c r="Z33" s="3"/>
    </row>
    <row r="34" spans="1:26" ht="15.75" hidden="1" customHeight="1" outlineLevel="1" x14ac:dyDescent="0.3">
      <c r="A34" s="3"/>
      <c r="B34" s="10" t="s">
        <v>583</v>
      </c>
      <c r="C34" s="62"/>
      <c r="D34" s="62"/>
      <c r="E34" s="12">
        <v>0</v>
      </c>
      <c r="F34" s="12">
        <v>0</v>
      </c>
      <c r="G34" s="65"/>
      <c r="H34" s="65"/>
      <c r="I34" s="112"/>
      <c r="J34" s="65"/>
      <c r="K34" s="37"/>
      <c r="L34" s="37"/>
      <c r="M34" s="37"/>
      <c r="N34" s="37"/>
      <c r="O34" s="37"/>
      <c r="P34" s="37"/>
      <c r="Q34" s="37"/>
      <c r="R34" s="37"/>
      <c r="S34" s="37"/>
      <c r="T34" s="37"/>
      <c r="U34" s="3"/>
      <c r="W34" s="3"/>
      <c r="X34" s="3"/>
      <c r="Y34" s="3"/>
      <c r="Z34" s="3"/>
    </row>
    <row r="35" spans="1:26" ht="15.75" hidden="1" customHeight="1" outlineLevel="1" x14ac:dyDescent="0.3">
      <c r="A35" s="3"/>
      <c r="B35" s="10" t="s">
        <v>1526</v>
      </c>
      <c r="C35" s="62"/>
      <c r="D35" s="62"/>
      <c r="E35" s="12">
        <v>0</v>
      </c>
      <c r="F35" s="12">
        <v>0</v>
      </c>
      <c r="G35" s="67"/>
      <c r="H35" s="65"/>
      <c r="I35" s="112"/>
      <c r="J35" s="65"/>
      <c r="K35" s="37"/>
      <c r="L35" s="37"/>
      <c r="M35" s="37"/>
      <c r="N35" s="37"/>
      <c r="O35" s="37"/>
      <c r="P35" s="37"/>
      <c r="Q35" s="37"/>
      <c r="R35" s="37"/>
      <c r="S35" s="37"/>
      <c r="T35" s="37"/>
      <c r="U35" s="3"/>
      <c r="W35" s="3"/>
      <c r="X35" s="3"/>
      <c r="Y35" s="3"/>
      <c r="Z35" s="3"/>
    </row>
    <row r="36" spans="1:26" ht="15.75" hidden="1" customHeight="1" outlineLevel="1" x14ac:dyDescent="0.3">
      <c r="A36" s="3"/>
      <c r="B36" s="10" t="s">
        <v>1527</v>
      </c>
      <c r="C36" s="62"/>
      <c r="D36" s="62"/>
      <c r="E36" s="12">
        <v>0</v>
      </c>
      <c r="F36" s="12">
        <v>0</v>
      </c>
      <c r="G36" s="65"/>
      <c r="H36" s="65"/>
      <c r="I36" s="112"/>
      <c r="J36" s="65"/>
      <c r="K36" s="37"/>
      <c r="L36" s="37"/>
      <c r="M36" s="37"/>
      <c r="N36" s="37"/>
      <c r="O36" s="37"/>
      <c r="P36" s="37"/>
      <c r="Q36" s="37"/>
      <c r="R36" s="37"/>
      <c r="S36" s="37"/>
      <c r="T36" s="37"/>
      <c r="U36" s="3"/>
      <c r="W36" s="3"/>
      <c r="X36" s="3"/>
      <c r="Y36" s="3"/>
      <c r="Z36" s="3"/>
    </row>
    <row r="37" spans="1:26" ht="15.75" customHeight="1" collapsed="1" x14ac:dyDescent="0.3">
      <c r="A37" s="3"/>
      <c r="B37" s="84" t="s">
        <v>306</v>
      </c>
      <c r="C37" s="85" t="s">
        <v>43</v>
      </c>
      <c r="D37" s="85" t="s">
        <v>43</v>
      </c>
      <c r="E37" s="86">
        <f>SUM(E38:E61)</f>
        <v>0</v>
      </c>
      <c r="F37" s="86">
        <f>SUMIF(D38:D61,"OK",F38:F61)</f>
        <v>0</v>
      </c>
      <c r="G37" s="87"/>
      <c r="H37" s="87"/>
      <c r="I37" s="88"/>
      <c r="J37" s="87"/>
      <c r="K37" s="37"/>
      <c r="L37" s="37"/>
      <c r="M37" s="37"/>
      <c r="N37" s="37"/>
      <c r="O37" s="37"/>
      <c r="P37" s="37"/>
      <c r="Q37" s="37"/>
      <c r="R37" s="37"/>
      <c r="S37" s="37"/>
      <c r="T37" s="37"/>
      <c r="U37" s="3"/>
      <c r="W37" s="3"/>
      <c r="X37" s="3"/>
      <c r="Y37" s="3"/>
      <c r="Z37" s="3"/>
    </row>
    <row r="38" spans="1:26" ht="15.75" hidden="1" customHeight="1" outlineLevel="1" x14ac:dyDescent="0.3">
      <c r="A38" s="3"/>
      <c r="B38" s="10" t="s">
        <v>307</v>
      </c>
      <c r="C38" s="62"/>
      <c r="D38" s="62"/>
      <c r="E38" s="12">
        <v>0</v>
      </c>
      <c r="F38" s="12">
        <v>0</v>
      </c>
      <c r="G38" s="65"/>
      <c r="H38" s="65"/>
      <c r="I38" s="112"/>
      <c r="J38" s="65"/>
      <c r="K38" s="37"/>
      <c r="L38" s="37"/>
      <c r="M38" s="37"/>
      <c r="N38" s="37"/>
      <c r="O38" s="37"/>
      <c r="P38" s="37"/>
      <c r="Q38" s="37"/>
      <c r="R38" s="37"/>
      <c r="S38" s="37"/>
      <c r="T38" s="37"/>
      <c r="U38" s="3"/>
      <c r="W38" s="3"/>
      <c r="X38" s="3"/>
      <c r="Y38" s="3"/>
      <c r="Z38" s="3"/>
    </row>
    <row r="39" spans="1:26" ht="15.75" hidden="1" customHeight="1" outlineLevel="1" x14ac:dyDescent="0.3">
      <c r="A39" s="3"/>
      <c r="B39" s="10" t="s">
        <v>589</v>
      </c>
      <c r="C39" s="62"/>
      <c r="D39" s="62"/>
      <c r="E39" s="12">
        <v>0</v>
      </c>
      <c r="F39" s="12">
        <v>0</v>
      </c>
      <c r="G39" s="65"/>
      <c r="H39" s="65"/>
      <c r="I39" s="112"/>
      <c r="J39" s="65"/>
      <c r="K39" s="37"/>
      <c r="L39" s="37"/>
      <c r="M39" s="37"/>
      <c r="N39" s="37"/>
      <c r="O39" s="37"/>
      <c r="P39" s="37"/>
      <c r="Q39" s="37"/>
      <c r="R39" s="37"/>
      <c r="S39" s="37"/>
      <c r="T39" s="37"/>
      <c r="U39" s="3"/>
      <c r="W39" s="3"/>
      <c r="X39" s="3"/>
      <c r="Y39" s="3"/>
      <c r="Z39" s="3"/>
    </row>
    <row r="40" spans="1:26" ht="15.75" hidden="1" customHeight="1" outlineLevel="1" x14ac:dyDescent="0.3">
      <c r="A40" s="3"/>
      <c r="B40" s="10" t="s">
        <v>756</v>
      </c>
      <c r="C40" s="62"/>
      <c r="D40" s="62"/>
      <c r="E40" s="12">
        <v>0</v>
      </c>
      <c r="F40" s="12">
        <v>0</v>
      </c>
      <c r="G40" s="65"/>
      <c r="H40" s="65"/>
      <c r="I40" s="112"/>
      <c r="J40" s="65"/>
      <c r="K40" s="37"/>
      <c r="L40" s="37"/>
      <c r="M40" s="37"/>
      <c r="N40" s="37"/>
      <c r="O40" s="37"/>
      <c r="P40" s="37"/>
      <c r="Q40" s="37"/>
      <c r="R40" s="37"/>
      <c r="S40" s="37"/>
      <c r="T40" s="37"/>
      <c r="U40" s="3"/>
      <c r="W40" s="3"/>
      <c r="X40" s="3"/>
      <c r="Y40" s="3"/>
      <c r="Z40" s="3"/>
    </row>
    <row r="41" spans="1:26" ht="15.75" hidden="1" customHeight="1" outlineLevel="1" x14ac:dyDescent="0.3">
      <c r="A41" s="3"/>
      <c r="B41" s="10" t="s">
        <v>312</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5.75" hidden="1" customHeight="1" outlineLevel="1" x14ac:dyDescent="0.3">
      <c r="A42" s="3"/>
      <c r="B42" s="10" t="s">
        <v>314</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5.75" hidden="1" customHeight="1" outlineLevel="1" x14ac:dyDescent="0.3">
      <c r="A43" s="3"/>
      <c r="B43" s="10" t="s">
        <v>316</v>
      </c>
      <c r="C43" s="62"/>
      <c r="D43" s="62"/>
      <c r="E43" s="12">
        <v>0</v>
      </c>
      <c r="F43" s="12">
        <v>0</v>
      </c>
      <c r="G43" s="89"/>
      <c r="H43" s="65"/>
      <c r="I43" s="112"/>
      <c r="J43" s="65"/>
      <c r="K43" s="37"/>
      <c r="L43" s="37"/>
      <c r="M43" s="37"/>
      <c r="N43" s="37"/>
      <c r="O43" s="37"/>
      <c r="P43" s="37"/>
      <c r="Q43" s="37"/>
      <c r="R43" s="37"/>
      <c r="S43" s="37"/>
      <c r="T43" s="37"/>
      <c r="U43" s="3"/>
      <c r="W43" s="3"/>
      <c r="X43" s="3"/>
      <c r="Y43" s="3"/>
      <c r="Z43" s="3"/>
    </row>
    <row r="44" spans="1:26" ht="15.75" hidden="1" customHeight="1" outlineLevel="1" x14ac:dyDescent="0.3">
      <c r="A44" s="3"/>
      <c r="B44" s="10" t="s">
        <v>316</v>
      </c>
      <c r="C44" s="62"/>
      <c r="D44" s="62"/>
      <c r="E44" s="12">
        <v>0</v>
      </c>
      <c r="F44" s="12">
        <v>0</v>
      </c>
      <c r="G44" s="65"/>
      <c r="H44" s="65"/>
      <c r="I44" s="112"/>
      <c r="J44" s="65"/>
      <c r="K44" s="37"/>
      <c r="L44" s="37"/>
      <c r="M44" s="37"/>
      <c r="N44" s="37"/>
      <c r="O44" s="37"/>
      <c r="P44" s="37"/>
      <c r="Q44" s="37"/>
      <c r="R44" s="37"/>
      <c r="S44" s="37"/>
      <c r="T44" s="37"/>
      <c r="U44" s="3"/>
      <c r="W44" s="3"/>
      <c r="X44" s="3"/>
      <c r="Y44" s="3"/>
      <c r="Z44" s="3"/>
    </row>
    <row r="45" spans="1:26" ht="15.75" hidden="1" customHeight="1" outlineLevel="1" x14ac:dyDescent="0.3">
      <c r="A45" s="3"/>
      <c r="B45" s="10" t="s">
        <v>317</v>
      </c>
      <c r="C45" s="62"/>
      <c r="D45" s="62"/>
      <c r="E45" s="12">
        <v>0</v>
      </c>
      <c r="F45" s="12">
        <v>0</v>
      </c>
      <c r="G45" s="65"/>
      <c r="H45" s="65"/>
      <c r="I45" s="89"/>
      <c r="J45" s="65"/>
      <c r="K45" s="37"/>
      <c r="L45" s="37"/>
      <c r="M45" s="37"/>
      <c r="N45" s="37"/>
      <c r="O45" s="37"/>
      <c r="P45" s="37"/>
      <c r="Q45" s="37"/>
      <c r="R45" s="37"/>
      <c r="S45" s="37"/>
      <c r="T45" s="37"/>
      <c r="U45" s="3"/>
      <c r="W45" s="3"/>
      <c r="X45" s="3"/>
      <c r="Y45" s="3"/>
      <c r="Z45" s="3"/>
    </row>
    <row r="46" spans="1:26" ht="15.75" hidden="1" customHeight="1" outlineLevel="1" x14ac:dyDescent="0.3">
      <c r="A46" s="3"/>
      <c r="B46" s="10" t="s">
        <v>1528</v>
      </c>
      <c r="C46" s="62"/>
      <c r="D46" s="62"/>
      <c r="E46" s="12">
        <v>0</v>
      </c>
      <c r="F46" s="12">
        <v>0</v>
      </c>
      <c r="G46" s="65"/>
      <c r="H46" s="65"/>
      <c r="I46" s="112"/>
      <c r="J46" s="65"/>
      <c r="K46" s="37"/>
      <c r="L46" s="37"/>
      <c r="M46" s="37"/>
      <c r="N46" s="37"/>
      <c r="O46" s="37"/>
      <c r="P46" s="37"/>
      <c r="Q46" s="37"/>
      <c r="R46" s="37"/>
      <c r="S46" s="37"/>
      <c r="T46" s="37"/>
      <c r="U46" s="3"/>
      <c r="W46" s="3"/>
      <c r="X46" s="3"/>
      <c r="Y46" s="3"/>
      <c r="Z46" s="3"/>
    </row>
    <row r="47" spans="1:26" ht="15.75" hidden="1" customHeight="1" outlineLevel="1" x14ac:dyDescent="0.3">
      <c r="A47" s="3"/>
      <c r="B47" s="10" t="s">
        <v>1528</v>
      </c>
      <c r="C47" s="62"/>
      <c r="D47" s="62"/>
      <c r="E47" s="12">
        <v>0</v>
      </c>
      <c r="F47" s="12">
        <v>0</v>
      </c>
      <c r="G47" s="65"/>
      <c r="H47" s="65"/>
      <c r="I47" s="112"/>
      <c r="J47" s="65"/>
      <c r="K47" s="37"/>
      <c r="L47" s="37"/>
      <c r="M47" s="37"/>
      <c r="N47" s="37"/>
      <c r="O47" s="37"/>
      <c r="P47" s="37"/>
      <c r="Q47" s="37"/>
      <c r="R47" s="37"/>
      <c r="S47" s="37"/>
      <c r="T47" s="37"/>
      <c r="U47" s="3"/>
      <c r="W47" s="3"/>
      <c r="X47" s="3"/>
      <c r="Y47" s="3"/>
      <c r="Z47" s="3"/>
    </row>
    <row r="48" spans="1:26" ht="15.75" hidden="1" customHeight="1" outlineLevel="1" x14ac:dyDescent="0.3">
      <c r="A48" s="3"/>
      <c r="B48" s="10" t="s">
        <v>1528</v>
      </c>
      <c r="C48" s="62"/>
      <c r="D48" s="62"/>
      <c r="E48" s="12">
        <v>0</v>
      </c>
      <c r="F48" s="12">
        <v>0</v>
      </c>
      <c r="G48" s="65"/>
      <c r="H48" s="65"/>
      <c r="I48" s="112"/>
      <c r="J48" s="65"/>
      <c r="K48" s="37"/>
      <c r="L48" s="37"/>
      <c r="M48" s="37"/>
      <c r="N48" s="37"/>
      <c r="O48" s="37"/>
      <c r="P48" s="37"/>
      <c r="Q48" s="37"/>
      <c r="R48" s="37"/>
      <c r="S48" s="37"/>
      <c r="T48" s="37"/>
      <c r="U48" s="3"/>
      <c r="W48" s="3"/>
      <c r="X48" s="3"/>
      <c r="Y48" s="3"/>
      <c r="Z48" s="3"/>
    </row>
    <row r="49" spans="1:26" ht="15.75" hidden="1" customHeight="1" outlineLevel="1" x14ac:dyDescent="0.3">
      <c r="A49" s="3"/>
      <c r="B49" s="10" t="s">
        <v>1529</v>
      </c>
      <c r="C49" s="62"/>
      <c r="D49" s="62"/>
      <c r="E49" s="12">
        <v>0</v>
      </c>
      <c r="F49" s="12">
        <v>0</v>
      </c>
      <c r="G49" s="89"/>
      <c r="H49" s="65"/>
      <c r="I49" s="112"/>
      <c r="J49" s="65"/>
      <c r="K49" s="37"/>
      <c r="L49" s="37"/>
      <c r="M49" s="37"/>
      <c r="N49" s="37"/>
      <c r="O49" s="37"/>
      <c r="P49" s="37"/>
      <c r="Q49" s="37"/>
      <c r="R49" s="37"/>
      <c r="S49" s="37"/>
      <c r="T49" s="37"/>
      <c r="U49" s="3"/>
      <c r="W49" s="3"/>
      <c r="X49" s="3"/>
      <c r="Y49" s="3"/>
      <c r="Z49" s="3"/>
    </row>
    <row r="50" spans="1:26" ht="15.75" hidden="1" customHeight="1" outlineLevel="1" x14ac:dyDescent="0.3">
      <c r="A50" s="3"/>
      <c r="B50" s="10" t="s">
        <v>1528</v>
      </c>
      <c r="C50" s="62"/>
      <c r="D50" s="62"/>
      <c r="E50" s="12">
        <v>0</v>
      </c>
      <c r="F50" s="12">
        <v>0</v>
      </c>
      <c r="G50" s="89"/>
      <c r="H50" s="65"/>
      <c r="I50" s="112"/>
      <c r="J50" s="65"/>
      <c r="K50" s="37"/>
      <c r="L50" s="37"/>
      <c r="M50" s="37"/>
      <c r="N50" s="37"/>
      <c r="O50" s="37"/>
      <c r="P50" s="37"/>
      <c r="Q50" s="37"/>
      <c r="R50" s="37"/>
      <c r="S50" s="37"/>
      <c r="T50" s="37"/>
      <c r="U50" s="3"/>
      <c r="W50" s="3"/>
      <c r="X50" s="3"/>
      <c r="Y50" s="3"/>
      <c r="Z50" s="3"/>
    </row>
    <row r="51" spans="1:26" ht="15.75" hidden="1" customHeight="1" outlineLevel="1" x14ac:dyDescent="0.3">
      <c r="A51" s="3"/>
      <c r="B51" s="10" t="s">
        <v>1530</v>
      </c>
      <c r="C51" s="80"/>
      <c r="D51" s="62"/>
      <c r="E51" s="12">
        <v>0</v>
      </c>
      <c r="F51" s="12">
        <v>0</v>
      </c>
      <c r="G51" s="65"/>
      <c r="H51" s="65"/>
      <c r="I51" s="112"/>
      <c r="J51" s="65"/>
      <c r="K51" s="37"/>
      <c r="L51" s="37"/>
      <c r="M51" s="37"/>
      <c r="N51" s="37"/>
      <c r="O51" s="37"/>
      <c r="P51" s="37"/>
      <c r="Q51" s="37"/>
      <c r="R51" s="37"/>
      <c r="S51" s="37"/>
      <c r="T51" s="37"/>
      <c r="U51" s="3"/>
      <c r="W51" s="3"/>
      <c r="X51" s="3"/>
      <c r="Y51" s="3"/>
      <c r="Z51" s="3"/>
    </row>
    <row r="52" spans="1:26" ht="15.75" hidden="1" customHeight="1" outlineLevel="1" x14ac:dyDescent="0.3">
      <c r="A52" s="3"/>
      <c r="B52" s="10" t="s">
        <v>595</v>
      </c>
      <c r="C52" s="62"/>
      <c r="D52" s="62"/>
      <c r="E52" s="12">
        <v>0</v>
      </c>
      <c r="F52" s="12">
        <v>0</v>
      </c>
      <c r="G52" s="65"/>
      <c r="H52" s="65"/>
      <c r="I52" s="112"/>
      <c r="J52" s="65"/>
      <c r="K52" s="37"/>
      <c r="L52" s="37"/>
      <c r="M52" s="37"/>
      <c r="N52" s="37"/>
      <c r="O52" s="37"/>
      <c r="P52" s="37"/>
      <c r="Q52" s="37"/>
      <c r="R52" s="37"/>
      <c r="S52" s="37"/>
      <c r="T52" s="37"/>
      <c r="U52" s="3"/>
      <c r="W52" s="3"/>
      <c r="X52" s="3"/>
      <c r="Y52" s="3"/>
      <c r="Z52" s="3"/>
    </row>
    <row r="53" spans="1:26" ht="15.75" hidden="1" customHeight="1" outlineLevel="1" x14ac:dyDescent="0.3">
      <c r="A53" s="3"/>
      <c r="B53" s="10" t="s">
        <v>50</v>
      </c>
      <c r="C53" s="62"/>
      <c r="D53" s="62"/>
      <c r="E53" s="12">
        <v>0</v>
      </c>
      <c r="F53" s="12">
        <v>0</v>
      </c>
      <c r="G53" s="65"/>
      <c r="H53" s="65"/>
      <c r="I53" s="112"/>
      <c r="J53" s="65"/>
      <c r="K53" s="37"/>
      <c r="L53" s="37"/>
      <c r="M53" s="37"/>
      <c r="N53" s="37"/>
      <c r="O53" s="37"/>
      <c r="P53" s="37"/>
      <c r="Q53" s="37"/>
      <c r="R53" s="37"/>
      <c r="S53" s="37"/>
      <c r="T53" s="37"/>
      <c r="U53" s="3"/>
      <c r="W53" s="3"/>
      <c r="X53" s="3"/>
      <c r="Y53" s="3"/>
      <c r="Z53" s="3"/>
    </row>
    <row r="54" spans="1:26" ht="15.75" hidden="1" customHeight="1" outlineLevel="1" x14ac:dyDescent="0.3">
      <c r="A54" s="3"/>
      <c r="B54" s="10" t="s">
        <v>50</v>
      </c>
      <c r="C54" s="62"/>
      <c r="D54" s="62"/>
      <c r="E54" s="12">
        <v>0</v>
      </c>
      <c r="F54" s="12">
        <v>0</v>
      </c>
      <c r="G54" s="89"/>
      <c r="H54" s="65"/>
      <c r="I54" s="112"/>
      <c r="J54" s="65"/>
      <c r="K54" s="37"/>
      <c r="L54" s="37"/>
      <c r="M54" s="37"/>
      <c r="N54" s="37"/>
      <c r="O54" s="37"/>
      <c r="P54" s="37"/>
      <c r="Q54" s="37"/>
      <c r="R54" s="37"/>
      <c r="S54" s="37"/>
      <c r="T54" s="37"/>
      <c r="U54" s="3"/>
      <c r="W54" s="3"/>
      <c r="X54" s="3"/>
      <c r="Y54" s="3"/>
      <c r="Z54" s="3"/>
    </row>
    <row r="55" spans="1:26" ht="15.75" hidden="1" customHeight="1" outlineLevel="1" x14ac:dyDescent="0.3">
      <c r="A55" s="3"/>
      <c r="B55" s="10" t="s">
        <v>50</v>
      </c>
      <c r="C55" s="62"/>
      <c r="D55" s="62"/>
      <c r="E55" s="12">
        <v>0</v>
      </c>
      <c r="F55" s="12">
        <v>0</v>
      </c>
      <c r="G55" s="89"/>
      <c r="H55" s="65"/>
      <c r="I55" s="112"/>
      <c r="J55" s="65"/>
      <c r="K55" s="37"/>
      <c r="L55" s="37"/>
      <c r="M55" s="37"/>
      <c r="N55" s="37"/>
      <c r="O55" s="37"/>
      <c r="P55" s="37"/>
      <c r="Q55" s="37"/>
      <c r="R55" s="37"/>
      <c r="S55" s="37"/>
      <c r="T55" s="37"/>
      <c r="U55" s="3"/>
      <c r="W55" s="3"/>
      <c r="X55" s="3"/>
      <c r="Y55" s="3"/>
      <c r="Z55" s="3"/>
    </row>
    <row r="56" spans="1:26" ht="15.75" hidden="1" customHeight="1" outlineLevel="1" x14ac:dyDescent="0.3">
      <c r="A56" s="3"/>
      <c r="B56" s="10" t="s">
        <v>50</v>
      </c>
      <c r="C56" s="62"/>
      <c r="D56" s="62"/>
      <c r="E56" s="12">
        <v>0</v>
      </c>
      <c r="F56" s="12">
        <v>0</v>
      </c>
      <c r="G56" s="89"/>
      <c r="H56" s="65"/>
      <c r="I56" s="112"/>
      <c r="J56" s="65"/>
      <c r="K56" s="37"/>
      <c r="L56" s="37"/>
      <c r="M56" s="37"/>
      <c r="N56" s="37"/>
      <c r="O56" s="37"/>
      <c r="P56" s="37"/>
      <c r="Q56" s="37"/>
      <c r="R56" s="37"/>
      <c r="S56" s="37"/>
      <c r="T56" s="37"/>
      <c r="U56" s="3"/>
      <c r="W56" s="3"/>
      <c r="X56" s="3"/>
      <c r="Y56" s="3"/>
      <c r="Z56" s="3"/>
    </row>
    <row r="57" spans="1:26" ht="15.75" hidden="1" customHeight="1" outlineLevel="1" x14ac:dyDescent="0.3">
      <c r="A57" s="3"/>
      <c r="B57" s="10" t="s">
        <v>50</v>
      </c>
      <c r="C57" s="62"/>
      <c r="D57" s="62"/>
      <c r="E57" s="12">
        <v>0</v>
      </c>
      <c r="F57" s="12">
        <v>0</v>
      </c>
      <c r="G57" s="89"/>
      <c r="H57" s="65"/>
      <c r="I57" s="112"/>
      <c r="J57" s="65"/>
      <c r="K57" s="37"/>
      <c r="L57" s="37"/>
      <c r="M57" s="37"/>
      <c r="N57" s="37"/>
      <c r="O57" s="37"/>
      <c r="P57" s="37"/>
      <c r="Q57" s="37"/>
      <c r="R57" s="37"/>
      <c r="S57" s="37"/>
      <c r="T57" s="37"/>
      <c r="U57" s="3"/>
      <c r="W57" s="3"/>
      <c r="X57" s="3"/>
      <c r="Y57" s="3"/>
      <c r="Z57" s="3"/>
    </row>
    <row r="58" spans="1:26" ht="15.75" hidden="1" customHeight="1" outlineLevel="1" x14ac:dyDescent="0.3">
      <c r="A58" s="3"/>
      <c r="B58" s="10" t="s">
        <v>50</v>
      </c>
      <c r="C58" s="62"/>
      <c r="D58" s="62"/>
      <c r="E58" s="12">
        <v>0</v>
      </c>
      <c r="F58" s="12">
        <v>0</v>
      </c>
      <c r="G58" s="89"/>
      <c r="H58" s="65"/>
      <c r="I58" s="112"/>
      <c r="J58" s="65"/>
      <c r="K58" s="37"/>
      <c r="L58" s="37"/>
      <c r="M58" s="37"/>
      <c r="N58" s="37"/>
      <c r="O58" s="37"/>
      <c r="P58" s="37"/>
      <c r="Q58" s="37"/>
      <c r="R58" s="37"/>
      <c r="S58" s="37"/>
      <c r="T58" s="37"/>
      <c r="U58" s="3"/>
      <c r="W58" s="3"/>
      <c r="X58" s="3"/>
      <c r="Y58" s="3"/>
      <c r="Z58" s="3"/>
    </row>
    <row r="59" spans="1:26" ht="15.75" hidden="1" customHeight="1" outlineLevel="1" x14ac:dyDescent="0.3">
      <c r="A59" s="3"/>
      <c r="B59" s="10" t="s">
        <v>50</v>
      </c>
      <c r="C59" s="62"/>
      <c r="D59" s="62"/>
      <c r="E59" s="12">
        <v>0</v>
      </c>
      <c r="F59" s="12">
        <v>0</v>
      </c>
      <c r="G59" s="89"/>
      <c r="H59" s="65"/>
      <c r="I59" s="112"/>
      <c r="J59" s="65"/>
      <c r="K59" s="37"/>
      <c r="L59" s="37"/>
      <c r="M59" s="37"/>
      <c r="N59" s="37"/>
      <c r="O59" s="37"/>
      <c r="P59" s="37"/>
      <c r="Q59" s="37"/>
      <c r="R59" s="37"/>
      <c r="S59" s="37"/>
      <c r="T59" s="37"/>
      <c r="U59" s="3"/>
      <c r="W59" s="3"/>
      <c r="X59" s="3"/>
      <c r="Y59" s="3"/>
      <c r="Z59" s="3"/>
    </row>
    <row r="60" spans="1:26" ht="15.75" hidden="1" customHeight="1" outlineLevel="1" x14ac:dyDescent="0.3">
      <c r="A60" s="3"/>
      <c r="B60" s="10" t="s">
        <v>50</v>
      </c>
      <c r="C60" s="62"/>
      <c r="D60" s="62"/>
      <c r="E60" s="12">
        <v>0</v>
      </c>
      <c r="F60" s="12">
        <v>0</v>
      </c>
      <c r="G60" s="89"/>
      <c r="H60" s="65"/>
      <c r="I60" s="112"/>
      <c r="J60" s="65"/>
      <c r="K60" s="37"/>
      <c r="L60" s="37"/>
      <c r="M60" s="37"/>
      <c r="N60" s="37"/>
      <c r="O60" s="37"/>
      <c r="P60" s="37"/>
      <c r="Q60" s="37"/>
      <c r="R60" s="37"/>
      <c r="S60" s="37"/>
      <c r="T60" s="37"/>
      <c r="U60" s="3"/>
      <c r="W60" s="3"/>
      <c r="X60" s="3"/>
      <c r="Y60" s="3"/>
      <c r="Z60" s="3"/>
    </row>
    <row r="61" spans="1:26" ht="15.75" hidden="1" customHeight="1" outlineLevel="1" x14ac:dyDescent="0.3">
      <c r="A61" s="3"/>
      <c r="B61" s="10" t="s">
        <v>50</v>
      </c>
      <c r="C61" s="62"/>
      <c r="D61" s="62"/>
      <c r="E61" s="12">
        <v>0</v>
      </c>
      <c r="F61" s="12">
        <v>0</v>
      </c>
      <c r="G61" s="65"/>
      <c r="H61" s="65"/>
      <c r="I61" s="112"/>
      <c r="J61" s="65"/>
      <c r="K61" s="37"/>
      <c r="L61" s="37"/>
      <c r="M61" s="37"/>
      <c r="N61" s="37"/>
      <c r="O61" s="37"/>
      <c r="P61" s="37"/>
      <c r="Q61" s="37"/>
      <c r="R61" s="37"/>
      <c r="S61" s="37"/>
      <c r="T61" s="37"/>
      <c r="U61" s="3"/>
      <c r="W61" s="3"/>
      <c r="X61" s="3"/>
      <c r="Y61" s="3"/>
      <c r="Z61" s="3"/>
    </row>
    <row r="62" spans="1:26" ht="15.75" customHeight="1" collapsed="1" x14ac:dyDescent="0.3">
      <c r="A62" s="3"/>
      <c r="B62" s="84" t="s">
        <v>329</v>
      </c>
      <c r="C62" s="85" t="s">
        <v>43</v>
      </c>
      <c r="D62" s="85" t="s">
        <v>43</v>
      </c>
      <c r="E62" s="86">
        <f>SUM(E63:E88)</f>
        <v>0</v>
      </c>
      <c r="F62" s="86">
        <f>SUMIF(D63:D88,"OK",F63:F88)</f>
        <v>0</v>
      </c>
      <c r="G62" s="87"/>
      <c r="H62" s="87"/>
      <c r="I62" s="88"/>
      <c r="J62" s="87"/>
      <c r="K62" s="37"/>
      <c r="L62" s="37"/>
      <c r="M62" s="37"/>
      <c r="N62" s="37"/>
      <c r="O62" s="37"/>
      <c r="P62" s="37"/>
      <c r="Q62" s="37"/>
      <c r="R62" s="37"/>
      <c r="S62" s="37"/>
      <c r="T62" s="37"/>
      <c r="U62" s="3"/>
    </row>
    <row r="63" spans="1:26" ht="15.75" hidden="1" customHeight="1" outlineLevel="1" x14ac:dyDescent="0.3">
      <c r="A63" s="3"/>
      <c r="B63" s="10" t="s">
        <v>1199</v>
      </c>
      <c r="C63" s="80"/>
      <c r="D63" s="62"/>
      <c r="E63" s="12">
        <v>0</v>
      </c>
      <c r="F63" s="12">
        <v>0</v>
      </c>
      <c r="G63" s="65"/>
      <c r="H63" s="65"/>
      <c r="I63" s="112"/>
      <c r="J63" s="89"/>
      <c r="K63" s="37"/>
      <c r="L63" s="37"/>
      <c r="M63" s="37"/>
      <c r="N63" s="37"/>
      <c r="O63" s="37"/>
      <c r="P63" s="37"/>
      <c r="Q63" s="37"/>
      <c r="R63" s="37"/>
      <c r="S63" s="37"/>
      <c r="T63" s="37"/>
      <c r="U63" s="3"/>
      <c r="V63" s="18"/>
    </row>
    <row r="64" spans="1:26" ht="15.75" hidden="1" customHeight="1" outlineLevel="1" x14ac:dyDescent="0.3">
      <c r="A64" s="3"/>
      <c r="B64" s="10" t="s">
        <v>1199</v>
      </c>
      <c r="C64" s="80"/>
      <c r="D64" s="62"/>
      <c r="E64" s="12">
        <v>0</v>
      </c>
      <c r="F64" s="12">
        <v>0</v>
      </c>
      <c r="G64" s="65"/>
      <c r="H64" s="65"/>
      <c r="I64" s="112"/>
      <c r="J64" s="89"/>
      <c r="K64" s="37"/>
      <c r="L64" s="37"/>
      <c r="M64" s="37"/>
      <c r="N64" s="37"/>
      <c r="O64" s="37"/>
      <c r="P64" s="37"/>
      <c r="Q64" s="37"/>
      <c r="R64" s="37"/>
      <c r="S64" s="37"/>
      <c r="T64" s="37"/>
      <c r="U64" s="3"/>
      <c r="V64" s="18"/>
    </row>
    <row r="65" spans="1:22" ht="15.75" hidden="1" customHeight="1" outlineLevel="1" x14ac:dyDescent="0.3">
      <c r="A65" s="3"/>
      <c r="B65" s="10" t="s">
        <v>1199</v>
      </c>
      <c r="C65" s="80"/>
      <c r="D65" s="62"/>
      <c r="E65" s="12">
        <v>0</v>
      </c>
      <c r="F65" s="12">
        <v>0</v>
      </c>
      <c r="G65" s="65"/>
      <c r="H65" s="65"/>
      <c r="I65" s="112"/>
      <c r="J65" s="89"/>
      <c r="K65" s="37"/>
      <c r="L65" s="37"/>
      <c r="M65" s="37"/>
      <c r="N65" s="37"/>
      <c r="O65" s="37"/>
      <c r="P65" s="37"/>
      <c r="Q65" s="37"/>
      <c r="R65" s="37"/>
      <c r="S65" s="37"/>
      <c r="T65" s="37"/>
      <c r="U65" s="3"/>
      <c r="V65" s="18"/>
    </row>
    <row r="66" spans="1:22" ht="15.75" hidden="1" customHeight="1" outlineLevel="1" x14ac:dyDescent="0.3">
      <c r="A66" s="3"/>
      <c r="B66" s="10" t="s">
        <v>1199</v>
      </c>
      <c r="C66" s="80"/>
      <c r="D66" s="62"/>
      <c r="E66" s="12">
        <v>0</v>
      </c>
      <c r="F66" s="12">
        <v>0</v>
      </c>
      <c r="G66" s="65"/>
      <c r="H66" s="65"/>
      <c r="I66" s="112"/>
      <c r="J66" s="89"/>
      <c r="K66" s="37"/>
      <c r="L66" s="37"/>
      <c r="M66" s="37"/>
      <c r="N66" s="37"/>
      <c r="O66" s="37"/>
      <c r="P66" s="37"/>
      <c r="Q66" s="37"/>
      <c r="R66" s="37"/>
      <c r="S66" s="37"/>
      <c r="T66" s="37"/>
      <c r="U66" s="3"/>
      <c r="V66" s="18"/>
    </row>
    <row r="67" spans="1:22" ht="15.75" hidden="1" customHeight="1" outlineLevel="1" x14ac:dyDescent="0.3">
      <c r="A67" s="3"/>
      <c r="B67" s="10" t="s">
        <v>1199</v>
      </c>
      <c r="C67" s="80"/>
      <c r="D67" s="62"/>
      <c r="E67" s="12">
        <v>0</v>
      </c>
      <c r="F67" s="12">
        <v>0</v>
      </c>
      <c r="G67" s="65"/>
      <c r="H67" s="65"/>
      <c r="I67" s="112"/>
      <c r="J67" s="89"/>
      <c r="K67" s="37"/>
      <c r="L67" s="37"/>
      <c r="M67" s="37"/>
      <c r="N67" s="37"/>
      <c r="O67" s="37"/>
      <c r="P67" s="37"/>
      <c r="Q67" s="37"/>
      <c r="R67" s="37"/>
      <c r="S67" s="37"/>
      <c r="T67" s="37"/>
      <c r="U67" s="3"/>
      <c r="V67" s="18"/>
    </row>
    <row r="68" spans="1:22" ht="15.75" hidden="1" customHeight="1" outlineLevel="1" x14ac:dyDescent="0.3">
      <c r="A68" s="3"/>
      <c r="B68" s="10" t="s">
        <v>1199</v>
      </c>
      <c r="C68" s="80"/>
      <c r="D68" s="62"/>
      <c r="E68" s="12">
        <v>0</v>
      </c>
      <c r="F68" s="12">
        <v>0</v>
      </c>
      <c r="G68" s="65"/>
      <c r="H68" s="65"/>
      <c r="I68" s="112"/>
      <c r="J68" s="89"/>
      <c r="K68" s="37"/>
      <c r="L68" s="37"/>
      <c r="M68" s="37"/>
      <c r="N68" s="37"/>
      <c r="O68" s="37"/>
      <c r="P68" s="37"/>
      <c r="Q68" s="37"/>
      <c r="R68" s="37"/>
      <c r="S68" s="37"/>
      <c r="T68" s="37"/>
      <c r="U68" s="3"/>
      <c r="V68" s="18"/>
    </row>
    <row r="69" spans="1:22" ht="15.75" hidden="1" customHeight="1" outlineLevel="1" x14ac:dyDescent="0.3">
      <c r="A69" s="3"/>
      <c r="B69" s="10" t="s">
        <v>1199</v>
      </c>
      <c r="C69" s="80"/>
      <c r="D69" s="62"/>
      <c r="E69" s="12">
        <v>0</v>
      </c>
      <c r="F69" s="12">
        <v>0</v>
      </c>
      <c r="G69" s="65"/>
      <c r="H69" s="65"/>
      <c r="I69" s="112"/>
      <c r="J69" s="89"/>
      <c r="K69" s="37"/>
      <c r="L69" s="37"/>
      <c r="M69" s="37"/>
      <c r="N69" s="37"/>
      <c r="O69" s="37"/>
      <c r="P69" s="37"/>
      <c r="Q69" s="37"/>
      <c r="R69" s="37"/>
      <c r="S69" s="37"/>
      <c r="T69" s="37"/>
      <c r="U69" s="3"/>
      <c r="V69" s="18"/>
    </row>
    <row r="70" spans="1:22" ht="15.75" hidden="1" customHeight="1" outlineLevel="1" x14ac:dyDescent="0.3">
      <c r="A70" s="3"/>
      <c r="B70" s="10" t="s">
        <v>1199</v>
      </c>
      <c r="C70" s="80"/>
      <c r="D70" s="62"/>
      <c r="E70" s="12">
        <v>0</v>
      </c>
      <c r="F70" s="12">
        <v>0</v>
      </c>
      <c r="G70" s="65"/>
      <c r="H70" s="65"/>
      <c r="I70" s="112"/>
      <c r="J70" s="89"/>
      <c r="K70" s="37"/>
      <c r="L70" s="37"/>
      <c r="M70" s="37"/>
      <c r="N70" s="37"/>
      <c r="O70" s="37"/>
      <c r="P70" s="37"/>
      <c r="Q70" s="37"/>
      <c r="R70" s="37"/>
      <c r="S70" s="37"/>
      <c r="T70" s="37"/>
      <c r="U70" s="3"/>
      <c r="V70" s="18"/>
    </row>
    <row r="71" spans="1:22" ht="15.75" hidden="1" customHeight="1" outlineLevel="1" x14ac:dyDescent="0.3">
      <c r="A71" s="3"/>
      <c r="B71" s="10" t="s">
        <v>1202</v>
      </c>
      <c r="C71" s="80"/>
      <c r="D71" s="62"/>
      <c r="E71" s="12">
        <v>0</v>
      </c>
      <c r="F71" s="12">
        <v>0</v>
      </c>
      <c r="G71" s="65"/>
      <c r="H71" s="65"/>
      <c r="I71" s="112"/>
      <c r="J71" s="89"/>
      <c r="K71" s="37"/>
      <c r="L71" s="37"/>
      <c r="M71" s="37"/>
      <c r="N71" s="37"/>
      <c r="O71" s="37"/>
      <c r="P71" s="37"/>
      <c r="Q71" s="37"/>
      <c r="R71" s="37"/>
      <c r="S71" s="37"/>
      <c r="T71" s="37"/>
      <c r="U71" s="3"/>
      <c r="V71" s="18"/>
    </row>
    <row r="72" spans="1:22" ht="15.75" hidden="1" customHeight="1" outlineLevel="1" x14ac:dyDescent="0.3">
      <c r="A72" s="3"/>
      <c r="B72" s="10" t="s">
        <v>1202</v>
      </c>
      <c r="C72" s="80"/>
      <c r="D72" s="62"/>
      <c r="E72" s="12">
        <v>0</v>
      </c>
      <c r="F72" s="12">
        <v>0</v>
      </c>
      <c r="G72" s="65"/>
      <c r="H72" s="65"/>
      <c r="I72" s="112"/>
      <c r="J72" s="89"/>
      <c r="K72" s="37"/>
      <c r="L72" s="37"/>
      <c r="M72" s="37"/>
      <c r="N72" s="37"/>
      <c r="O72" s="37"/>
      <c r="P72" s="37"/>
      <c r="Q72" s="37"/>
      <c r="R72" s="37"/>
      <c r="S72" s="37"/>
      <c r="T72" s="37"/>
      <c r="U72" s="3"/>
      <c r="V72" s="18"/>
    </row>
    <row r="73" spans="1:22" ht="15.75" hidden="1" customHeight="1" outlineLevel="1" x14ac:dyDescent="0.3">
      <c r="A73" s="3"/>
      <c r="B73" s="10" t="s">
        <v>1202</v>
      </c>
      <c r="C73" s="80"/>
      <c r="D73" s="62"/>
      <c r="E73" s="12">
        <v>0</v>
      </c>
      <c r="F73" s="12">
        <v>0</v>
      </c>
      <c r="G73" s="65"/>
      <c r="H73" s="65"/>
      <c r="I73" s="112"/>
      <c r="J73" s="89"/>
      <c r="K73" s="37"/>
      <c r="L73" s="37"/>
      <c r="M73" s="37"/>
      <c r="N73" s="37"/>
      <c r="O73" s="37"/>
      <c r="P73" s="37"/>
      <c r="Q73" s="37"/>
      <c r="R73" s="37"/>
      <c r="S73" s="37"/>
      <c r="T73" s="37"/>
      <c r="U73" s="3"/>
      <c r="V73" s="18"/>
    </row>
    <row r="74" spans="1:22" ht="15.75" hidden="1" customHeight="1" outlineLevel="1" x14ac:dyDescent="0.3">
      <c r="A74" s="3"/>
      <c r="B74" s="10" t="s">
        <v>1202</v>
      </c>
      <c r="C74" s="80"/>
      <c r="D74" s="62"/>
      <c r="E74" s="12">
        <v>0</v>
      </c>
      <c r="F74" s="12">
        <v>0</v>
      </c>
      <c r="G74" s="65"/>
      <c r="H74" s="65"/>
      <c r="I74" s="112"/>
      <c r="J74" s="89"/>
      <c r="K74" s="37"/>
      <c r="L74" s="37"/>
      <c r="M74" s="37"/>
      <c r="N74" s="37"/>
      <c r="O74" s="37"/>
      <c r="P74" s="37"/>
      <c r="Q74" s="37"/>
      <c r="R74" s="37"/>
      <c r="S74" s="37"/>
      <c r="T74" s="37"/>
      <c r="U74" s="3"/>
      <c r="V74" s="18"/>
    </row>
    <row r="75" spans="1:22" ht="15.75" hidden="1" customHeight="1" outlineLevel="1" x14ac:dyDescent="0.3">
      <c r="A75" s="3"/>
      <c r="B75" s="10" t="s">
        <v>1202</v>
      </c>
      <c r="C75" s="80"/>
      <c r="D75" s="62"/>
      <c r="E75" s="12">
        <v>0</v>
      </c>
      <c r="F75" s="12">
        <v>0</v>
      </c>
      <c r="G75" s="65"/>
      <c r="H75" s="65"/>
      <c r="I75" s="112"/>
      <c r="J75" s="89"/>
      <c r="K75" s="37"/>
      <c r="L75" s="37"/>
      <c r="M75" s="37"/>
      <c r="N75" s="37"/>
      <c r="O75" s="37"/>
      <c r="P75" s="37"/>
      <c r="Q75" s="37"/>
      <c r="R75" s="37"/>
      <c r="S75" s="37"/>
      <c r="T75" s="37"/>
      <c r="U75" s="3"/>
      <c r="V75" s="18"/>
    </row>
    <row r="76" spans="1:22" ht="15.75" hidden="1" customHeight="1" outlineLevel="1" x14ac:dyDescent="0.3">
      <c r="A76" s="3"/>
      <c r="B76" s="10" t="s">
        <v>330</v>
      </c>
      <c r="C76" s="80"/>
      <c r="D76" s="62"/>
      <c r="E76" s="12">
        <v>0</v>
      </c>
      <c r="F76" s="12">
        <v>0</v>
      </c>
      <c r="G76" s="65"/>
      <c r="H76" s="65"/>
      <c r="I76" s="112"/>
      <c r="J76" s="89"/>
      <c r="K76" s="37"/>
      <c r="L76" s="37"/>
      <c r="M76" s="37"/>
      <c r="N76" s="37"/>
      <c r="O76" s="37"/>
      <c r="P76" s="37"/>
      <c r="Q76" s="37"/>
      <c r="R76" s="37"/>
      <c r="S76" s="37"/>
      <c r="T76" s="37"/>
      <c r="U76" s="3"/>
      <c r="V76" s="18"/>
    </row>
    <row r="77" spans="1:22" ht="15.75" hidden="1" customHeight="1" outlineLevel="1" x14ac:dyDescent="0.3">
      <c r="A77" s="3"/>
      <c r="B77" s="10" t="s">
        <v>330</v>
      </c>
      <c r="C77" s="80"/>
      <c r="D77" s="62"/>
      <c r="E77" s="12">
        <v>0</v>
      </c>
      <c r="F77" s="12">
        <v>0</v>
      </c>
      <c r="G77" s="65"/>
      <c r="H77" s="65"/>
      <c r="I77" s="112"/>
      <c r="J77" s="89"/>
      <c r="K77" s="37"/>
      <c r="L77" s="37"/>
      <c r="M77" s="37"/>
      <c r="N77" s="37"/>
      <c r="O77" s="37"/>
      <c r="P77" s="37"/>
      <c r="Q77" s="37"/>
      <c r="R77" s="37"/>
      <c r="S77" s="37"/>
      <c r="T77" s="37"/>
      <c r="U77" s="3"/>
      <c r="V77" s="18"/>
    </row>
    <row r="78" spans="1:22" ht="15.75" hidden="1" customHeight="1" outlineLevel="1" x14ac:dyDescent="0.3">
      <c r="A78" s="3"/>
      <c r="B78" s="10" t="s">
        <v>330</v>
      </c>
      <c r="C78" s="80"/>
      <c r="D78" s="62"/>
      <c r="E78" s="12">
        <v>0</v>
      </c>
      <c r="F78" s="12">
        <v>0</v>
      </c>
      <c r="G78" s="65"/>
      <c r="H78" s="65"/>
      <c r="I78" s="112"/>
      <c r="J78" s="89"/>
      <c r="K78" s="37"/>
      <c r="L78" s="37"/>
      <c r="M78" s="37"/>
      <c r="N78" s="37"/>
      <c r="O78" s="37"/>
      <c r="P78" s="37"/>
      <c r="Q78" s="37"/>
      <c r="R78" s="37"/>
      <c r="S78" s="37"/>
      <c r="T78" s="37"/>
      <c r="U78" s="3"/>
      <c r="V78" s="18"/>
    </row>
    <row r="79" spans="1:22" ht="15.75" hidden="1" customHeight="1" outlineLevel="1" x14ac:dyDescent="0.3">
      <c r="A79" s="3"/>
      <c r="B79" s="10" t="s">
        <v>334</v>
      </c>
      <c r="C79" s="62"/>
      <c r="D79" s="62"/>
      <c r="E79" s="12">
        <v>0</v>
      </c>
      <c r="F79" s="12">
        <v>0</v>
      </c>
      <c r="G79" s="65"/>
      <c r="H79" s="65"/>
      <c r="I79" s="112"/>
      <c r="J79" s="65"/>
      <c r="K79" s="37"/>
      <c r="L79" s="37"/>
      <c r="M79" s="37"/>
      <c r="N79" s="37"/>
      <c r="O79" s="37"/>
      <c r="P79" s="37"/>
      <c r="Q79" s="37"/>
      <c r="R79" s="37"/>
      <c r="S79" s="37"/>
      <c r="T79" s="37"/>
      <c r="U79" s="3"/>
    </row>
    <row r="80" spans="1:22" ht="15.75" hidden="1" customHeight="1" outlineLevel="1" x14ac:dyDescent="0.3">
      <c r="A80" s="3"/>
      <c r="B80" s="10" t="s">
        <v>334</v>
      </c>
      <c r="C80" s="62"/>
      <c r="D80" s="62"/>
      <c r="E80" s="12">
        <v>0</v>
      </c>
      <c r="F80" s="12">
        <v>0</v>
      </c>
      <c r="G80" s="65"/>
      <c r="H80" s="65"/>
      <c r="I80" s="89"/>
      <c r="J80" s="65"/>
      <c r="K80" s="37"/>
      <c r="L80" s="37"/>
      <c r="M80" s="37"/>
      <c r="N80" s="37"/>
      <c r="O80" s="37"/>
      <c r="P80" s="37"/>
      <c r="Q80" s="37"/>
      <c r="R80" s="37"/>
      <c r="S80" s="37"/>
      <c r="T80" s="37"/>
      <c r="U80" s="3"/>
    </row>
    <row r="81" spans="1:26" ht="15.75" hidden="1" customHeight="1" outlineLevel="1" x14ac:dyDescent="0.3">
      <c r="A81" s="3"/>
      <c r="B81" s="10" t="s">
        <v>627</v>
      </c>
      <c r="C81" s="80"/>
      <c r="D81" s="62"/>
      <c r="E81" s="12">
        <v>0</v>
      </c>
      <c r="F81" s="12">
        <v>0</v>
      </c>
      <c r="G81" s="65"/>
      <c r="H81" s="65"/>
      <c r="I81" s="112"/>
      <c r="J81" s="89"/>
      <c r="K81" s="37"/>
      <c r="L81" s="37"/>
      <c r="M81" s="37"/>
      <c r="N81" s="37"/>
      <c r="O81" s="37"/>
      <c r="P81" s="37"/>
      <c r="Q81" s="37"/>
      <c r="R81" s="37"/>
      <c r="S81" s="37"/>
      <c r="T81" s="37"/>
      <c r="U81" s="3"/>
    </row>
    <row r="82" spans="1:26" ht="15.75" hidden="1" customHeight="1" outlineLevel="1" x14ac:dyDescent="0.3">
      <c r="A82" s="3"/>
      <c r="B82" s="10" t="s">
        <v>627</v>
      </c>
      <c r="C82" s="80"/>
      <c r="D82" s="62"/>
      <c r="E82" s="12">
        <v>0</v>
      </c>
      <c r="F82" s="12">
        <v>0</v>
      </c>
      <c r="G82" s="65"/>
      <c r="H82" s="65"/>
      <c r="I82" s="112"/>
      <c r="J82" s="89"/>
      <c r="K82" s="37"/>
      <c r="L82" s="37"/>
      <c r="M82" s="37"/>
      <c r="N82" s="37"/>
      <c r="O82" s="37"/>
      <c r="P82" s="37"/>
      <c r="Q82" s="37"/>
      <c r="R82" s="37"/>
      <c r="S82" s="37"/>
      <c r="T82" s="37"/>
      <c r="U82" s="3"/>
    </row>
    <row r="83" spans="1:26" ht="15.75" hidden="1" customHeight="1" outlineLevel="1" x14ac:dyDescent="0.3">
      <c r="A83" s="3"/>
      <c r="B83" s="10" t="s">
        <v>629</v>
      </c>
      <c r="C83" s="80"/>
      <c r="D83" s="62"/>
      <c r="E83" s="12">
        <v>0</v>
      </c>
      <c r="F83" s="12">
        <v>0</v>
      </c>
      <c r="G83" s="65"/>
      <c r="H83" s="65"/>
      <c r="I83" s="112"/>
      <c r="J83" s="89"/>
      <c r="K83" s="37"/>
      <c r="L83" s="37"/>
      <c r="M83" s="37"/>
      <c r="N83" s="37"/>
      <c r="O83" s="37"/>
      <c r="P83" s="37"/>
      <c r="Q83" s="37"/>
      <c r="R83" s="37"/>
      <c r="S83" s="37"/>
      <c r="T83" s="37"/>
      <c r="U83" s="3"/>
    </row>
    <row r="84" spans="1:26" ht="15.75" hidden="1" customHeight="1" outlineLevel="1" x14ac:dyDescent="0.3">
      <c r="A84" s="3"/>
      <c r="B84" s="10" t="s">
        <v>629</v>
      </c>
      <c r="C84" s="80"/>
      <c r="D84" s="62"/>
      <c r="E84" s="12">
        <v>0</v>
      </c>
      <c r="F84" s="12">
        <v>0</v>
      </c>
      <c r="G84" s="65"/>
      <c r="H84" s="65"/>
      <c r="I84" s="112"/>
      <c r="J84" s="89"/>
      <c r="K84" s="37"/>
      <c r="L84" s="37"/>
      <c r="M84" s="37"/>
      <c r="N84" s="37"/>
      <c r="O84" s="37"/>
      <c r="P84" s="37"/>
      <c r="Q84" s="37"/>
      <c r="R84" s="37"/>
      <c r="S84" s="37"/>
      <c r="T84" s="37"/>
      <c r="U84" s="3"/>
    </row>
    <row r="85" spans="1:26" ht="15.75" hidden="1" customHeight="1" outlineLevel="1" x14ac:dyDescent="0.3">
      <c r="A85" s="3"/>
      <c r="B85" s="10" t="s">
        <v>629</v>
      </c>
      <c r="C85" s="80"/>
      <c r="D85" s="62"/>
      <c r="E85" s="12">
        <v>0</v>
      </c>
      <c r="F85" s="12">
        <v>0</v>
      </c>
      <c r="G85" s="65"/>
      <c r="H85" s="65"/>
      <c r="I85" s="112"/>
      <c r="J85" s="89"/>
      <c r="K85" s="37"/>
      <c r="L85" s="37"/>
      <c r="M85" s="37"/>
      <c r="N85" s="37"/>
      <c r="O85" s="37"/>
      <c r="P85" s="37"/>
      <c r="Q85" s="37"/>
      <c r="R85" s="37"/>
      <c r="S85" s="37"/>
      <c r="T85" s="37"/>
      <c r="U85" s="3"/>
    </row>
    <row r="86" spans="1:26" ht="15.75" hidden="1" customHeight="1" outlineLevel="1" x14ac:dyDescent="0.3">
      <c r="A86" s="3"/>
      <c r="B86" s="10" t="s">
        <v>1531</v>
      </c>
      <c r="C86" s="80"/>
      <c r="D86" s="62"/>
      <c r="E86" s="12">
        <v>0</v>
      </c>
      <c r="F86" s="12">
        <v>0</v>
      </c>
      <c r="G86" s="65"/>
      <c r="H86" s="65"/>
      <c r="I86" s="112"/>
      <c r="J86" s="65"/>
      <c r="K86" s="37"/>
      <c r="L86" s="37"/>
      <c r="M86" s="37"/>
      <c r="N86" s="37"/>
      <c r="O86" s="37"/>
      <c r="P86" s="37"/>
      <c r="Q86" s="37"/>
      <c r="R86" s="37"/>
      <c r="S86" s="37"/>
      <c r="T86" s="37"/>
      <c r="U86" s="3"/>
      <c r="W86" s="3"/>
      <c r="X86" s="3"/>
      <c r="Y86" s="3"/>
      <c r="Z86" s="3"/>
    </row>
    <row r="87" spans="1:26" ht="15.75" hidden="1" customHeight="1" outlineLevel="1" x14ac:dyDescent="0.3">
      <c r="A87" s="3"/>
      <c r="B87" s="10" t="s">
        <v>65</v>
      </c>
      <c r="C87" s="62"/>
      <c r="D87" s="62"/>
      <c r="E87" s="12">
        <v>0</v>
      </c>
      <c r="F87" s="12">
        <v>0</v>
      </c>
      <c r="G87" s="65"/>
      <c r="H87" s="65"/>
      <c r="I87" s="112"/>
      <c r="J87" s="65"/>
      <c r="K87" s="37"/>
      <c r="L87" s="37"/>
      <c r="M87" s="37"/>
      <c r="N87" s="37"/>
      <c r="O87" s="37"/>
      <c r="P87" s="37"/>
      <c r="Q87" s="37"/>
      <c r="R87" s="37"/>
      <c r="S87" s="37"/>
      <c r="T87" s="37"/>
      <c r="U87" s="3"/>
      <c r="W87" s="3"/>
      <c r="X87" s="3"/>
      <c r="Y87" s="3"/>
      <c r="Z87" s="3"/>
    </row>
    <row r="88" spans="1:26" ht="15.75" hidden="1" customHeight="1" outlineLevel="1" x14ac:dyDescent="0.3">
      <c r="A88" s="3"/>
      <c r="B88" s="10" t="s">
        <v>811</v>
      </c>
      <c r="C88" s="62"/>
      <c r="D88" s="62"/>
      <c r="E88" s="12">
        <v>0</v>
      </c>
      <c r="F88" s="12">
        <v>0</v>
      </c>
      <c r="G88" s="89"/>
      <c r="H88" s="65"/>
      <c r="I88" s="112"/>
      <c r="J88" s="65"/>
      <c r="K88" s="37"/>
      <c r="L88" s="37"/>
      <c r="M88" s="37"/>
      <c r="N88" s="37"/>
      <c r="O88" s="37"/>
      <c r="P88" s="37"/>
      <c r="Q88" s="37"/>
      <c r="R88" s="37"/>
      <c r="S88" s="37"/>
      <c r="T88" s="37"/>
      <c r="U88" s="3"/>
      <c r="W88" s="3"/>
      <c r="X88" s="3"/>
      <c r="Y88" s="3"/>
      <c r="Z88" s="3"/>
    </row>
    <row r="89" spans="1:26" ht="15.75" customHeight="1" collapsed="1" x14ac:dyDescent="0.3">
      <c r="A89" s="3"/>
      <c r="B89" s="84" t="s">
        <v>348</v>
      </c>
      <c r="C89" s="85" t="s">
        <v>43</v>
      </c>
      <c r="D89" s="85" t="s">
        <v>43</v>
      </c>
      <c r="E89" s="86">
        <f t="shared" ref="E89:F89" si="0">SUM(E90,E106,E111)</f>
        <v>0</v>
      </c>
      <c r="F89" s="86">
        <f t="shared" si="0"/>
        <v>0</v>
      </c>
      <c r="G89" s="87"/>
      <c r="H89" s="87"/>
      <c r="I89" s="88"/>
      <c r="J89" s="87"/>
      <c r="K89" s="37"/>
      <c r="L89" s="37"/>
      <c r="M89" s="37"/>
      <c r="N89" s="37"/>
      <c r="O89" s="37"/>
      <c r="P89" s="37"/>
      <c r="Q89" s="37"/>
      <c r="R89" s="37"/>
      <c r="S89" s="37"/>
      <c r="T89" s="37"/>
      <c r="U89" s="3"/>
      <c r="W89" s="3"/>
      <c r="X89" s="3"/>
      <c r="Y89" s="3"/>
      <c r="Z89" s="3"/>
    </row>
    <row r="90" spans="1:26" ht="15.75" hidden="1" customHeight="1" outlineLevel="1" x14ac:dyDescent="0.3">
      <c r="A90" s="3"/>
      <c r="B90" s="91" t="s">
        <v>349</v>
      </c>
      <c r="C90" s="92"/>
      <c r="D90" s="92"/>
      <c r="E90" s="93">
        <f>SUM(E91:E105)</f>
        <v>0</v>
      </c>
      <c r="F90" s="93">
        <f>SUMIF(D91:D105,"OK",F91:F105)</f>
        <v>0</v>
      </c>
      <c r="G90" s="94"/>
      <c r="H90" s="94"/>
      <c r="I90" s="95"/>
      <c r="J90" s="94"/>
      <c r="K90" s="37"/>
      <c r="L90" s="37"/>
      <c r="M90" s="37"/>
      <c r="N90" s="37"/>
      <c r="O90" s="37"/>
      <c r="P90" s="37"/>
      <c r="Q90" s="37"/>
      <c r="R90" s="37"/>
      <c r="S90" s="37"/>
      <c r="T90" s="37"/>
      <c r="U90" s="3"/>
      <c r="W90" s="3"/>
      <c r="X90" s="3"/>
      <c r="Y90" s="3"/>
      <c r="Z90" s="3"/>
    </row>
    <row r="91" spans="1:26" ht="15.75" hidden="1" customHeight="1" outlineLevel="1" x14ac:dyDescent="0.3">
      <c r="A91" s="3"/>
      <c r="B91" s="10" t="s">
        <v>50</v>
      </c>
      <c r="C91" s="62"/>
      <c r="D91" s="62"/>
      <c r="E91" s="12">
        <v>0</v>
      </c>
      <c r="F91" s="12">
        <v>0</v>
      </c>
      <c r="G91" s="65"/>
      <c r="H91" s="65"/>
      <c r="I91" s="112"/>
      <c r="J91" s="65"/>
      <c r="K91" s="37"/>
      <c r="L91" s="37"/>
      <c r="M91" s="37"/>
      <c r="N91" s="37"/>
      <c r="O91" s="37"/>
      <c r="P91" s="37"/>
      <c r="Q91" s="37"/>
      <c r="R91" s="37"/>
      <c r="S91" s="37"/>
      <c r="T91" s="37"/>
      <c r="U91" s="3"/>
      <c r="W91" s="3"/>
      <c r="X91" s="3"/>
      <c r="Y91" s="3"/>
      <c r="Z91" s="3"/>
    </row>
    <row r="92" spans="1:26" ht="15.75" hidden="1" customHeight="1" outlineLevel="1" x14ac:dyDescent="0.3">
      <c r="A92" s="3"/>
      <c r="B92" s="10" t="s">
        <v>50</v>
      </c>
      <c r="C92" s="62"/>
      <c r="D92" s="62"/>
      <c r="E92" s="12">
        <v>0</v>
      </c>
      <c r="F92" s="12">
        <v>0</v>
      </c>
      <c r="G92" s="65"/>
      <c r="H92" s="65"/>
      <c r="I92" s="112"/>
      <c r="J92" s="65"/>
      <c r="K92" s="37"/>
      <c r="L92" s="37"/>
      <c r="M92" s="37"/>
      <c r="N92" s="37"/>
      <c r="O92" s="37"/>
      <c r="P92" s="37"/>
      <c r="Q92" s="37"/>
      <c r="R92" s="37"/>
      <c r="S92" s="37"/>
      <c r="T92" s="37"/>
      <c r="U92" s="3"/>
      <c r="W92" s="3"/>
      <c r="X92" s="3"/>
      <c r="Y92" s="3"/>
      <c r="Z92" s="3"/>
    </row>
    <row r="93" spans="1:26" ht="15.75" hidden="1" customHeight="1" outlineLevel="1" x14ac:dyDescent="0.3">
      <c r="A93" s="3"/>
      <c r="B93" s="10" t="s">
        <v>50</v>
      </c>
      <c r="C93" s="62"/>
      <c r="D93" s="62"/>
      <c r="E93" s="12">
        <v>0</v>
      </c>
      <c r="F93" s="12">
        <v>0</v>
      </c>
      <c r="G93" s="65"/>
      <c r="H93" s="65"/>
      <c r="I93" s="112"/>
      <c r="J93" s="65"/>
      <c r="K93" s="37"/>
      <c r="L93" s="37"/>
      <c r="M93" s="37"/>
      <c r="N93" s="37"/>
      <c r="O93" s="37"/>
      <c r="P93" s="37"/>
      <c r="Q93" s="37"/>
      <c r="R93" s="37"/>
      <c r="S93" s="37"/>
      <c r="T93" s="37"/>
      <c r="U93" s="3"/>
      <c r="W93" s="3"/>
      <c r="X93" s="3"/>
      <c r="Y93" s="3"/>
      <c r="Z93" s="3"/>
    </row>
    <row r="94" spans="1:26" ht="15.75" hidden="1" customHeight="1" outlineLevel="1" x14ac:dyDescent="0.3">
      <c r="A94" s="3"/>
      <c r="B94" s="10" t="s">
        <v>50</v>
      </c>
      <c r="C94" s="62"/>
      <c r="D94" s="62"/>
      <c r="E94" s="12">
        <v>0</v>
      </c>
      <c r="F94" s="12">
        <v>0</v>
      </c>
      <c r="G94" s="65"/>
      <c r="H94" s="65"/>
      <c r="I94" s="112"/>
      <c r="J94" s="65"/>
      <c r="K94" s="37"/>
      <c r="L94" s="37"/>
      <c r="M94" s="37"/>
      <c r="N94" s="37"/>
      <c r="O94" s="37"/>
      <c r="P94" s="37"/>
      <c r="Q94" s="37"/>
      <c r="R94" s="37"/>
      <c r="S94" s="37"/>
      <c r="T94" s="37"/>
      <c r="U94" s="3"/>
      <c r="W94" s="3"/>
      <c r="X94" s="3"/>
      <c r="Y94" s="3"/>
      <c r="Z94" s="3"/>
    </row>
    <row r="95" spans="1:26" ht="15.75" hidden="1" customHeight="1" outlineLevel="1" x14ac:dyDescent="0.3">
      <c r="A95" s="3"/>
      <c r="B95" s="10" t="s">
        <v>50</v>
      </c>
      <c r="C95" s="62"/>
      <c r="D95" s="62"/>
      <c r="E95" s="12">
        <v>0</v>
      </c>
      <c r="F95" s="12">
        <v>0</v>
      </c>
      <c r="G95" s="65"/>
      <c r="H95" s="65"/>
      <c r="I95" s="112"/>
      <c r="J95" s="65"/>
      <c r="K95" s="37"/>
      <c r="L95" s="37"/>
      <c r="M95" s="37"/>
      <c r="N95" s="37"/>
      <c r="O95" s="37"/>
      <c r="P95" s="37"/>
      <c r="Q95" s="37"/>
      <c r="R95" s="37"/>
      <c r="S95" s="37"/>
      <c r="T95" s="37"/>
      <c r="U95" s="3"/>
      <c r="W95" s="3"/>
      <c r="X95" s="3"/>
      <c r="Y95" s="3"/>
      <c r="Z95" s="3"/>
    </row>
    <row r="96" spans="1:26" ht="15.75" hidden="1" customHeight="1" outlineLevel="1" x14ac:dyDescent="0.3">
      <c r="A96" s="3"/>
      <c r="B96" s="10" t="s">
        <v>50</v>
      </c>
      <c r="C96" s="62"/>
      <c r="D96" s="62"/>
      <c r="E96" s="12">
        <v>0</v>
      </c>
      <c r="F96" s="12">
        <v>0</v>
      </c>
      <c r="G96" s="65"/>
      <c r="H96" s="65"/>
      <c r="I96" s="112"/>
      <c r="J96" s="65"/>
      <c r="K96" s="37"/>
      <c r="L96" s="37"/>
      <c r="M96" s="37"/>
      <c r="N96" s="37"/>
      <c r="O96" s="37"/>
      <c r="P96" s="37"/>
      <c r="Q96" s="37"/>
      <c r="R96" s="37"/>
      <c r="S96" s="37"/>
      <c r="T96" s="37"/>
      <c r="U96" s="3"/>
      <c r="W96" s="3"/>
      <c r="X96" s="3"/>
      <c r="Y96" s="3"/>
      <c r="Z96" s="3"/>
    </row>
    <row r="97" spans="1:26" ht="15.75" hidden="1" customHeight="1" outlineLevel="1" x14ac:dyDescent="0.3">
      <c r="A97" s="3"/>
      <c r="B97" s="10" t="s">
        <v>50</v>
      </c>
      <c r="C97" s="62"/>
      <c r="D97" s="62"/>
      <c r="E97" s="12">
        <v>0</v>
      </c>
      <c r="F97" s="12">
        <v>0</v>
      </c>
      <c r="G97" s="65"/>
      <c r="H97" s="65"/>
      <c r="I97" s="112"/>
      <c r="J97" s="65"/>
      <c r="K97" s="37"/>
      <c r="L97" s="37"/>
      <c r="M97" s="37"/>
      <c r="N97" s="37"/>
      <c r="O97" s="37"/>
      <c r="P97" s="37"/>
      <c r="Q97" s="37"/>
      <c r="R97" s="37"/>
      <c r="S97" s="37"/>
      <c r="T97" s="37"/>
      <c r="U97" s="3"/>
      <c r="W97" s="3"/>
      <c r="X97" s="3"/>
      <c r="Y97" s="3"/>
      <c r="Z97" s="3"/>
    </row>
    <row r="98" spans="1:26" ht="15.75" hidden="1" customHeight="1" outlineLevel="1" x14ac:dyDescent="0.3">
      <c r="A98" s="3"/>
      <c r="B98" s="10" t="s">
        <v>50</v>
      </c>
      <c r="C98" s="62"/>
      <c r="D98" s="62"/>
      <c r="E98" s="12">
        <v>0</v>
      </c>
      <c r="F98" s="12">
        <v>0</v>
      </c>
      <c r="G98" s="65"/>
      <c r="H98" s="65"/>
      <c r="I98" s="112"/>
      <c r="J98" s="65"/>
      <c r="K98" s="37"/>
      <c r="L98" s="37"/>
      <c r="M98" s="37"/>
      <c r="N98" s="37"/>
      <c r="O98" s="37"/>
      <c r="P98" s="37"/>
      <c r="Q98" s="37"/>
      <c r="R98" s="37"/>
      <c r="S98" s="37"/>
      <c r="T98" s="37"/>
      <c r="U98" s="3"/>
      <c r="W98" s="3"/>
      <c r="X98" s="3"/>
      <c r="Y98" s="3"/>
      <c r="Z98" s="3"/>
    </row>
    <row r="99" spans="1:26" ht="15.75" hidden="1" customHeight="1" outlineLevel="1" x14ac:dyDescent="0.3">
      <c r="A99" s="3"/>
      <c r="B99" s="10" t="s">
        <v>50</v>
      </c>
      <c r="C99" s="62"/>
      <c r="D99" s="62"/>
      <c r="E99" s="12">
        <v>0</v>
      </c>
      <c r="F99" s="12">
        <v>0</v>
      </c>
      <c r="G99" s="65"/>
      <c r="H99" s="65"/>
      <c r="I99" s="112"/>
      <c r="J99" s="65"/>
      <c r="K99" s="37"/>
      <c r="L99" s="37"/>
      <c r="M99" s="37"/>
      <c r="N99" s="37"/>
      <c r="O99" s="37"/>
      <c r="P99" s="37"/>
      <c r="Q99" s="37"/>
      <c r="R99" s="37"/>
      <c r="S99" s="37"/>
      <c r="T99" s="37"/>
      <c r="U99" s="3"/>
      <c r="W99" s="3"/>
      <c r="X99" s="3"/>
      <c r="Y99" s="3"/>
      <c r="Z99" s="3"/>
    </row>
    <row r="100" spans="1:26" ht="15.75" hidden="1" customHeight="1" outlineLevel="1" x14ac:dyDescent="0.3">
      <c r="A100" s="3"/>
      <c r="B100" s="10" t="s">
        <v>50</v>
      </c>
      <c r="C100" s="62"/>
      <c r="D100" s="62"/>
      <c r="E100" s="12">
        <v>0</v>
      </c>
      <c r="F100" s="12">
        <v>0</v>
      </c>
      <c r="G100" s="65"/>
      <c r="H100" s="65"/>
      <c r="I100" s="112"/>
      <c r="J100" s="65"/>
      <c r="K100" s="37"/>
      <c r="L100" s="37"/>
      <c r="M100" s="37"/>
      <c r="N100" s="37"/>
      <c r="O100" s="37"/>
      <c r="P100" s="37"/>
      <c r="Q100" s="37"/>
      <c r="R100" s="37"/>
      <c r="S100" s="37"/>
      <c r="T100" s="37"/>
      <c r="U100" s="3"/>
      <c r="W100" s="3"/>
      <c r="X100" s="3"/>
      <c r="Y100" s="3"/>
      <c r="Z100" s="3"/>
    </row>
    <row r="101" spans="1:26" ht="15.75" hidden="1" customHeight="1" outlineLevel="1" x14ac:dyDescent="0.3">
      <c r="A101" s="3"/>
      <c r="B101" s="10" t="s">
        <v>50</v>
      </c>
      <c r="C101" s="62"/>
      <c r="D101" s="62"/>
      <c r="E101" s="12">
        <v>0</v>
      </c>
      <c r="F101" s="12">
        <v>0</v>
      </c>
      <c r="G101" s="65"/>
      <c r="H101" s="65"/>
      <c r="I101" s="112"/>
      <c r="J101" s="65"/>
      <c r="K101" s="37"/>
      <c r="L101" s="37"/>
      <c r="M101" s="37"/>
      <c r="N101" s="37"/>
      <c r="O101" s="37"/>
      <c r="P101" s="37"/>
      <c r="Q101" s="37"/>
      <c r="R101" s="37"/>
      <c r="S101" s="37"/>
      <c r="T101" s="37"/>
      <c r="U101" s="3"/>
      <c r="W101" s="3"/>
      <c r="X101" s="3"/>
      <c r="Y101" s="3"/>
      <c r="Z101" s="3"/>
    </row>
    <row r="102" spans="1:26" ht="15.75" hidden="1" customHeight="1" outlineLevel="1" x14ac:dyDescent="0.3">
      <c r="A102" s="3"/>
      <c r="B102" s="10" t="s">
        <v>50</v>
      </c>
      <c r="C102" s="62"/>
      <c r="D102" s="62"/>
      <c r="E102" s="12">
        <v>0</v>
      </c>
      <c r="F102" s="12">
        <v>0</v>
      </c>
      <c r="G102" s="65"/>
      <c r="H102" s="65"/>
      <c r="I102" s="128"/>
      <c r="J102" s="65"/>
      <c r="K102" s="37"/>
      <c r="L102" s="37"/>
      <c r="M102" s="37"/>
      <c r="N102" s="37"/>
      <c r="O102" s="37"/>
      <c r="P102" s="37"/>
      <c r="Q102" s="37"/>
      <c r="R102" s="37"/>
      <c r="S102" s="37"/>
      <c r="T102" s="37"/>
      <c r="U102" s="3"/>
      <c r="W102" s="3"/>
      <c r="X102" s="3"/>
      <c r="Y102" s="3"/>
      <c r="Z102" s="3"/>
    </row>
    <row r="103" spans="1:26" ht="15.75" hidden="1" customHeight="1" outlineLevel="1" x14ac:dyDescent="0.3">
      <c r="A103" s="3"/>
      <c r="B103" s="10" t="s">
        <v>50</v>
      </c>
      <c r="C103" s="62"/>
      <c r="D103" s="62"/>
      <c r="E103" s="12">
        <v>0</v>
      </c>
      <c r="F103" s="12">
        <v>0</v>
      </c>
      <c r="G103" s="65"/>
      <c r="H103" s="65"/>
      <c r="I103" s="112"/>
      <c r="J103" s="65"/>
      <c r="K103" s="37"/>
      <c r="L103" s="37"/>
      <c r="M103" s="37"/>
      <c r="N103" s="37"/>
      <c r="O103" s="37"/>
      <c r="P103" s="37"/>
      <c r="Q103" s="37"/>
      <c r="R103" s="37"/>
      <c r="S103" s="37"/>
      <c r="T103" s="37"/>
      <c r="U103" s="3"/>
      <c r="W103" s="3"/>
      <c r="X103" s="3"/>
      <c r="Y103" s="3"/>
      <c r="Z103" s="3"/>
    </row>
    <row r="104" spans="1:26" ht="15.75" hidden="1" customHeight="1" outlineLevel="1" x14ac:dyDescent="0.3">
      <c r="A104" s="3"/>
      <c r="B104" s="10" t="s">
        <v>50</v>
      </c>
      <c r="C104" s="62"/>
      <c r="D104" s="62"/>
      <c r="E104" s="12">
        <v>0</v>
      </c>
      <c r="F104" s="12">
        <v>0</v>
      </c>
      <c r="G104" s="65"/>
      <c r="H104" s="65"/>
      <c r="I104" s="128"/>
      <c r="J104" s="65"/>
      <c r="K104" s="37"/>
      <c r="L104" s="37"/>
      <c r="M104" s="37"/>
      <c r="N104" s="37"/>
      <c r="O104" s="37"/>
      <c r="P104" s="37"/>
      <c r="Q104" s="37"/>
      <c r="R104" s="37"/>
      <c r="S104" s="37"/>
      <c r="T104" s="37"/>
      <c r="U104" s="3"/>
      <c r="W104" s="3"/>
      <c r="X104" s="3"/>
      <c r="Y104" s="3"/>
      <c r="Z104" s="3"/>
    </row>
    <row r="105" spans="1:26" ht="15.75" hidden="1" customHeight="1" outlineLevel="1" x14ac:dyDescent="0.3">
      <c r="A105" s="3"/>
      <c r="B105" s="10" t="s">
        <v>50</v>
      </c>
      <c r="C105" s="62"/>
      <c r="D105" s="62"/>
      <c r="E105" s="12">
        <v>0</v>
      </c>
      <c r="F105" s="12">
        <v>0</v>
      </c>
      <c r="G105" s="65"/>
      <c r="H105" s="65"/>
      <c r="I105" s="128"/>
      <c r="J105" s="65"/>
      <c r="K105" s="37"/>
      <c r="L105" s="37"/>
      <c r="M105" s="37"/>
      <c r="N105" s="37"/>
      <c r="O105" s="37"/>
      <c r="P105" s="37"/>
      <c r="Q105" s="37"/>
      <c r="R105" s="37"/>
      <c r="S105" s="37"/>
      <c r="T105" s="37"/>
      <c r="U105" s="3"/>
      <c r="W105" s="3"/>
      <c r="X105" s="3"/>
      <c r="Y105" s="3"/>
      <c r="Z105" s="3"/>
    </row>
    <row r="106" spans="1:26" ht="15.75" hidden="1" customHeight="1" outlineLevel="1" x14ac:dyDescent="0.3">
      <c r="A106" s="3"/>
      <c r="B106" s="91" t="s">
        <v>352</v>
      </c>
      <c r="C106" s="92"/>
      <c r="D106" s="92"/>
      <c r="E106" s="93">
        <f>SUM(E107:E110)</f>
        <v>0</v>
      </c>
      <c r="F106" s="93">
        <f>SUMIF(D107:D110,"OK",F107:F110)</f>
        <v>0</v>
      </c>
      <c r="G106" s="94"/>
      <c r="H106" s="94"/>
      <c r="I106" s="95"/>
      <c r="J106" s="94"/>
      <c r="K106" s="37"/>
      <c r="L106" s="37"/>
      <c r="M106" s="37"/>
      <c r="N106" s="37"/>
      <c r="O106" s="37"/>
      <c r="P106" s="37"/>
      <c r="Q106" s="37"/>
      <c r="R106" s="37"/>
      <c r="S106" s="37"/>
      <c r="T106" s="37"/>
      <c r="U106" s="3"/>
      <c r="W106" s="3"/>
      <c r="X106" s="3"/>
      <c r="Y106" s="3"/>
      <c r="Z106" s="3"/>
    </row>
    <row r="107" spans="1:26" ht="15.75" hidden="1" customHeight="1" outlineLevel="1" x14ac:dyDescent="0.3">
      <c r="A107" s="3"/>
      <c r="B107" s="10" t="s">
        <v>50</v>
      </c>
      <c r="C107" s="62"/>
      <c r="D107" s="62"/>
      <c r="E107" s="12">
        <v>0</v>
      </c>
      <c r="F107" s="12">
        <v>0</v>
      </c>
      <c r="G107" s="65"/>
      <c r="H107" s="65"/>
      <c r="I107" s="112"/>
      <c r="J107" s="65"/>
      <c r="K107" s="37"/>
      <c r="L107" s="37"/>
      <c r="M107" s="37"/>
      <c r="N107" s="37"/>
      <c r="O107" s="37"/>
      <c r="P107" s="37"/>
      <c r="Q107" s="37"/>
      <c r="R107" s="37"/>
      <c r="S107" s="37"/>
      <c r="T107" s="37"/>
      <c r="U107" s="3"/>
      <c r="W107" s="3"/>
      <c r="X107" s="3"/>
      <c r="Y107" s="3"/>
      <c r="Z107" s="3"/>
    </row>
    <row r="108" spans="1:26" ht="15.75" hidden="1" customHeight="1" outlineLevel="1" x14ac:dyDescent="0.3">
      <c r="A108" s="3"/>
      <c r="B108" s="10" t="s">
        <v>50</v>
      </c>
      <c r="C108" s="62"/>
      <c r="D108" s="62"/>
      <c r="E108" s="12">
        <v>0</v>
      </c>
      <c r="F108" s="12">
        <v>0</v>
      </c>
      <c r="G108" s="65"/>
      <c r="H108" s="65"/>
      <c r="I108" s="112"/>
      <c r="J108" s="65"/>
      <c r="K108" s="37"/>
      <c r="L108" s="37"/>
      <c r="M108" s="37"/>
      <c r="N108" s="37"/>
      <c r="O108" s="37"/>
      <c r="P108" s="37"/>
      <c r="Q108" s="37"/>
      <c r="R108" s="37"/>
      <c r="S108" s="37"/>
      <c r="T108" s="37"/>
      <c r="U108" s="3"/>
      <c r="W108" s="3"/>
      <c r="X108" s="3"/>
      <c r="Y108" s="3"/>
      <c r="Z108" s="3"/>
    </row>
    <row r="109" spans="1:26" ht="15.75" hidden="1" customHeight="1" outlineLevel="1" x14ac:dyDescent="0.3">
      <c r="A109" s="3"/>
      <c r="B109" s="10" t="s">
        <v>50</v>
      </c>
      <c r="C109" s="62"/>
      <c r="D109" s="62"/>
      <c r="E109" s="12">
        <v>0</v>
      </c>
      <c r="F109" s="12">
        <v>0</v>
      </c>
      <c r="G109" s="65"/>
      <c r="H109" s="65"/>
      <c r="I109" s="112"/>
      <c r="J109" s="65"/>
      <c r="K109" s="37"/>
      <c r="L109" s="37"/>
      <c r="M109" s="37"/>
      <c r="N109" s="37"/>
      <c r="O109" s="37"/>
      <c r="P109" s="37"/>
      <c r="Q109" s="37"/>
      <c r="R109" s="37"/>
      <c r="S109" s="37"/>
      <c r="T109" s="37"/>
      <c r="U109" s="3"/>
      <c r="W109" s="3"/>
      <c r="X109" s="3"/>
      <c r="Y109" s="3"/>
      <c r="Z109" s="3"/>
    </row>
    <row r="110" spans="1:26" ht="15.75" hidden="1" customHeight="1" outlineLevel="1" x14ac:dyDescent="0.3">
      <c r="A110" s="3"/>
      <c r="B110" s="10" t="s">
        <v>50</v>
      </c>
      <c r="C110" s="62"/>
      <c r="D110" s="62"/>
      <c r="E110" s="12">
        <v>0</v>
      </c>
      <c r="F110" s="12">
        <v>0</v>
      </c>
      <c r="G110" s="89"/>
      <c r="H110" s="65"/>
      <c r="I110" s="112"/>
      <c r="J110" s="65"/>
      <c r="K110" s="37"/>
      <c r="L110" s="37"/>
      <c r="M110" s="37"/>
      <c r="N110" s="37"/>
      <c r="O110" s="37"/>
      <c r="P110" s="37"/>
      <c r="Q110" s="37"/>
      <c r="R110" s="37"/>
      <c r="S110" s="37"/>
      <c r="T110" s="37"/>
      <c r="U110" s="3"/>
      <c r="W110" s="3"/>
      <c r="X110" s="3"/>
      <c r="Y110" s="3"/>
      <c r="Z110" s="3"/>
    </row>
    <row r="111" spans="1:26" ht="15.75" hidden="1" customHeight="1" outlineLevel="1" x14ac:dyDescent="0.3">
      <c r="A111" s="3"/>
      <c r="B111" s="91" t="s">
        <v>356</v>
      </c>
      <c r="C111" s="92"/>
      <c r="D111" s="92"/>
      <c r="E111" s="93">
        <f>SUM(E112:E114)</f>
        <v>0</v>
      </c>
      <c r="F111" s="93">
        <f>SUMIF(D112:D114,"OK",F112:F114)</f>
        <v>0</v>
      </c>
      <c r="G111" s="94"/>
      <c r="H111" s="94"/>
      <c r="I111" s="95"/>
      <c r="J111" s="94"/>
      <c r="K111" s="37"/>
      <c r="L111" s="37"/>
      <c r="M111" s="37"/>
      <c r="N111" s="37"/>
      <c r="O111" s="37"/>
      <c r="P111" s="37"/>
      <c r="Q111" s="37"/>
      <c r="R111" s="37"/>
      <c r="S111" s="37"/>
      <c r="T111" s="37"/>
      <c r="U111" s="3"/>
      <c r="W111" s="3"/>
      <c r="X111" s="3"/>
      <c r="Y111" s="3"/>
      <c r="Z111" s="3"/>
    </row>
    <row r="112" spans="1:26" ht="15.75" hidden="1" customHeight="1" outlineLevel="1" x14ac:dyDescent="0.3">
      <c r="A112" s="3"/>
      <c r="B112" s="10" t="s">
        <v>50</v>
      </c>
      <c r="C112" s="62"/>
      <c r="D112" s="62"/>
      <c r="E112" s="12">
        <v>0</v>
      </c>
      <c r="F112" s="12">
        <v>0</v>
      </c>
      <c r="G112" s="65"/>
      <c r="H112" s="65"/>
      <c r="I112" s="112"/>
      <c r="J112" s="65"/>
      <c r="K112" s="37"/>
      <c r="L112" s="37"/>
      <c r="M112" s="37"/>
      <c r="N112" s="37"/>
      <c r="O112" s="37"/>
      <c r="P112" s="37"/>
      <c r="Q112" s="37"/>
      <c r="R112" s="37"/>
      <c r="S112" s="37"/>
      <c r="T112" s="37"/>
      <c r="U112" s="3"/>
      <c r="W112" s="3"/>
      <c r="X112" s="3"/>
      <c r="Y112" s="3"/>
      <c r="Z112" s="3"/>
    </row>
    <row r="113" spans="1:26" ht="15.75" hidden="1" customHeight="1" outlineLevel="1" x14ac:dyDescent="0.3">
      <c r="A113" s="3"/>
      <c r="B113" s="10" t="s">
        <v>50</v>
      </c>
      <c r="C113" s="62"/>
      <c r="D113" s="62"/>
      <c r="E113" s="12">
        <v>0</v>
      </c>
      <c r="F113" s="12">
        <v>0</v>
      </c>
      <c r="G113" s="65"/>
      <c r="H113" s="65"/>
      <c r="I113" s="112"/>
      <c r="J113" s="65"/>
      <c r="K113" s="37"/>
      <c r="L113" s="37"/>
      <c r="M113" s="37"/>
      <c r="N113" s="37"/>
      <c r="O113" s="37"/>
      <c r="P113" s="37"/>
      <c r="Q113" s="37"/>
      <c r="R113" s="37"/>
      <c r="S113" s="37"/>
      <c r="T113" s="37"/>
      <c r="U113" s="3"/>
      <c r="W113" s="3"/>
      <c r="X113" s="3"/>
      <c r="Y113" s="3"/>
      <c r="Z113" s="3"/>
    </row>
    <row r="114" spans="1:26" ht="15.75" hidden="1" customHeight="1" outlineLevel="1" x14ac:dyDescent="0.3">
      <c r="A114" s="3"/>
      <c r="B114" s="10" t="s">
        <v>50</v>
      </c>
      <c r="C114" s="62"/>
      <c r="D114" s="62"/>
      <c r="E114" s="12">
        <v>0</v>
      </c>
      <c r="F114" s="12">
        <v>0</v>
      </c>
      <c r="G114" s="65"/>
      <c r="H114" s="65"/>
      <c r="I114" s="128"/>
      <c r="J114" s="65"/>
      <c r="K114" s="37"/>
      <c r="L114" s="37"/>
      <c r="M114" s="37"/>
      <c r="N114" s="37"/>
      <c r="O114" s="37"/>
      <c r="P114" s="37"/>
      <c r="Q114" s="37"/>
      <c r="R114" s="37"/>
      <c r="S114" s="37"/>
      <c r="T114" s="37"/>
      <c r="U114" s="3"/>
      <c r="W114" s="3"/>
      <c r="X114" s="3"/>
      <c r="Y114" s="3"/>
      <c r="Z114" s="3"/>
    </row>
    <row r="115" spans="1:26" ht="15.75" customHeight="1" collapsed="1" x14ac:dyDescent="0.3">
      <c r="A115" s="3"/>
      <c r="B115" s="84" t="s">
        <v>357</v>
      </c>
      <c r="C115" s="85" t="s">
        <v>43</v>
      </c>
      <c r="D115" s="85" t="s">
        <v>43</v>
      </c>
      <c r="E115" s="86">
        <f t="shared" ref="E115:F115" si="1">SUM(E116,E122)</f>
        <v>0</v>
      </c>
      <c r="F115" s="86">
        <f t="shared" si="1"/>
        <v>0</v>
      </c>
      <c r="G115" s="87"/>
      <c r="H115" s="87"/>
      <c r="I115" s="88"/>
      <c r="J115" s="87"/>
      <c r="K115" s="37"/>
      <c r="L115" s="37"/>
      <c r="M115" s="37"/>
      <c r="N115" s="37"/>
      <c r="O115" s="37"/>
      <c r="P115" s="37"/>
      <c r="Q115" s="37"/>
      <c r="R115" s="37"/>
      <c r="S115" s="37"/>
      <c r="T115" s="37"/>
      <c r="U115" s="3"/>
      <c r="W115" s="3"/>
      <c r="X115" s="3"/>
      <c r="Y115" s="3"/>
      <c r="Z115" s="3"/>
    </row>
    <row r="116" spans="1:26" ht="15.75" hidden="1" customHeight="1" outlineLevel="1" x14ac:dyDescent="0.3">
      <c r="A116" s="3"/>
      <c r="B116" s="91" t="s">
        <v>358</v>
      </c>
      <c r="C116" s="92"/>
      <c r="D116" s="92"/>
      <c r="E116" s="93">
        <f>SUM(E117:E121)</f>
        <v>0</v>
      </c>
      <c r="F116" s="93">
        <f>SUMIF(D117:D121,"OK",F117:F121)</f>
        <v>0</v>
      </c>
      <c r="G116" s="94"/>
      <c r="H116" s="94"/>
      <c r="I116" s="95"/>
      <c r="J116" s="94"/>
      <c r="K116" s="37"/>
      <c r="L116" s="37"/>
      <c r="M116" s="37"/>
      <c r="N116" s="37"/>
      <c r="O116" s="37"/>
      <c r="P116" s="37"/>
      <c r="Q116" s="37"/>
      <c r="R116" s="37"/>
      <c r="S116" s="37"/>
      <c r="T116" s="37"/>
      <c r="U116" s="3"/>
      <c r="W116" s="3"/>
      <c r="X116" s="3"/>
      <c r="Y116" s="3"/>
      <c r="Z116" s="3"/>
    </row>
    <row r="117" spans="1:26" ht="15.75" hidden="1" customHeight="1" outlineLevel="1" x14ac:dyDescent="0.3">
      <c r="A117" s="3"/>
      <c r="B117" s="10" t="s">
        <v>353</v>
      </c>
      <c r="C117" s="62"/>
      <c r="D117" s="62"/>
      <c r="E117" s="12">
        <v>0</v>
      </c>
      <c r="F117" s="12">
        <v>0</v>
      </c>
      <c r="G117" s="89"/>
      <c r="H117" s="65"/>
      <c r="I117" s="112"/>
      <c r="J117" s="65"/>
      <c r="K117" s="37"/>
      <c r="L117" s="37"/>
      <c r="M117" s="37"/>
      <c r="N117" s="37"/>
      <c r="O117" s="37"/>
      <c r="P117" s="37"/>
      <c r="Q117" s="37"/>
      <c r="R117" s="37"/>
      <c r="S117" s="37"/>
      <c r="T117" s="37"/>
      <c r="U117" s="3"/>
      <c r="W117" s="3"/>
      <c r="X117" s="3"/>
      <c r="Y117" s="3"/>
      <c r="Z117" s="3"/>
    </row>
    <row r="118" spans="1:26" ht="15.75" hidden="1" customHeight="1" outlineLevel="1" x14ac:dyDescent="0.3">
      <c r="A118" s="3"/>
      <c r="B118" s="10" t="s">
        <v>354</v>
      </c>
      <c r="C118" s="62"/>
      <c r="D118" s="62"/>
      <c r="E118" s="12">
        <v>0</v>
      </c>
      <c r="F118" s="12">
        <v>0</v>
      </c>
      <c r="G118" s="65"/>
      <c r="H118" s="65"/>
      <c r="I118" s="112"/>
      <c r="J118" s="65"/>
      <c r="K118" s="37"/>
      <c r="L118" s="37"/>
      <c r="M118" s="37"/>
      <c r="N118" s="37"/>
      <c r="O118" s="37"/>
      <c r="P118" s="37"/>
      <c r="Q118" s="37"/>
      <c r="R118" s="37"/>
      <c r="S118" s="37"/>
      <c r="T118" s="37"/>
      <c r="U118" s="3"/>
      <c r="W118" s="3"/>
      <c r="X118" s="3"/>
      <c r="Y118" s="3"/>
      <c r="Z118" s="3"/>
    </row>
    <row r="119" spans="1:26" ht="15.75" hidden="1" customHeight="1" outlineLevel="1" x14ac:dyDescent="0.3">
      <c r="A119" s="3"/>
      <c r="B119" s="10" t="s">
        <v>355</v>
      </c>
      <c r="C119" s="62"/>
      <c r="D119" s="62"/>
      <c r="E119" s="12">
        <v>0</v>
      </c>
      <c r="F119" s="12">
        <v>0</v>
      </c>
      <c r="G119" s="65"/>
      <c r="H119" s="65"/>
      <c r="I119" s="112"/>
      <c r="J119" s="65"/>
      <c r="K119" s="37"/>
      <c r="L119" s="37"/>
      <c r="M119" s="37"/>
      <c r="N119" s="37"/>
      <c r="O119" s="37"/>
      <c r="P119" s="37"/>
      <c r="Q119" s="37"/>
      <c r="R119" s="37"/>
      <c r="S119" s="37"/>
      <c r="T119" s="37"/>
      <c r="U119" s="3"/>
      <c r="W119" s="3"/>
      <c r="X119" s="3"/>
      <c r="Y119" s="3"/>
      <c r="Z119" s="3"/>
    </row>
    <row r="120" spans="1:26" ht="15.75" hidden="1" customHeight="1" outlineLevel="1" x14ac:dyDescent="0.3">
      <c r="A120" s="3"/>
      <c r="B120" s="10" t="s">
        <v>369</v>
      </c>
      <c r="C120" s="62"/>
      <c r="D120" s="62"/>
      <c r="E120" s="12">
        <v>0</v>
      </c>
      <c r="F120" s="12">
        <v>0</v>
      </c>
      <c r="G120" s="65"/>
      <c r="H120" s="65"/>
      <c r="I120" s="112"/>
      <c r="J120" s="65"/>
      <c r="K120" s="37"/>
      <c r="L120" s="37"/>
      <c r="M120" s="37"/>
      <c r="N120" s="37"/>
      <c r="O120" s="37"/>
      <c r="P120" s="37"/>
      <c r="Q120" s="37"/>
      <c r="R120" s="37"/>
      <c r="S120" s="37"/>
      <c r="T120" s="37"/>
      <c r="U120" s="3"/>
      <c r="W120" s="3"/>
      <c r="X120" s="3"/>
      <c r="Y120" s="3"/>
      <c r="Z120" s="3"/>
    </row>
    <row r="121" spans="1:26" ht="15.75" hidden="1" customHeight="1" outlineLevel="1" x14ac:dyDescent="0.3">
      <c r="A121" s="3"/>
      <c r="B121" s="10" t="s">
        <v>327</v>
      </c>
      <c r="C121" s="62"/>
      <c r="D121" s="62"/>
      <c r="E121" s="12">
        <v>0</v>
      </c>
      <c r="F121" s="12">
        <v>0</v>
      </c>
      <c r="G121" s="65"/>
      <c r="H121" s="65"/>
      <c r="I121" s="89"/>
      <c r="J121" s="65"/>
      <c r="K121" s="37"/>
      <c r="L121" s="37"/>
      <c r="M121" s="37"/>
      <c r="N121" s="37"/>
      <c r="O121" s="37"/>
      <c r="P121" s="37"/>
      <c r="Q121" s="37"/>
      <c r="R121" s="37"/>
      <c r="S121" s="37"/>
      <c r="T121" s="37"/>
      <c r="U121" s="3"/>
      <c r="W121" s="3"/>
      <c r="X121" s="3"/>
      <c r="Y121" s="3"/>
      <c r="Z121" s="3"/>
    </row>
    <row r="122" spans="1:26" ht="15.75" hidden="1" customHeight="1" outlineLevel="1" x14ac:dyDescent="0.3">
      <c r="A122" s="3"/>
      <c r="B122" s="91" t="s">
        <v>632</v>
      </c>
      <c r="C122" s="92"/>
      <c r="D122" s="92"/>
      <c r="E122" s="93">
        <f>SUM(E123:E140)</f>
        <v>0</v>
      </c>
      <c r="F122" s="93">
        <f>SUMIF(D123:D140,"OK",F123:F140)</f>
        <v>0</v>
      </c>
      <c r="G122" s="94"/>
      <c r="H122" s="94"/>
      <c r="I122" s="95"/>
      <c r="J122" s="94"/>
      <c r="K122" s="37"/>
      <c r="L122" s="37"/>
      <c r="M122" s="37"/>
      <c r="N122" s="37"/>
      <c r="O122" s="37"/>
      <c r="P122" s="37"/>
      <c r="Q122" s="37"/>
      <c r="R122" s="37"/>
      <c r="S122" s="37"/>
      <c r="T122" s="37"/>
      <c r="U122" s="3"/>
      <c r="W122" s="3"/>
      <c r="X122" s="3"/>
      <c r="Y122" s="3"/>
      <c r="Z122" s="3"/>
    </row>
    <row r="123" spans="1:26" ht="15.75" hidden="1" customHeight="1" outlineLevel="1" x14ac:dyDescent="0.3">
      <c r="A123" s="3"/>
      <c r="B123" s="10" t="s">
        <v>1532</v>
      </c>
      <c r="C123" s="62"/>
      <c r="D123" s="62"/>
      <c r="E123" s="12">
        <v>0</v>
      </c>
      <c r="F123" s="12">
        <v>0</v>
      </c>
      <c r="G123" s="65"/>
      <c r="H123" s="65"/>
      <c r="I123" s="112"/>
      <c r="J123" s="65"/>
      <c r="K123" s="37"/>
      <c r="L123" s="37"/>
      <c r="M123" s="37"/>
      <c r="N123" s="37"/>
      <c r="O123" s="37"/>
      <c r="P123" s="37"/>
      <c r="Q123" s="37"/>
      <c r="R123" s="37"/>
      <c r="S123" s="37"/>
      <c r="T123" s="37"/>
      <c r="U123" s="3"/>
      <c r="W123" s="3"/>
      <c r="X123" s="3"/>
      <c r="Y123" s="3"/>
      <c r="Z123" s="3"/>
    </row>
    <row r="124" spans="1:26" ht="15.75" hidden="1" customHeight="1" outlineLevel="1" x14ac:dyDescent="0.3">
      <c r="A124" s="3"/>
      <c r="B124" s="10" t="s">
        <v>1532</v>
      </c>
      <c r="C124" s="62"/>
      <c r="D124" s="62"/>
      <c r="E124" s="12">
        <v>0</v>
      </c>
      <c r="F124" s="12">
        <v>0</v>
      </c>
      <c r="G124" s="89"/>
      <c r="H124" s="65"/>
      <c r="I124" s="112"/>
      <c r="J124" s="65"/>
      <c r="K124" s="37"/>
      <c r="L124" s="37"/>
      <c r="M124" s="37"/>
      <c r="N124" s="37"/>
      <c r="O124" s="37"/>
      <c r="P124" s="37"/>
      <c r="Q124" s="37"/>
      <c r="R124" s="37"/>
      <c r="S124" s="37"/>
      <c r="T124" s="37"/>
      <c r="U124" s="3"/>
      <c r="W124" s="3"/>
      <c r="X124" s="3"/>
      <c r="Y124" s="3"/>
      <c r="Z124" s="3"/>
    </row>
    <row r="125" spans="1:26" ht="15.75" hidden="1" customHeight="1" outlineLevel="1" x14ac:dyDescent="0.3">
      <c r="A125" s="3"/>
      <c r="B125" s="10" t="s">
        <v>1533</v>
      </c>
      <c r="C125" s="62"/>
      <c r="D125" s="62"/>
      <c r="E125" s="12">
        <v>0</v>
      </c>
      <c r="F125" s="12">
        <v>0</v>
      </c>
      <c r="G125" s="89"/>
      <c r="H125" s="65"/>
      <c r="I125" s="112"/>
      <c r="J125" s="65"/>
      <c r="K125" s="37"/>
      <c r="L125" s="37"/>
      <c r="M125" s="37"/>
      <c r="N125" s="37"/>
      <c r="O125" s="37"/>
      <c r="P125" s="37"/>
      <c r="Q125" s="37"/>
      <c r="R125" s="37"/>
      <c r="S125" s="37"/>
      <c r="T125" s="37"/>
      <c r="U125" s="3"/>
      <c r="W125" s="3"/>
      <c r="X125" s="3"/>
      <c r="Y125" s="3"/>
      <c r="Z125" s="3"/>
    </row>
    <row r="126" spans="1:26" ht="15.75" hidden="1" customHeight="1" outlineLevel="1" x14ac:dyDescent="0.3">
      <c r="A126" s="3"/>
      <c r="B126" s="10" t="s">
        <v>613</v>
      </c>
      <c r="C126" s="62"/>
      <c r="D126" s="62"/>
      <c r="E126" s="12">
        <v>0</v>
      </c>
      <c r="F126" s="12">
        <v>0</v>
      </c>
      <c r="G126" s="65"/>
      <c r="H126" s="65"/>
      <c r="I126" s="112"/>
      <c r="J126" s="65"/>
      <c r="K126" s="37"/>
      <c r="L126" s="37"/>
      <c r="M126" s="37"/>
      <c r="N126" s="37"/>
      <c r="O126" s="37"/>
      <c r="P126" s="37"/>
      <c r="Q126" s="37"/>
      <c r="R126" s="37"/>
      <c r="S126" s="37"/>
      <c r="T126" s="37"/>
      <c r="U126" s="3"/>
      <c r="W126" s="3"/>
      <c r="X126" s="3"/>
      <c r="Y126" s="3"/>
      <c r="Z126" s="3"/>
    </row>
    <row r="127" spans="1:26" ht="15.75" hidden="1" customHeight="1" outlineLevel="1" x14ac:dyDescent="0.3">
      <c r="A127" s="3"/>
      <c r="B127" s="10" t="s">
        <v>1455</v>
      </c>
      <c r="C127" s="62"/>
      <c r="D127" s="62"/>
      <c r="E127" s="12">
        <v>0</v>
      </c>
      <c r="F127" s="12">
        <v>0</v>
      </c>
      <c r="G127" s="65"/>
      <c r="H127" s="65"/>
      <c r="I127" s="112"/>
      <c r="J127" s="65"/>
      <c r="K127" s="37"/>
      <c r="L127" s="37"/>
      <c r="M127" s="37"/>
      <c r="N127" s="37"/>
      <c r="O127" s="37"/>
      <c r="P127" s="37"/>
      <c r="Q127" s="37"/>
      <c r="R127" s="37"/>
      <c r="S127" s="37"/>
      <c r="T127" s="37"/>
      <c r="U127" s="3"/>
      <c r="W127" s="3"/>
      <c r="X127" s="3"/>
      <c r="Y127" s="3"/>
      <c r="Z127" s="3"/>
    </row>
    <row r="128" spans="1:26" ht="15.75" hidden="1" customHeight="1" outlineLevel="1" x14ac:dyDescent="0.3">
      <c r="A128" s="3"/>
      <c r="B128" s="10" t="s">
        <v>1534</v>
      </c>
      <c r="C128" s="80"/>
      <c r="D128" s="62"/>
      <c r="E128" s="12">
        <v>0</v>
      </c>
      <c r="F128" s="12">
        <v>0</v>
      </c>
      <c r="G128" s="65"/>
      <c r="H128" s="65"/>
      <c r="I128" s="112"/>
      <c r="J128" s="65"/>
      <c r="K128" s="37"/>
      <c r="L128" s="37"/>
      <c r="M128" s="37"/>
      <c r="N128" s="37"/>
      <c r="O128" s="37"/>
      <c r="P128" s="37"/>
      <c r="Q128" s="37"/>
      <c r="R128" s="37"/>
      <c r="S128" s="37"/>
      <c r="T128" s="37"/>
      <c r="U128" s="3"/>
      <c r="W128" s="3"/>
      <c r="X128" s="3"/>
      <c r="Y128" s="3"/>
      <c r="Z128" s="3"/>
    </row>
    <row r="129" spans="1:26" ht="15.75" hidden="1" customHeight="1" outlineLevel="1" x14ac:dyDescent="0.3">
      <c r="A129" s="3"/>
      <c r="B129" s="10" t="s">
        <v>50</v>
      </c>
      <c r="C129" s="62"/>
      <c r="D129" s="62"/>
      <c r="E129" s="12">
        <v>0</v>
      </c>
      <c r="F129" s="12">
        <v>0</v>
      </c>
      <c r="G129" s="65"/>
      <c r="H129" s="65"/>
      <c r="I129" s="112"/>
      <c r="J129" s="65"/>
      <c r="K129" s="37"/>
      <c r="L129" s="37"/>
      <c r="M129" s="37"/>
      <c r="N129" s="37"/>
      <c r="O129" s="37"/>
      <c r="P129" s="37"/>
      <c r="Q129" s="37"/>
      <c r="R129" s="37"/>
      <c r="S129" s="37"/>
      <c r="T129" s="37"/>
      <c r="U129" s="3"/>
      <c r="W129" s="3"/>
      <c r="X129" s="3"/>
      <c r="Y129" s="3"/>
      <c r="Z129" s="3"/>
    </row>
    <row r="130" spans="1:26" ht="15.75" hidden="1" customHeight="1" outlineLevel="1" x14ac:dyDescent="0.3">
      <c r="A130" s="3"/>
      <c r="B130" s="10" t="s">
        <v>50</v>
      </c>
      <c r="C130" s="62"/>
      <c r="D130" s="62"/>
      <c r="E130" s="12">
        <v>0</v>
      </c>
      <c r="F130" s="12">
        <v>0</v>
      </c>
      <c r="G130" s="65"/>
      <c r="H130" s="65"/>
      <c r="I130" s="112"/>
      <c r="J130" s="65"/>
      <c r="K130" s="37"/>
      <c r="L130" s="37"/>
      <c r="M130" s="37"/>
      <c r="N130" s="37"/>
      <c r="O130" s="37"/>
      <c r="P130" s="37"/>
      <c r="Q130" s="37"/>
      <c r="R130" s="37"/>
      <c r="S130" s="37"/>
      <c r="T130" s="37"/>
      <c r="U130" s="3"/>
      <c r="W130" s="3"/>
      <c r="X130" s="3"/>
      <c r="Y130" s="3"/>
      <c r="Z130" s="3"/>
    </row>
    <row r="131" spans="1:26" ht="15.75" hidden="1" customHeight="1" outlineLevel="1" x14ac:dyDescent="0.3">
      <c r="A131" s="3"/>
      <c r="B131" s="10" t="s">
        <v>50</v>
      </c>
      <c r="C131" s="62"/>
      <c r="D131" s="62"/>
      <c r="E131" s="12">
        <v>0</v>
      </c>
      <c r="F131" s="12">
        <v>0</v>
      </c>
      <c r="G131" s="65"/>
      <c r="H131" s="65"/>
      <c r="I131" s="112"/>
      <c r="J131" s="65"/>
      <c r="K131" s="37"/>
      <c r="L131" s="37"/>
      <c r="M131" s="37"/>
      <c r="N131" s="37"/>
      <c r="O131" s="37"/>
      <c r="P131" s="37"/>
      <c r="Q131" s="37"/>
      <c r="R131" s="37"/>
      <c r="S131" s="37"/>
      <c r="T131" s="37"/>
      <c r="U131" s="3"/>
      <c r="W131" s="3"/>
      <c r="X131" s="3"/>
      <c r="Y131" s="3"/>
      <c r="Z131" s="3"/>
    </row>
    <row r="132" spans="1:26" ht="15.75" hidden="1" customHeight="1" outlineLevel="1" x14ac:dyDescent="0.3">
      <c r="A132" s="3"/>
      <c r="B132" s="10" t="s">
        <v>50</v>
      </c>
      <c r="C132" s="62"/>
      <c r="D132" s="62"/>
      <c r="E132" s="12">
        <v>0</v>
      </c>
      <c r="F132" s="12">
        <v>0</v>
      </c>
      <c r="G132" s="65"/>
      <c r="H132" s="65"/>
      <c r="I132" s="112"/>
      <c r="J132" s="65"/>
      <c r="K132" s="37"/>
      <c r="L132" s="37"/>
      <c r="M132" s="37"/>
      <c r="N132" s="37"/>
      <c r="O132" s="37"/>
      <c r="P132" s="37"/>
      <c r="Q132" s="37"/>
      <c r="R132" s="37"/>
      <c r="S132" s="37"/>
      <c r="T132" s="37"/>
      <c r="U132" s="3"/>
      <c r="W132" s="3"/>
      <c r="X132" s="3"/>
      <c r="Y132" s="3"/>
      <c r="Z132" s="3"/>
    </row>
    <row r="133" spans="1:26" ht="15.75" hidden="1" customHeight="1" outlineLevel="1" x14ac:dyDescent="0.3">
      <c r="A133" s="3"/>
      <c r="B133" s="10" t="s">
        <v>50</v>
      </c>
      <c r="C133" s="62"/>
      <c r="D133" s="62"/>
      <c r="E133" s="12">
        <v>0</v>
      </c>
      <c r="F133" s="12">
        <v>0</v>
      </c>
      <c r="G133" s="65"/>
      <c r="H133" s="65"/>
      <c r="I133" s="151"/>
      <c r="J133" s="65"/>
      <c r="K133" s="37"/>
      <c r="L133" s="37"/>
      <c r="M133" s="37"/>
      <c r="N133" s="37"/>
      <c r="O133" s="37"/>
      <c r="P133" s="37"/>
      <c r="Q133" s="37"/>
      <c r="R133" s="37"/>
      <c r="S133" s="37"/>
      <c r="T133" s="37"/>
      <c r="U133" s="3"/>
      <c r="W133" s="3"/>
      <c r="X133" s="3"/>
      <c r="Y133" s="3"/>
      <c r="Z133" s="3"/>
    </row>
    <row r="134" spans="1:26" ht="15.75" hidden="1" customHeight="1" outlineLevel="1" x14ac:dyDescent="0.3">
      <c r="A134" s="3"/>
      <c r="B134" s="10" t="s">
        <v>50</v>
      </c>
      <c r="C134" s="62"/>
      <c r="D134" s="62"/>
      <c r="E134" s="12">
        <v>0</v>
      </c>
      <c r="F134" s="12">
        <v>0</v>
      </c>
      <c r="G134" s="65"/>
      <c r="H134" s="65"/>
      <c r="I134" s="112"/>
      <c r="J134" s="65"/>
      <c r="K134" s="37"/>
      <c r="L134" s="37"/>
      <c r="M134" s="37"/>
      <c r="N134" s="37"/>
      <c r="O134" s="37"/>
      <c r="P134" s="37"/>
      <c r="Q134" s="37"/>
      <c r="R134" s="37"/>
      <c r="S134" s="37"/>
      <c r="T134" s="37"/>
      <c r="U134" s="3"/>
      <c r="W134" s="3"/>
      <c r="X134" s="3"/>
      <c r="Y134" s="3"/>
      <c r="Z134" s="3"/>
    </row>
    <row r="135" spans="1:26" ht="15.75" hidden="1" customHeight="1" outlineLevel="1" x14ac:dyDescent="0.3">
      <c r="A135" s="3"/>
      <c r="B135" s="10" t="s">
        <v>50</v>
      </c>
      <c r="C135" s="62"/>
      <c r="D135" s="62"/>
      <c r="E135" s="12">
        <v>0</v>
      </c>
      <c r="F135" s="12">
        <v>0</v>
      </c>
      <c r="G135" s="65"/>
      <c r="H135" s="65"/>
      <c r="I135" s="112"/>
      <c r="J135" s="65"/>
      <c r="K135" s="37"/>
      <c r="L135" s="37"/>
      <c r="M135" s="37"/>
      <c r="N135" s="37"/>
      <c r="O135" s="37"/>
      <c r="P135" s="37"/>
      <c r="Q135" s="37"/>
      <c r="R135" s="37"/>
      <c r="S135" s="37"/>
      <c r="T135" s="37"/>
      <c r="U135" s="3"/>
      <c r="W135" s="3"/>
      <c r="X135" s="3"/>
      <c r="Y135" s="3"/>
      <c r="Z135" s="3"/>
    </row>
    <row r="136" spans="1:26" ht="15.75" hidden="1" customHeight="1" outlineLevel="1" x14ac:dyDescent="0.3">
      <c r="A136" s="3"/>
      <c r="B136" s="10" t="s">
        <v>50</v>
      </c>
      <c r="C136" s="62"/>
      <c r="D136" s="62"/>
      <c r="E136" s="12">
        <v>0</v>
      </c>
      <c r="F136" s="12">
        <v>0</v>
      </c>
      <c r="G136" s="65"/>
      <c r="H136" s="65"/>
      <c r="I136" s="112"/>
      <c r="J136" s="65"/>
      <c r="K136" s="37"/>
      <c r="L136" s="37"/>
      <c r="M136" s="37"/>
      <c r="N136" s="37"/>
      <c r="O136" s="37"/>
      <c r="P136" s="37"/>
      <c r="Q136" s="37"/>
      <c r="R136" s="37"/>
      <c r="S136" s="37"/>
      <c r="T136" s="37"/>
      <c r="U136" s="3"/>
      <c r="W136" s="3"/>
      <c r="X136" s="3"/>
      <c r="Y136" s="3"/>
      <c r="Z136" s="3"/>
    </row>
    <row r="137" spans="1:26" ht="15.75" hidden="1" customHeight="1" outlineLevel="1" x14ac:dyDescent="0.3">
      <c r="A137" s="3"/>
      <c r="B137" s="10" t="s">
        <v>50</v>
      </c>
      <c r="C137" s="62"/>
      <c r="D137" s="62"/>
      <c r="E137" s="12">
        <v>0</v>
      </c>
      <c r="F137" s="12">
        <v>0</v>
      </c>
      <c r="G137" s="65"/>
      <c r="H137" s="65"/>
      <c r="I137" s="112"/>
      <c r="J137" s="65"/>
      <c r="K137" s="37"/>
      <c r="L137" s="37"/>
      <c r="M137" s="37"/>
      <c r="N137" s="37"/>
      <c r="O137" s="37"/>
      <c r="P137" s="37"/>
      <c r="Q137" s="37"/>
      <c r="R137" s="37"/>
      <c r="S137" s="37"/>
      <c r="T137" s="37"/>
      <c r="U137" s="3"/>
      <c r="W137" s="3"/>
      <c r="X137" s="3"/>
      <c r="Y137" s="3"/>
      <c r="Z137" s="3"/>
    </row>
    <row r="138" spans="1:26" ht="15.75" hidden="1" customHeight="1" outlineLevel="1" x14ac:dyDescent="0.3">
      <c r="A138" s="3"/>
      <c r="B138" s="10" t="s">
        <v>50</v>
      </c>
      <c r="C138" s="62"/>
      <c r="D138" s="62"/>
      <c r="E138" s="12">
        <v>0</v>
      </c>
      <c r="F138" s="12">
        <v>0</v>
      </c>
      <c r="G138" s="65"/>
      <c r="H138" s="65"/>
      <c r="I138" s="112"/>
      <c r="J138" s="65"/>
      <c r="K138" s="37"/>
      <c r="L138" s="37"/>
      <c r="M138" s="37"/>
      <c r="N138" s="37"/>
      <c r="O138" s="37"/>
      <c r="P138" s="37"/>
      <c r="Q138" s="37"/>
      <c r="R138" s="37"/>
      <c r="S138" s="37"/>
      <c r="T138" s="37"/>
      <c r="U138" s="3"/>
      <c r="W138" s="3"/>
      <c r="X138" s="3"/>
      <c r="Y138" s="3"/>
      <c r="Z138" s="3"/>
    </row>
    <row r="139" spans="1:26" ht="15.75" hidden="1" customHeight="1" outlineLevel="1" x14ac:dyDescent="0.3">
      <c r="A139" s="3"/>
      <c r="B139" s="10" t="s">
        <v>50</v>
      </c>
      <c r="C139" s="62"/>
      <c r="D139" s="62"/>
      <c r="E139" s="12">
        <v>0</v>
      </c>
      <c r="F139" s="12">
        <v>0</v>
      </c>
      <c r="G139" s="65"/>
      <c r="H139" s="65"/>
      <c r="I139" s="112"/>
      <c r="J139" s="65"/>
      <c r="K139" s="37"/>
      <c r="L139" s="37"/>
      <c r="M139" s="37"/>
      <c r="N139" s="37"/>
      <c r="O139" s="37"/>
      <c r="P139" s="37"/>
      <c r="Q139" s="37"/>
      <c r="R139" s="37"/>
      <c r="S139" s="37"/>
      <c r="T139" s="37"/>
      <c r="U139" s="3"/>
      <c r="W139" s="3"/>
      <c r="X139" s="3"/>
      <c r="Y139" s="3"/>
      <c r="Z139" s="3"/>
    </row>
    <row r="140" spans="1:26" ht="15.75" hidden="1" customHeight="1" outlineLevel="1" x14ac:dyDescent="0.3">
      <c r="A140" s="3"/>
      <c r="B140" s="10" t="s">
        <v>50</v>
      </c>
      <c r="C140" s="62"/>
      <c r="D140" s="62"/>
      <c r="E140" s="12">
        <v>0</v>
      </c>
      <c r="F140" s="12">
        <v>0</v>
      </c>
      <c r="G140" s="65"/>
      <c r="H140" s="65"/>
      <c r="I140" s="112"/>
      <c r="J140" s="65"/>
      <c r="K140" s="37"/>
      <c r="L140" s="37"/>
      <c r="M140" s="37"/>
      <c r="N140" s="37"/>
      <c r="O140" s="37"/>
      <c r="P140" s="37"/>
      <c r="Q140" s="37"/>
      <c r="R140" s="37"/>
      <c r="S140" s="37"/>
      <c r="T140" s="37"/>
      <c r="U140" s="3"/>
      <c r="W140" s="3"/>
      <c r="X140" s="3"/>
      <c r="Y140" s="3"/>
      <c r="Z140" s="3"/>
    </row>
    <row r="141" spans="1:26" ht="15.75" customHeight="1" collapsed="1" x14ac:dyDescent="0.3">
      <c r="A141" s="3"/>
      <c r="B141" s="84" t="s">
        <v>87</v>
      </c>
      <c r="C141" s="85" t="s">
        <v>43</v>
      </c>
      <c r="D141" s="85" t="s">
        <v>43</v>
      </c>
      <c r="E141" s="86">
        <f>SUM(E142:E150)</f>
        <v>0</v>
      </c>
      <c r="F141" s="86">
        <f>SUMIF(D142:D150,"OK",F142:F150)</f>
        <v>0</v>
      </c>
      <c r="G141" s="87"/>
      <c r="H141" s="87"/>
      <c r="I141" s="88"/>
      <c r="J141" s="87"/>
      <c r="K141" s="37"/>
      <c r="L141" s="37"/>
      <c r="M141" s="37"/>
      <c r="N141" s="37"/>
      <c r="O141" s="37"/>
      <c r="P141" s="37"/>
      <c r="Q141" s="37"/>
      <c r="R141" s="37"/>
      <c r="S141" s="37"/>
      <c r="T141" s="37"/>
      <c r="U141" s="3"/>
      <c r="W141" s="3"/>
      <c r="X141" s="3"/>
      <c r="Y141" s="3"/>
      <c r="Z141" s="3"/>
    </row>
    <row r="142" spans="1:26" ht="15.75" hidden="1" customHeight="1" outlineLevel="1" x14ac:dyDescent="0.3">
      <c r="A142" s="3"/>
      <c r="B142" s="10" t="s">
        <v>353</v>
      </c>
      <c r="C142" s="80"/>
      <c r="D142" s="62"/>
      <c r="E142" s="12">
        <v>0</v>
      </c>
      <c r="F142" s="12">
        <v>0</v>
      </c>
      <c r="G142" s="89"/>
      <c r="H142" s="65"/>
      <c r="I142" s="112"/>
      <c r="J142" s="89"/>
      <c r="K142" s="37"/>
      <c r="L142" s="37"/>
      <c r="M142" s="37"/>
      <c r="N142" s="37"/>
      <c r="O142" s="37"/>
      <c r="P142" s="37"/>
      <c r="Q142" s="37"/>
      <c r="R142" s="37"/>
      <c r="S142" s="37"/>
      <c r="T142" s="37"/>
      <c r="U142" s="3"/>
      <c r="W142" s="3"/>
      <c r="X142" s="3"/>
      <c r="Y142" s="3"/>
      <c r="Z142" s="3"/>
    </row>
    <row r="143" spans="1:26" ht="15.75" hidden="1" customHeight="1" outlineLevel="1" x14ac:dyDescent="0.3">
      <c r="A143" s="3"/>
      <c r="B143" s="10" t="s">
        <v>354</v>
      </c>
      <c r="C143" s="62"/>
      <c r="D143" s="62"/>
      <c r="E143" s="12">
        <v>0</v>
      </c>
      <c r="F143" s="12">
        <v>0</v>
      </c>
      <c r="G143" s="89"/>
      <c r="H143" s="65"/>
      <c r="I143" s="112"/>
      <c r="J143" s="65"/>
      <c r="K143" s="37"/>
      <c r="L143" s="37"/>
      <c r="M143" s="37"/>
      <c r="N143" s="37"/>
      <c r="O143" s="37"/>
      <c r="P143" s="37"/>
      <c r="Q143" s="37"/>
      <c r="R143" s="37"/>
      <c r="S143" s="37"/>
      <c r="T143" s="37"/>
      <c r="U143" s="3"/>
      <c r="W143" s="3"/>
      <c r="X143" s="3"/>
      <c r="Y143" s="3"/>
      <c r="Z143" s="3"/>
    </row>
    <row r="144" spans="1:26" ht="15.75" hidden="1" customHeight="1" outlineLevel="1" x14ac:dyDescent="0.3">
      <c r="A144" s="3"/>
      <c r="B144" s="10" t="s">
        <v>355</v>
      </c>
      <c r="C144" s="62"/>
      <c r="D144" s="62"/>
      <c r="E144" s="12">
        <v>0</v>
      </c>
      <c r="F144" s="12">
        <v>0</v>
      </c>
      <c r="G144" s="65"/>
      <c r="H144" s="65"/>
      <c r="I144" s="89"/>
      <c r="J144" s="65"/>
      <c r="K144" s="37"/>
      <c r="L144" s="37"/>
      <c r="M144" s="37"/>
      <c r="N144" s="37"/>
      <c r="O144" s="37"/>
      <c r="P144" s="37"/>
      <c r="Q144" s="37"/>
      <c r="R144" s="37"/>
      <c r="S144" s="37"/>
      <c r="T144" s="37"/>
      <c r="U144" s="3"/>
      <c r="W144" s="3"/>
      <c r="X144" s="3"/>
      <c r="Y144" s="3"/>
      <c r="Z144" s="3"/>
    </row>
    <row r="145" spans="1:26" ht="15.75" hidden="1" customHeight="1" outlineLevel="1" x14ac:dyDescent="0.3">
      <c r="A145" s="3"/>
      <c r="B145" s="10" t="s">
        <v>369</v>
      </c>
      <c r="C145" s="62"/>
      <c r="D145" s="62"/>
      <c r="E145" s="12">
        <v>0</v>
      </c>
      <c r="F145" s="12">
        <v>0</v>
      </c>
      <c r="G145" s="65"/>
      <c r="H145" s="65"/>
      <c r="I145" s="89"/>
      <c r="J145" s="65"/>
      <c r="K145" s="37"/>
      <c r="L145" s="37"/>
      <c r="M145" s="37"/>
      <c r="N145" s="37"/>
      <c r="O145" s="37"/>
      <c r="P145" s="37"/>
      <c r="Q145" s="37"/>
      <c r="R145" s="37"/>
      <c r="S145" s="37"/>
      <c r="T145" s="37"/>
      <c r="U145" s="3"/>
      <c r="W145" s="3"/>
      <c r="X145" s="3"/>
      <c r="Y145" s="3"/>
      <c r="Z145" s="3"/>
    </row>
    <row r="146" spans="1:26" ht="15.75" hidden="1" customHeight="1" outlineLevel="1" x14ac:dyDescent="0.3">
      <c r="A146" s="3"/>
      <c r="B146" s="10" t="s">
        <v>327</v>
      </c>
      <c r="C146" s="62"/>
      <c r="D146" s="62"/>
      <c r="E146" s="12">
        <v>0</v>
      </c>
      <c r="F146" s="12">
        <v>0</v>
      </c>
      <c r="G146" s="65"/>
      <c r="H146" s="65"/>
      <c r="I146" s="89"/>
      <c r="J146" s="65"/>
      <c r="K146" s="37"/>
      <c r="L146" s="37"/>
      <c r="M146" s="37"/>
      <c r="N146" s="37"/>
      <c r="O146" s="37"/>
      <c r="P146" s="37"/>
      <c r="Q146" s="37"/>
      <c r="R146" s="37"/>
      <c r="S146" s="37"/>
      <c r="T146" s="37"/>
      <c r="U146" s="3"/>
      <c r="W146" s="3"/>
      <c r="X146" s="3"/>
      <c r="Y146" s="3"/>
      <c r="Z146" s="3"/>
    </row>
    <row r="147" spans="1:26" ht="15.75" hidden="1" customHeight="1" outlineLevel="1" x14ac:dyDescent="0.3">
      <c r="A147" s="3"/>
      <c r="B147" s="10" t="s">
        <v>328</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5.75" hidden="1" customHeight="1" outlineLevel="1" x14ac:dyDescent="0.3">
      <c r="A148" s="3"/>
      <c r="B148" s="10" t="s">
        <v>370</v>
      </c>
      <c r="C148" s="62"/>
      <c r="D148" s="62"/>
      <c r="E148" s="12">
        <v>0</v>
      </c>
      <c r="F148" s="12">
        <v>0</v>
      </c>
      <c r="G148" s="65"/>
      <c r="H148" s="65"/>
      <c r="I148" s="89"/>
      <c r="J148" s="65"/>
      <c r="K148" s="37"/>
      <c r="L148" s="37"/>
      <c r="M148" s="37"/>
      <c r="N148" s="37"/>
      <c r="O148" s="37"/>
      <c r="P148" s="37"/>
      <c r="Q148" s="37"/>
      <c r="R148" s="37"/>
      <c r="S148" s="37"/>
      <c r="T148" s="37"/>
      <c r="U148" s="3"/>
      <c r="W148" s="3"/>
      <c r="X148" s="3"/>
      <c r="Y148" s="3"/>
      <c r="Z148" s="3"/>
    </row>
    <row r="149" spans="1:26" ht="15.75" hidden="1" customHeight="1" outlineLevel="1" x14ac:dyDescent="0.3">
      <c r="A149" s="3"/>
      <c r="B149" s="10" t="s">
        <v>371</v>
      </c>
      <c r="C149" s="62"/>
      <c r="D149" s="62"/>
      <c r="E149" s="12">
        <v>0</v>
      </c>
      <c r="F149" s="12">
        <v>0</v>
      </c>
      <c r="G149" s="65"/>
      <c r="H149" s="65"/>
      <c r="I149" s="89"/>
      <c r="J149" s="65"/>
      <c r="K149" s="37"/>
      <c r="L149" s="37"/>
      <c r="M149" s="37"/>
      <c r="N149" s="37"/>
      <c r="O149" s="37"/>
      <c r="P149" s="37"/>
      <c r="Q149" s="37"/>
      <c r="R149" s="37"/>
      <c r="S149" s="37"/>
      <c r="T149" s="37"/>
      <c r="U149" s="3"/>
      <c r="W149" s="3"/>
      <c r="X149" s="3"/>
      <c r="Y149" s="3"/>
      <c r="Z149" s="3"/>
    </row>
    <row r="150" spans="1:26" ht="15.75" hidden="1" customHeight="1" outlineLevel="1" x14ac:dyDescent="0.3">
      <c r="A150" s="3"/>
      <c r="B150" s="10" t="s">
        <v>372</v>
      </c>
      <c r="C150" s="62"/>
      <c r="D150" s="62"/>
      <c r="E150" s="12">
        <v>0</v>
      </c>
      <c r="F150" s="12">
        <v>0</v>
      </c>
      <c r="G150" s="65"/>
      <c r="H150" s="65"/>
      <c r="I150" s="89"/>
      <c r="J150" s="65"/>
      <c r="K150" s="37"/>
      <c r="L150" s="37"/>
      <c r="M150" s="37"/>
      <c r="N150" s="37"/>
      <c r="O150" s="37"/>
      <c r="P150" s="37"/>
      <c r="Q150" s="37"/>
      <c r="R150" s="37"/>
      <c r="S150" s="37"/>
      <c r="T150" s="37"/>
      <c r="U150" s="3"/>
      <c r="W150" s="3"/>
      <c r="X150" s="3"/>
      <c r="Y150" s="3"/>
      <c r="Z150" s="3"/>
    </row>
    <row r="151" spans="1:26" ht="15.75" customHeight="1" collapsed="1" x14ac:dyDescent="0.3">
      <c r="A151" s="3"/>
      <c r="B151" s="84" t="s">
        <v>88</v>
      </c>
      <c r="C151" s="85" t="s">
        <v>43</v>
      </c>
      <c r="D151" s="85" t="s">
        <v>43</v>
      </c>
      <c r="E151" s="86">
        <f t="shared" ref="E151:F151" si="2">SUM(E152,E158,E164,E170)</f>
        <v>0</v>
      </c>
      <c r="F151" s="86">
        <f t="shared" si="2"/>
        <v>0</v>
      </c>
      <c r="G151" s="87"/>
      <c r="H151" s="87"/>
      <c r="I151" s="88"/>
      <c r="J151" s="87"/>
      <c r="K151" s="37"/>
      <c r="L151" s="37"/>
      <c r="M151" s="37"/>
      <c r="N151" s="37"/>
      <c r="O151" s="37"/>
      <c r="P151" s="37"/>
      <c r="Q151" s="37"/>
      <c r="R151" s="37"/>
      <c r="S151" s="37"/>
      <c r="T151" s="37"/>
      <c r="U151" s="3"/>
      <c r="W151" s="3"/>
      <c r="X151" s="3"/>
      <c r="Y151" s="3"/>
      <c r="Z151" s="3"/>
    </row>
    <row r="152" spans="1:26" ht="15.75" hidden="1" customHeight="1" outlineLevel="1" x14ac:dyDescent="0.3">
      <c r="A152" s="3"/>
      <c r="B152" s="91" t="s">
        <v>380</v>
      </c>
      <c r="C152" s="92"/>
      <c r="D152" s="92"/>
      <c r="E152" s="93">
        <f>SUM(E153:E157)</f>
        <v>0</v>
      </c>
      <c r="F152" s="93">
        <f>SUMIF(D153:D157,"OK",F153:F157)</f>
        <v>0</v>
      </c>
      <c r="G152" s="94"/>
      <c r="H152" s="94"/>
      <c r="I152" s="95"/>
      <c r="J152" s="94"/>
      <c r="K152" s="37"/>
      <c r="L152" s="37"/>
      <c r="M152" s="37"/>
      <c r="N152" s="37"/>
      <c r="O152" s="37"/>
      <c r="P152" s="37"/>
      <c r="Q152" s="37"/>
      <c r="R152" s="37"/>
      <c r="S152" s="37"/>
      <c r="T152" s="37"/>
      <c r="U152" s="3"/>
      <c r="W152" s="3"/>
      <c r="X152" s="3"/>
      <c r="Y152" s="3"/>
      <c r="Z152" s="3"/>
    </row>
    <row r="153" spans="1:26" ht="15.75" hidden="1" customHeight="1" outlineLevel="1" x14ac:dyDescent="0.3">
      <c r="A153" s="3"/>
      <c r="B153" s="10" t="s">
        <v>1535</v>
      </c>
      <c r="C153" s="62"/>
      <c r="D153" s="62"/>
      <c r="E153" s="12">
        <v>0</v>
      </c>
      <c r="F153" s="12">
        <v>0</v>
      </c>
      <c r="G153" s="65"/>
      <c r="H153" s="65"/>
      <c r="I153" s="112"/>
      <c r="J153" s="65"/>
      <c r="K153" s="37"/>
      <c r="L153" s="37"/>
      <c r="M153" s="37"/>
      <c r="N153" s="37"/>
      <c r="O153" s="37"/>
      <c r="P153" s="37"/>
      <c r="Q153" s="37"/>
      <c r="R153" s="37"/>
      <c r="S153" s="37"/>
      <c r="T153" s="37"/>
      <c r="U153" s="3"/>
      <c r="W153" s="3"/>
      <c r="X153" s="3"/>
      <c r="Y153" s="3"/>
      <c r="Z153" s="3"/>
    </row>
    <row r="154" spans="1:26" ht="15.75" hidden="1" customHeight="1" outlineLevel="1" x14ac:dyDescent="0.3">
      <c r="A154" s="3"/>
      <c r="B154" s="10" t="s">
        <v>1536</v>
      </c>
      <c r="C154" s="62"/>
      <c r="D154" s="62"/>
      <c r="E154" s="12">
        <v>0</v>
      </c>
      <c r="F154" s="12">
        <v>0</v>
      </c>
      <c r="G154" s="65"/>
      <c r="H154" s="65"/>
      <c r="I154" s="128"/>
      <c r="J154" s="65"/>
      <c r="K154" s="37"/>
      <c r="L154" s="37"/>
      <c r="M154" s="37"/>
      <c r="N154" s="37"/>
      <c r="O154" s="37"/>
      <c r="P154" s="37"/>
      <c r="Q154" s="37"/>
      <c r="R154" s="37"/>
      <c r="S154" s="37"/>
      <c r="T154" s="37"/>
      <c r="U154" s="3"/>
      <c r="W154" s="3"/>
      <c r="X154" s="3"/>
      <c r="Y154" s="3"/>
      <c r="Z154" s="3"/>
    </row>
    <row r="155" spans="1:26" ht="15.75" hidden="1" customHeight="1" outlineLevel="1" x14ac:dyDescent="0.3">
      <c r="A155" s="3"/>
      <c r="B155" s="10" t="s">
        <v>1537</v>
      </c>
      <c r="C155" s="62"/>
      <c r="D155" s="62"/>
      <c r="E155" s="12">
        <v>0</v>
      </c>
      <c r="F155" s="12">
        <v>0</v>
      </c>
      <c r="G155" s="65"/>
      <c r="H155" s="65"/>
      <c r="I155" s="112"/>
      <c r="J155" s="65"/>
      <c r="K155" s="37"/>
      <c r="L155" s="37"/>
      <c r="M155" s="37"/>
      <c r="N155" s="37"/>
      <c r="O155" s="37"/>
      <c r="P155" s="37"/>
      <c r="Q155" s="37"/>
      <c r="R155" s="37"/>
      <c r="S155" s="37"/>
      <c r="T155" s="37"/>
      <c r="U155" s="3"/>
      <c r="W155" s="3"/>
      <c r="X155" s="3"/>
      <c r="Y155" s="3"/>
      <c r="Z155" s="3"/>
    </row>
    <row r="156" spans="1:26" ht="25.5" hidden="1" customHeight="1" outlineLevel="1" x14ac:dyDescent="0.3">
      <c r="A156" s="3"/>
      <c r="B156" s="10" t="s">
        <v>1538</v>
      </c>
      <c r="C156" s="62"/>
      <c r="D156" s="62"/>
      <c r="E156" s="12">
        <v>0</v>
      </c>
      <c r="F156" s="12">
        <v>0</v>
      </c>
      <c r="G156" s="89"/>
      <c r="H156" s="65"/>
      <c r="I156" s="112"/>
      <c r="J156" s="65"/>
      <c r="K156" s="37"/>
      <c r="L156" s="37"/>
      <c r="M156" s="37"/>
      <c r="N156" s="37"/>
      <c r="O156" s="37"/>
      <c r="P156" s="37"/>
      <c r="Q156" s="37"/>
      <c r="R156" s="37"/>
      <c r="S156" s="37"/>
      <c r="T156" s="37"/>
      <c r="U156" s="3"/>
      <c r="W156" s="3"/>
      <c r="X156" s="3"/>
      <c r="Y156" s="3"/>
      <c r="Z156" s="3"/>
    </row>
    <row r="157" spans="1:26" ht="15.75" hidden="1" customHeight="1" outlineLevel="1" x14ac:dyDescent="0.3">
      <c r="A157" s="3"/>
      <c r="B157" s="10" t="s">
        <v>327</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5.75" hidden="1" customHeight="1" outlineLevel="1" x14ac:dyDescent="0.3">
      <c r="A158" s="3"/>
      <c r="B158" s="91" t="s">
        <v>643</v>
      </c>
      <c r="C158" s="92"/>
      <c r="D158" s="92"/>
      <c r="E158" s="93">
        <f>SUM(E159:E163)</f>
        <v>0</v>
      </c>
      <c r="F158" s="93">
        <f>SUMIF(D159:D163,"OK",F159:F163)</f>
        <v>0</v>
      </c>
      <c r="G158" s="94"/>
      <c r="H158" s="94"/>
      <c r="I158" s="95"/>
      <c r="J158" s="94"/>
      <c r="K158" s="37"/>
      <c r="L158" s="37"/>
      <c r="M158" s="37"/>
      <c r="N158" s="37"/>
      <c r="O158" s="37"/>
      <c r="P158" s="37"/>
      <c r="Q158" s="37"/>
      <c r="R158" s="37"/>
      <c r="S158" s="37"/>
      <c r="T158" s="37"/>
      <c r="U158" s="3"/>
      <c r="W158" s="3"/>
      <c r="X158" s="3"/>
      <c r="Y158" s="3"/>
      <c r="Z158" s="3"/>
    </row>
    <row r="159" spans="1:26" ht="15.75" hidden="1" customHeight="1" outlineLevel="1" x14ac:dyDescent="0.3">
      <c r="A159" s="3"/>
      <c r="B159" s="10" t="s">
        <v>353</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5.75" hidden="1" customHeight="1" outlineLevel="1" x14ac:dyDescent="0.3">
      <c r="A160" s="3"/>
      <c r="B160" s="10" t="s">
        <v>354</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5.75" hidden="1" customHeight="1" outlineLevel="1" x14ac:dyDescent="0.3">
      <c r="A161" s="3"/>
      <c r="B161" s="10" t="s">
        <v>355</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t="15.75" hidden="1" customHeight="1" outlineLevel="1" x14ac:dyDescent="0.3">
      <c r="A162" s="3"/>
      <c r="B162" s="10" t="s">
        <v>369</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5.75" hidden="1" customHeight="1" outlineLevel="1" x14ac:dyDescent="0.3">
      <c r="A163" s="3"/>
      <c r="B163" s="10" t="s">
        <v>327</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5.75" hidden="1" customHeight="1" outlineLevel="1" x14ac:dyDescent="0.3">
      <c r="A164" s="3"/>
      <c r="B164" s="91" t="s">
        <v>381</v>
      </c>
      <c r="C164" s="92"/>
      <c r="D164" s="92"/>
      <c r="E164" s="93">
        <f>SUM(E165:E169)</f>
        <v>0</v>
      </c>
      <c r="F164" s="93">
        <f>SUMIF(D165:D169,"OK",F165:F169)</f>
        <v>0</v>
      </c>
      <c r="G164" s="94"/>
      <c r="H164" s="94"/>
      <c r="I164" s="95"/>
      <c r="J164" s="94"/>
      <c r="K164" s="37"/>
      <c r="L164" s="37"/>
      <c r="M164" s="37"/>
      <c r="N164" s="37"/>
      <c r="O164" s="37"/>
      <c r="P164" s="37"/>
      <c r="Q164" s="37"/>
      <c r="R164" s="37"/>
      <c r="S164" s="37"/>
      <c r="T164" s="37"/>
      <c r="U164" s="3"/>
      <c r="W164" s="3"/>
      <c r="X164" s="3"/>
      <c r="Y164" s="3"/>
      <c r="Z164" s="3"/>
    </row>
    <row r="165" spans="1:26" ht="15.75" hidden="1" customHeight="1" outlineLevel="1" x14ac:dyDescent="0.3">
      <c r="A165" s="3"/>
      <c r="B165" s="10" t="s">
        <v>353</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5.75" hidden="1" customHeight="1" outlineLevel="1" x14ac:dyDescent="0.3">
      <c r="A166" s="3"/>
      <c r="B166" s="10" t="s">
        <v>354</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5.75" hidden="1" customHeight="1" outlineLevel="1" x14ac:dyDescent="0.3">
      <c r="A167" s="3"/>
      <c r="B167" s="10" t="s">
        <v>355</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t="15.75" hidden="1" customHeight="1" outlineLevel="1" x14ac:dyDescent="0.3">
      <c r="A168" s="3"/>
      <c r="B168" s="10" t="s">
        <v>369</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5.75" hidden="1" customHeight="1" outlineLevel="1" x14ac:dyDescent="0.3">
      <c r="A169" s="3"/>
      <c r="B169" s="10" t="s">
        <v>327</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5.75" hidden="1" customHeight="1" outlineLevel="1" x14ac:dyDescent="0.3">
      <c r="A170" s="3"/>
      <c r="B170" s="91" t="s">
        <v>382</v>
      </c>
      <c r="C170" s="92"/>
      <c r="D170" s="92"/>
      <c r="E170" s="93">
        <f>SUM(E171:E175)</f>
        <v>0</v>
      </c>
      <c r="F170" s="93">
        <f>SUMIF(D171:D175,"OK",F171:F175)</f>
        <v>0</v>
      </c>
      <c r="G170" s="94"/>
      <c r="H170" s="94"/>
      <c r="I170" s="95"/>
      <c r="J170" s="94"/>
      <c r="K170" s="37"/>
      <c r="L170" s="37"/>
      <c r="M170" s="37"/>
      <c r="N170" s="37"/>
      <c r="O170" s="37"/>
      <c r="P170" s="37"/>
      <c r="Q170" s="37"/>
      <c r="R170" s="37"/>
      <c r="S170" s="37"/>
      <c r="T170" s="37"/>
      <c r="U170" s="3"/>
      <c r="W170" s="3"/>
      <c r="X170" s="3"/>
      <c r="Y170" s="3"/>
      <c r="Z170" s="3"/>
    </row>
    <row r="171" spans="1:26" ht="15.75" hidden="1" customHeight="1" outlineLevel="1" x14ac:dyDescent="0.3">
      <c r="A171" s="3"/>
      <c r="B171" s="10" t="s">
        <v>353</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5.75" hidden="1" customHeight="1" outlineLevel="1" x14ac:dyDescent="0.3">
      <c r="A172" s="3"/>
      <c r="B172" s="10" t="s">
        <v>354</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5.75" hidden="1" customHeight="1" outlineLevel="1" x14ac:dyDescent="0.3">
      <c r="A173" s="3"/>
      <c r="B173" s="10" t="s">
        <v>355</v>
      </c>
      <c r="C173" s="62"/>
      <c r="D173" s="62"/>
      <c r="E173" s="12">
        <v>0</v>
      </c>
      <c r="F173" s="12">
        <v>0</v>
      </c>
      <c r="G173" s="65"/>
      <c r="H173" s="65"/>
      <c r="I173" s="89"/>
      <c r="J173" s="65"/>
      <c r="K173" s="37"/>
      <c r="L173" s="37"/>
      <c r="M173" s="37"/>
      <c r="N173" s="37"/>
      <c r="O173" s="37"/>
      <c r="P173" s="37"/>
      <c r="Q173" s="37"/>
      <c r="R173" s="37"/>
      <c r="S173" s="37"/>
      <c r="T173" s="37"/>
      <c r="U173" s="3"/>
      <c r="W173" s="3"/>
      <c r="X173" s="3"/>
      <c r="Y173" s="3"/>
      <c r="Z173" s="3"/>
    </row>
    <row r="174" spans="1:26" ht="15.75" hidden="1" customHeight="1" outlineLevel="1" x14ac:dyDescent="0.3">
      <c r="A174" s="3"/>
      <c r="B174" s="10" t="s">
        <v>369</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15.75" hidden="1" customHeight="1" outlineLevel="1" x14ac:dyDescent="0.3">
      <c r="A175" s="3"/>
      <c r="B175" s="10" t="s">
        <v>327</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5.75" customHeight="1" collapsed="1" x14ac:dyDescent="0.3">
      <c r="A176" s="3"/>
      <c r="B176" s="84" t="s">
        <v>383</v>
      </c>
      <c r="C176" s="85" t="s">
        <v>43</v>
      </c>
      <c r="D176" s="85" t="s">
        <v>43</v>
      </c>
      <c r="E176" s="86">
        <f>SUM(E177:E181)</f>
        <v>0</v>
      </c>
      <c r="F176" s="86">
        <f>SUMIF(D177:D181,"OK",F177:F181)</f>
        <v>0</v>
      </c>
      <c r="G176" s="87"/>
      <c r="H176" s="87"/>
      <c r="I176" s="88"/>
      <c r="J176" s="87"/>
      <c r="K176" s="37"/>
      <c r="L176" s="37"/>
      <c r="M176" s="37"/>
      <c r="N176" s="37"/>
      <c r="O176" s="37"/>
      <c r="P176" s="37"/>
      <c r="Q176" s="37"/>
      <c r="R176" s="37"/>
      <c r="S176" s="37"/>
      <c r="T176" s="37"/>
      <c r="U176" s="3"/>
      <c r="W176" s="3"/>
      <c r="X176" s="3"/>
      <c r="Y176" s="3"/>
      <c r="Z176" s="3"/>
    </row>
    <row r="177" spans="1:26" ht="15.75" hidden="1" customHeight="1" outlineLevel="1" x14ac:dyDescent="0.3">
      <c r="A177" s="3"/>
      <c r="B177" s="10" t="s">
        <v>353</v>
      </c>
      <c r="C177" s="62"/>
      <c r="D177" s="62"/>
      <c r="E177" s="12">
        <v>0</v>
      </c>
      <c r="F177" s="12">
        <v>0</v>
      </c>
      <c r="G177" s="65"/>
      <c r="H177" s="65"/>
      <c r="I177" s="112"/>
      <c r="J177" s="65"/>
      <c r="K177" s="37"/>
      <c r="L177" s="37"/>
      <c r="M177" s="37"/>
      <c r="N177" s="37"/>
      <c r="O177" s="37"/>
      <c r="P177" s="37"/>
      <c r="Q177" s="37"/>
      <c r="R177" s="37"/>
      <c r="S177" s="37"/>
      <c r="T177" s="37"/>
      <c r="U177" s="3"/>
      <c r="W177" s="3"/>
      <c r="X177" s="3"/>
      <c r="Y177" s="3"/>
      <c r="Z177" s="3"/>
    </row>
    <row r="178" spans="1:26" ht="15.75" hidden="1" customHeight="1" outlineLevel="1" x14ac:dyDescent="0.3">
      <c r="A178" s="3"/>
      <c r="B178" s="10" t="s">
        <v>354</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5.75" hidden="1" customHeight="1" outlineLevel="1" x14ac:dyDescent="0.3">
      <c r="A179" s="3"/>
      <c r="B179" s="10" t="s">
        <v>355</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15.75" hidden="1" customHeight="1" outlineLevel="1" x14ac:dyDescent="0.3">
      <c r="A180" s="3"/>
      <c r="B180" s="10" t="s">
        <v>369</v>
      </c>
      <c r="C180" s="62"/>
      <c r="D180" s="62"/>
      <c r="E180" s="12">
        <v>0</v>
      </c>
      <c r="F180" s="12">
        <v>0</v>
      </c>
      <c r="G180" s="65"/>
      <c r="H180" s="65"/>
      <c r="I180" s="89"/>
      <c r="J180" s="65"/>
      <c r="K180" s="37"/>
      <c r="L180" s="37"/>
      <c r="M180" s="37"/>
      <c r="N180" s="37"/>
      <c r="O180" s="37"/>
      <c r="P180" s="37"/>
      <c r="Q180" s="37"/>
      <c r="R180" s="37"/>
      <c r="S180" s="37"/>
      <c r="T180" s="37"/>
      <c r="U180" s="3"/>
      <c r="W180" s="3"/>
      <c r="X180" s="3"/>
      <c r="Y180" s="3"/>
      <c r="Z180" s="3"/>
    </row>
    <row r="181" spans="1:26" ht="15.75" hidden="1" customHeight="1" outlineLevel="1" x14ac:dyDescent="0.3">
      <c r="A181" s="3"/>
      <c r="B181" s="10" t="s">
        <v>327</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5.75" customHeight="1" collapsed="1" x14ac:dyDescent="0.3">
      <c r="A182" s="3"/>
      <c r="B182" s="84" t="s">
        <v>384</v>
      </c>
      <c r="C182" s="85" t="s">
        <v>43</v>
      </c>
      <c r="D182" s="85" t="s">
        <v>43</v>
      </c>
      <c r="E182" s="86">
        <f>SUM(E183:E210)</f>
        <v>0</v>
      </c>
      <c r="F182" s="86">
        <f>SUMIF(D183:D210,"OK",F183:F210)</f>
        <v>0</v>
      </c>
      <c r="G182" s="87"/>
      <c r="H182" s="87"/>
      <c r="I182" s="88"/>
      <c r="J182" s="87"/>
      <c r="K182" s="37"/>
      <c r="L182" s="37"/>
      <c r="M182" s="37"/>
      <c r="N182" s="37"/>
      <c r="O182" s="37"/>
      <c r="P182" s="37"/>
      <c r="Q182" s="37"/>
      <c r="R182" s="37"/>
      <c r="S182" s="37"/>
      <c r="T182" s="37"/>
      <c r="U182" s="3"/>
      <c r="W182" s="3"/>
      <c r="X182" s="3"/>
      <c r="Y182" s="3"/>
      <c r="Z182" s="3"/>
    </row>
    <row r="183" spans="1:26" ht="15.75" hidden="1" customHeight="1" outlineLevel="1" x14ac:dyDescent="0.3">
      <c r="A183" s="3"/>
      <c r="B183" s="10" t="s">
        <v>1539</v>
      </c>
      <c r="C183" s="80"/>
      <c r="D183" s="62"/>
      <c r="E183" s="12">
        <v>0</v>
      </c>
      <c r="F183" s="12">
        <v>0</v>
      </c>
      <c r="G183" s="89"/>
      <c r="H183" s="65"/>
      <c r="I183" s="112"/>
      <c r="J183" s="65"/>
      <c r="K183" s="37"/>
      <c r="L183" s="37"/>
      <c r="M183" s="37"/>
      <c r="N183" s="37"/>
      <c r="O183" s="37"/>
      <c r="P183" s="37"/>
      <c r="Q183" s="37"/>
      <c r="R183" s="37"/>
      <c r="S183" s="37"/>
      <c r="T183" s="37"/>
      <c r="U183" s="3"/>
      <c r="W183" s="3"/>
      <c r="X183" s="3"/>
      <c r="Y183" s="3"/>
      <c r="Z183" s="3"/>
    </row>
    <row r="184" spans="1:26" ht="15.75" hidden="1" customHeight="1" outlineLevel="1" x14ac:dyDescent="0.3">
      <c r="A184" s="3"/>
      <c r="B184" s="10" t="s">
        <v>1539</v>
      </c>
      <c r="C184" s="62"/>
      <c r="D184" s="62"/>
      <c r="E184" s="12">
        <v>0</v>
      </c>
      <c r="F184" s="12">
        <v>0</v>
      </c>
      <c r="G184" s="89"/>
      <c r="H184" s="65"/>
      <c r="I184" s="112"/>
      <c r="J184" s="89"/>
      <c r="K184" s="37"/>
      <c r="L184" s="37"/>
      <c r="M184" s="37"/>
      <c r="N184" s="37"/>
      <c r="O184" s="37"/>
      <c r="P184" s="37"/>
      <c r="Q184" s="37"/>
      <c r="R184" s="37"/>
      <c r="S184" s="37"/>
      <c r="T184" s="37"/>
      <c r="U184" s="3"/>
      <c r="W184" s="3"/>
      <c r="X184" s="3"/>
      <c r="Y184" s="3"/>
      <c r="Z184" s="3"/>
    </row>
    <row r="185" spans="1:26" ht="15.75" hidden="1" customHeight="1" outlineLevel="1" x14ac:dyDescent="0.3">
      <c r="A185" s="3"/>
      <c r="B185" s="10" t="s">
        <v>1540</v>
      </c>
      <c r="C185" s="62"/>
      <c r="D185" s="62"/>
      <c r="E185" s="12">
        <v>0</v>
      </c>
      <c r="F185" s="12">
        <v>0</v>
      </c>
      <c r="G185" s="65"/>
      <c r="H185" s="65"/>
      <c r="I185" s="112"/>
      <c r="J185" s="65"/>
      <c r="K185" s="37"/>
      <c r="L185" s="37"/>
      <c r="M185" s="37"/>
      <c r="N185" s="37"/>
      <c r="O185" s="37"/>
      <c r="P185" s="37"/>
      <c r="Q185" s="37"/>
      <c r="R185" s="37"/>
      <c r="S185" s="37"/>
      <c r="T185" s="37"/>
      <c r="U185" s="3"/>
      <c r="W185" s="3"/>
      <c r="X185" s="3"/>
      <c r="Y185" s="3"/>
      <c r="Z185" s="3"/>
    </row>
    <row r="186" spans="1:26" ht="15.75" hidden="1" customHeight="1" outlineLevel="1" x14ac:dyDescent="0.3">
      <c r="A186" s="3"/>
      <c r="B186" s="10" t="s">
        <v>1541</v>
      </c>
      <c r="C186" s="62"/>
      <c r="D186" s="62"/>
      <c r="E186" s="12">
        <v>0</v>
      </c>
      <c r="F186" s="12">
        <v>0</v>
      </c>
      <c r="G186" s="89"/>
      <c r="H186" s="65"/>
      <c r="I186" s="112"/>
      <c r="J186" s="65"/>
      <c r="K186" s="37"/>
      <c r="L186" s="37"/>
      <c r="M186" s="37"/>
      <c r="N186" s="37"/>
      <c r="O186" s="37"/>
      <c r="P186" s="37"/>
      <c r="Q186" s="37"/>
      <c r="R186" s="37"/>
      <c r="S186" s="37"/>
      <c r="T186" s="37"/>
      <c r="U186" s="3"/>
      <c r="W186" s="3"/>
      <c r="X186" s="3"/>
      <c r="Y186" s="3"/>
      <c r="Z186" s="3"/>
    </row>
    <row r="187" spans="1:26" ht="15.75" hidden="1" customHeight="1" outlineLevel="1" x14ac:dyDescent="0.3">
      <c r="A187" s="3"/>
      <c r="B187" s="10" t="s">
        <v>1542</v>
      </c>
      <c r="C187" s="62"/>
      <c r="D187" s="62"/>
      <c r="E187" s="12">
        <v>0</v>
      </c>
      <c r="F187" s="12">
        <v>0</v>
      </c>
      <c r="G187" s="65"/>
      <c r="H187" s="65"/>
      <c r="I187" s="112"/>
      <c r="J187" s="65"/>
      <c r="K187" s="37"/>
      <c r="L187" s="37"/>
      <c r="M187" s="37"/>
      <c r="N187" s="37"/>
      <c r="O187" s="37"/>
      <c r="P187" s="37"/>
      <c r="Q187" s="37"/>
      <c r="R187" s="37"/>
      <c r="S187" s="37"/>
      <c r="T187" s="37"/>
      <c r="U187" s="3"/>
      <c r="W187" s="3"/>
      <c r="X187" s="3"/>
      <c r="Y187" s="3"/>
      <c r="Z187" s="3"/>
    </row>
    <row r="188" spans="1:26" ht="15.75" hidden="1" customHeight="1" outlineLevel="1" x14ac:dyDescent="0.3">
      <c r="A188" s="3"/>
      <c r="B188" s="10" t="s">
        <v>1543</v>
      </c>
      <c r="C188" s="62"/>
      <c r="D188" s="62"/>
      <c r="E188" s="12">
        <v>0</v>
      </c>
      <c r="F188" s="12">
        <v>0</v>
      </c>
      <c r="G188" s="65"/>
      <c r="H188" s="65"/>
      <c r="I188" s="112"/>
      <c r="J188" s="65"/>
      <c r="K188" s="37"/>
      <c r="L188" s="37"/>
      <c r="M188" s="37"/>
      <c r="N188" s="37"/>
      <c r="O188" s="37"/>
      <c r="P188" s="37"/>
      <c r="Q188" s="37"/>
      <c r="R188" s="37"/>
      <c r="S188" s="37"/>
      <c r="T188" s="37"/>
      <c r="U188" s="3"/>
      <c r="W188" s="3"/>
      <c r="X188" s="3"/>
      <c r="Y188" s="3"/>
      <c r="Z188" s="3"/>
    </row>
    <row r="189" spans="1:26" ht="15.75" hidden="1" customHeight="1" outlineLevel="1" x14ac:dyDescent="0.3">
      <c r="A189" s="3"/>
      <c r="B189" s="10" t="s">
        <v>1544</v>
      </c>
      <c r="C189" s="62"/>
      <c r="D189" s="62"/>
      <c r="E189" s="12">
        <v>0</v>
      </c>
      <c r="F189" s="12">
        <v>0</v>
      </c>
      <c r="G189" s="89"/>
      <c r="H189" s="65"/>
      <c r="I189" s="128"/>
      <c r="J189" s="65"/>
      <c r="K189" s="37"/>
      <c r="L189" s="37"/>
      <c r="M189" s="37"/>
      <c r="N189" s="37"/>
      <c r="O189" s="37"/>
      <c r="P189" s="37"/>
      <c r="Q189" s="37"/>
      <c r="R189" s="37"/>
      <c r="S189" s="37"/>
      <c r="T189" s="37"/>
      <c r="U189" s="3"/>
      <c r="W189" s="3"/>
      <c r="X189" s="3"/>
      <c r="Y189" s="3"/>
      <c r="Z189" s="3"/>
    </row>
    <row r="190" spans="1:26" ht="15.75" hidden="1" customHeight="1" outlineLevel="1" x14ac:dyDescent="0.3">
      <c r="A190" s="3"/>
      <c r="B190" s="10" t="s">
        <v>1545</v>
      </c>
      <c r="C190" s="62"/>
      <c r="D190" s="62"/>
      <c r="E190" s="12">
        <v>0</v>
      </c>
      <c r="F190" s="12">
        <v>0</v>
      </c>
      <c r="G190" s="65"/>
      <c r="H190" s="65"/>
      <c r="I190" s="112"/>
      <c r="J190" s="65"/>
      <c r="K190" s="37"/>
      <c r="L190" s="37"/>
      <c r="M190" s="37"/>
      <c r="N190" s="37"/>
      <c r="O190" s="37"/>
      <c r="P190" s="37"/>
      <c r="Q190" s="37"/>
      <c r="R190" s="37"/>
      <c r="S190" s="37"/>
      <c r="T190" s="37"/>
      <c r="U190" s="3"/>
      <c r="W190" s="3"/>
      <c r="X190" s="3"/>
      <c r="Y190" s="3"/>
      <c r="Z190" s="3"/>
    </row>
    <row r="191" spans="1:26" ht="15.75" hidden="1" customHeight="1" outlineLevel="1" x14ac:dyDescent="0.3">
      <c r="A191" s="3"/>
      <c r="B191" s="10" t="s">
        <v>50</v>
      </c>
      <c r="C191" s="62"/>
      <c r="D191" s="62"/>
      <c r="E191" s="12">
        <v>0</v>
      </c>
      <c r="F191" s="12">
        <v>0</v>
      </c>
      <c r="G191" s="65"/>
      <c r="H191" s="65"/>
      <c r="I191" s="112"/>
      <c r="J191" s="65"/>
      <c r="K191" s="37"/>
      <c r="L191" s="37"/>
      <c r="M191" s="37"/>
      <c r="N191" s="37"/>
      <c r="O191" s="37"/>
      <c r="P191" s="37"/>
      <c r="Q191" s="37"/>
      <c r="R191" s="37"/>
      <c r="S191" s="37"/>
      <c r="T191" s="37"/>
      <c r="U191" s="3"/>
      <c r="W191" s="3"/>
      <c r="X191" s="3"/>
      <c r="Y191" s="3"/>
      <c r="Z191" s="3"/>
    </row>
    <row r="192" spans="1:26" ht="15.75" hidden="1" customHeight="1" outlineLevel="1" x14ac:dyDescent="0.3">
      <c r="A192" s="3"/>
      <c r="B192" s="10" t="s">
        <v>50</v>
      </c>
      <c r="C192" s="62"/>
      <c r="D192" s="62"/>
      <c r="E192" s="12">
        <v>0</v>
      </c>
      <c r="F192" s="12">
        <v>0</v>
      </c>
      <c r="G192" s="65"/>
      <c r="H192" s="65"/>
      <c r="I192" s="112"/>
      <c r="J192" s="65"/>
      <c r="K192" s="37"/>
      <c r="L192" s="37"/>
      <c r="M192" s="37"/>
      <c r="N192" s="37"/>
      <c r="O192" s="37"/>
      <c r="P192" s="37"/>
      <c r="Q192" s="37"/>
      <c r="R192" s="37"/>
      <c r="S192" s="37"/>
      <c r="T192" s="37"/>
      <c r="U192" s="3"/>
      <c r="W192" s="3"/>
      <c r="X192" s="3"/>
      <c r="Y192" s="3"/>
      <c r="Z192" s="3"/>
    </row>
    <row r="193" spans="1:26" ht="15.75" hidden="1" customHeight="1" outlineLevel="1" x14ac:dyDescent="0.3">
      <c r="A193" s="3"/>
      <c r="B193" s="10" t="s">
        <v>50</v>
      </c>
      <c r="C193" s="62"/>
      <c r="D193" s="62"/>
      <c r="E193" s="12">
        <v>0</v>
      </c>
      <c r="F193" s="12">
        <v>0</v>
      </c>
      <c r="G193" s="65"/>
      <c r="H193" s="65"/>
      <c r="I193" s="112"/>
      <c r="J193" s="65"/>
      <c r="K193" s="37"/>
      <c r="L193" s="37"/>
      <c r="M193" s="37"/>
      <c r="N193" s="37"/>
      <c r="O193" s="37"/>
      <c r="P193" s="37"/>
      <c r="Q193" s="37"/>
      <c r="R193" s="37"/>
      <c r="S193" s="37"/>
      <c r="T193" s="37"/>
      <c r="U193" s="3"/>
      <c r="W193" s="3"/>
      <c r="X193" s="3"/>
      <c r="Y193" s="3"/>
      <c r="Z193" s="3"/>
    </row>
    <row r="194" spans="1:26" ht="15.75" hidden="1" customHeight="1" outlineLevel="1" x14ac:dyDescent="0.3">
      <c r="A194" s="3"/>
      <c r="B194" s="10" t="s">
        <v>50</v>
      </c>
      <c r="C194" s="62"/>
      <c r="D194" s="62"/>
      <c r="E194" s="12">
        <v>0</v>
      </c>
      <c r="F194" s="12">
        <v>0</v>
      </c>
      <c r="G194" s="65"/>
      <c r="H194" s="65"/>
      <c r="I194" s="112"/>
      <c r="J194" s="65"/>
      <c r="K194" s="37"/>
      <c r="L194" s="37"/>
      <c r="M194" s="37"/>
      <c r="N194" s="37"/>
      <c r="O194" s="37"/>
      <c r="P194" s="37"/>
      <c r="Q194" s="37"/>
      <c r="R194" s="37"/>
      <c r="S194" s="37"/>
      <c r="T194" s="37"/>
      <c r="U194" s="3"/>
      <c r="W194" s="3"/>
      <c r="X194" s="3"/>
      <c r="Y194" s="3"/>
      <c r="Z194" s="3"/>
    </row>
    <row r="195" spans="1:26" ht="15.75" hidden="1" customHeight="1" outlineLevel="1" x14ac:dyDescent="0.3">
      <c r="A195" s="3"/>
      <c r="B195" s="10" t="s">
        <v>50</v>
      </c>
      <c r="C195" s="62"/>
      <c r="D195" s="62"/>
      <c r="E195" s="12">
        <v>0</v>
      </c>
      <c r="F195" s="12">
        <v>0</v>
      </c>
      <c r="G195" s="65"/>
      <c r="H195" s="65"/>
      <c r="I195" s="128"/>
      <c r="J195" s="65"/>
      <c r="K195" s="37"/>
      <c r="L195" s="37"/>
      <c r="M195" s="37"/>
      <c r="N195" s="37"/>
      <c r="O195" s="37"/>
      <c r="P195" s="37"/>
      <c r="Q195" s="37"/>
      <c r="R195" s="37"/>
      <c r="S195" s="37"/>
      <c r="T195" s="37"/>
      <c r="U195" s="3"/>
      <c r="W195" s="3"/>
      <c r="X195" s="3"/>
      <c r="Y195" s="3"/>
      <c r="Z195" s="3"/>
    </row>
    <row r="196" spans="1:26" ht="15.75" hidden="1" customHeight="1" outlineLevel="1" x14ac:dyDescent="0.3">
      <c r="A196" s="3"/>
      <c r="B196" s="10" t="s">
        <v>50</v>
      </c>
      <c r="C196" s="62"/>
      <c r="D196" s="62"/>
      <c r="E196" s="12">
        <v>0</v>
      </c>
      <c r="F196" s="12">
        <v>0</v>
      </c>
      <c r="G196" s="65"/>
      <c r="H196" s="65"/>
      <c r="I196" s="128"/>
      <c r="J196" s="65"/>
      <c r="K196" s="37"/>
      <c r="L196" s="37"/>
      <c r="M196" s="37"/>
      <c r="N196" s="37"/>
      <c r="O196" s="37"/>
      <c r="P196" s="37"/>
      <c r="Q196" s="37"/>
      <c r="R196" s="37"/>
      <c r="S196" s="37"/>
      <c r="T196" s="37"/>
      <c r="U196" s="3"/>
      <c r="W196" s="3"/>
      <c r="X196" s="3"/>
      <c r="Y196" s="3"/>
      <c r="Z196" s="3"/>
    </row>
    <row r="197" spans="1:26" ht="15.75" hidden="1" customHeight="1" outlineLevel="1" x14ac:dyDescent="0.3">
      <c r="A197" s="3"/>
      <c r="B197" s="10" t="s">
        <v>50</v>
      </c>
      <c r="C197" s="62"/>
      <c r="D197" s="62"/>
      <c r="E197" s="12">
        <v>0</v>
      </c>
      <c r="F197" s="12">
        <v>0</v>
      </c>
      <c r="G197" s="65"/>
      <c r="H197" s="65"/>
      <c r="I197" s="112"/>
      <c r="J197" s="65"/>
      <c r="K197" s="37"/>
      <c r="L197" s="37"/>
      <c r="M197" s="37"/>
      <c r="N197" s="37"/>
      <c r="O197" s="37"/>
      <c r="P197" s="37"/>
      <c r="Q197" s="37"/>
      <c r="R197" s="37"/>
      <c r="S197" s="37"/>
      <c r="T197" s="37"/>
      <c r="U197" s="3"/>
      <c r="W197" s="3"/>
      <c r="X197" s="3"/>
      <c r="Y197" s="3"/>
      <c r="Z197" s="3"/>
    </row>
    <row r="198" spans="1:26" ht="15.75" hidden="1" customHeight="1" outlineLevel="1" x14ac:dyDescent="0.3">
      <c r="A198" s="3"/>
      <c r="B198" s="10" t="s">
        <v>50</v>
      </c>
      <c r="C198" s="62"/>
      <c r="D198" s="62"/>
      <c r="E198" s="12">
        <v>0</v>
      </c>
      <c r="F198" s="12">
        <v>0</v>
      </c>
      <c r="G198" s="65"/>
      <c r="H198" s="65"/>
      <c r="I198" s="112"/>
      <c r="J198" s="65"/>
      <c r="K198" s="37"/>
      <c r="L198" s="37"/>
      <c r="M198" s="37"/>
      <c r="N198" s="37"/>
      <c r="O198" s="37"/>
      <c r="P198" s="37"/>
      <c r="Q198" s="37"/>
      <c r="R198" s="37"/>
      <c r="S198" s="37"/>
      <c r="T198" s="37"/>
      <c r="U198" s="3"/>
      <c r="W198" s="3"/>
      <c r="X198" s="3"/>
      <c r="Y198" s="3"/>
      <c r="Z198" s="3"/>
    </row>
    <row r="199" spans="1:26" ht="15.75" hidden="1" customHeight="1" outlineLevel="1" x14ac:dyDescent="0.3">
      <c r="A199" s="3"/>
      <c r="B199" s="10" t="s">
        <v>50</v>
      </c>
      <c r="C199" s="62"/>
      <c r="D199" s="62"/>
      <c r="E199" s="12">
        <v>0</v>
      </c>
      <c r="F199" s="12">
        <v>0</v>
      </c>
      <c r="G199" s="65"/>
      <c r="H199" s="65"/>
      <c r="I199" s="112"/>
      <c r="J199" s="65"/>
      <c r="K199" s="37"/>
      <c r="L199" s="37"/>
      <c r="M199" s="37"/>
      <c r="N199" s="37"/>
      <c r="O199" s="37"/>
      <c r="P199" s="37"/>
      <c r="Q199" s="37"/>
      <c r="R199" s="37"/>
      <c r="S199" s="37"/>
      <c r="T199" s="37"/>
      <c r="U199" s="3"/>
      <c r="W199" s="3"/>
      <c r="X199" s="3"/>
      <c r="Y199" s="3"/>
      <c r="Z199" s="3"/>
    </row>
    <row r="200" spans="1:26" ht="15.75" hidden="1" customHeight="1" outlineLevel="1" x14ac:dyDescent="0.3">
      <c r="A200" s="3"/>
      <c r="B200" s="10" t="s">
        <v>50</v>
      </c>
      <c r="C200" s="62"/>
      <c r="D200" s="62"/>
      <c r="E200" s="12">
        <v>0</v>
      </c>
      <c r="F200" s="12">
        <v>0</v>
      </c>
      <c r="G200" s="65"/>
      <c r="H200" s="65"/>
      <c r="I200" s="112"/>
      <c r="J200" s="65"/>
      <c r="K200" s="37"/>
      <c r="L200" s="37"/>
      <c r="M200" s="37"/>
      <c r="N200" s="37"/>
      <c r="O200" s="37"/>
      <c r="P200" s="37"/>
      <c r="Q200" s="37"/>
      <c r="R200" s="37"/>
      <c r="S200" s="37"/>
      <c r="T200" s="37"/>
      <c r="U200" s="3"/>
      <c r="W200" s="3"/>
      <c r="X200" s="3"/>
      <c r="Y200" s="3"/>
      <c r="Z200" s="3"/>
    </row>
    <row r="201" spans="1:26" ht="15.75" hidden="1" customHeight="1" outlineLevel="1" x14ac:dyDescent="0.3">
      <c r="A201" s="3"/>
      <c r="B201" s="10" t="s">
        <v>50</v>
      </c>
      <c r="C201" s="62"/>
      <c r="D201" s="62"/>
      <c r="E201" s="12">
        <v>0</v>
      </c>
      <c r="F201" s="12">
        <v>0</v>
      </c>
      <c r="G201" s="65"/>
      <c r="H201" s="65"/>
      <c r="I201" s="112"/>
      <c r="J201" s="65"/>
      <c r="K201" s="37"/>
      <c r="L201" s="37"/>
      <c r="M201" s="37"/>
      <c r="N201" s="37"/>
      <c r="O201" s="37"/>
      <c r="P201" s="37"/>
      <c r="Q201" s="37"/>
      <c r="R201" s="37"/>
      <c r="S201" s="37"/>
      <c r="T201" s="37"/>
      <c r="U201" s="3"/>
      <c r="W201" s="3"/>
      <c r="X201" s="3"/>
      <c r="Y201" s="3"/>
      <c r="Z201" s="3"/>
    </row>
    <row r="202" spans="1:26" ht="15.75" hidden="1" customHeight="1" outlineLevel="1" x14ac:dyDescent="0.3">
      <c r="A202" s="3"/>
      <c r="B202" s="10" t="s">
        <v>50</v>
      </c>
      <c r="C202" s="62"/>
      <c r="D202" s="62"/>
      <c r="E202" s="12">
        <v>0</v>
      </c>
      <c r="F202" s="12">
        <v>0</v>
      </c>
      <c r="G202" s="65"/>
      <c r="H202" s="65"/>
      <c r="I202" s="128"/>
      <c r="J202" s="65"/>
      <c r="K202" s="37"/>
      <c r="L202" s="37"/>
      <c r="M202" s="37"/>
      <c r="N202" s="37"/>
      <c r="O202" s="37"/>
      <c r="P202" s="37"/>
      <c r="Q202" s="37"/>
      <c r="R202" s="37"/>
      <c r="S202" s="37"/>
      <c r="T202" s="37"/>
      <c r="U202" s="3"/>
      <c r="W202" s="3"/>
      <c r="X202" s="3"/>
      <c r="Y202" s="3"/>
      <c r="Z202" s="3"/>
    </row>
    <row r="203" spans="1:26" ht="15.75" hidden="1" customHeight="1" outlineLevel="1" x14ac:dyDescent="0.3">
      <c r="A203" s="3"/>
      <c r="B203" s="10" t="s">
        <v>50</v>
      </c>
      <c r="C203" s="62"/>
      <c r="D203" s="62"/>
      <c r="E203" s="12">
        <v>0</v>
      </c>
      <c r="F203" s="12">
        <v>0</v>
      </c>
      <c r="G203" s="65"/>
      <c r="H203" s="65"/>
      <c r="I203" s="112"/>
      <c r="J203" s="65"/>
      <c r="K203" s="37"/>
      <c r="L203" s="37"/>
      <c r="M203" s="37"/>
      <c r="N203" s="37"/>
      <c r="O203" s="37"/>
      <c r="P203" s="37"/>
      <c r="Q203" s="37"/>
      <c r="R203" s="37"/>
      <c r="S203" s="37"/>
      <c r="T203" s="37"/>
      <c r="U203" s="3"/>
      <c r="W203" s="3"/>
      <c r="X203" s="3"/>
      <c r="Y203" s="3"/>
      <c r="Z203" s="3"/>
    </row>
    <row r="204" spans="1:26" ht="15.75" hidden="1" customHeight="1" outlineLevel="1" x14ac:dyDescent="0.3">
      <c r="A204" s="3"/>
      <c r="B204" s="10" t="s">
        <v>50</v>
      </c>
      <c r="C204" s="62"/>
      <c r="D204" s="62"/>
      <c r="E204" s="12">
        <v>0</v>
      </c>
      <c r="F204" s="12">
        <v>0</v>
      </c>
      <c r="G204" s="65"/>
      <c r="H204" s="65"/>
      <c r="I204" s="128"/>
      <c r="J204" s="65"/>
      <c r="K204" s="37"/>
      <c r="L204" s="37"/>
      <c r="M204" s="37"/>
      <c r="N204" s="37"/>
      <c r="O204" s="37"/>
      <c r="P204" s="37"/>
      <c r="Q204" s="37"/>
      <c r="R204" s="37"/>
      <c r="S204" s="37"/>
      <c r="T204" s="37"/>
      <c r="U204" s="3"/>
      <c r="W204" s="3"/>
      <c r="X204" s="3"/>
      <c r="Y204" s="3"/>
      <c r="Z204" s="3"/>
    </row>
    <row r="205" spans="1:26" ht="15.75" hidden="1" customHeight="1" outlineLevel="1" x14ac:dyDescent="0.3">
      <c r="A205" s="3"/>
      <c r="B205" s="10" t="s">
        <v>50</v>
      </c>
      <c r="C205" s="62"/>
      <c r="D205" s="62"/>
      <c r="E205" s="12">
        <v>0</v>
      </c>
      <c r="F205" s="12">
        <v>0</v>
      </c>
      <c r="G205" s="65"/>
      <c r="H205" s="65"/>
      <c r="I205" s="128"/>
      <c r="J205" s="65"/>
      <c r="K205" s="37"/>
      <c r="L205" s="37"/>
      <c r="M205" s="37"/>
      <c r="N205" s="37"/>
      <c r="O205" s="37"/>
      <c r="P205" s="37"/>
      <c r="Q205" s="37"/>
      <c r="R205" s="37"/>
      <c r="S205" s="37"/>
      <c r="T205" s="37"/>
      <c r="U205" s="3"/>
      <c r="W205" s="3"/>
      <c r="X205" s="3"/>
      <c r="Y205" s="3"/>
      <c r="Z205" s="3"/>
    </row>
    <row r="206" spans="1:26" ht="15.75" hidden="1" customHeight="1" outlineLevel="1" x14ac:dyDescent="0.3">
      <c r="A206" s="3"/>
      <c r="B206" s="10" t="s">
        <v>50</v>
      </c>
      <c r="C206" s="62"/>
      <c r="D206" s="62"/>
      <c r="E206" s="12">
        <v>0</v>
      </c>
      <c r="F206" s="12">
        <v>0</v>
      </c>
      <c r="G206" s="65"/>
      <c r="H206" s="65"/>
      <c r="I206" s="89"/>
      <c r="J206" s="65"/>
      <c r="K206" s="37"/>
      <c r="L206" s="37"/>
      <c r="M206" s="37"/>
      <c r="N206" s="37"/>
      <c r="O206" s="37"/>
      <c r="P206" s="37"/>
      <c r="Q206" s="37"/>
      <c r="R206" s="37"/>
      <c r="S206" s="37"/>
      <c r="T206" s="37"/>
      <c r="U206" s="3"/>
      <c r="W206" s="3"/>
      <c r="X206" s="3"/>
      <c r="Y206" s="3"/>
      <c r="Z206" s="3"/>
    </row>
    <row r="207" spans="1:26" ht="15.75" hidden="1" customHeight="1" outlineLevel="1" x14ac:dyDescent="0.3">
      <c r="A207" s="3"/>
      <c r="B207" s="10" t="s">
        <v>50</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5.75" hidden="1" customHeight="1" outlineLevel="1" x14ac:dyDescent="0.3">
      <c r="A208" s="3"/>
      <c r="B208" s="10" t="s">
        <v>50</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5.75" hidden="1" customHeight="1" outlineLevel="1" x14ac:dyDescent="0.3">
      <c r="A209" s="3"/>
      <c r="B209" s="10" t="s">
        <v>50</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5.75" hidden="1" customHeight="1" outlineLevel="1" x14ac:dyDescent="0.3">
      <c r="A210" s="3"/>
      <c r="B210" s="10" t="s">
        <v>50</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5.75" customHeight="1" collapsed="1" x14ac:dyDescent="0.3">
      <c r="A211" s="3"/>
      <c r="B211" s="84" t="s">
        <v>394</v>
      </c>
      <c r="C211" s="85" t="s">
        <v>43</v>
      </c>
      <c r="D211" s="85" t="s">
        <v>43</v>
      </c>
      <c r="E211" s="86">
        <f>SUM(E212:E220)</f>
        <v>0</v>
      </c>
      <c r="F211" s="86">
        <f>SUMIF(D212:D220,"OK",F212:F220)</f>
        <v>0</v>
      </c>
      <c r="G211" s="87"/>
      <c r="H211" s="87"/>
      <c r="I211" s="88"/>
      <c r="J211" s="87"/>
      <c r="K211" s="37"/>
      <c r="L211" s="37"/>
      <c r="M211" s="37"/>
      <c r="N211" s="37"/>
      <c r="O211" s="37"/>
      <c r="P211" s="37"/>
      <c r="Q211" s="37"/>
      <c r="R211" s="37"/>
      <c r="S211" s="37"/>
      <c r="T211" s="37"/>
      <c r="U211" s="3"/>
      <c r="W211" s="3"/>
      <c r="X211" s="3"/>
      <c r="Y211" s="3"/>
      <c r="Z211" s="3"/>
    </row>
    <row r="212" spans="1:26" ht="15.75" hidden="1" customHeight="1" outlineLevel="1" x14ac:dyDescent="0.3">
      <c r="A212" s="3"/>
      <c r="B212" s="10" t="s">
        <v>1546</v>
      </c>
      <c r="C212" s="62"/>
      <c r="D212" s="62"/>
      <c r="E212" s="12">
        <v>0</v>
      </c>
      <c r="F212" s="12">
        <v>0</v>
      </c>
      <c r="G212" s="65"/>
      <c r="H212" s="65"/>
      <c r="I212" s="112"/>
      <c r="J212" s="65"/>
      <c r="K212" s="37"/>
      <c r="L212" s="37"/>
      <c r="M212" s="37"/>
      <c r="N212" s="37"/>
      <c r="O212" s="37"/>
      <c r="P212" s="37"/>
      <c r="Q212" s="37"/>
      <c r="R212" s="37"/>
      <c r="S212" s="37"/>
      <c r="T212" s="37"/>
      <c r="U212" s="3"/>
      <c r="W212" s="3"/>
      <c r="X212" s="3"/>
      <c r="Y212" s="3"/>
      <c r="Z212" s="3"/>
    </row>
    <row r="213" spans="1:26" ht="15.75" hidden="1" customHeight="1" outlineLevel="1" x14ac:dyDescent="0.3">
      <c r="A213" s="3"/>
      <c r="B213" s="10" t="s">
        <v>354</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5.75" hidden="1" customHeight="1" outlineLevel="1" x14ac:dyDescent="0.3">
      <c r="A214" s="3"/>
      <c r="B214" s="10" t="s">
        <v>355</v>
      </c>
      <c r="C214" s="62"/>
      <c r="D214" s="62"/>
      <c r="E214" s="12">
        <v>0</v>
      </c>
      <c r="F214" s="12">
        <v>0</v>
      </c>
      <c r="G214" s="65"/>
      <c r="H214" s="65"/>
      <c r="I214" s="89"/>
      <c r="J214" s="65"/>
      <c r="K214" s="37"/>
      <c r="L214" s="37"/>
      <c r="M214" s="37"/>
      <c r="N214" s="37"/>
      <c r="O214" s="37"/>
      <c r="P214" s="37"/>
      <c r="Q214" s="37"/>
      <c r="R214" s="37"/>
      <c r="S214" s="37"/>
      <c r="T214" s="37"/>
      <c r="U214" s="3"/>
      <c r="W214" s="3"/>
      <c r="X214" s="3"/>
      <c r="Y214" s="3"/>
      <c r="Z214" s="3"/>
    </row>
    <row r="215" spans="1:26" ht="15.75" hidden="1" customHeight="1" outlineLevel="1" x14ac:dyDescent="0.3">
      <c r="A215" s="3"/>
      <c r="B215" s="10" t="s">
        <v>369</v>
      </c>
      <c r="C215" s="62"/>
      <c r="D215" s="62"/>
      <c r="E215" s="12">
        <v>0</v>
      </c>
      <c r="F215" s="12">
        <v>0</v>
      </c>
      <c r="G215" s="65"/>
      <c r="H215" s="65"/>
      <c r="I215" s="89"/>
      <c r="J215" s="65"/>
      <c r="K215" s="37"/>
      <c r="L215" s="37"/>
      <c r="M215" s="37"/>
      <c r="N215" s="37"/>
      <c r="O215" s="37"/>
      <c r="P215" s="37"/>
      <c r="Q215" s="37"/>
      <c r="R215" s="37"/>
      <c r="S215" s="37"/>
      <c r="T215" s="37"/>
      <c r="U215" s="3"/>
      <c r="W215" s="3"/>
      <c r="X215" s="3"/>
      <c r="Y215" s="3"/>
      <c r="Z215" s="3"/>
    </row>
    <row r="216" spans="1:26" ht="15.75" hidden="1" customHeight="1" outlineLevel="1" x14ac:dyDescent="0.3">
      <c r="A216" s="3"/>
      <c r="B216" s="10" t="s">
        <v>327</v>
      </c>
      <c r="C216" s="62"/>
      <c r="D216" s="62"/>
      <c r="E216" s="12">
        <v>0</v>
      </c>
      <c r="F216" s="12">
        <v>0</v>
      </c>
      <c r="G216" s="65"/>
      <c r="H216" s="65"/>
      <c r="I216" s="89"/>
      <c r="J216" s="65"/>
      <c r="K216" s="37"/>
      <c r="L216" s="37"/>
      <c r="M216" s="37"/>
      <c r="N216" s="37"/>
      <c r="O216" s="37"/>
      <c r="P216" s="37"/>
      <c r="Q216" s="37"/>
      <c r="R216" s="37"/>
      <c r="S216" s="37"/>
      <c r="T216" s="37"/>
      <c r="U216" s="3"/>
      <c r="W216" s="3"/>
      <c r="X216" s="3"/>
      <c r="Y216" s="3"/>
      <c r="Z216" s="3"/>
    </row>
    <row r="217" spans="1:26" ht="15.75" hidden="1" customHeight="1" outlineLevel="1" x14ac:dyDescent="0.3">
      <c r="A217" s="3"/>
      <c r="B217" s="10" t="s">
        <v>328</v>
      </c>
      <c r="C217" s="62"/>
      <c r="D217" s="62"/>
      <c r="E217" s="12">
        <v>0</v>
      </c>
      <c r="F217" s="12">
        <v>0</v>
      </c>
      <c r="G217" s="65"/>
      <c r="H217" s="65"/>
      <c r="I217" s="89"/>
      <c r="J217" s="65"/>
      <c r="K217" s="37"/>
      <c r="L217" s="37"/>
      <c r="M217" s="37"/>
      <c r="N217" s="37"/>
      <c r="O217" s="37"/>
      <c r="P217" s="37"/>
      <c r="Q217" s="37"/>
      <c r="R217" s="37"/>
      <c r="S217" s="37"/>
      <c r="T217" s="37"/>
      <c r="U217" s="3"/>
      <c r="W217" s="3"/>
      <c r="X217" s="3"/>
      <c r="Y217" s="3"/>
      <c r="Z217" s="3"/>
    </row>
    <row r="218" spans="1:26" ht="15.75" hidden="1" customHeight="1" outlineLevel="1" x14ac:dyDescent="0.3">
      <c r="A218" s="3"/>
      <c r="B218" s="10" t="s">
        <v>370</v>
      </c>
      <c r="C218" s="62"/>
      <c r="D218" s="62"/>
      <c r="E218" s="12">
        <v>0</v>
      </c>
      <c r="F218" s="12">
        <v>0</v>
      </c>
      <c r="G218" s="65"/>
      <c r="H218" s="65"/>
      <c r="I218" s="89"/>
      <c r="J218" s="65"/>
      <c r="K218" s="37"/>
      <c r="L218" s="37"/>
      <c r="M218" s="37"/>
      <c r="N218" s="37"/>
      <c r="O218" s="37"/>
      <c r="P218" s="37"/>
      <c r="Q218" s="37"/>
      <c r="R218" s="37"/>
      <c r="S218" s="37"/>
      <c r="T218" s="37"/>
      <c r="U218" s="3"/>
      <c r="W218" s="3"/>
      <c r="X218" s="3"/>
      <c r="Y218" s="3"/>
      <c r="Z218" s="3"/>
    </row>
    <row r="219" spans="1:26" ht="15.75" hidden="1" customHeight="1" outlineLevel="1" x14ac:dyDescent="0.3">
      <c r="A219" s="3"/>
      <c r="B219" s="10" t="s">
        <v>371</v>
      </c>
      <c r="C219" s="62"/>
      <c r="D219" s="62"/>
      <c r="E219" s="12">
        <v>0</v>
      </c>
      <c r="F219" s="12">
        <v>0</v>
      </c>
      <c r="G219" s="65"/>
      <c r="H219" s="65"/>
      <c r="I219" s="89"/>
      <c r="J219" s="65"/>
      <c r="K219" s="37"/>
      <c r="L219" s="37"/>
      <c r="M219" s="37"/>
      <c r="N219" s="37"/>
      <c r="O219" s="37"/>
      <c r="P219" s="37"/>
      <c r="Q219" s="37"/>
      <c r="R219" s="37"/>
      <c r="S219" s="37"/>
      <c r="T219" s="37"/>
      <c r="U219" s="3"/>
      <c r="W219" s="3"/>
      <c r="X219" s="3"/>
      <c r="Y219" s="3"/>
      <c r="Z219" s="3"/>
    </row>
    <row r="220" spans="1:26" ht="15.75" hidden="1" customHeight="1" outlineLevel="1" x14ac:dyDescent="0.3">
      <c r="A220" s="3"/>
      <c r="B220" s="10" t="s">
        <v>372</v>
      </c>
      <c r="C220" s="62"/>
      <c r="D220" s="62"/>
      <c r="E220" s="12">
        <v>0</v>
      </c>
      <c r="F220" s="12">
        <v>0</v>
      </c>
      <c r="G220" s="65"/>
      <c r="H220" s="65"/>
      <c r="I220" s="89"/>
      <c r="J220" s="65"/>
      <c r="K220" s="37"/>
      <c r="L220" s="37"/>
      <c r="M220" s="37"/>
      <c r="N220" s="37"/>
      <c r="O220" s="37"/>
      <c r="P220" s="37"/>
      <c r="Q220" s="37"/>
      <c r="R220" s="37"/>
      <c r="S220" s="37"/>
      <c r="T220" s="37"/>
      <c r="U220" s="3"/>
      <c r="W220" s="3"/>
      <c r="X220" s="3"/>
      <c r="Y220" s="3"/>
      <c r="Z220" s="3"/>
    </row>
    <row r="221" spans="1:26" ht="15.75" customHeight="1" collapsed="1" x14ac:dyDescent="0.3">
      <c r="A221" s="3"/>
      <c r="B221" s="84" t="s">
        <v>401</v>
      </c>
      <c r="C221" s="85" t="s">
        <v>43</v>
      </c>
      <c r="D221" s="85" t="s">
        <v>43</v>
      </c>
      <c r="E221" s="86">
        <f>SUM(E222:E230)</f>
        <v>0</v>
      </c>
      <c r="F221" s="86">
        <f>SUMIF(D222:D230,"OK",F222:F230)</f>
        <v>0</v>
      </c>
      <c r="G221" s="87"/>
      <c r="H221" s="87"/>
      <c r="I221" s="88"/>
      <c r="J221" s="87"/>
      <c r="K221" s="37"/>
      <c r="L221" s="37"/>
      <c r="M221" s="37"/>
      <c r="N221" s="37"/>
      <c r="O221" s="37"/>
      <c r="P221" s="37"/>
      <c r="Q221" s="37"/>
      <c r="R221" s="37"/>
      <c r="S221" s="37"/>
      <c r="T221" s="37"/>
      <c r="U221" s="3"/>
      <c r="W221" s="3"/>
      <c r="X221" s="3"/>
      <c r="Y221" s="3"/>
      <c r="Z221" s="3"/>
    </row>
    <row r="222" spans="1:26" ht="15.75" hidden="1" customHeight="1" outlineLevel="1" x14ac:dyDescent="0.3">
      <c r="A222" s="3"/>
      <c r="B222" s="10" t="s">
        <v>353</v>
      </c>
      <c r="C222" s="62"/>
      <c r="D222" s="62"/>
      <c r="E222" s="12">
        <v>0</v>
      </c>
      <c r="F222" s="12">
        <v>0</v>
      </c>
      <c r="G222" s="65"/>
      <c r="H222" s="65"/>
      <c r="I222" s="112"/>
      <c r="J222" s="65"/>
      <c r="K222" s="37"/>
      <c r="L222" s="37"/>
      <c r="M222" s="37"/>
      <c r="N222" s="37"/>
      <c r="O222" s="37"/>
      <c r="P222" s="37"/>
      <c r="Q222" s="37"/>
      <c r="R222" s="37"/>
      <c r="S222" s="37"/>
      <c r="T222" s="37"/>
      <c r="U222" s="3"/>
      <c r="W222" s="3"/>
      <c r="X222" s="3"/>
      <c r="Y222" s="3"/>
      <c r="Z222" s="3"/>
    </row>
    <row r="223" spans="1:26" ht="15.75" hidden="1" customHeight="1" outlineLevel="1" x14ac:dyDescent="0.3">
      <c r="A223" s="3"/>
      <c r="B223" s="10" t="s">
        <v>354</v>
      </c>
      <c r="C223" s="62"/>
      <c r="D223" s="62"/>
      <c r="E223" s="12">
        <v>0</v>
      </c>
      <c r="F223" s="12">
        <v>0</v>
      </c>
      <c r="G223" s="65"/>
      <c r="H223" s="65"/>
      <c r="I223" s="112"/>
      <c r="J223" s="65"/>
      <c r="K223" s="37"/>
      <c r="L223" s="37"/>
      <c r="M223" s="37"/>
      <c r="N223" s="37"/>
      <c r="O223" s="37"/>
      <c r="P223" s="37"/>
      <c r="Q223" s="37"/>
      <c r="R223" s="37"/>
      <c r="S223" s="37"/>
      <c r="T223" s="37"/>
      <c r="U223" s="3"/>
      <c r="W223" s="3"/>
      <c r="X223" s="3"/>
      <c r="Y223" s="3"/>
      <c r="Z223" s="3"/>
    </row>
    <row r="224" spans="1:26" ht="15.75" hidden="1" customHeight="1" outlineLevel="1" x14ac:dyDescent="0.3">
      <c r="A224" s="3"/>
      <c r="B224" s="10" t="s">
        <v>355</v>
      </c>
      <c r="C224" s="62"/>
      <c r="D224" s="62"/>
      <c r="E224" s="12">
        <v>0</v>
      </c>
      <c r="F224" s="12">
        <v>0</v>
      </c>
      <c r="G224" s="65"/>
      <c r="H224" s="65"/>
      <c r="I224" s="112"/>
      <c r="J224" s="65"/>
      <c r="K224" s="37"/>
      <c r="L224" s="37"/>
      <c r="M224" s="37"/>
      <c r="N224" s="37"/>
      <c r="O224" s="37"/>
      <c r="P224" s="37"/>
      <c r="Q224" s="37"/>
      <c r="R224" s="37"/>
      <c r="S224" s="37"/>
      <c r="T224" s="37"/>
      <c r="U224" s="3"/>
      <c r="W224" s="3"/>
      <c r="X224" s="3"/>
      <c r="Y224" s="3"/>
      <c r="Z224" s="3"/>
    </row>
    <row r="225" spans="1:26" ht="15.75" hidden="1" customHeight="1" outlineLevel="1" x14ac:dyDescent="0.3">
      <c r="A225" s="3"/>
      <c r="B225" s="10" t="s">
        <v>369</v>
      </c>
      <c r="C225" s="62"/>
      <c r="D225" s="62"/>
      <c r="E225" s="12">
        <v>0</v>
      </c>
      <c r="F225" s="12">
        <v>0</v>
      </c>
      <c r="G225" s="65"/>
      <c r="H225" s="65"/>
      <c r="I225" s="112"/>
      <c r="J225" s="65"/>
      <c r="K225" s="37"/>
      <c r="L225" s="37"/>
      <c r="M225" s="37"/>
      <c r="N225" s="37"/>
      <c r="O225" s="37"/>
      <c r="P225" s="37"/>
      <c r="Q225" s="37"/>
      <c r="R225" s="37"/>
      <c r="S225" s="37"/>
      <c r="T225" s="37"/>
      <c r="U225" s="3"/>
      <c r="W225" s="3"/>
      <c r="X225" s="3"/>
      <c r="Y225" s="3"/>
      <c r="Z225" s="3"/>
    </row>
    <row r="226" spans="1:26" ht="15.75" hidden="1" customHeight="1" outlineLevel="1" x14ac:dyDescent="0.3">
      <c r="A226" s="3"/>
      <c r="B226" s="10" t="s">
        <v>327</v>
      </c>
      <c r="C226" s="62"/>
      <c r="D226" s="62"/>
      <c r="E226" s="12">
        <v>0</v>
      </c>
      <c r="F226" s="12">
        <v>0</v>
      </c>
      <c r="G226" s="65"/>
      <c r="H226" s="65"/>
      <c r="I226" s="112"/>
      <c r="J226" s="65"/>
      <c r="K226" s="37"/>
      <c r="L226" s="37"/>
      <c r="M226" s="37"/>
      <c r="N226" s="37"/>
      <c r="O226" s="37"/>
      <c r="P226" s="37"/>
      <c r="Q226" s="37"/>
      <c r="R226" s="37"/>
      <c r="S226" s="37"/>
      <c r="T226" s="37"/>
      <c r="U226" s="3"/>
      <c r="W226" s="3"/>
      <c r="X226" s="3"/>
      <c r="Y226" s="3"/>
      <c r="Z226" s="3"/>
    </row>
    <row r="227" spans="1:26" ht="15.75" hidden="1" customHeight="1" outlineLevel="1" x14ac:dyDescent="0.3">
      <c r="A227" s="3"/>
      <c r="B227" s="10" t="s">
        <v>328</v>
      </c>
      <c r="C227" s="62"/>
      <c r="D227" s="62"/>
      <c r="E227" s="12">
        <v>0</v>
      </c>
      <c r="F227" s="12">
        <v>0</v>
      </c>
      <c r="G227" s="65"/>
      <c r="H227" s="65"/>
      <c r="I227" s="112"/>
      <c r="J227" s="65"/>
      <c r="K227" s="37"/>
      <c r="L227" s="37"/>
      <c r="M227" s="37"/>
      <c r="N227" s="37"/>
      <c r="O227" s="37"/>
      <c r="P227" s="37"/>
      <c r="Q227" s="37"/>
      <c r="R227" s="37"/>
      <c r="S227" s="37"/>
      <c r="T227" s="37"/>
      <c r="U227" s="3"/>
      <c r="W227" s="3"/>
      <c r="X227" s="3"/>
      <c r="Y227" s="3"/>
      <c r="Z227" s="3"/>
    </row>
    <row r="228" spans="1:26" ht="15.75" hidden="1" customHeight="1" outlineLevel="1" x14ac:dyDescent="0.3">
      <c r="A228" s="3"/>
      <c r="B228" s="10" t="s">
        <v>370</v>
      </c>
      <c r="C228" s="62"/>
      <c r="D228" s="62"/>
      <c r="E228" s="12">
        <v>0</v>
      </c>
      <c r="F228" s="12">
        <v>0</v>
      </c>
      <c r="G228" s="65"/>
      <c r="H228" s="65"/>
      <c r="I228" s="112"/>
      <c r="J228" s="65"/>
      <c r="K228" s="37"/>
      <c r="L228" s="37"/>
      <c r="M228" s="37"/>
      <c r="N228" s="37"/>
      <c r="O228" s="37"/>
      <c r="P228" s="37"/>
      <c r="Q228" s="37"/>
      <c r="R228" s="37"/>
      <c r="S228" s="37"/>
      <c r="T228" s="37"/>
      <c r="U228" s="3"/>
      <c r="W228" s="3"/>
      <c r="X228" s="3"/>
      <c r="Y228" s="3"/>
      <c r="Z228" s="3"/>
    </row>
    <row r="229" spans="1:26" ht="15.75" hidden="1" customHeight="1" outlineLevel="1" x14ac:dyDescent="0.3">
      <c r="A229" s="3"/>
      <c r="B229" s="10" t="s">
        <v>371</v>
      </c>
      <c r="C229" s="62"/>
      <c r="D229" s="62"/>
      <c r="E229" s="12">
        <v>0</v>
      </c>
      <c r="F229" s="12">
        <v>0</v>
      </c>
      <c r="G229" s="89"/>
      <c r="H229" s="65"/>
      <c r="I229" s="112"/>
      <c r="J229" s="65"/>
      <c r="K229" s="37"/>
      <c r="L229" s="37"/>
      <c r="M229" s="37"/>
      <c r="N229" s="37"/>
      <c r="O229" s="37"/>
      <c r="P229" s="37"/>
      <c r="Q229" s="37"/>
      <c r="R229" s="37"/>
      <c r="S229" s="37"/>
      <c r="T229" s="37"/>
      <c r="U229" s="3"/>
      <c r="W229" s="3"/>
      <c r="X229" s="3"/>
      <c r="Y229" s="3"/>
      <c r="Z229" s="3"/>
    </row>
    <row r="230" spans="1:26" ht="15.75" hidden="1" customHeight="1" outlineLevel="1" x14ac:dyDescent="0.3">
      <c r="A230" s="3"/>
      <c r="B230" s="10" t="s">
        <v>372</v>
      </c>
      <c r="C230" s="62"/>
      <c r="D230" s="62"/>
      <c r="E230" s="12">
        <v>0</v>
      </c>
      <c r="F230" s="12">
        <v>0</v>
      </c>
      <c r="G230" s="89"/>
      <c r="H230" s="65"/>
      <c r="I230" s="112"/>
      <c r="J230" s="65"/>
      <c r="K230" s="37"/>
      <c r="L230" s="37"/>
      <c r="M230" s="37"/>
      <c r="N230" s="37"/>
      <c r="O230" s="37"/>
      <c r="P230" s="37"/>
      <c r="Q230" s="37"/>
      <c r="R230" s="37"/>
      <c r="S230" s="37"/>
      <c r="T230" s="37"/>
      <c r="U230" s="3"/>
      <c r="W230" s="3"/>
      <c r="X230" s="3"/>
      <c r="Y230" s="3"/>
      <c r="Z230" s="3"/>
    </row>
    <row r="231" spans="1:26" ht="15.75" customHeight="1" collapsed="1" x14ac:dyDescent="0.3">
      <c r="A231" s="3"/>
      <c r="B231" s="84" t="s">
        <v>402</v>
      </c>
      <c r="C231" s="85" t="s">
        <v>43</v>
      </c>
      <c r="D231" s="85" t="s">
        <v>43</v>
      </c>
      <c r="E231" s="86">
        <f>SUM(E232:E240)</f>
        <v>0</v>
      </c>
      <c r="F231" s="86">
        <f>SUMIF(D232:D240,"OK",F232:F240)</f>
        <v>0</v>
      </c>
      <c r="G231" s="87"/>
      <c r="H231" s="87"/>
      <c r="I231" s="88"/>
      <c r="J231" s="87"/>
      <c r="K231" s="37"/>
      <c r="L231" s="37"/>
      <c r="M231" s="37"/>
      <c r="N231" s="37"/>
      <c r="O231" s="37"/>
      <c r="P231" s="37"/>
      <c r="Q231" s="37"/>
      <c r="R231" s="37"/>
      <c r="S231" s="37"/>
      <c r="T231" s="37"/>
      <c r="U231" s="3"/>
      <c r="W231" s="3"/>
      <c r="X231" s="3"/>
      <c r="Y231" s="3"/>
      <c r="Z231" s="3"/>
    </row>
    <row r="232" spans="1:26" ht="15.75" hidden="1" customHeight="1" outlineLevel="1" x14ac:dyDescent="0.3">
      <c r="A232" s="3"/>
      <c r="B232" s="10" t="s">
        <v>353</v>
      </c>
      <c r="C232" s="62"/>
      <c r="D232" s="62"/>
      <c r="E232" s="12">
        <v>0</v>
      </c>
      <c r="F232" s="12">
        <v>0</v>
      </c>
      <c r="G232" s="65"/>
      <c r="H232" s="65"/>
      <c r="I232" s="112"/>
      <c r="J232" s="65"/>
      <c r="K232" s="37"/>
      <c r="L232" s="37"/>
      <c r="M232" s="37"/>
      <c r="N232" s="37"/>
      <c r="O232" s="37"/>
      <c r="P232" s="37"/>
      <c r="Q232" s="37"/>
      <c r="R232" s="37"/>
      <c r="S232" s="37"/>
      <c r="T232" s="37"/>
      <c r="U232" s="3"/>
      <c r="W232" s="3"/>
      <c r="X232" s="3"/>
      <c r="Y232" s="3"/>
      <c r="Z232" s="3"/>
    </row>
    <row r="233" spans="1:26" ht="15.75" hidden="1" customHeight="1" outlineLevel="1" x14ac:dyDescent="0.3">
      <c r="A233" s="3"/>
      <c r="B233" s="10" t="s">
        <v>354</v>
      </c>
      <c r="C233" s="62"/>
      <c r="D233" s="62"/>
      <c r="E233" s="12">
        <v>0</v>
      </c>
      <c r="F233" s="12">
        <v>0</v>
      </c>
      <c r="G233" s="65"/>
      <c r="H233" s="65"/>
      <c r="I233" s="112"/>
      <c r="J233" s="65"/>
      <c r="K233" s="37"/>
      <c r="L233" s="37"/>
      <c r="M233" s="37"/>
      <c r="N233" s="37"/>
      <c r="O233" s="37"/>
      <c r="P233" s="37"/>
      <c r="Q233" s="37"/>
      <c r="R233" s="37"/>
      <c r="S233" s="37"/>
      <c r="T233" s="37"/>
      <c r="U233" s="3"/>
      <c r="W233" s="3"/>
      <c r="X233" s="3"/>
      <c r="Y233" s="3"/>
      <c r="Z233" s="3"/>
    </row>
    <row r="234" spans="1:26" ht="15.75" hidden="1" customHeight="1" outlineLevel="1" x14ac:dyDescent="0.3">
      <c r="A234" s="3"/>
      <c r="B234" s="10" t="s">
        <v>355</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15.75" hidden="1" customHeight="1" outlineLevel="1" x14ac:dyDescent="0.3">
      <c r="A235" s="3"/>
      <c r="B235" s="10" t="s">
        <v>369</v>
      </c>
      <c r="C235" s="62"/>
      <c r="D235" s="62"/>
      <c r="E235" s="12">
        <v>0</v>
      </c>
      <c r="F235" s="12">
        <v>0</v>
      </c>
      <c r="G235" s="65"/>
      <c r="H235" s="65"/>
      <c r="I235" s="89"/>
      <c r="J235" s="65"/>
      <c r="K235" s="37"/>
      <c r="L235" s="37"/>
      <c r="M235" s="37"/>
      <c r="N235" s="37"/>
      <c r="O235" s="37"/>
      <c r="P235" s="37"/>
      <c r="Q235" s="37"/>
      <c r="R235" s="37"/>
      <c r="S235" s="37"/>
      <c r="T235" s="37"/>
      <c r="U235" s="3"/>
      <c r="W235" s="3"/>
      <c r="X235" s="3"/>
      <c r="Y235" s="3"/>
      <c r="Z235" s="3"/>
    </row>
    <row r="236" spans="1:26" ht="15.75" hidden="1" customHeight="1" outlineLevel="1" x14ac:dyDescent="0.3">
      <c r="A236" s="3"/>
      <c r="B236" s="10" t="s">
        <v>327</v>
      </c>
      <c r="C236" s="62"/>
      <c r="D236" s="62"/>
      <c r="E236" s="12">
        <v>0</v>
      </c>
      <c r="F236" s="12">
        <v>0</v>
      </c>
      <c r="G236" s="65"/>
      <c r="H236" s="65"/>
      <c r="I236" s="89"/>
      <c r="J236" s="65"/>
      <c r="K236" s="37"/>
      <c r="L236" s="37"/>
      <c r="M236" s="37"/>
      <c r="N236" s="37"/>
      <c r="O236" s="37"/>
      <c r="P236" s="37"/>
      <c r="Q236" s="37"/>
      <c r="R236" s="37"/>
      <c r="S236" s="37"/>
      <c r="T236" s="37"/>
      <c r="U236" s="3"/>
      <c r="W236" s="3"/>
      <c r="X236" s="3"/>
      <c r="Y236" s="3"/>
      <c r="Z236" s="3"/>
    </row>
    <row r="237" spans="1:26" ht="15.75" hidden="1" customHeight="1" outlineLevel="1" x14ac:dyDescent="0.3">
      <c r="A237" s="3"/>
      <c r="B237" s="10" t="s">
        <v>328</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5.75" hidden="1" customHeight="1" outlineLevel="1" x14ac:dyDescent="0.3">
      <c r="A238" s="3"/>
      <c r="B238" s="10" t="s">
        <v>370</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5.75" hidden="1" customHeight="1" outlineLevel="1" x14ac:dyDescent="0.3">
      <c r="A239" s="3"/>
      <c r="B239" s="10" t="s">
        <v>371</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5.75" hidden="1" customHeight="1" outlineLevel="1" x14ac:dyDescent="0.3">
      <c r="A240" s="3"/>
      <c r="B240" s="10" t="s">
        <v>372</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5.75" customHeight="1" collapsed="1" x14ac:dyDescent="0.3">
      <c r="A241" s="3"/>
      <c r="B241" s="84" t="s">
        <v>403</v>
      </c>
      <c r="C241" s="85" t="s">
        <v>43</v>
      </c>
      <c r="D241" s="85" t="s">
        <v>43</v>
      </c>
      <c r="E241" s="86">
        <f>SUM(E242:E250)</f>
        <v>0</v>
      </c>
      <c r="F241" s="86">
        <f>SUMIF(D242:D250,"OK",F242:F250)</f>
        <v>0</v>
      </c>
      <c r="G241" s="87"/>
      <c r="H241" s="87"/>
      <c r="I241" s="88"/>
      <c r="J241" s="87"/>
      <c r="K241" s="37"/>
      <c r="L241" s="37"/>
      <c r="M241" s="37"/>
      <c r="N241" s="37"/>
      <c r="O241" s="37"/>
      <c r="P241" s="37"/>
      <c r="Q241" s="37"/>
      <c r="R241" s="37"/>
      <c r="S241" s="37"/>
      <c r="T241" s="37"/>
      <c r="U241" s="3"/>
      <c r="W241" s="3"/>
      <c r="X241" s="3"/>
      <c r="Y241" s="3"/>
      <c r="Z241" s="3"/>
    </row>
    <row r="242" spans="1:26" ht="15.75" hidden="1" customHeight="1" outlineLevel="1" x14ac:dyDescent="0.3">
      <c r="A242" s="3"/>
      <c r="B242" s="10" t="s">
        <v>1506</v>
      </c>
      <c r="C242" s="62"/>
      <c r="D242" s="62"/>
      <c r="E242" s="12">
        <v>0</v>
      </c>
      <c r="F242" s="12">
        <v>0</v>
      </c>
      <c r="G242" s="89"/>
      <c r="H242" s="65"/>
      <c r="I242" s="112"/>
      <c r="J242" s="65"/>
      <c r="K242" s="37"/>
      <c r="L242" s="37"/>
      <c r="M242" s="37"/>
      <c r="N242" s="37"/>
      <c r="O242" s="37"/>
      <c r="P242" s="37"/>
      <c r="Q242" s="37"/>
      <c r="R242" s="37"/>
      <c r="S242" s="37"/>
      <c r="T242" s="37"/>
      <c r="U242" s="3"/>
      <c r="W242" s="3"/>
      <c r="X242" s="3"/>
      <c r="Y242" s="3"/>
      <c r="Z242" s="3"/>
    </row>
    <row r="243" spans="1:26" ht="15.75" hidden="1" customHeight="1" outlineLevel="1" x14ac:dyDescent="0.3">
      <c r="A243" s="3"/>
      <c r="B243" s="10" t="s">
        <v>354</v>
      </c>
      <c r="C243" s="62"/>
      <c r="D243" s="62"/>
      <c r="E243" s="12">
        <v>0</v>
      </c>
      <c r="F243" s="12">
        <v>0</v>
      </c>
      <c r="G243" s="65"/>
      <c r="H243" s="65"/>
      <c r="I243" s="112"/>
      <c r="J243" s="65"/>
      <c r="K243" s="37"/>
      <c r="L243" s="37"/>
      <c r="M243" s="37"/>
      <c r="N243" s="37"/>
      <c r="O243" s="37"/>
      <c r="P243" s="37"/>
      <c r="Q243" s="37"/>
      <c r="R243" s="37"/>
      <c r="S243" s="37"/>
      <c r="T243" s="37"/>
      <c r="U243" s="3"/>
      <c r="W243" s="3"/>
      <c r="X243" s="3"/>
      <c r="Y243" s="3"/>
      <c r="Z243" s="3"/>
    </row>
    <row r="244" spans="1:26" ht="15.75" hidden="1" customHeight="1" outlineLevel="1" x14ac:dyDescent="0.3">
      <c r="A244" s="3"/>
      <c r="B244" s="10" t="s">
        <v>355</v>
      </c>
      <c r="C244" s="62"/>
      <c r="D244" s="62"/>
      <c r="E244" s="12">
        <v>0</v>
      </c>
      <c r="F244" s="12">
        <v>0</v>
      </c>
      <c r="G244" s="65"/>
      <c r="H244" s="65"/>
      <c r="I244" s="89"/>
      <c r="J244" s="65"/>
      <c r="K244" s="37"/>
      <c r="L244" s="37"/>
      <c r="M244" s="37"/>
      <c r="N244" s="37"/>
      <c r="O244" s="37"/>
      <c r="P244" s="37"/>
      <c r="Q244" s="37"/>
      <c r="R244" s="37"/>
      <c r="S244" s="37"/>
      <c r="T244" s="37"/>
      <c r="U244" s="3"/>
      <c r="W244" s="3"/>
      <c r="X244" s="3"/>
      <c r="Y244" s="3"/>
      <c r="Z244" s="3"/>
    </row>
    <row r="245" spans="1:26" ht="15.75" hidden="1" customHeight="1" outlineLevel="1" x14ac:dyDescent="0.3">
      <c r="A245" s="3"/>
      <c r="B245" s="10" t="s">
        <v>369</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t="15.75" hidden="1" customHeight="1" outlineLevel="1" x14ac:dyDescent="0.3">
      <c r="A246" s="3"/>
      <c r="B246" s="10" t="s">
        <v>327</v>
      </c>
      <c r="C246" s="62"/>
      <c r="D246" s="62"/>
      <c r="E246" s="12">
        <v>0</v>
      </c>
      <c r="F246" s="12">
        <v>0</v>
      </c>
      <c r="G246" s="65"/>
      <c r="H246" s="65"/>
      <c r="I246" s="89"/>
      <c r="J246" s="65"/>
      <c r="K246" s="37"/>
      <c r="L246" s="37"/>
      <c r="M246" s="37"/>
      <c r="N246" s="37"/>
      <c r="O246" s="37"/>
      <c r="P246" s="37"/>
      <c r="Q246" s="37"/>
      <c r="R246" s="37"/>
      <c r="S246" s="37"/>
      <c r="T246" s="37"/>
      <c r="U246" s="3"/>
      <c r="W246" s="3"/>
      <c r="X246" s="3"/>
      <c r="Y246" s="3"/>
      <c r="Z246" s="3"/>
    </row>
    <row r="247" spans="1:26" ht="15.75" hidden="1" customHeight="1" outlineLevel="1" x14ac:dyDescent="0.3">
      <c r="A247" s="3"/>
      <c r="B247" s="10" t="s">
        <v>328</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15.75" hidden="1" customHeight="1" outlineLevel="1" x14ac:dyDescent="0.3">
      <c r="A248" s="3"/>
      <c r="B248" s="10" t="s">
        <v>370</v>
      </c>
      <c r="C248" s="62"/>
      <c r="D248" s="62"/>
      <c r="E248" s="12">
        <v>0</v>
      </c>
      <c r="F248" s="12">
        <v>0</v>
      </c>
      <c r="G248" s="65"/>
      <c r="H248" s="65"/>
      <c r="I248" s="89"/>
      <c r="J248" s="65"/>
      <c r="K248" s="37"/>
      <c r="L248" s="37"/>
      <c r="M248" s="37"/>
      <c r="N248" s="37"/>
      <c r="O248" s="37"/>
      <c r="P248" s="37"/>
      <c r="Q248" s="37"/>
      <c r="R248" s="37"/>
      <c r="S248" s="37"/>
      <c r="T248" s="37"/>
      <c r="U248" s="3"/>
      <c r="W248" s="3"/>
      <c r="X248" s="3"/>
      <c r="Y248" s="3"/>
      <c r="Z248" s="3"/>
    </row>
    <row r="249" spans="1:26" ht="15.75" hidden="1" customHeight="1" outlineLevel="1" x14ac:dyDescent="0.3">
      <c r="A249" s="3"/>
      <c r="B249" s="10" t="s">
        <v>371</v>
      </c>
      <c r="C249" s="62"/>
      <c r="D249" s="62"/>
      <c r="E249" s="12">
        <v>0</v>
      </c>
      <c r="F249" s="12">
        <v>0</v>
      </c>
      <c r="G249" s="65"/>
      <c r="H249" s="65"/>
      <c r="I249" s="89"/>
      <c r="J249" s="65"/>
      <c r="K249" s="37"/>
      <c r="L249" s="37"/>
      <c r="M249" s="37"/>
      <c r="N249" s="37"/>
      <c r="O249" s="37"/>
      <c r="P249" s="37"/>
      <c r="Q249" s="37"/>
      <c r="R249" s="37"/>
      <c r="S249" s="37"/>
      <c r="T249" s="37"/>
      <c r="U249" s="3"/>
      <c r="W249" s="3"/>
      <c r="X249" s="3"/>
      <c r="Y249" s="3"/>
      <c r="Z249" s="3"/>
    </row>
    <row r="250" spans="1:26" ht="15.75" hidden="1" customHeight="1" outlineLevel="1" x14ac:dyDescent="0.3">
      <c r="A250" s="3"/>
      <c r="B250" s="10" t="s">
        <v>372</v>
      </c>
      <c r="C250" s="62"/>
      <c r="D250" s="62"/>
      <c r="E250" s="12">
        <v>0</v>
      </c>
      <c r="F250" s="12">
        <v>0</v>
      </c>
      <c r="G250" s="65"/>
      <c r="H250" s="65"/>
      <c r="I250" s="89"/>
      <c r="J250" s="65"/>
      <c r="K250" s="37"/>
      <c r="L250" s="37"/>
      <c r="M250" s="37"/>
      <c r="N250" s="37"/>
      <c r="O250" s="37"/>
      <c r="P250" s="37"/>
      <c r="Q250" s="37"/>
      <c r="R250" s="37"/>
      <c r="S250" s="37"/>
      <c r="T250" s="37"/>
      <c r="U250" s="3"/>
      <c r="W250" s="3"/>
      <c r="X250" s="3"/>
      <c r="Y250" s="3"/>
      <c r="Z250" s="3"/>
    </row>
    <row r="251" spans="1:26" ht="15.75" customHeight="1" collapsed="1" x14ac:dyDescent="0.3">
      <c r="A251" s="3"/>
      <c r="B251" s="84" t="s">
        <v>405</v>
      </c>
      <c r="C251" s="85" t="s">
        <v>43</v>
      </c>
      <c r="D251" s="85" t="s">
        <v>43</v>
      </c>
      <c r="E251" s="86">
        <f>SUM(E252:E260)</f>
        <v>0</v>
      </c>
      <c r="F251" s="86">
        <f>SUMIF(D252:D260,"OK",F252:F260)</f>
        <v>0</v>
      </c>
      <c r="G251" s="87"/>
      <c r="H251" s="87"/>
      <c r="I251" s="88"/>
      <c r="J251" s="87"/>
      <c r="K251" s="37"/>
      <c r="L251" s="37"/>
      <c r="M251" s="37"/>
      <c r="N251" s="37"/>
      <c r="O251" s="37"/>
      <c r="P251" s="37"/>
      <c r="Q251" s="37"/>
      <c r="R251" s="37"/>
      <c r="S251" s="37"/>
      <c r="T251" s="37"/>
      <c r="U251" s="3"/>
      <c r="W251" s="3"/>
      <c r="X251" s="3"/>
      <c r="Y251" s="3"/>
      <c r="Z251" s="3"/>
    </row>
    <row r="252" spans="1:26" ht="15.75" hidden="1" customHeight="1" outlineLevel="1" x14ac:dyDescent="0.3">
      <c r="A252" s="3"/>
      <c r="B252" s="10" t="s">
        <v>353</v>
      </c>
      <c r="C252" s="62"/>
      <c r="D252" s="62"/>
      <c r="E252" s="12">
        <v>0</v>
      </c>
      <c r="F252" s="12">
        <v>0</v>
      </c>
      <c r="G252" s="65"/>
      <c r="H252" s="65"/>
      <c r="I252" s="112"/>
      <c r="J252" s="65"/>
      <c r="K252" s="37"/>
      <c r="L252" s="37"/>
      <c r="M252" s="37"/>
      <c r="N252" s="37"/>
      <c r="O252" s="37"/>
      <c r="P252" s="37"/>
      <c r="Q252" s="37"/>
      <c r="R252" s="37"/>
      <c r="S252" s="37"/>
      <c r="T252" s="37"/>
      <c r="U252" s="3"/>
      <c r="W252" s="3"/>
      <c r="X252" s="3"/>
      <c r="Y252" s="3"/>
      <c r="Z252" s="3"/>
    </row>
    <row r="253" spans="1:26" ht="15.75" hidden="1" customHeight="1" outlineLevel="1" x14ac:dyDescent="0.3">
      <c r="A253" s="3"/>
      <c r="B253" s="10" t="s">
        <v>354</v>
      </c>
      <c r="C253" s="62"/>
      <c r="D253" s="62"/>
      <c r="E253" s="12">
        <v>0</v>
      </c>
      <c r="F253" s="12">
        <v>0</v>
      </c>
      <c r="G253" s="65"/>
      <c r="H253" s="65"/>
      <c r="I253" s="89"/>
      <c r="J253" s="65"/>
      <c r="K253" s="37"/>
      <c r="L253" s="37"/>
      <c r="M253" s="37"/>
      <c r="N253" s="37"/>
      <c r="O253" s="37"/>
      <c r="P253" s="37"/>
      <c r="Q253" s="37"/>
      <c r="R253" s="37"/>
      <c r="S253" s="37"/>
      <c r="T253" s="37"/>
      <c r="U253" s="3"/>
      <c r="W253" s="3"/>
      <c r="X253" s="3"/>
      <c r="Y253" s="3"/>
      <c r="Z253" s="3"/>
    </row>
    <row r="254" spans="1:26" ht="15.75" hidden="1" customHeight="1" outlineLevel="1" x14ac:dyDescent="0.3">
      <c r="A254" s="3"/>
      <c r="B254" s="10" t="s">
        <v>355</v>
      </c>
      <c r="C254" s="62"/>
      <c r="D254" s="62"/>
      <c r="E254" s="12">
        <v>0</v>
      </c>
      <c r="F254" s="12">
        <v>0</v>
      </c>
      <c r="G254" s="65"/>
      <c r="H254" s="65"/>
      <c r="I254" s="89"/>
      <c r="J254" s="65"/>
      <c r="K254" s="37"/>
      <c r="L254" s="37"/>
      <c r="M254" s="37"/>
      <c r="N254" s="37"/>
      <c r="O254" s="37"/>
      <c r="P254" s="37"/>
      <c r="Q254" s="37"/>
      <c r="R254" s="37"/>
      <c r="S254" s="37"/>
      <c r="T254" s="37"/>
      <c r="U254" s="3"/>
      <c r="W254" s="3"/>
      <c r="X254" s="3"/>
      <c r="Y254" s="3"/>
      <c r="Z254" s="3"/>
    </row>
    <row r="255" spans="1:26" ht="15.75" hidden="1" customHeight="1" outlineLevel="1" x14ac:dyDescent="0.3">
      <c r="A255" s="3"/>
      <c r="B255" s="10" t="s">
        <v>369</v>
      </c>
      <c r="C255" s="62"/>
      <c r="D255" s="62"/>
      <c r="E255" s="12">
        <v>0</v>
      </c>
      <c r="F255" s="12">
        <v>0</v>
      </c>
      <c r="G255" s="65"/>
      <c r="H255" s="65"/>
      <c r="I255" s="89"/>
      <c r="J255" s="65"/>
      <c r="K255" s="37"/>
      <c r="L255" s="37"/>
      <c r="M255" s="37"/>
      <c r="N255" s="37"/>
      <c r="O255" s="37"/>
      <c r="P255" s="37"/>
      <c r="Q255" s="37"/>
      <c r="R255" s="37"/>
      <c r="S255" s="37"/>
      <c r="T255" s="37"/>
      <c r="U255" s="3"/>
      <c r="W255" s="3"/>
      <c r="X255" s="3"/>
      <c r="Y255" s="3"/>
      <c r="Z255" s="3"/>
    </row>
    <row r="256" spans="1:26" ht="15.75" hidden="1" customHeight="1" outlineLevel="1" x14ac:dyDescent="0.3">
      <c r="A256" s="3"/>
      <c r="B256" s="10" t="s">
        <v>327</v>
      </c>
      <c r="C256" s="62"/>
      <c r="D256" s="62"/>
      <c r="E256" s="12">
        <v>0</v>
      </c>
      <c r="F256" s="12">
        <v>0</v>
      </c>
      <c r="G256" s="65"/>
      <c r="H256" s="65"/>
      <c r="I256" s="89"/>
      <c r="J256" s="65"/>
      <c r="K256" s="37"/>
      <c r="L256" s="37"/>
      <c r="M256" s="37"/>
      <c r="N256" s="37"/>
      <c r="O256" s="37"/>
      <c r="P256" s="37"/>
      <c r="Q256" s="37"/>
      <c r="R256" s="37"/>
      <c r="S256" s="37"/>
      <c r="T256" s="37"/>
      <c r="U256" s="3"/>
      <c r="W256" s="3"/>
      <c r="X256" s="3"/>
      <c r="Y256" s="3"/>
      <c r="Z256" s="3"/>
    </row>
    <row r="257" spans="1:26" ht="15.75" hidden="1" customHeight="1" outlineLevel="1" x14ac:dyDescent="0.3">
      <c r="A257" s="3"/>
      <c r="B257" s="10" t="s">
        <v>328</v>
      </c>
      <c r="C257" s="62"/>
      <c r="D257" s="62"/>
      <c r="E257" s="12">
        <v>0</v>
      </c>
      <c r="F257" s="12">
        <v>0</v>
      </c>
      <c r="G257" s="65"/>
      <c r="H257" s="65"/>
      <c r="I257" s="89"/>
      <c r="J257" s="65"/>
      <c r="K257" s="37"/>
      <c r="L257" s="37"/>
      <c r="M257" s="37"/>
      <c r="N257" s="37"/>
      <c r="O257" s="37"/>
      <c r="P257" s="37"/>
      <c r="Q257" s="37"/>
      <c r="R257" s="37"/>
      <c r="S257" s="37"/>
      <c r="T257" s="37"/>
      <c r="U257" s="3"/>
      <c r="W257" s="3"/>
      <c r="X257" s="3"/>
      <c r="Y257" s="3"/>
      <c r="Z257" s="3"/>
    </row>
    <row r="258" spans="1:26" ht="15.75" hidden="1" customHeight="1" outlineLevel="1" x14ac:dyDescent="0.3">
      <c r="A258" s="3"/>
      <c r="B258" s="10" t="s">
        <v>370</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15.75" hidden="1" customHeight="1" outlineLevel="1" x14ac:dyDescent="0.3">
      <c r="A259" s="3"/>
      <c r="B259" s="10" t="s">
        <v>371</v>
      </c>
      <c r="C259" s="62"/>
      <c r="D259" s="62"/>
      <c r="E259" s="12">
        <v>0</v>
      </c>
      <c r="F259" s="12">
        <v>0</v>
      </c>
      <c r="G259" s="65"/>
      <c r="H259" s="65"/>
      <c r="I259" s="89"/>
      <c r="J259" s="65"/>
      <c r="K259" s="37"/>
      <c r="L259" s="37"/>
      <c r="M259" s="37"/>
      <c r="N259" s="37"/>
      <c r="O259" s="37"/>
      <c r="P259" s="37"/>
      <c r="Q259" s="37"/>
      <c r="R259" s="37"/>
      <c r="S259" s="37"/>
      <c r="T259" s="37"/>
      <c r="U259" s="3"/>
      <c r="W259" s="3"/>
      <c r="X259" s="3"/>
      <c r="Y259" s="3"/>
      <c r="Z259" s="3"/>
    </row>
    <row r="260" spans="1:26" ht="15.75" hidden="1" customHeight="1" outlineLevel="1" x14ac:dyDescent="0.3">
      <c r="A260" s="3"/>
      <c r="B260" s="10" t="s">
        <v>372</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5.75" customHeight="1" collapsed="1" x14ac:dyDescent="0.3">
      <c r="A261" s="3"/>
      <c r="B261" s="84" t="s">
        <v>408</v>
      </c>
      <c r="C261" s="85" t="s">
        <v>43</v>
      </c>
      <c r="D261" s="85" t="s">
        <v>43</v>
      </c>
      <c r="E261" s="86">
        <f>SUM(E262,E272,E282,E292)</f>
        <v>0</v>
      </c>
      <c r="F261" s="86">
        <f>SUM(F262,F272,F282,F292,F314)</f>
        <v>0</v>
      </c>
      <c r="G261" s="87"/>
      <c r="H261" s="87"/>
      <c r="I261" s="88"/>
      <c r="J261" s="87"/>
      <c r="K261" s="37"/>
      <c r="L261" s="37"/>
      <c r="M261" s="37"/>
      <c r="N261" s="37"/>
      <c r="O261" s="37"/>
      <c r="P261" s="37"/>
      <c r="Q261" s="37"/>
      <c r="R261" s="37"/>
      <c r="S261" s="37"/>
      <c r="T261" s="37"/>
      <c r="U261" s="3"/>
      <c r="W261" s="3"/>
      <c r="X261" s="3"/>
      <c r="Y261" s="3"/>
      <c r="Z261" s="3"/>
    </row>
    <row r="262" spans="1:26" ht="15.75" hidden="1" customHeight="1" outlineLevel="1" x14ac:dyDescent="0.3">
      <c r="A262" s="3"/>
      <c r="B262" s="91" t="s">
        <v>232</v>
      </c>
      <c r="C262" s="92"/>
      <c r="D262" s="92"/>
      <c r="E262" s="93">
        <f>SUM(E263:E271)</f>
        <v>0</v>
      </c>
      <c r="F262" s="93">
        <f>SUMIF(D263:D271,"OK",F263:F271)</f>
        <v>0</v>
      </c>
      <c r="G262" s="94"/>
      <c r="H262" s="94"/>
      <c r="I262" s="95"/>
      <c r="J262" s="94"/>
      <c r="K262" s="37"/>
      <c r="L262" s="37"/>
      <c r="M262" s="37"/>
      <c r="N262" s="37"/>
      <c r="O262" s="37"/>
      <c r="P262" s="37"/>
      <c r="Q262" s="37"/>
      <c r="R262" s="37"/>
      <c r="S262" s="37"/>
      <c r="T262" s="37"/>
      <c r="U262" s="3"/>
      <c r="W262" s="3"/>
      <c r="X262" s="3"/>
      <c r="Y262" s="3"/>
      <c r="Z262" s="3"/>
    </row>
    <row r="263" spans="1:26" ht="15.75" hidden="1" customHeight="1" outlineLevel="1" x14ac:dyDescent="0.3">
      <c r="A263" s="3"/>
      <c r="B263" s="10" t="s">
        <v>353</v>
      </c>
      <c r="C263" s="62"/>
      <c r="D263" s="62"/>
      <c r="E263" s="12">
        <v>0</v>
      </c>
      <c r="F263" s="12">
        <v>0</v>
      </c>
      <c r="G263" s="65"/>
      <c r="H263" s="65"/>
      <c r="I263" s="126"/>
      <c r="J263" s="65"/>
      <c r="K263" s="37"/>
      <c r="L263" s="37"/>
      <c r="M263" s="37"/>
      <c r="N263" s="37"/>
      <c r="O263" s="37"/>
      <c r="P263" s="37"/>
      <c r="Q263" s="37"/>
      <c r="R263" s="37"/>
      <c r="S263" s="37"/>
      <c r="T263" s="37"/>
      <c r="U263" s="3"/>
      <c r="W263" s="3"/>
      <c r="X263" s="3"/>
      <c r="Y263" s="3"/>
      <c r="Z263" s="3"/>
    </row>
    <row r="264" spans="1:26" ht="15.75" hidden="1" customHeight="1" outlineLevel="1" x14ac:dyDescent="0.3">
      <c r="A264" s="3"/>
      <c r="B264" s="10" t="s">
        <v>354</v>
      </c>
      <c r="C264" s="62"/>
      <c r="D264" s="62"/>
      <c r="E264" s="12">
        <v>0</v>
      </c>
      <c r="F264" s="12">
        <v>0</v>
      </c>
      <c r="G264" s="65"/>
      <c r="H264" s="65"/>
      <c r="I264" s="126"/>
      <c r="J264" s="65"/>
      <c r="K264" s="37"/>
      <c r="L264" s="37"/>
      <c r="M264" s="37"/>
      <c r="N264" s="37"/>
      <c r="O264" s="37"/>
      <c r="P264" s="37"/>
      <c r="Q264" s="37"/>
      <c r="R264" s="37"/>
      <c r="S264" s="37"/>
      <c r="T264" s="37"/>
      <c r="U264" s="3"/>
      <c r="W264" s="3"/>
      <c r="X264" s="3"/>
      <c r="Y264" s="3"/>
      <c r="Z264" s="3"/>
    </row>
    <row r="265" spans="1:26" ht="15.75" hidden="1" customHeight="1" outlineLevel="1" x14ac:dyDescent="0.3">
      <c r="A265" s="3"/>
      <c r="B265" s="10" t="s">
        <v>355</v>
      </c>
      <c r="C265" s="62"/>
      <c r="D265" s="62"/>
      <c r="E265" s="12">
        <v>0</v>
      </c>
      <c r="F265" s="12">
        <v>0</v>
      </c>
      <c r="G265" s="65"/>
      <c r="H265" s="65"/>
      <c r="I265" s="126"/>
      <c r="J265" s="65"/>
      <c r="K265" s="37"/>
      <c r="L265" s="37"/>
      <c r="M265" s="37"/>
      <c r="N265" s="37"/>
      <c r="O265" s="37"/>
      <c r="P265" s="37"/>
      <c r="Q265" s="37"/>
      <c r="R265" s="37"/>
      <c r="S265" s="37"/>
      <c r="T265" s="37"/>
      <c r="U265" s="3"/>
      <c r="W265" s="3"/>
      <c r="X265" s="3"/>
      <c r="Y265" s="3"/>
      <c r="Z265" s="3"/>
    </row>
    <row r="266" spans="1:26" ht="15.75" hidden="1" customHeight="1" outlineLevel="1" x14ac:dyDescent="0.3">
      <c r="A266" s="3"/>
      <c r="B266" s="10" t="s">
        <v>369</v>
      </c>
      <c r="C266" s="62"/>
      <c r="D266" s="62"/>
      <c r="E266" s="12">
        <v>0</v>
      </c>
      <c r="F266" s="12">
        <v>0</v>
      </c>
      <c r="G266" s="65"/>
      <c r="H266" s="65"/>
      <c r="I266" s="112"/>
      <c r="J266" s="65"/>
      <c r="K266" s="37"/>
      <c r="L266" s="37"/>
      <c r="M266" s="37"/>
      <c r="N266" s="37"/>
      <c r="O266" s="37"/>
      <c r="P266" s="37"/>
      <c r="Q266" s="37"/>
      <c r="R266" s="37"/>
      <c r="S266" s="37"/>
      <c r="T266" s="37"/>
      <c r="U266" s="3"/>
      <c r="W266" s="3"/>
      <c r="X266" s="3"/>
      <c r="Y266" s="3"/>
      <c r="Z266" s="3"/>
    </row>
    <row r="267" spans="1:26" ht="15.75" hidden="1" customHeight="1" outlineLevel="1" x14ac:dyDescent="0.3">
      <c r="A267" s="3"/>
      <c r="B267" s="10" t="s">
        <v>327</v>
      </c>
      <c r="C267" s="62"/>
      <c r="D267" s="62"/>
      <c r="E267" s="12">
        <v>0</v>
      </c>
      <c r="F267" s="12">
        <v>0</v>
      </c>
      <c r="G267" s="65"/>
      <c r="H267" s="65"/>
      <c r="I267" s="112"/>
      <c r="J267" s="65"/>
      <c r="K267" s="37"/>
      <c r="L267" s="37"/>
      <c r="M267" s="37"/>
      <c r="N267" s="37"/>
      <c r="O267" s="37"/>
      <c r="P267" s="37"/>
      <c r="Q267" s="37"/>
      <c r="R267" s="37"/>
      <c r="S267" s="37"/>
      <c r="T267" s="37"/>
      <c r="U267" s="3"/>
      <c r="W267" s="3"/>
      <c r="X267" s="3"/>
      <c r="Y267" s="3"/>
      <c r="Z267" s="3"/>
    </row>
    <row r="268" spans="1:26" ht="15.75" hidden="1" customHeight="1" outlineLevel="1" x14ac:dyDescent="0.3">
      <c r="A268" s="3"/>
      <c r="B268" s="10" t="s">
        <v>328</v>
      </c>
      <c r="C268" s="62"/>
      <c r="D268" s="62"/>
      <c r="E268" s="12">
        <v>0</v>
      </c>
      <c r="F268" s="12">
        <v>0</v>
      </c>
      <c r="G268" s="65"/>
      <c r="H268" s="65"/>
      <c r="I268" s="89"/>
      <c r="J268" s="65"/>
      <c r="K268" s="37"/>
      <c r="L268" s="37"/>
      <c r="M268" s="37"/>
      <c r="N268" s="37"/>
      <c r="O268" s="37"/>
      <c r="P268" s="37"/>
      <c r="Q268" s="37"/>
      <c r="R268" s="37"/>
      <c r="S268" s="37"/>
      <c r="T268" s="37"/>
      <c r="U268" s="3"/>
      <c r="W268" s="3"/>
      <c r="X268" s="3"/>
      <c r="Y268" s="3"/>
      <c r="Z268" s="3"/>
    </row>
    <row r="269" spans="1:26" ht="15.75" hidden="1" customHeight="1" outlineLevel="1" x14ac:dyDescent="0.3">
      <c r="A269" s="3"/>
      <c r="B269" s="10" t="s">
        <v>370</v>
      </c>
      <c r="C269" s="62"/>
      <c r="D269" s="62"/>
      <c r="E269" s="12">
        <v>0</v>
      </c>
      <c r="F269" s="12">
        <v>0</v>
      </c>
      <c r="G269" s="65"/>
      <c r="H269" s="65"/>
      <c r="I269" s="89"/>
      <c r="J269" s="65"/>
      <c r="K269" s="37"/>
      <c r="L269" s="37"/>
      <c r="M269" s="37"/>
      <c r="N269" s="37"/>
      <c r="O269" s="37"/>
      <c r="P269" s="37"/>
      <c r="Q269" s="37"/>
      <c r="R269" s="37"/>
      <c r="S269" s="37"/>
      <c r="T269" s="37"/>
      <c r="U269" s="3"/>
      <c r="W269" s="3"/>
      <c r="X269" s="3"/>
      <c r="Y269" s="3"/>
      <c r="Z269" s="3"/>
    </row>
    <row r="270" spans="1:26" ht="15.75" hidden="1" customHeight="1" outlineLevel="1" x14ac:dyDescent="0.3">
      <c r="A270" s="3"/>
      <c r="B270" s="10" t="s">
        <v>371</v>
      </c>
      <c r="C270" s="62"/>
      <c r="D270" s="62"/>
      <c r="E270" s="12">
        <v>0</v>
      </c>
      <c r="F270" s="12">
        <v>0</v>
      </c>
      <c r="G270" s="65"/>
      <c r="H270" s="65"/>
      <c r="I270" s="89"/>
      <c r="J270" s="65"/>
      <c r="K270" s="37"/>
      <c r="L270" s="37"/>
      <c r="M270" s="37"/>
      <c r="N270" s="37"/>
      <c r="O270" s="37"/>
      <c r="P270" s="37"/>
      <c r="Q270" s="37"/>
      <c r="R270" s="37"/>
      <c r="S270" s="37"/>
      <c r="T270" s="37"/>
      <c r="U270" s="3"/>
      <c r="W270" s="3"/>
      <c r="X270" s="3"/>
      <c r="Y270" s="3"/>
      <c r="Z270" s="3"/>
    </row>
    <row r="271" spans="1:26" ht="15.75" hidden="1" customHeight="1" outlineLevel="1" x14ac:dyDescent="0.3">
      <c r="A271" s="3"/>
      <c r="B271" s="10" t="s">
        <v>372</v>
      </c>
      <c r="C271" s="62"/>
      <c r="D271" s="62"/>
      <c r="E271" s="12">
        <v>0</v>
      </c>
      <c r="F271" s="12">
        <v>0</v>
      </c>
      <c r="G271" s="65"/>
      <c r="H271" s="65"/>
      <c r="I271" s="89"/>
      <c r="J271" s="65"/>
      <c r="K271" s="37"/>
      <c r="L271" s="37"/>
      <c r="M271" s="37"/>
      <c r="N271" s="37"/>
      <c r="O271" s="37"/>
      <c r="P271" s="37"/>
      <c r="Q271" s="37"/>
      <c r="R271" s="37"/>
      <c r="S271" s="37"/>
      <c r="T271" s="37"/>
      <c r="U271" s="3"/>
      <c r="W271" s="3"/>
      <c r="X271" s="3"/>
      <c r="Y271" s="3"/>
      <c r="Z271" s="3"/>
    </row>
    <row r="272" spans="1:26" ht="15.75" hidden="1" customHeight="1" outlineLevel="1" x14ac:dyDescent="0.3">
      <c r="A272" s="3"/>
      <c r="B272" s="91" t="s">
        <v>651</v>
      </c>
      <c r="C272" s="92"/>
      <c r="D272" s="92"/>
      <c r="E272" s="93">
        <f>SUM(E273:E281)</f>
        <v>0</v>
      </c>
      <c r="F272" s="93">
        <f>SUMIF(D273:D281,"OK",F273:F281)</f>
        <v>0</v>
      </c>
      <c r="G272" s="94"/>
      <c r="H272" s="94"/>
      <c r="I272" s="95"/>
      <c r="J272" s="94"/>
      <c r="K272" s="37"/>
      <c r="L272" s="37"/>
      <c r="M272" s="37"/>
      <c r="N272" s="37"/>
      <c r="O272" s="37"/>
      <c r="P272" s="37"/>
      <c r="Q272" s="37"/>
      <c r="R272" s="37"/>
      <c r="S272" s="37"/>
      <c r="T272" s="37"/>
      <c r="U272" s="3"/>
      <c r="W272" s="3"/>
      <c r="X272" s="3"/>
      <c r="Y272" s="3"/>
      <c r="Z272" s="3"/>
    </row>
    <row r="273" spans="1:26" ht="15.75" hidden="1" customHeight="1" outlineLevel="1" x14ac:dyDescent="0.3">
      <c r="A273" s="3"/>
      <c r="B273" s="10" t="s">
        <v>353</v>
      </c>
      <c r="C273" s="62"/>
      <c r="D273" s="62"/>
      <c r="E273" s="12">
        <v>0</v>
      </c>
      <c r="F273" s="12">
        <v>0</v>
      </c>
      <c r="G273" s="65"/>
      <c r="H273" s="65"/>
      <c r="I273" s="112"/>
      <c r="J273" s="65"/>
      <c r="K273" s="37"/>
      <c r="L273" s="37"/>
      <c r="M273" s="37"/>
      <c r="N273" s="37"/>
      <c r="O273" s="37"/>
      <c r="P273" s="37"/>
      <c r="Q273" s="37"/>
      <c r="R273" s="37"/>
      <c r="S273" s="37"/>
      <c r="T273" s="37"/>
      <c r="U273" s="3"/>
      <c r="W273" s="3"/>
      <c r="X273" s="3"/>
      <c r="Y273" s="3"/>
      <c r="Z273" s="3"/>
    </row>
    <row r="274" spans="1:26" ht="15.75" hidden="1" customHeight="1" outlineLevel="1" x14ac:dyDescent="0.3">
      <c r="A274" s="3"/>
      <c r="B274" s="10" t="s">
        <v>354</v>
      </c>
      <c r="C274" s="62"/>
      <c r="D274" s="62"/>
      <c r="E274" s="12">
        <v>0</v>
      </c>
      <c r="F274" s="12">
        <v>0</v>
      </c>
      <c r="G274" s="65"/>
      <c r="H274" s="65"/>
      <c r="I274" s="112"/>
      <c r="J274" s="65"/>
      <c r="K274" s="37"/>
      <c r="L274" s="37"/>
      <c r="M274" s="37"/>
      <c r="N274" s="37"/>
      <c r="O274" s="37"/>
      <c r="P274" s="37"/>
      <c r="Q274" s="37"/>
      <c r="R274" s="37"/>
      <c r="S274" s="37"/>
      <c r="T274" s="37"/>
      <c r="U274" s="3"/>
      <c r="W274" s="3"/>
      <c r="X274" s="3"/>
      <c r="Y274" s="3"/>
      <c r="Z274" s="3"/>
    </row>
    <row r="275" spans="1:26" ht="15.75" hidden="1" customHeight="1" outlineLevel="1" x14ac:dyDescent="0.3">
      <c r="A275" s="3"/>
      <c r="B275" s="10" t="s">
        <v>355</v>
      </c>
      <c r="C275" s="62"/>
      <c r="D275" s="62"/>
      <c r="E275" s="12">
        <v>0</v>
      </c>
      <c r="F275" s="12">
        <v>0</v>
      </c>
      <c r="G275" s="65"/>
      <c r="H275" s="65"/>
      <c r="I275" s="112"/>
      <c r="J275" s="65"/>
      <c r="K275" s="37"/>
      <c r="L275" s="37"/>
      <c r="M275" s="37"/>
      <c r="N275" s="37"/>
      <c r="O275" s="37"/>
      <c r="P275" s="37"/>
      <c r="Q275" s="37"/>
      <c r="R275" s="37"/>
      <c r="S275" s="37"/>
      <c r="T275" s="37"/>
      <c r="U275" s="3"/>
      <c r="W275" s="3"/>
      <c r="X275" s="3"/>
      <c r="Y275" s="3"/>
      <c r="Z275" s="3"/>
    </row>
    <row r="276" spans="1:26" ht="15.75" hidden="1" customHeight="1" outlineLevel="1" x14ac:dyDescent="0.3">
      <c r="A276" s="3"/>
      <c r="B276" s="10" t="s">
        <v>369</v>
      </c>
      <c r="C276" s="62"/>
      <c r="D276" s="62"/>
      <c r="E276" s="12">
        <v>0</v>
      </c>
      <c r="F276" s="12">
        <v>0</v>
      </c>
      <c r="G276" s="65"/>
      <c r="H276" s="65"/>
      <c r="I276" s="112"/>
      <c r="J276" s="65"/>
      <c r="K276" s="37"/>
      <c r="L276" s="37"/>
      <c r="M276" s="37"/>
      <c r="N276" s="37"/>
      <c r="O276" s="37"/>
      <c r="P276" s="37"/>
      <c r="Q276" s="37"/>
      <c r="R276" s="37"/>
      <c r="S276" s="37"/>
      <c r="T276" s="37"/>
      <c r="U276" s="3"/>
      <c r="W276" s="3"/>
      <c r="X276" s="3"/>
      <c r="Y276" s="3"/>
      <c r="Z276" s="3"/>
    </row>
    <row r="277" spans="1:26" ht="15.75" hidden="1" customHeight="1" outlineLevel="1" x14ac:dyDescent="0.3">
      <c r="A277" s="3"/>
      <c r="B277" s="10" t="s">
        <v>327</v>
      </c>
      <c r="C277" s="62"/>
      <c r="D277" s="62"/>
      <c r="E277" s="12">
        <v>0</v>
      </c>
      <c r="F277" s="12">
        <v>0</v>
      </c>
      <c r="G277" s="65"/>
      <c r="H277" s="65"/>
      <c r="I277" s="112"/>
      <c r="J277" s="65"/>
      <c r="K277" s="37"/>
      <c r="L277" s="37"/>
      <c r="M277" s="37"/>
      <c r="N277" s="37"/>
      <c r="O277" s="37"/>
      <c r="P277" s="37"/>
      <c r="Q277" s="37"/>
      <c r="R277" s="37"/>
      <c r="S277" s="37"/>
      <c r="T277" s="37"/>
      <c r="U277" s="3"/>
      <c r="W277" s="3"/>
      <c r="X277" s="3"/>
      <c r="Y277" s="3"/>
      <c r="Z277" s="3"/>
    </row>
    <row r="278" spans="1:26" ht="15.75" hidden="1" customHeight="1" outlineLevel="1" x14ac:dyDescent="0.3">
      <c r="A278" s="3"/>
      <c r="B278" s="10" t="s">
        <v>328</v>
      </c>
      <c r="C278" s="62"/>
      <c r="D278" s="62"/>
      <c r="E278" s="12">
        <v>0</v>
      </c>
      <c r="F278" s="12">
        <v>0</v>
      </c>
      <c r="G278" s="65"/>
      <c r="H278" s="65"/>
      <c r="I278" s="112"/>
      <c r="J278" s="65"/>
      <c r="K278" s="37"/>
      <c r="L278" s="37"/>
      <c r="M278" s="37"/>
      <c r="N278" s="37"/>
      <c r="O278" s="37"/>
      <c r="P278" s="37"/>
      <c r="Q278" s="37"/>
      <c r="R278" s="37"/>
      <c r="S278" s="37"/>
      <c r="T278" s="37"/>
      <c r="U278" s="3"/>
      <c r="W278" s="3"/>
      <c r="X278" s="3"/>
      <c r="Y278" s="3"/>
      <c r="Z278" s="3"/>
    </row>
    <row r="279" spans="1:26" ht="15.75" hidden="1" customHeight="1" outlineLevel="1" x14ac:dyDescent="0.3">
      <c r="A279" s="3"/>
      <c r="B279" s="10" t="s">
        <v>370</v>
      </c>
      <c r="C279" s="62"/>
      <c r="D279" s="62"/>
      <c r="E279" s="12">
        <v>0</v>
      </c>
      <c r="F279" s="12">
        <v>0</v>
      </c>
      <c r="G279" s="65"/>
      <c r="H279" s="65"/>
      <c r="I279" s="112"/>
      <c r="J279" s="65"/>
      <c r="K279" s="37"/>
      <c r="L279" s="37"/>
      <c r="M279" s="37"/>
      <c r="N279" s="37"/>
      <c r="O279" s="37"/>
      <c r="P279" s="37"/>
      <c r="Q279" s="37"/>
      <c r="R279" s="37"/>
      <c r="S279" s="37"/>
      <c r="T279" s="37"/>
      <c r="U279" s="3"/>
      <c r="W279" s="3"/>
      <c r="X279" s="3"/>
      <c r="Y279" s="3"/>
      <c r="Z279" s="3"/>
    </row>
    <row r="280" spans="1:26" ht="15.75" hidden="1" customHeight="1" outlineLevel="1" x14ac:dyDescent="0.3">
      <c r="A280" s="3"/>
      <c r="B280" s="10" t="s">
        <v>371</v>
      </c>
      <c r="C280" s="62"/>
      <c r="D280" s="62"/>
      <c r="E280" s="12">
        <v>0</v>
      </c>
      <c r="F280" s="12">
        <v>0</v>
      </c>
      <c r="G280" s="65"/>
      <c r="H280" s="65"/>
      <c r="I280" s="112"/>
      <c r="J280" s="65"/>
      <c r="K280" s="37"/>
      <c r="L280" s="37"/>
      <c r="M280" s="37"/>
      <c r="N280" s="37"/>
      <c r="O280" s="37"/>
      <c r="P280" s="37"/>
      <c r="Q280" s="37"/>
      <c r="R280" s="37"/>
      <c r="S280" s="37"/>
      <c r="T280" s="37"/>
      <c r="U280" s="3"/>
      <c r="W280" s="3"/>
      <c r="X280" s="3"/>
      <c r="Y280" s="3"/>
      <c r="Z280" s="3"/>
    </row>
    <row r="281" spans="1:26" ht="15.75" hidden="1" customHeight="1" outlineLevel="1" x14ac:dyDescent="0.3">
      <c r="A281" s="3"/>
      <c r="B281" s="10" t="s">
        <v>372</v>
      </c>
      <c r="C281" s="62"/>
      <c r="D281" s="62"/>
      <c r="E281" s="12">
        <v>0</v>
      </c>
      <c r="F281" s="12">
        <v>0</v>
      </c>
      <c r="G281" s="65"/>
      <c r="H281" s="65"/>
      <c r="I281" s="89"/>
      <c r="J281" s="65"/>
      <c r="K281" s="37"/>
      <c r="L281" s="37"/>
      <c r="M281" s="37"/>
      <c r="N281" s="37"/>
      <c r="O281" s="37"/>
      <c r="P281" s="37"/>
      <c r="Q281" s="37"/>
      <c r="R281" s="37"/>
      <c r="S281" s="37"/>
      <c r="T281" s="37"/>
      <c r="U281" s="3"/>
      <c r="W281" s="3"/>
      <c r="X281" s="3"/>
      <c r="Y281" s="3"/>
      <c r="Z281" s="3"/>
    </row>
    <row r="282" spans="1:26" ht="15.75" hidden="1" customHeight="1" outlineLevel="1" x14ac:dyDescent="0.3">
      <c r="A282" s="3"/>
      <c r="B282" s="91" t="s">
        <v>1024</v>
      </c>
      <c r="C282" s="92"/>
      <c r="D282" s="92"/>
      <c r="E282" s="93">
        <f>SUM(E283:E291)</f>
        <v>0</v>
      </c>
      <c r="F282" s="93">
        <f>SUMIF(D283:D291,"OK",F283:F291)</f>
        <v>0</v>
      </c>
      <c r="G282" s="94"/>
      <c r="H282" s="94"/>
      <c r="I282" s="95"/>
      <c r="J282" s="94"/>
      <c r="K282" s="37"/>
      <c r="L282" s="37"/>
      <c r="M282" s="37"/>
      <c r="N282" s="37"/>
      <c r="O282" s="37"/>
      <c r="P282" s="37"/>
      <c r="Q282" s="37"/>
      <c r="R282" s="37"/>
      <c r="S282" s="37"/>
      <c r="T282" s="37"/>
      <c r="U282" s="3"/>
      <c r="W282" s="3"/>
      <c r="X282" s="3"/>
      <c r="Y282" s="3"/>
      <c r="Z282" s="3"/>
    </row>
    <row r="283" spans="1:26" ht="15.75" hidden="1" customHeight="1" outlineLevel="1" x14ac:dyDescent="0.3">
      <c r="A283" s="3"/>
      <c r="B283" s="10" t="s">
        <v>353</v>
      </c>
      <c r="C283" s="62"/>
      <c r="D283" s="62"/>
      <c r="E283" s="12">
        <v>0</v>
      </c>
      <c r="F283" s="12">
        <v>0</v>
      </c>
      <c r="G283" s="65"/>
      <c r="H283" s="65"/>
      <c r="I283" s="89"/>
      <c r="J283" s="65"/>
      <c r="K283" s="37"/>
      <c r="L283" s="37"/>
      <c r="M283" s="37"/>
      <c r="N283" s="37"/>
      <c r="O283" s="37"/>
      <c r="P283" s="37"/>
      <c r="Q283" s="37"/>
      <c r="R283" s="37"/>
      <c r="S283" s="37"/>
      <c r="T283" s="37"/>
      <c r="U283" s="3"/>
      <c r="W283" s="3"/>
      <c r="X283" s="3"/>
      <c r="Y283" s="3"/>
      <c r="Z283" s="3"/>
    </row>
    <row r="284" spans="1:26" ht="15.75" hidden="1" customHeight="1" outlineLevel="1" x14ac:dyDescent="0.3">
      <c r="A284" s="3"/>
      <c r="B284" s="10" t="s">
        <v>354</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5.75" hidden="1" customHeight="1" outlineLevel="1" x14ac:dyDescent="0.3">
      <c r="A285" s="3"/>
      <c r="B285" s="10" t="s">
        <v>355</v>
      </c>
      <c r="C285" s="62"/>
      <c r="D285" s="62"/>
      <c r="E285" s="12">
        <v>0</v>
      </c>
      <c r="F285" s="12">
        <v>0</v>
      </c>
      <c r="G285" s="65"/>
      <c r="H285" s="65"/>
      <c r="I285" s="89"/>
      <c r="J285" s="65"/>
      <c r="K285" s="37"/>
      <c r="L285" s="37"/>
      <c r="M285" s="37"/>
      <c r="N285" s="37"/>
      <c r="O285" s="37"/>
      <c r="P285" s="37"/>
      <c r="Q285" s="37"/>
      <c r="R285" s="37"/>
      <c r="S285" s="37"/>
      <c r="T285" s="37"/>
      <c r="U285" s="3"/>
      <c r="W285" s="3"/>
      <c r="X285" s="3"/>
      <c r="Y285" s="3"/>
      <c r="Z285" s="3"/>
    </row>
    <row r="286" spans="1:26" ht="15.75" hidden="1" customHeight="1" outlineLevel="1" x14ac:dyDescent="0.3">
      <c r="A286" s="3"/>
      <c r="B286" s="10" t="s">
        <v>369</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5.75" hidden="1" customHeight="1" outlineLevel="1" x14ac:dyDescent="0.3">
      <c r="A287" s="3"/>
      <c r="B287" s="10" t="s">
        <v>327</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5.75" hidden="1" customHeight="1" outlineLevel="1" x14ac:dyDescent="0.3">
      <c r="A288" s="3"/>
      <c r="B288" s="10" t="s">
        <v>328</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5.75" hidden="1" customHeight="1" outlineLevel="1" x14ac:dyDescent="0.3">
      <c r="A289" s="3"/>
      <c r="B289" s="10" t="s">
        <v>370</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t="15.75" hidden="1" customHeight="1" outlineLevel="1" x14ac:dyDescent="0.3">
      <c r="A290" s="3"/>
      <c r="B290" s="10" t="s">
        <v>371</v>
      </c>
      <c r="C290" s="62"/>
      <c r="D290" s="62"/>
      <c r="E290" s="12">
        <v>0</v>
      </c>
      <c r="F290" s="12">
        <v>0</v>
      </c>
      <c r="G290" s="65"/>
      <c r="H290" s="65"/>
      <c r="I290" s="89"/>
      <c r="J290" s="65"/>
      <c r="K290" s="37"/>
      <c r="L290" s="37"/>
      <c r="M290" s="37"/>
      <c r="N290" s="37"/>
      <c r="O290" s="37"/>
      <c r="P290" s="37"/>
      <c r="Q290" s="37"/>
      <c r="R290" s="37"/>
      <c r="S290" s="37"/>
      <c r="T290" s="37"/>
      <c r="U290" s="3"/>
      <c r="W290" s="3"/>
      <c r="X290" s="3"/>
      <c r="Y290" s="3"/>
      <c r="Z290" s="3"/>
    </row>
    <row r="291" spans="1:26" ht="15.75" hidden="1" customHeight="1" outlineLevel="1" x14ac:dyDescent="0.3">
      <c r="A291" s="3"/>
      <c r="B291" s="10" t="s">
        <v>372</v>
      </c>
      <c r="C291" s="62"/>
      <c r="D291" s="62"/>
      <c r="E291" s="12">
        <v>0</v>
      </c>
      <c r="F291" s="12">
        <v>0</v>
      </c>
      <c r="G291" s="65"/>
      <c r="H291" s="65"/>
      <c r="I291" s="89"/>
      <c r="J291" s="65"/>
      <c r="K291" s="37"/>
      <c r="L291" s="37"/>
      <c r="M291" s="37"/>
      <c r="N291" s="37"/>
      <c r="O291" s="37"/>
      <c r="P291" s="37"/>
      <c r="Q291" s="37"/>
      <c r="R291" s="37"/>
      <c r="S291" s="37"/>
      <c r="T291" s="37"/>
      <c r="U291" s="3"/>
      <c r="W291" s="3"/>
      <c r="X291" s="3"/>
      <c r="Y291" s="3"/>
      <c r="Z291" s="3"/>
    </row>
    <row r="292" spans="1:26" ht="15.75" hidden="1" customHeight="1" outlineLevel="1" x14ac:dyDescent="0.3">
      <c r="A292" s="3"/>
      <c r="B292" s="91" t="s">
        <v>64</v>
      </c>
      <c r="C292" s="92"/>
      <c r="D292" s="92"/>
      <c r="E292" s="93">
        <f>SUM(E293:E313)</f>
        <v>0</v>
      </c>
      <c r="F292" s="93">
        <f>SUMIF(D293:D313,"OK",F293:F313)</f>
        <v>0</v>
      </c>
      <c r="G292" s="94"/>
      <c r="H292" s="94"/>
      <c r="I292" s="95"/>
      <c r="J292" s="94"/>
      <c r="K292" s="37"/>
      <c r="L292" s="37"/>
      <c r="M292" s="37"/>
      <c r="N292" s="37"/>
      <c r="O292" s="37"/>
      <c r="P292" s="37"/>
      <c r="Q292" s="37"/>
      <c r="R292" s="37"/>
      <c r="S292" s="37"/>
      <c r="T292" s="37"/>
      <c r="U292" s="3"/>
      <c r="W292" s="3"/>
      <c r="X292" s="3"/>
      <c r="Y292" s="3"/>
      <c r="Z292" s="3"/>
    </row>
    <row r="293" spans="1:26" ht="15.75" hidden="1" customHeight="1" outlineLevel="1" x14ac:dyDescent="0.3">
      <c r="A293" s="3"/>
      <c r="B293" s="10" t="s">
        <v>353</v>
      </c>
      <c r="C293" s="62"/>
      <c r="D293" s="62"/>
      <c r="E293" s="12">
        <v>0</v>
      </c>
      <c r="F293" s="12">
        <v>0</v>
      </c>
      <c r="G293" s="65"/>
      <c r="H293" s="65"/>
      <c r="I293" s="112"/>
      <c r="J293" s="65"/>
      <c r="K293" s="37"/>
      <c r="L293" s="37"/>
      <c r="M293" s="37"/>
      <c r="N293" s="37"/>
      <c r="O293" s="37"/>
      <c r="P293" s="37"/>
      <c r="Q293" s="37"/>
      <c r="R293" s="37"/>
      <c r="S293" s="37"/>
      <c r="T293" s="37"/>
      <c r="U293" s="3"/>
      <c r="W293" s="3"/>
      <c r="X293" s="3"/>
      <c r="Y293" s="3"/>
      <c r="Z293" s="3"/>
    </row>
    <row r="294" spans="1:26" ht="15.75" hidden="1" customHeight="1" outlineLevel="1" x14ac:dyDescent="0.3">
      <c r="A294" s="3"/>
      <c r="B294" s="10" t="s">
        <v>354</v>
      </c>
      <c r="C294" s="62"/>
      <c r="D294" s="62"/>
      <c r="E294" s="12">
        <v>0</v>
      </c>
      <c r="F294" s="12">
        <v>0</v>
      </c>
      <c r="G294" s="65"/>
      <c r="H294" s="65"/>
      <c r="I294" s="112"/>
      <c r="J294" s="65"/>
      <c r="K294" s="37"/>
      <c r="L294" s="37"/>
      <c r="M294" s="37"/>
      <c r="N294" s="37"/>
      <c r="O294" s="37"/>
      <c r="P294" s="37"/>
      <c r="Q294" s="37"/>
      <c r="R294" s="37"/>
      <c r="S294" s="37"/>
      <c r="T294" s="37"/>
      <c r="U294" s="3"/>
      <c r="W294" s="3"/>
      <c r="X294" s="3"/>
      <c r="Y294" s="3"/>
      <c r="Z294" s="3"/>
    </row>
    <row r="295" spans="1:26" ht="15.75" hidden="1" customHeight="1" outlineLevel="1" x14ac:dyDescent="0.3">
      <c r="A295" s="3"/>
      <c r="B295" s="10" t="s">
        <v>355</v>
      </c>
      <c r="C295" s="62"/>
      <c r="D295" s="62"/>
      <c r="E295" s="12">
        <v>0</v>
      </c>
      <c r="F295" s="12">
        <v>0</v>
      </c>
      <c r="G295" s="65"/>
      <c r="H295" s="65"/>
      <c r="I295" s="112"/>
      <c r="J295" s="65"/>
      <c r="K295" s="37"/>
      <c r="L295" s="37"/>
      <c r="M295" s="37"/>
      <c r="N295" s="37"/>
      <c r="O295" s="37"/>
      <c r="P295" s="37"/>
      <c r="Q295" s="37"/>
      <c r="R295" s="37"/>
      <c r="S295" s="37"/>
      <c r="T295" s="37"/>
      <c r="U295" s="3"/>
      <c r="W295" s="3"/>
      <c r="X295" s="3"/>
      <c r="Y295" s="3"/>
      <c r="Z295" s="3"/>
    </row>
    <row r="296" spans="1:26" ht="15.75" hidden="1" customHeight="1" outlineLevel="1" x14ac:dyDescent="0.3">
      <c r="A296" s="3"/>
      <c r="B296" s="10" t="s">
        <v>369</v>
      </c>
      <c r="C296" s="62"/>
      <c r="D296" s="62"/>
      <c r="E296" s="12">
        <v>0</v>
      </c>
      <c r="F296" s="12">
        <v>0</v>
      </c>
      <c r="G296" s="65"/>
      <c r="H296" s="65"/>
      <c r="I296" s="112"/>
      <c r="J296" s="65"/>
      <c r="K296" s="37"/>
      <c r="L296" s="37"/>
      <c r="M296" s="37"/>
      <c r="N296" s="37"/>
      <c r="O296" s="37"/>
      <c r="P296" s="37"/>
      <c r="Q296" s="37"/>
      <c r="R296" s="37"/>
      <c r="S296" s="37"/>
      <c r="T296" s="37"/>
      <c r="U296" s="3"/>
      <c r="W296" s="3"/>
      <c r="X296" s="3"/>
      <c r="Y296" s="3"/>
      <c r="Z296" s="3"/>
    </row>
    <row r="297" spans="1:26" ht="15.75" hidden="1" customHeight="1" outlineLevel="1" x14ac:dyDescent="0.3">
      <c r="A297" s="3"/>
      <c r="B297" s="10" t="s">
        <v>327</v>
      </c>
      <c r="C297" s="62"/>
      <c r="D297" s="62"/>
      <c r="E297" s="12">
        <v>0</v>
      </c>
      <c r="F297" s="12">
        <v>0</v>
      </c>
      <c r="G297" s="89"/>
      <c r="H297" s="65"/>
      <c r="I297" s="112"/>
      <c r="J297" s="65"/>
      <c r="K297" s="37"/>
      <c r="L297" s="37"/>
      <c r="M297" s="37"/>
      <c r="N297" s="37"/>
      <c r="O297" s="37"/>
      <c r="P297" s="37"/>
      <c r="Q297" s="37"/>
      <c r="R297" s="37"/>
      <c r="S297" s="37"/>
      <c r="T297" s="37"/>
      <c r="U297" s="3"/>
      <c r="W297" s="3"/>
      <c r="X297" s="3"/>
      <c r="Y297" s="3"/>
      <c r="Z297" s="3"/>
    </row>
    <row r="298" spans="1:26" ht="15.75" hidden="1" customHeight="1" outlineLevel="1" x14ac:dyDescent="0.3">
      <c r="A298" s="3"/>
      <c r="B298" s="10" t="s">
        <v>328</v>
      </c>
      <c r="C298" s="62"/>
      <c r="D298" s="62"/>
      <c r="E298" s="12">
        <v>0</v>
      </c>
      <c r="F298" s="12">
        <v>0</v>
      </c>
      <c r="G298" s="65"/>
      <c r="H298" s="65"/>
      <c r="I298" s="112"/>
      <c r="J298" s="65"/>
      <c r="K298" s="37"/>
      <c r="L298" s="37"/>
      <c r="M298" s="37"/>
      <c r="N298" s="37"/>
      <c r="O298" s="37"/>
      <c r="P298" s="37"/>
      <c r="Q298" s="37"/>
      <c r="R298" s="37"/>
      <c r="S298" s="37"/>
      <c r="T298" s="37"/>
      <c r="U298" s="3"/>
      <c r="W298" s="3"/>
      <c r="X298" s="3"/>
      <c r="Y298" s="3"/>
      <c r="Z298" s="3"/>
    </row>
    <row r="299" spans="1:26" ht="15.75" hidden="1" customHeight="1" outlineLevel="1" x14ac:dyDescent="0.3">
      <c r="A299" s="3"/>
      <c r="B299" s="10" t="s">
        <v>370</v>
      </c>
      <c r="C299" s="62"/>
      <c r="D299" s="62"/>
      <c r="E299" s="12">
        <v>0</v>
      </c>
      <c r="F299" s="12">
        <v>0</v>
      </c>
      <c r="G299" s="65"/>
      <c r="H299" s="65"/>
      <c r="I299" s="112"/>
      <c r="J299" s="65"/>
      <c r="K299" s="37"/>
      <c r="L299" s="37"/>
      <c r="M299" s="37"/>
      <c r="N299" s="37"/>
      <c r="O299" s="37"/>
      <c r="P299" s="37"/>
      <c r="Q299" s="37"/>
      <c r="R299" s="37"/>
      <c r="S299" s="37"/>
      <c r="T299" s="37"/>
      <c r="U299" s="3"/>
      <c r="W299" s="3"/>
      <c r="X299" s="3"/>
      <c r="Y299" s="3"/>
      <c r="Z299" s="3"/>
    </row>
    <row r="300" spans="1:26" ht="15.75" hidden="1" customHeight="1" outlineLevel="1" x14ac:dyDescent="0.3">
      <c r="A300" s="3"/>
      <c r="B300" s="10" t="s">
        <v>371</v>
      </c>
      <c r="C300" s="62"/>
      <c r="D300" s="62"/>
      <c r="E300" s="12">
        <v>0</v>
      </c>
      <c r="F300" s="12">
        <v>0</v>
      </c>
      <c r="G300" s="65"/>
      <c r="H300" s="65"/>
      <c r="I300" s="112"/>
      <c r="J300" s="65"/>
      <c r="K300" s="37"/>
      <c r="L300" s="37"/>
      <c r="M300" s="37"/>
      <c r="N300" s="37"/>
      <c r="O300" s="37"/>
      <c r="P300" s="37"/>
      <c r="Q300" s="37"/>
      <c r="R300" s="37"/>
      <c r="S300" s="37"/>
      <c r="T300" s="37"/>
      <c r="U300" s="3"/>
      <c r="W300" s="3"/>
      <c r="X300" s="3"/>
      <c r="Y300" s="3"/>
      <c r="Z300" s="3"/>
    </row>
    <row r="301" spans="1:26" ht="15.75" hidden="1" customHeight="1" outlineLevel="1" x14ac:dyDescent="0.3">
      <c r="A301" s="3"/>
      <c r="B301" s="10" t="s">
        <v>372</v>
      </c>
      <c r="C301" s="62"/>
      <c r="D301" s="62"/>
      <c r="E301" s="12">
        <v>0</v>
      </c>
      <c r="F301" s="12">
        <v>0</v>
      </c>
      <c r="G301" s="65"/>
      <c r="H301" s="65"/>
      <c r="I301" s="112"/>
      <c r="J301" s="65"/>
      <c r="K301" s="37"/>
      <c r="L301" s="37"/>
      <c r="M301" s="37"/>
      <c r="N301" s="37"/>
      <c r="O301" s="37"/>
      <c r="P301" s="37"/>
      <c r="Q301" s="37"/>
      <c r="R301" s="37"/>
      <c r="S301" s="37"/>
      <c r="T301" s="37"/>
      <c r="U301" s="3"/>
      <c r="W301" s="3"/>
      <c r="X301" s="3"/>
      <c r="Y301" s="3"/>
      <c r="Z301" s="3"/>
    </row>
    <row r="302" spans="1:26" ht="15.75" hidden="1" customHeight="1" outlineLevel="1" x14ac:dyDescent="0.3">
      <c r="A302" s="3"/>
      <c r="B302" s="10" t="s">
        <v>1547</v>
      </c>
      <c r="C302" s="62"/>
      <c r="D302" s="62"/>
      <c r="E302" s="12">
        <v>0</v>
      </c>
      <c r="F302" s="12">
        <v>0</v>
      </c>
      <c r="G302" s="65"/>
      <c r="H302" s="65"/>
      <c r="I302" s="112"/>
      <c r="J302" s="65"/>
      <c r="K302" s="37"/>
      <c r="L302" s="37"/>
      <c r="M302" s="37"/>
      <c r="N302" s="37"/>
      <c r="O302" s="37"/>
      <c r="P302" s="37"/>
      <c r="Q302" s="37"/>
      <c r="R302" s="37"/>
      <c r="S302" s="37"/>
      <c r="T302" s="37"/>
      <c r="U302" s="3"/>
      <c r="W302" s="3"/>
      <c r="X302" s="3"/>
      <c r="Y302" s="3"/>
      <c r="Z302" s="3"/>
    </row>
    <row r="303" spans="1:26" ht="15.75" hidden="1" customHeight="1" outlineLevel="1" x14ac:dyDescent="0.3">
      <c r="A303" s="3"/>
      <c r="B303" s="10" t="s">
        <v>1548</v>
      </c>
      <c r="C303" s="62"/>
      <c r="D303" s="62"/>
      <c r="E303" s="12">
        <v>0</v>
      </c>
      <c r="F303" s="12">
        <v>0</v>
      </c>
      <c r="G303" s="65"/>
      <c r="H303" s="65"/>
      <c r="I303" s="112"/>
      <c r="J303" s="65"/>
      <c r="K303" s="37"/>
      <c r="L303" s="37"/>
      <c r="M303" s="37"/>
      <c r="N303" s="37"/>
      <c r="O303" s="37"/>
      <c r="P303" s="37"/>
      <c r="Q303" s="37"/>
      <c r="R303" s="37"/>
      <c r="S303" s="37"/>
      <c r="T303" s="37"/>
      <c r="U303" s="3"/>
      <c r="W303" s="3"/>
      <c r="X303" s="3"/>
      <c r="Y303" s="3"/>
      <c r="Z303" s="3"/>
    </row>
    <row r="304" spans="1:26" ht="15.75" hidden="1" customHeight="1" outlineLevel="1" x14ac:dyDescent="0.3">
      <c r="A304" s="3"/>
      <c r="B304" s="10" t="s">
        <v>1549</v>
      </c>
      <c r="C304" s="62"/>
      <c r="D304" s="62"/>
      <c r="E304" s="12">
        <v>0</v>
      </c>
      <c r="F304" s="12">
        <v>0</v>
      </c>
      <c r="G304" s="65"/>
      <c r="H304" s="65"/>
      <c r="I304" s="112"/>
      <c r="J304" s="65"/>
      <c r="K304" s="37"/>
      <c r="L304" s="37"/>
      <c r="M304" s="37"/>
      <c r="N304" s="37"/>
      <c r="O304" s="37"/>
      <c r="P304" s="37"/>
      <c r="Q304" s="37"/>
      <c r="R304" s="37"/>
      <c r="S304" s="37"/>
      <c r="T304" s="37"/>
      <c r="U304" s="3"/>
      <c r="W304" s="3"/>
      <c r="X304" s="3"/>
      <c r="Y304" s="3"/>
      <c r="Z304" s="3"/>
    </row>
    <row r="305" spans="1:26" ht="15.75" hidden="1" customHeight="1" outlineLevel="1" x14ac:dyDescent="0.3">
      <c r="A305" s="3"/>
      <c r="B305" s="10" t="s">
        <v>1550</v>
      </c>
      <c r="C305" s="62"/>
      <c r="D305" s="62"/>
      <c r="E305" s="12">
        <v>0</v>
      </c>
      <c r="F305" s="12">
        <v>0</v>
      </c>
      <c r="G305" s="65"/>
      <c r="H305" s="65"/>
      <c r="I305" s="112"/>
      <c r="J305" s="65"/>
      <c r="K305" s="37"/>
      <c r="L305" s="37"/>
      <c r="M305" s="37"/>
      <c r="N305" s="37"/>
      <c r="O305" s="37"/>
      <c r="P305" s="37"/>
      <c r="Q305" s="37"/>
      <c r="R305" s="37"/>
      <c r="S305" s="37"/>
      <c r="T305" s="37"/>
      <c r="U305" s="3"/>
      <c r="W305" s="3"/>
      <c r="X305" s="3"/>
      <c r="Y305" s="3"/>
      <c r="Z305" s="3"/>
    </row>
    <row r="306" spans="1:26" ht="15.75" hidden="1" customHeight="1" outlineLevel="1" x14ac:dyDescent="0.3">
      <c r="A306" s="3"/>
      <c r="B306" s="10" t="s">
        <v>1551</v>
      </c>
      <c r="C306" s="62"/>
      <c r="D306" s="62"/>
      <c r="E306" s="12">
        <v>0</v>
      </c>
      <c r="F306" s="12">
        <v>0</v>
      </c>
      <c r="G306" s="65"/>
      <c r="H306" s="65"/>
      <c r="I306" s="112"/>
      <c r="J306" s="65"/>
      <c r="K306" s="37"/>
      <c r="L306" s="37"/>
      <c r="M306" s="37"/>
      <c r="N306" s="37"/>
      <c r="O306" s="37"/>
      <c r="P306" s="37"/>
      <c r="Q306" s="37"/>
      <c r="R306" s="37"/>
      <c r="S306" s="37"/>
      <c r="T306" s="37"/>
      <c r="U306" s="3"/>
      <c r="W306" s="3"/>
      <c r="X306" s="3"/>
      <c r="Y306" s="3"/>
      <c r="Z306" s="3"/>
    </row>
    <row r="307" spans="1:26" ht="15.75" hidden="1" customHeight="1" outlineLevel="1" x14ac:dyDescent="0.3">
      <c r="A307" s="3"/>
      <c r="B307" s="10" t="s">
        <v>1552</v>
      </c>
      <c r="C307" s="62"/>
      <c r="D307" s="62"/>
      <c r="E307" s="12">
        <v>0</v>
      </c>
      <c r="F307" s="12">
        <v>0</v>
      </c>
      <c r="G307" s="65"/>
      <c r="H307" s="65"/>
      <c r="I307" s="112"/>
      <c r="J307" s="65"/>
      <c r="K307" s="37"/>
      <c r="L307" s="37"/>
      <c r="M307" s="37"/>
      <c r="N307" s="37"/>
      <c r="O307" s="37"/>
      <c r="P307" s="37"/>
      <c r="Q307" s="37"/>
      <c r="R307" s="37"/>
      <c r="S307" s="37"/>
      <c r="T307" s="37"/>
      <c r="U307" s="3"/>
      <c r="W307" s="3"/>
      <c r="X307" s="3"/>
      <c r="Y307" s="3"/>
      <c r="Z307" s="3"/>
    </row>
    <row r="308" spans="1:26" ht="15.75" hidden="1" customHeight="1" outlineLevel="1" x14ac:dyDescent="0.3">
      <c r="A308" s="3"/>
      <c r="B308" s="10" t="s">
        <v>1553</v>
      </c>
      <c r="C308" s="62"/>
      <c r="D308" s="62"/>
      <c r="E308" s="12">
        <v>0</v>
      </c>
      <c r="F308" s="12">
        <v>0</v>
      </c>
      <c r="G308" s="65"/>
      <c r="H308" s="65"/>
      <c r="I308" s="112"/>
      <c r="J308" s="65"/>
      <c r="K308" s="37"/>
      <c r="L308" s="37"/>
      <c r="M308" s="37"/>
      <c r="N308" s="37"/>
      <c r="O308" s="37"/>
      <c r="P308" s="37"/>
      <c r="Q308" s="37"/>
      <c r="R308" s="37"/>
      <c r="S308" s="37"/>
      <c r="T308" s="37"/>
      <c r="U308" s="3"/>
      <c r="W308" s="3"/>
      <c r="X308" s="3"/>
      <c r="Y308" s="3"/>
      <c r="Z308" s="3"/>
    </row>
    <row r="309" spans="1:26" ht="15.75" hidden="1" customHeight="1" outlineLevel="1" x14ac:dyDescent="0.3">
      <c r="A309" s="3"/>
      <c r="B309" s="10" t="s">
        <v>1554</v>
      </c>
      <c r="C309" s="62"/>
      <c r="D309" s="62"/>
      <c r="E309" s="12">
        <v>0</v>
      </c>
      <c r="F309" s="12">
        <v>0</v>
      </c>
      <c r="G309" s="65"/>
      <c r="H309" s="65"/>
      <c r="I309" s="112"/>
      <c r="J309" s="65"/>
      <c r="K309" s="37"/>
      <c r="L309" s="37"/>
      <c r="M309" s="37"/>
      <c r="N309" s="37"/>
      <c r="O309" s="37"/>
      <c r="P309" s="37"/>
      <c r="Q309" s="37"/>
      <c r="R309" s="37"/>
      <c r="S309" s="37"/>
      <c r="T309" s="37"/>
      <c r="U309" s="3"/>
      <c r="W309" s="3"/>
      <c r="X309" s="3"/>
      <c r="Y309" s="3"/>
      <c r="Z309" s="3"/>
    </row>
    <row r="310" spans="1:26" ht="15.75" hidden="1" customHeight="1" outlineLevel="1" x14ac:dyDescent="0.3">
      <c r="A310" s="3"/>
      <c r="B310" s="10" t="s">
        <v>1555</v>
      </c>
      <c r="C310" s="62"/>
      <c r="D310" s="62"/>
      <c r="E310" s="12">
        <v>0</v>
      </c>
      <c r="F310" s="12">
        <v>0</v>
      </c>
      <c r="G310" s="65"/>
      <c r="H310" s="65"/>
      <c r="I310" s="112"/>
      <c r="J310" s="65"/>
      <c r="K310" s="37"/>
      <c r="L310" s="37"/>
      <c r="M310" s="37"/>
      <c r="N310" s="37"/>
      <c r="O310" s="37"/>
      <c r="P310" s="37"/>
      <c r="Q310" s="37"/>
      <c r="R310" s="37"/>
      <c r="S310" s="37"/>
      <c r="T310" s="37"/>
      <c r="U310" s="3"/>
      <c r="W310" s="3"/>
      <c r="X310" s="3"/>
      <c r="Y310" s="3"/>
      <c r="Z310" s="3"/>
    </row>
    <row r="311" spans="1:26" ht="15.75" hidden="1" customHeight="1" outlineLevel="1" x14ac:dyDescent="0.3">
      <c r="A311" s="3"/>
      <c r="B311" s="10" t="s">
        <v>1556</v>
      </c>
      <c r="C311" s="62"/>
      <c r="D311" s="62"/>
      <c r="E311" s="12">
        <v>0</v>
      </c>
      <c r="F311" s="12">
        <v>0</v>
      </c>
      <c r="G311" s="65"/>
      <c r="H311" s="65"/>
      <c r="I311" s="112"/>
      <c r="J311" s="65"/>
      <c r="K311" s="37"/>
      <c r="L311" s="37"/>
      <c r="M311" s="37"/>
      <c r="N311" s="37"/>
      <c r="O311" s="37"/>
      <c r="P311" s="37"/>
      <c r="Q311" s="37"/>
      <c r="R311" s="37"/>
      <c r="S311" s="37"/>
      <c r="T311" s="37"/>
      <c r="U311" s="3"/>
      <c r="W311" s="3"/>
      <c r="X311" s="3"/>
      <c r="Y311" s="3"/>
      <c r="Z311" s="3"/>
    </row>
    <row r="312" spans="1:26" ht="15.75" hidden="1" customHeight="1" outlineLevel="1" x14ac:dyDescent="0.3">
      <c r="A312" s="3"/>
      <c r="B312" s="10" t="s">
        <v>1557</v>
      </c>
      <c r="C312" s="62"/>
      <c r="D312" s="62"/>
      <c r="E312" s="12">
        <v>0</v>
      </c>
      <c r="F312" s="12">
        <v>0</v>
      </c>
      <c r="G312" s="65"/>
      <c r="H312" s="65"/>
      <c r="I312" s="112"/>
      <c r="J312" s="65"/>
      <c r="K312" s="37"/>
      <c r="L312" s="37"/>
      <c r="M312" s="37"/>
      <c r="N312" s="37"/>
      <c r="O312" s="37"/>
      <c r="P312" s="37"/>
      <c r="Q312" s="37"/>
      <c r="R312" s="37"/>
      <c r="S312" s="37"/>
      <c r="T312" s="37"/>
      <c r="U312" s="3"/>
      <c r="W312" s="3"/>
      <c r="X312" s="3"/>
      <c r="Y312" s="3"/>
      <c r="Z312" s="3"/>
    </row>
    <row r="313" spans="1:26" ht="15.75" hidden="1" customHeight="1" outlineLevel="1" x14ac:dyDescent="0.3">
      <c r="A313" s="3"/>
      <c r="B313" s="10" t="s">
        <v>1558</v>
      </c>
      <c r="C313" s="62"/>
      <c r="D313" s="62"/>
      <c r="E313" s="12">
        <v>0</v>
      </c>
      <c r="F313" s="12">
        <v>0</v>
      </c>
      <c r="G313" s="65"/>
      <c r="H313" s="65"/>
      <c r="I313" s="89"/>
      <c r="J313" s="65"/>
      <c r="K313" s="37"/>
      <c r="L313" s="37"/>
      <c r="M313" s="37"/>
      <c r="N313" s="37"/>
      <c r="O313" s="37"/>
      <c r="P313" s="37"/>
      <c r="Q313" s="37"/>
      <c r="R313" s="37"/>
      <c r="S313" s="37"/>
      <c r="T313" s="37"/>
      <c r="U313" s="3"/>
      <c r="W313" s="3"/>
      <c r="X313" s="3"/>
      <c r="Y313" s="3"/>
      <c r="Z313" s="3"/>
    </row>
    <row r="314" spans="1:26" ht="15.75" hidden="1" customHeight="1" outlineLevel="1" x14ac:dyDescent="0.3">
      <c r="A314" s="3"/>
      <c r="B314" s="91" t="s">
        <v>689</v>
      </c>
      <c r="C314" s="92"/>
      <c r="D314" s="92"/>
      <c r="E314" s="93">
        <f>SUM(E315:E323)</f>
        <v>0</v>
      </c>
      <c r="F314" s="93">
        <f>SUMIF(D315:D323,"OK",F315:F323)</f>
        <v>0</v>
      </c>
      <c r="G314" s="94"/>
      <c r="H314" s="94"/>
      <c r="I314" s="95"/>
      <c r="J314" s="94"/>
      <c r="K314" s="37"/>
      <c r="L314" s="37"/>
      <c r="M314" s="37"/>
      <c r="N314" s="37"/>
      <c r="O314" s="37"/>
      <c r="P314" s="37"/>
      <c r="Q314" s="37"/>
      <c r="R314" s="37"/>
      <c r="S314" s="37"/>
      <c r="T314" s="37"/>
      <c r="U314" s="3"/>
      <c r="W314" s="3"/>
      <c r="X314" s="3"/>
      <c r="Y314" s="3"/>
      <c r="Z314" s="3"/>
    </row>
    <row r="315" spans="1:26" ht="15.75" hidden="1" customHeight="1" outlineLevel="1" x14ac:dyDescent="0.3">
      <c r="A315" s="3"/>
      <c r="B315" s="10" t="s">
        <v>353</v>
      </c>
      <c r="C315" s="62"/>
      <c r="D315" s="62"/>
      <c r="E315" s="12">
        <v>0</v>
      </c>
      <c r="F315" s="12">
        <v>0</v>
      </c>
      <c r="G315" s="65"/>
      <c r="H315" s="65"/>
      <c r="I315" s="112"/>
      <c r="J315" s="65"/>
      <c r="K315" s="37"/>
      <c r="L315" s="37"/>
      <c r="M315" s="37"/>
      <c r="N315" s="37"/>
      <c r="O315" s="37"/>
      <c r="P315" s="37"/>
      <c r="Q315" s="37"/>
      <c r="R315" s="37"/>
      <c r="S315" s="37"/>
      <c r="T315" s="37"/>
      <c r="U315" s="3"/>
      <c r="W315" s="3"/>
      <c r="X315" s="3"/>
      <c r="Y315" s="3"/>
      <c r="Z315" s="3"/>
    </row>
    <row r="316" spans="1:26" ht="15.75" hidden="1" customHeight="1" outlineLevel="1" x14ac:dyDescent="0.3">
      <c r="A316" s="3"/>
      <c r="B316" s="10" t="s">
        <v>354</v>
      </c>
      <c r="C316" s="62"/>
      <c r="D316" s="62"/>
      <c r="E316" s="12">
        <v>0</v>
      </c>
      <c r="F316" s="12">
        <v>0</v>
      </c>
      <c r="G316" s="65"/>
      <c r="H316" s="65"/>
      <c r="I316" s="112"/>
      <c r="J316" s="65"/>
      <c r="K316" s="37"/>
      <c r="L316" s="37"/>
      <c r="M316" s="37"/>
      <c r="N316" s="37"/>
      <c r="O316" s="37"/>
      <c r="P316" s="37"/>
      <c r="Q316" s="37"/>
      <c r="R316" s="37"/>
      <c r="S316" s="37"/>
      <c r="T316" s="37"/>
      <c r="U316" s="3"/>
      <c r="W316" s="3"/>
      <c r="X316" s="3"/>
      <c r="Y316" s="3"/>
      <c r="Z316" s="3"/>
    </row>
    <row r="317" spans="1:26" ht="15.75" hidden="1" customHeight="1" outlineLevel="1" x14ac:dyDescent="0.3">
      <c r="A317" s="3"/>
      <c r="B317" s="10" t="s">
        <v>355</v>
      </c>
      <c r="C317" s="62"/>
      <c r="D317" s="62"/>
      <c r="E317" s="12">
        <v>0</v>
      </c>
      <c r="F317" s="12">
        <v>0</v>
      </c>
      <c r="G317" s="65"/>
      <c r="H317" s="65"/>
      <c r="I317" s="89"/>
      <c r="J317" s="65"/>
      <c r="K317" s="37"/>
      <c r="L317" s="37"/>
      <c r="M317" s="37"/>
      <c r="N317" s="37"/>
      <c r="O317" s="37"/>
      <c r="P317" s="37"/>
      <c r="Q317" s="37"/>
      <c r="R317" s="37"/>
      <c r="S317" s="37"/>
      <c r="T317" s="37"/>
      <c r="U317" s="3"/>
      <c r="W317" s="3"/>
      <c r="X317" s="3"/>
      <c r="Y317" s="3"/>
      <c r="Z317" s="3"/>
    </row>
    <row r="318" spans="1:26" ht="15.75" hidden="1" customHeight="1" outlineLevel="1" x14ac:dyDescent="0.3">
      <c r="A318" s="3"/>
      <c r="B318" s="10" t="s">
        <v>369</v>
      </c>
      <c r="C318" s="62"/>
      <c r="D318" s="62"/>
      <c r="E318" s="12">
        <v>0</v>
      </c>
      <c r="F318" s="12">
        <v>0</v>
      </c>
      <c r="G318" s="65"/>
      <c r="H318" s="65"/>
      <c r="I318" s="89"/>
      <c r="J318" s="65"/>
      <c r="K318" s="37"/>
      <c r="L318" s="37"/>
      <c r="M318" s="37"/>
      <c r="N318" s="37"/>
      <c r="O318" s="37"/>
      <c r="P318" s="37"/>
      <c r="Q318" s="37"/>
      <c r="R318" s="37"/>
      <c r="S318" s="37"/>
      <c r="T318" s="37"/>
      <c r="U318" s="3"/>
      <c r="W318" s="3"/>
      <c r="X318" s="3"/>
      <c r="Y318" s="3"/>
      <c r="Z318" s="3"/>
    </row>
    <row r="319" spans="1:26" ht="15.75" hidden="1" customHeight="1" outlineLevel="1" x14ac:dyDescent="0.3">
      <c r="A319" s="3"/>
      <c r="B319" s="10" t="s">
        <v>327</v>
      </c>
      <c r="C319" s="62"/>
      <c r="D319" s="62"/>
      <c r="E319" s="12">
        <v>0</v>
      </c>
      <c r="F319" s="12">
        <v>0</v>
      </c>
      <c r="G319" s="65"/>
      <c r="H319" s="65"/>
      <c r="I319" s="89"/>
      <c r="J319" s="65"/>
      <c r="K319" s="37"/>
      <c r="L319" s="37"/>
      <c r="M319" s="37"/>
      <c r="N319" s="37"/>
      <c r="O319" s="37"/>
      <c r="P319" s="37"/>
      <c r="Q319" s="37"/>
      <c r="R319" s="37"/>
      <c r="S319" s="37"/>
      <c r="T319" s="37"/>
      <c r="U319" s="3"/>
      <c r="W319" s="3"/>
      <c r="X319" s="3"/>
      <c r="Y319" s="3"/>
      <c r="Z319" s="3"/>
    </row>
    <row r="320" spans="1:26" ht="15.75" hidden="1" customHeight="1" outlineLevel="1" x14ac:dyDescent="0.3">
      <c r="A320" s="3"/>
      <c r="B320" s="10" t="s">
        <v>328</v>
      </c>
      <c r="C320" s="62"/>
      <c r="D320" s="62"/>
      <c r="E320" s="12">
        <v>0</v>
      </c>
      <c r="F320" s="12">
        <v>0</v>
      </c>
      <c r="G320" s="65"/>
      <c r="H320" s="65"/>
      <c r="I320" s="89"/>
      <c r="J320" s="65"/>
      <c r="K320" s="37"/>
      <c r="L320" s="37"/>
      <c r="M320" s="37"/>
      <c r="N320" s="37"/>
      <c r="O320" s="37"/>
      <c r="P320" s="37"/>
      <c r="Q320" s="37"/>
      <c r="R320" s="37"/>
      <c r="S320" s="37"/>
      <c r="T320" s="37"/>
      <c r="U320" s="3"/>
      <c r="W320" s="3"/>
      <c r="X320" s="3"/>
      <c r="Y320" s="3"/>
      <c r="Z320" s="3"/>
    </row>
    <row r="321" spans="1:26" ht="15.75" hidden="1" customHeight="1" outlineLevel="1" x14ac:dyDescent="0.3">
      <c r="A321" s="3"/>
      <c r="B321" s="10" t="s">
        <v>370</v>
      </c>
      <c r="C321" s="62"/>
      <c r="D321" s="62"/>
      <c r="E321" s="12">
        <v>0</v>
      </c>
      <c r="F321" s="12">
        <v>0</v>
      </c>
      <c r="G321" s="65"/>
      <c r="H321" s="65"/>
      <c r="I321" s="89"/>
      <c r="J321" s="65"/>
      <c r="K321" s="37"/>
      <c r="L321" s="37"/>
      <c r="M321" s="37"/>
      <c r="N321" s="37"/>
      <c r="O321" s="37"/>
      <c r="P321" s="37"/>
      <c r="Q321" s="37"/>
      <c r="R321" s="37"/>
      <c r="S321" s="37"/>
      <c r="T321" s="37"/>
      <c r="U321" s="3"/>
      <c r="W321" s="3"/>
      <c r="X321" s="3"/>
      <c r="Y321" s="3"/>
      <c r="Z321" s="3"/>
    </row>
    <row r="322" spans="1:26" ht="15.75" hidden="1" customHeight="1" outlineLevel="1" x14ac:dyDescent="0.3">
      <c r="A322" s="3"/>
      <c r="B322" s="10" t="s">
        <v>371</v>
      </c>
      <c r="C322" s="62"/>
      <c r="D322" s="62"/>
      <c r="E322" s="12">
        <v>0</v>
      </c>
      <c r="F322" s="12">
        <v>0</v>
      </c>
      <c r="G322" s="65"/>
      <c r="H322" s="65"/>
      <c r="I322" s="89"/>
      <c r="J322" s="65"/>
      <c r="K322" s="37"/>
      <c r="L322" s="37"/>
      <c r="M322" s="37"/>
      <c r="N322" s="37"/>
      <c r="O322" s="37"/>
      <c r="P322" s="37"/>
      <c r="Q322" s="37"/>
      <c r="R322" s="37"/>
      <c r="S322" s="37"/>
      <c r="T322" s="37"/>
      <c r="U322" s="3"/>
      <c r="W322" s="3"/>
      <c r="X322" s="3"/>
      <c r="Y322" s="3"/>
      <c r="Z322" s="3"/>
    </row>
    <row r="323" spans="1:26" ht="15.75" hidden="1" customHeight="1" outlineLevel="1" x14ac:dyDescent="0.3">
      <c r="A323" s="3"/>
      <c r="B323" s="10" t="s">
        <v>372</v>
      </c>
      <c r="C323" s="62"/>
      <c r="D323" s="62"/>
      <c r="E323" s="12">
        <v>0</v>
      </c>
      <c r="F323" s="12">
        <v>0</v>
      </c>
      <c r="G323" s="65"/>
      <c r="H323" s="65"/>
      <c r="I323" s="89"/>
      <c r="J323" s="65"/>
      <c r="K323" s="37"/>
      <c r="L323" s="37"/>
      <c r="M323" s="37"/>
      <c r="N323" s="37"/>
      <c r="O323" s="37"/>
      <c r="P323" s="37"/>
      <c r="Q323" s="37"/>
      <c r="R323" s="37"/>
      <c r="S323" s="37"/>
      <c r="T323" s="37"/>
      <c r="U323" s="3"/>
      <c r="W323" s="3"/>
      <c r="X323" s="3"/>
      <c r="Y323" s="3"/>
      <c r="Z323" s="3"/>
    </row>
    <row r="324" spans="1:26" ht="15.75" customHeight="1" collapsed="1" x14ac:dyDescent="0.3">
      <c r="A324" s="3"/>
      <c r="B324" s="84" t="s">
        <v>411</v>
      </c>
      <c r="C324" s="85" t="s">
        <v>43</v>
      </c>
      <c r="D324" s="85" t="s">
        <v>43</v>
      </c>
      <c r="E324" s="86">
        <f>SUM(E325:E345)</f>
        <v>0</v>
      </c>
      <c r="F324" s="86">
        <f>SUMIF(D325:D345,"OK",F325:F345)</f>
        <v>0</v>
      </c>
      <c r="G324" s="87"/>
      <c r="H324" s="87"/>
      <c r="I324" s="88"/>
      <c r="J324" s="87"/>
      <c r="K324" s="37"/>
      <c r="L324" s="37"/>
      <c r="M324" s="37"/>
      <c r="N324" s="37"/>
      <c r="O324" s="37"/>
      <c r="P324" s="37"/>
      <c r="Q324" s="37"/>
      <c r="R324" s="37"/>
      <c r="S324" s="37"/>
      <c r="T324" s="37"/>
      <c r="U324" s="3"/>
      <c r="W324" s="3"/>
      <c r="X324" s="3"/>
      <c r="Y324" s="3"/>
      <c r="Z324" s="3"/>
    </row>
    <row r="325" spans="1:26" ht="14.25" hidden="1" customHeight="1" outlineLevel="1" x14ac:dyDescent="0.3">
      <c r="A325" s="3"/>
      <c r="B325" s="10" t="s">
        <v>412</v>
      </c>
      <c r="C325" s="62"/>
      <c r="D325" s="62"/>
      <c r="E325" s="12">
        <v>0</v>
      </c>
      <c r="F325" s="12">
        <v>0</v>
      </c>
      <c r="G325" s="65"/>
      <c r="H325" s="65"/>
      <c r="I325" s="89"/>
      <c r="J325" s="65"/>
      <c r="K325" s="37"/>
      <c r="L325" s="37"/>
      <c r="M325" s="37"/>
      <c r="N325" s="37"/>
      <c r="O325" s="37"/>
      <c r="P325" s="37"/>
      <c r="Q325" s="37"/>
      <c r="R325" s="37"/>
      <c r="S325" s="37"/>
      <c r="T325" s="37"/>
      <c r="U325" s="3"/>
      <c r="W325" s="3"/>
      <c r="X325" s="3"/>
      <c r="Y325" s="3"/>
      <c r="Z325" s="3"/>
    </row>
    <row r="326" spans="1:26" ht="14.25" hidden="1" customHeight="1" outlineLevel="1" x14ac:dyDescent="0.3">
      <c r="A326" s="3"/>
      <c r="B326" s="10" t="s">
        <v>413</v>
      </c>
      <c r="C326" s="62"/>
      <c r="D326" s="62"/>
      <c r="E326" s="12">
        <v>0</v>
      </c>
      <c r="F326" s="12">
        <v>0</v>
      </c>
      <c r="G326" s="89"/>
      <c r="H326" s="65"/>
      <c r="I326" s="112"/>
      <c r="J326" s="65"/>
      <c r="K326" s="37"/>
      <c r="L326" s="37"/>
      <c r="M326" s="37"/>
      <c r="N326" s="37"/>
      <c r="O326" s="37"/>
      <c r="P326" s="37"/>
      <c r="Q326" s="37"/>
      <c r="R326" s="37"/>
      <c r="S326" s="37"/>
      <c r="T326" s="37"/>
      <c r="U326" s="3"/>
      <c r="W326" s="3"/>
      <c r="X326" s="3"/>
      <c r="Y326" s="3"/>
      <c r="Z326" s="3"/>
    </row>
    <row r="327" spans="1:26" ht="14.25" hidden="1" customHeight="1" outlineLevel="1" x14ac:dyDescent="0.3">
      <c r="A327" s="3"/>
      <c r="B327" s="10" t="s">
        <v>413</v>
      </c>
      <c r="C327" s="62"/>
      <c r="D327" s="62"/>
      <c r="E327" s="12">
        <v>0</v>
      </c>
      <c r="F327" s="12">
        <v>0</v>
      </c>
      <c r="G327" s="65"/>
      <c r="H327" s="65"/>
      <c r="I327" s="112"/>
      <c r="J327" s="65"/>
      <c r="K327" s="37"/>
      <c r="L327" s="37"/>
      <c r="M327" s="37"/>
      <c r="N327" s="37"/>
      <c r="O327" s="37"/>
      <c r="P327" s="37"/>
      <c r="Q327" s="37"/>
      <c r="R327" s="37"/>
      <c r="S327" s="37"/>
      <c r="T327" s="37"/>
      <c r="U327" s="3"/>
      <c r="W327" s="3"/>
      <c r="X327" s="3"/>
      <c r="Y327" s="3"/>
      <c r="Z327" s="3"/>
    </row>
    <row r="328" spans="1:26" ht="14.25" hidden="1" customHeight="1" outlineLevel="1" x14ac:dyDescent="0.3">
      <c r="A328" s="3"/>
      <c r="B328" s="10" t="s">
        <v>414</v>
      </c>
      <c r="C328" s="62"/>
      <c r="D328" s="62"/>
      <c r="E328" s="12">
        <v>0</v>
      </c>
      <c r="F328" s="12">
        <v>0</v>
      </c>
      <c r="G328" s="65"/>
      <c r="H328" s="65"/>
      <c r="I328" s="89"/>
      <c r="J328" s="65"/>
      <c r="K328" s="37"/>
      <c r="L328" s="37"/>
      <c r="M328" s="37"/>
      <c r="N328" s="37"/>
      <c r="O328" s="37"/>
      <c r="P328" s="37"/>
      <c r="Q328" s="37"/>
      <c r="R328" s="37"/>
      <c r="S328" s="37"/>
      <c r="T328" s="37"/>
      <c r="U328" s="3"/>
      <c r="W328" s="3"/>
      <c r="X328" s="3"/>
      <c r="Y328" s="3"/>
      <c r="Z328" s="3"/>
    </row>
    <row r="329" spans="1:26" ht="14.25" hidden="1" customHeight="1" outlineLevel="1" x14ac:dyDescent="0.3">
      <c r="A329" s="3"/>
      <c r="B329" s="10" t="s">
        <v>414</v>
      </c>
      <c r="C329" s="62"/>
      <c r="D329" s="62"/>
      <c r="E329" s="12">
        <v>0</v>
      </c>
      <c r="F329" s="12">
        <v>0</v>
      </c>
      <c r="G329" s="65"/>
      <c r="H329" s="65"/>
      <c r="I329" s="89"/>
      <c r="J329" s="65"/>
      <c r="K329" s="37"/>
      <c r="L329" s="37"/>
      <c r="M329" s="37"/>
      <c r="N329" s="37"/>
      <c r="O329" s="37"/>
      <c r="P329" s="37"/>
      <c r="Q329" s="37"/>
      <c r="R329" s="37"/>
      <c r="S329" s="37"/>
      <c r="T329" s="37"/>
      <c r="U329" s="3"/>
      <c r="W329" s="3"/>
      <c r="X329" s="3"/>
      <c r="Y329" s="3"/>
      <c r="Z329" s="3"/>
    </row>
    <row r="330" spans="1:26" ht="14.25" hidden="1" customHeight="1" outlineLevel="1" x14ac:dyDescent="0.3">
      <c r="A330" s="3"/>
      <c r="B330" s="10" t="s">
        <v>414</v>
      </c>
      <c r="C330" s="62"/>
      <c r="D330" s="62"/>
      <c r="E330" s="12">
        <v>0</v>
      </c>
      <c r="F330" s="12">
        <v>0</v>
      </c>
      <c r="G330" s="65"/>
      <c r="H330" s="65"/>
      <c r="I330" s="89"/>
      <c r="J330" s="65"/>
      <c r="K330" s="37"/>
      <c r="L330" s="37"/>
      <c r="M330" s="37"/>
      <c r="N330" s="37"/>
      <c r="O330" s="37"/>
      <c r="P330" s="37"/>
      <c r="Q330" s="37"/>
      <c r="R330" s="37"/>
      <c r="S330" s="37"/>
      <c r="T330" s="37"/>
      <c r="U330" s="3"/>
      <c r="W330" s="3"/>
      <c r="X330" s="3"/>
      <c r="Y330" s="3"/>
      <c r="Z330" s="3"/>
    </row>
    <row r="331" spans="1:26" ht="14.25" hidden="1" customHeight="1" outlineLevel="1" x14ac:dyDescent="0.3">
      <c r="A331" s="3"/>
      <c r="B331" s="10" t="s">
        <v>415</v>
      </c>
      <c r="C331" s="62"/>
      <c r="D331" s="62"/>
      <c r="E331" s="12">
        <v>0</v>
      </c>
      <c r="F331" s="12">
        <v>0</v>
      </c>
      <c r="G331" s="65"/>
      <c r="H331" s="65"/>
      <c r="I331" s="112"/>
      <c r="J331" s="65"/>
      <c r="K331" s="37"/>
      <c r="L331" s="37"/>
      <c r="M331" s="37"/>
      <c r="N331" s="37"/>
      <c r="O331" s="37"/>
      <c r="P331" s="37"/>
      <c r="Q331" s="37"/>
      <c r="R331" s="37"/>
      <c r="S331" s="37"/>
      <c r="T331" s="37"/>
      <c r="U331" s="3"/>
      <c r="W331" s="3"/>
      <c r="X331" s="3"/>
      <c r="Y331" s="3"/>
      <c r="Z331" s="3"/>
    </row>
    <row r="332" spans="1:26" ht="14.25" hidden="1" customHeight="1" outlineLevel="1" x14ac:dyDescent="0.3">
      <c r="A332" s="3"/>
      <c r="B332" s="10" t="s">
        <v>415</v>
      </c>
      <c r="C332" s="62"/>
      <c r="D332" s="62"/>
      <c r="E332" s="12">
        <v>0</v>
      </c>
      <c r="F332" s="12">
        <v>0</v>
      </c>
      <c r="G332" s="65"/>
      <c r="H332" s="65"/>
      <c r="I332" s="112"/>
      <c r="J332" s="65"/>
      <c r="K332" s="37"/>
      <c r="L332" s="37"/>
      <c r="M332" s="37"/>
      <c r="N332" s="37"/>
      <c r="O332" s="37"/>
      <c r="P332" s="37"/>
      <c r="Q332" s="37"/>
      <c r="R332" s="37"/>
      <c r="S332" s="37"/>
      <c r="T332" s="37"/>
      <c r="U332" s="3"/>
      <c r="W332" s="3"/>
      <c r="X332" s="3"/>
      <c r="Y332" s="3"/>
      <c r="Z332" s="3"/>
    </row>
    <row r="333" spans="1:26" ht="14.25" hidden="1" customHeight="1" outlineLevel="1" x14ac:dyDescent="0.3">
      <c r="A333" s="3"/>
      <c r="B333" s="10" t="s">
        <v>415</v>
      </c>
      <c r="C333" s="62"/>
      <c r="D333" s="62"/>
      <c r="E333" s="12">
        <v>0</v>
      </c>
      <c r="F333" s="12">
        <v>0</v>
      </c>
      <c r="G333" s="65"/>
      <c r="H333" s="65"/>
      <c r="I333" s="112"/>
      <c r="J333" s="65"/>
      <c r="K333" s="37"/>
      <c r="L333" s="37"/>
      <c r="M333" s="37"/>
      <c r="N333" s="37"/>
      <c r="O333" s="37"/>
      <c r="P333" s="37"/>
      <c r="Q333" s="37"/>
      <c r="R333" s="37"/>
      <c r="S333" s="37"/>
      <c r="T333" s="37"/>
      <c r="U333" s="3"/>
      <c r="W333" s="3"/>
      <c r="X333" s="3"/>
      <c r="Y333" s="3"/>
      <c r="Z333" s="3"/>
    </row>
    <row r="334" spans="1:26" ht="14.25" hidden="1" customHeight="1" outlineLevel="1" x14ac:dyDescent="0.3">
      <c r="A334" s="3"/>
      <c r="B334" s="10" t="s">
        <v>416</v>
      </c>
      <c r="C334" s="62"/>
      <c r="D334" s="62"/>
      <c r="E334" s="12">
        <v>0</v>
      </c>
      <c r="F334" s="12">
        <v>0</v>
      </c>
      <c r="G334" s="65"/>
      <c r="H334" s="65"/>
      <c r="I334" s="112"/>
      <c r="J334" s="65"/>
      <c r="K334" s="37"/>
      <c r="L334" s="37"/>
      <c r="M334" s="37"/>
      <c r="N334" s="37"/>
      <c r="O334" s="37"/>
      <c r="P334" s="37"/>
      <c r="Q334" s="37"/>
      <c r="R334" s="37"/>
      <c r="S334" s="37"/>
      <c r="T334" s="37"/>
      <c r="U334" s="3"/>
      <c r="W334" s="3"/>
      <c r="X334" s="3"/>
      <c r="Y334" s="3"/>
      <c r="Z334" s="3"/>
    </row>
    <row r="335" spans="1:26" ht="14.25" hidden="1" customHeight="1" outlineLevel="1" x14ac:dyDescent="0.3">
      <c r="A335" s="3"/>
      <c r="B335" s="10" t="s">
        <v>416</v>
      </c>
      <c r="C335" s="62"/>
      <c r="D335" s="62"/>
      <c r="E335" s="12">
        <v>0</v>
      </c>
      <c r="F335" s="12">
        <v>0</v>
      </c>
      <c r="G335" s="65"/>
      <c r="H335" s="65"/>
      <c r="I335" s="112"/>
      <c r="J335" s="65"/>
      <c r="K335" s="37"/>
      <c r="L335" s="37"/>
      <c r="M335" s="37"/>
      <c r="N335" s="37"/>
      <c r="O335" s="37"/>
      <c r="P335" s="37"/>
      <c r="Q335" s="37"/>
      <c r="R335" s="37"/>
      <c r="S335" s="37"/>
      <c r="T335" s="37"/>
      <c r="U335" s="3"/>
      <c r="W335" s="3"/>
      <c r="X335" s="3"/>
      <c r="Y335" s="3"/>
      <c r="Z335" s="3"/>
    </row>
    <row r="336" spans="1:26" ht="14.25" hidden="1" customHeight="1" outlineLevel="1" x14ac:dyDescent="0.3">
      <c r="A336" s="3"/>
      <c r="B336" s="10" t="s">
        <v>416</v>
      </c>
      <c r="C336" s="62"/>
      <c r="D336" s="62"/>
      <c r="E336" s="12">
        <v>0</v>
      </c>
      <c r="F336" s="12">
        <v>0</v>
      </c>
      <c r="G336" s="65"/>
      <c r="H336" s="65"/>
      <c r="I336" s="112"/>
      <c r="J336" s="65"/>
      <c r="K336" s="37"/>
      <c r="L336" s="37"/>
      <c r="M336" s="37"/>
      <c r="N336" s="37"/>
      <c r="O336" s="37"/>
      <c r="P336" s="37"/>
      <c r="Q336" s="37"/>
      <c r="R336" s="37"/>
      <c r="S336" s="37"/>
      <c r="T336" s="37"/>
      <c r="U336" s="3"/>
      <c r="W336" s="3"/>
      <c r="X336" s="3"/>
      <c r="Y336" s="3"/>
      <c r="Z336" s="3"/>
    </row>
    <row r="337" spans="1:26" ht="14.25" hidden="1" customHeight="1" outlineLevel="1" x14ac:dyDescent="0.3">
      <c r="A337" s="3"/>
      <c r="B337" s="10" t="s">
        <v>416</v>
      </c>
      <c r="C337" s="62"/>
      <c r="D337" s="62"/>
      <c r="E337" s="12">
        <v>0</v>
      </c>
      <c r="F337" s="12">
        <v>0</v>
      </c>
      <c r="G337" s="65"/>
      <c r="H337" s="65"/>
      <c r="I337" s="112"/>
      <c r="J337" s="65"/>
      <c r="K337" s="37"/>
      <c r="L337" s="37"/>
      <c r="M337" s="37"/>
      <c r="N337" s="37"/>
      <c r="O337" s="37"/>
      <c r="P337" s="37"/>
      <c r="Q337" s="37"/>
      <c r="R337" s="37"/>
      <c r="S337" s="37"/>
      <c r="T337" s="37"/>
      <c r="U337" s="3"/>
      <c r="W337" s="3"/>
      <c r="X337" s="3"/>
      <c r="Y337" s="3"/>
      <c r="Z337" s="3"/>
    </row>
    <row r="338" spans="1:26" ht="14.25" hidden="1" customHeight="1" outlineLevel="1" x14ac:dyDescent="0.3">
      <c r="A338" s="3"/>
      <c r="B338" s="10" t="s">
        <v>417</v>
      </c>
      <c r="C338" s="62"/>
      <c r="D338" s="62"/>
      <c r="E338" s="12">
        <v>0</v>
      </c>
      <c r="F338" s="12">
        <v>0</v>
      </c>
      <c r="G338" s="65"/>
      <c r="H338" s="65"/>
      <c r="I338" s="112"/>
      <c r="J338" s="65"/>
      <c r="K338" s="37"/>
      <c r="L338" s="37"/>
      <c r="M338" s="37"/>
      <c r="N338" s="37"/>
      <c r="O338" s="37"/>
      <c r="P338" s="37"/>
      <c r="Q338" s="37"/>
      <c r="R338" s="37"/>
      <c r="S338" s="37"/>
      <c r="T338" s="37"/>
      <c r="U338" s="3"/>
      <c r="W338" s="3"/>
      <c r="X338" s="3"/>
      <c r="Y338" s="3"/>
      <c r="Z338" s="3"/>
    </row>
    <row r="339" spans="1:26" ht="14.25" hidden="1" customHeight="1" outlineLevel="1" x14ac:dyDescent="0.3">
      <c r="A339" s="3"/>
      <c r="B339" s="10" t="s">
        <v>417</v>
      </c>
      <c r="C339" s="62"/>
      <c r="D339" s="62"/>
      <c r="E339" s="12">
        <v>0</v>
      </c>
      <c r="F339" s="12">
        <v>0</v>
      </c>
      <c r="G339" s="65"/>
      <c r="H339" s="65"/>
      <c r="I339" s="112"/>
      <c r="J339" s="65"/>
      <c r="K339" s="37"/>
      <c r="L339" s="37"/>
      <c r="M339" s="37"/>
      <c r="N339" s="37"/>
      <c r="O339" s="37"/>
      <c r="P339" s="37"/>
      <c r="Q339" s="37"/>
      <c r="R339" s="37"/>
      <c r="S339" s="37"/>
      <c r="T339" s="37"/>
      <c r="U339" s="3"/>
      <c r="W339" s="3"/>
      <c r="X339" s="3"/>
      <c r="Y339" s="3"/>
      <c r="Z339" s="3"/>
    </row>
    <row r="340" spans="1:26" ht="14.25" hidden="1" customHeight="1" outlineLevel="1" x14ac:dyDescent="0.3">
      <c r="A340" s="3"/>
      <c r="B340" s="10" t="s">
        <v>417</v>
      </c>
      <c r="C340" s="62"/>
      <c r="D340" s="62"/>
      <c r="E340" s="12">
        <v>0</v>
      </c>
      <c r="F340" s="12">
        <v>0</v>
      </c>
      <c r="G340" s="65"/>
      <c r="H340" s="65"/>
      <c r="I340" s="112"/>
      <c r="J340" s="65"/>
      <c r="K340" s="37"/>
      <c r="L340" s="37"/>
      <c r="M340" s="37"/>
      <c r="N340" s="37"/>
      <c r="O340" s="37"/>
      <c r="P340" s="37"/>
      <c r="Q340" s="37"/>
      <c r="R340" s="37"/>
      <c r="S340" s="37"/>
      <c r="T340" s="37"/>
      <c r="U340" s="3"/>
      <c r="W340" s="3"/>
      <c r="X340" s="3"/>
      <c r="Y340" s="3"/>
      <c r="Z340" s="3"/>
    </row>
    <row r="341" spans="1:26" ht="14.25" hidden="1" customHeight="1" outlineLevel="1" x14ac:dyDescent="0.3">
      <c r="A341" s="3"/>
      <c r="B341" s="10" t="s">
        <v>417</v>
      </c>
      <c r="C341" s="62"/>
      <c r="D341" s="62"/>
      <c r="E341" s="12">
        <v>0</v>
      </c>
      <c r="F341" s="12">
        <v>0</v>
      </c>
      <c r="G341" s="65"/>
      <c r="H341" s="65"/>
      <c r="I341" s="112"/>
      <c r="J341" s="65"/>
      <c r="K341" s="37"/>
      <c r="L341" s="37"/>
      <c r="M341" s="37"/>
      <c r="N341" s="37"/>
      <c r="O341" s="37"/>
      <c r="P341" s="37"/>
      <c r="Q341" s="37"/>
      <c r="R341" s="37"/>
      <c r="S341" s="37"/>
      <c r="T341" s="37"/>
      <c r="U341" s="3"/>
      <c r="W341" s="3"/>
      <c r="X341" s="3"/>
      <c r="Y341" s="3"/>
      <c r="Z341" s="3"/>
    </row>
    <row r="342" spans="1:26" ht="14.25" hidden="1" customHeight="1" outlineLevel="1" x14ac:dyDescent="0.3">
      <c r="A342" s="3"/>
      <c r="B342" s="10" t="s">
        <v>418</v>
      </c>
      <c r="C342" s="62"/>
      <c r="D342" s="62"/>
      <c r="E342" s="12">
        <v>0</v>
      </c>
      <c r="F342" s="12">
        <v>0</v>
      </c>
      <c r="G342" s="65"/>
      <c r="H342" s="65"/>
      <c r="I342" s="89"/>
      <c r="J342" s="65"/>
      <c r="K342" s="37"/>
      <c r="L342" s="37"/>
      <c r="M342" s="37"/>
      <c r="N342" s="37"/>
      <c r="O342" s="37"/>
      <c r="P342" s="37"/>
      <c r="Q342" s="37"/>
      <c r="R342" s="37"/>
      <c r="S342" s="37"/>
      <c r="T342" s="37"/>
      <c r="U342" s="3"/>
      <c r="W342" s="3"/>
      <c r="X342" s="3"/>
      <c r="Y342" s="3"/>
      <c r="Z342" s="3"/>
    </row>
    <row r="343" spans="1:26" ht="14.25" hidden="1" customHeight="1" outlineLevel="1" x14ac:dyDescent="0.3">
      <c r="A343" s="3"/>
      <c r="B343" s="10" t="s">
        <v>419</v>
      </c>
      <c r="C343" s="62"/>
      <c r="D343" s="62"/>
      <c r="E343" s="12">
        <v>0</v>
      </c>
      <c r="F343" s="12">
        <v>0</v>
      </c>
      <c r="G343" s="65"/>
      <c r="H343" s="65"/>
      <c r="I343" s="89"/>
      <c r="J343" s="65"/>
      <c r="K343" s="37"/>
      <c r="L343" s="37"/>
      <c r="M343" s="37"/>
      <c r="N343" s="37"/>
      <c r="O343" s="37"/>
      <c r="P343" s="37"/>
      <c r="Q343" s="37"/>
      <c r="R343" s="37"/>
      <c r="S343" s="37"/>
      <c r="T343" s="37"/>
      <c r="U343" s="3"/>
      <c r="W343" s="3"/>
      <c r="X343" s="3"/>
      <c r="Y343" s="3"/>
      <c r="Z343" s="3"/>
    </row>
    <row r="344" spans="1:26" ht="14.25" hidden="1" customHeight="1" outlineLevel="1" x14ac:dyDescent="0.3">
      <c r="A344" s="3"/>
      <c r="B344" s="10" t="s">
        <v>420</v>
      </c>
      <c r="C344" s="62"/>
      <c r="D344" s="62"/>
      <c r="E344" s="12">
        <v>0</v>
      </c>
      <c r="F344" s="12">
        <v>0</v>
      </c>
      <c r="G344" s="65"/>
      <c r="H344" s="65"/>
      <c r="I344" s="89"/>
      <c r="J344" s="65"/>
      <c r="K344" s="37"/>
      <c r="L344" s="37"/>
      <c r="M344" s="37"/>
      <c r="N344" s="37"/>
      <c r="O344" s="37"/>
      <c r="P344" s="37"/>
      <c r="Q344" s="37"/>
      <c r="R344" s="37"/>
      <c r="S344" s="37"/>
      <c r="T344" s="37"/>
      <c r="U344" s="3"/>
      <c r="W344" s="3"/>
      <c r="X344" s="3"/>
      <c r="Y344" s="3"/>
      <c r="Z344" s="3"/>
    </row>
    <row r="345" spans="1:26" ht="14.25" hidden="1" customHeight="1" outlineLevel="1" x14ac:dyDescent="0.3">
      <c r="A345" s="3"/>
      <c r="B345" s="10" t="s">
        <v>65</v>
      </c>
      <c r="C345" s="62"/>
      <c r="D345" s="62"/>
      <c r="E345" s="12">
        <v>0</v>
      </c>
      <c r="F345" s="12">
        <v>0</v>
      </c>
      <c r="G345" s="65"/>
      <c r="H345" s="65"/>
      <c r="I345" s="89"/>
      <c r="J345" s="65"/>
      <c r="K345" s="37"/>
      <c r="L345" s="37"/>
      <c r="M345" s="37"/>
      <c r="N345" s="37"/>
      <c r="O345" s="37"/>
      <c r="P345" s="37"/>
      <c r="Q345" s="37"/>
      <c r="R345" s="37"/>
      <c r="S345" s="37"/>
      <c r="T345" s="37"/>
      <c r="U345" s="3"/>
      <c r="W345" s="3"/>
      <c r="X345" s="3"/>
      <c r="Y345" s="3"/>
      <c r="Z345" s="3"/>
    </row>
    <row r="346" spans="1:26" ht="14.25" customHeight="1" collapsed="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6" ht="14.2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6" ht="14.2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6" ht="14.2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6" ht="14.2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6" ht="14.2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6" ht="14.2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4.2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4.2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4.2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4.2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4.2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4.2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4.2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4.2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4.2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4.2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4.2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4.2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4.2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4.2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4.2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4.2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4.2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4.2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4.2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4.2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4.2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4.2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4.2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4.2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4.2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4.2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4.2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4.2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4.2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4.2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4.2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4.2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4.2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4.2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4.2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4.2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4.2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4.2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4.2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4.2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4.2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4.2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4.2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4.2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4.2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4.2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4.2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4.2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4.2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4.2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4.2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4.2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4.2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4.2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4.2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4.2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4.2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4.2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4.2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4.2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4.2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4.2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4.2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4.2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4.2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4.2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4.2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4.2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4.2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4.2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4.2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4.2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4.2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4.2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4.2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4.2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4.2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4.2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4.2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4.2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4.2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4.2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4.2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4.2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4.2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4.2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4.2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4.2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4.2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4.2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4.2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4.2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4.2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4.2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4.2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4.2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4.2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4.2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4.2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4.2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4.2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4.2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4.2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4.2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4.2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4.2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4.2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4.2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4.2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4.2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4.2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4.2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4.2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4.2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4.2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4.2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4.2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4.2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4.2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4.2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4.2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4.2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4.2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4.2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4.2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4.2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4.2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4.2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4.2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4.2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4.2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4.2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4.2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4.2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4.2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4.2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4.2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4.2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4.2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4.2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4.2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4.2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4.2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4.2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4.2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4.2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4.2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4.2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4.2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4.2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4.2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4.2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4.2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4.2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4.2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4.2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4.2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4.2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4.2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4.2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4.2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4.2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4.2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4.2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4.2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4.2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4.2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4.2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4.25" customHeight="1" x14ac:dyDescent="0.3">
      <c r="A521" s="3"/>
      <c r="B521" s="3"/>
      <c r="C521" s="37"/>
      <c r="D521" s="37"/>
      <c r="E521" s="37"/>
      <c r="F521" s="37"/>
      <c r="G521" s="98"/>
      <c r="H521" s="98"/>
      <c r="I521" s="99"/>
      <c r="J521" s="98"/>
      <c r="K521" s="37"/>
      <c r="L521" s="37"/>
      <c r="M521" s="37"/>
      <c r="N521" s="37"/>
      <c r="O521" s="37"/>
      <c r="P521" s="37"/>
      <c r="Q521" s="37"/>
      <c r="R521" s="37"/>
      <c r="S521" s="37"/>
      <c r="T521" s="37"/>
      <c r="U521" s="3"/>
    </row>
    <row r="522" spans="1:21" ht="14.25" customHeight="1" x14ac:dyDescent="0.3">
      <c r="A522" s="3"/>
      <c r="B522" s="3"/>
      <c r="C522" s="37"/>
      <c r="D522" s="37"/>
      <c r="E522" s="37"/>
      <c r="F522" s="37"/>
      <c r="G522" s="98"/>
      <c r="H522" s="98"/>
      <c r="I522" s="99"/>
      <c r="J522" s="98"/>
      <c r="K522" s="37"/>
      <c r="L522" s="37"/>
      <c r="M522" s="37"/>
      <c r="N522" s="37"/>
      <c r="O522" s="37"/>
      <c r="P522" s="37"/>
      <c r="Q522" s="37"/>
      <c r="R522" s="37"/>
      <c r="S522" s="37"/>
      <c r="T522" s="37"/>
      <c r="U522" s="3"/>
    </row>
    <row r="523" spans="1:21" ht="14.25" customHeight="1" x14ac:dyDescent="0.3">
      <c r="A523" s="3"/>
      <c r="B523" s="3"/>
      <c r="C523" s="37"/>
      <c r="D523" s="37"/>
      <c r="E523" s="37"/>
      <c r="F523" s="37"/>
      <c r="G523" s="98"/>
      <c r="H523" s="98"/>
      <c r="I523" s="99"/>
      <c r="J523" s="98"/>
      <c r="K523" s="37"/>
      <c r="L523" s="37"/>
      <c r="M523" s="37"/>
      <c r="N523" s="37"/>
      <c r="O523" s="37"/>
      <c r="P523" s="37"/>
      <c r="Q523" s="37"/>
      <c r="R523" s="37"/>
      <c r="S523" s="37"/>
      <c r="T523" s="37"/>
      <c r="U523" s="3"/>
    </row>
    <row r="524" spans="1:21" ht="14.25" customHeight="1" x14ac:dyDescent="0.3">
      <c r="A524" s="3"/>
      <c r="B524" s="3"/>
      <c r="C524" s="37"/>
      <c r="D524" s="37"/>
      <c r="E524" s="37"/>
      <c r="F524" s="37"/>
      <c r="G524" s="98"/>
      <c r="H524" s="98"/>
      <c r="I524" s="99"/>
      <c r="J524" s="98"/>
      <c r="K524" s="37"/>
      <c r="L524" s="37"/>
      <c r="M524" s="37"/>
      <c r="N524" s="37"/>
      <c r="O524" s="37"/>
      <c r="P524" s="37"/>
      <c r="Q524" s="37"/>
      <c r="R524" s="37"/>
      <c r="S524" s="37"/>
      <c r="T524" s="37"/>
      <c r="U524" s="3"/>
    </row>
    <row r="525" spans="1:21" ht="14.25" customHeight="1" x14ac:dyDescent="0.3">
      <c r="A525" s="3"/>
      <c r="B525" s="3"/>
      <c r="C525" s="37"/>
      <c r="D525" s="37"/>
      <c r="E525" s="37"/>
      <c r="F525" s="37"/>
      <c r="G525" s="98"/>
      <c r="H525" s="98"/>
      <c r="I525" s="99"/>
      <c r="J525" s="98"/>
      <c r="K525" s="37"/>
      <c r="L525" s="37"/>
      <c r="M525" s="37"/>
      <c r="N525" s="37"/>
      <c r="O525" s="37"/>
      <c r="P525" s="37"/>
      <c r="Q525" s="37"/>
      <c r="R525" s="37"/>
      <c r="S525" s="37"/>
      <c r="T525" s="37"/>
      <c r="U525" s="3"/>
    </row>
    <row r="526" spans="1:21" ht="14.25" customHeight="1" x14ac:dyDescent="0.3">
      <c r="A526" s="3"/>
      <c r="B526" s="3"/>
      <c r="C526" s="37"/>
      <c r="D526" s="37"/>
      <c r="E526" s="37"/>
      <c r="F526" s="37"/>
      <c r="G526" s="98"/>
      <c r="H526" s="98"/>
      <c r="I526" s="99"/>
      <c r="J526" s="98"/>
      <c r="K526" s="37"/>
      <c r="L526" s="37"/>
      <c r="M526" s="37"/>
      <c r="N526" s="37"/>
      <c r="O526" s="37"/>
      <c r="P526" s="37"/>
      <c r="Q526" s="37"/>
      <c r="R526" s="37"/>
      <c r="S526" s="37"/>
      <c r="T526" s="37"/>
      <c r="U526" s="3"/>
    </row>
    <row r="527" spans="1:21" ht="14.25" customHeight="1" x14ac:dyDescent="0.3">
      <c r="A527" s="3"/>
      <c r="B527" s="3"/>
      <c r="C527" s="37"/>
      <c r="D527" s="37"/>
      <c r="E527" s="37"/>
      <c r="F527" s="37"/>
      <c r="G527" s="98"/>
      <c r="H527" s="98"/>
      <c r="I527" s="99"/>
      <c r="J527" s="98"/>
      <c r="K527" s="37"/>
      <c r="L527" s="37"/>
      <c r="M527" s="37"/>
      <c r="N527" s="37"/>
      <c r="O527" s="37"/>
      <c r="P527" s="37"/>
      <c r="Q527" s="37"/>
      <c r="R527" s="37"/>
      <c r="S527" s="37"/>
      <c r="T527" s="37"/>
      <c r="U527" s="3"/>
    </row>
    <row r="528" spans="1:21" ht="14.25" customHeight="1" x14ac:dyDescent="0.3">
      <c r="A528" s="3"/>
      <c r="B528" s="3"/>
      <c r="C528" s="37"/>
      <c r="D528" s="37"/>
      <c r="E528" s="37"/>
      <c r="F528" s="37"/>
      <c r="G528" s="98"/>
      <c r="H528" s="98"/>
      <c r="I528" s="99"/>
      <c r="J528" s="98"/>
      <c r="K528" s="37"/>
      <c r="L528" s="37"/>
      <c r="M528" s="37"/>
      <c r="N528" s="37"/>
      <c r="O528" s="37"/>
      <c r="P528" s="37"/>
      <c r="Q528" s="37"/>
      <c r="R528" s="37"/>
      <c r="S528" s="37"/>
      <c r="T528" s="37"/>
      <c r="U528" s="3"/>
    </row>
    <row r="529" spans="1:21" ht="14.25" customHeight="1" x14ac:dyDescent="0.3">
      <c r="A529" s="3"/>
      <c r="B529" s="3"/>
      <c r="C529" s="37"/>
      <c r="D529" s="37"/>
      <c r="E529" s="37"/>
      <c r="F529" s="37"/>
      <c r="G529" s="98"/>
      <c r="H529" s="98"/>
      <c r="I529" s="99"/>
      <c r="J529" s="98"/>
      <c r="K529" s="37"/>
      <c r="L529" s="37"/>
      <c r="M529" s="37"/>
      <c r="N529" s="37"/>
      <c r="O529" s="37"/>
      <c r="P529" s="37"/>
      <c r="Q529" s="37"/>
      <c r="R529" s="37"/>
      <c r="S529" s="37"/>
      <c r="T529" s="37"/>
      <c r="U529" s="3"/>
    </row>
    <row r="530" spans="1:21" ht="14.25" customHeight="1" x14ac:dyDescent="0.3">
      <c r="A530" s="3"/>
      <c r="B530" s="3"/>
      <c r="C530" s="37"/>
      <c r="D530" s="37"/>
      <c r="E530" s="37"/>
      <c r="F530" s="37"/>
      <c r="G530" s="98"/>
      <c r="H530" s="98"/>
      <c r="I530" s="99"/>
      <c r="J530" s="98"/>
      <c r="K530" s="37"/>
      <c r="L530" s="37"/>
      <c r="M530" s="37"/>
      <c r="N530" s="37"/>
      <c r="O530" s="37"/>
      <c r="P530" s="37"/>
      <c r="Q530" s="37"/>
      <c r="R530" s="37"/>
      <c r="S530" s="37"/>
      <c r="T530" s="37"/>
      <c r="U530" s="3"/>
    </row>
    <row r="531" spans="1:21" ht="14.25" customHeight="1" x14ac:dyDescent="0.3">
      <c r="A531" s="3"/>
      <c r="B531" s="3"/>
      <c r="C531" s="37"/>
      <c r="D531" s="37"/>
      <c r="E531" s="37"/>
      <c r="F531" s="37"/>
      <c r="G531" s="98"/>
      <c r="H531" s="98"/>
      <c r="I531" s="99"/>
      <c r="J531" s="98"/>
      <c r="K531" s="37"/>
      <c r="L531" s="37"/>
      <c r="M531" s="37"/>
      <c r="N531" s="37"/>
      <c r="O531" s="37"/>
      <c r="P531" s="37"/>
      <c r="Q531" s="37"/>
      <c r="R531" s="37"/>
      <c r="S531" s="37"/>
      <c r="T531" s="37"/>
      <c r="U531" s="3"/>
    </row>
    <row r="532" spans="1:21" ht="14.25" customHeight="1" x14ac:dyDescent="0.3">
      <c r="A532" s="3"/>
      <c r="B532" s="3"/>
      <c r="C532" s="37"/>
      <c r="D532" s="37"/>
      <c r="E532" s="37"/>
      <c r="F532" s="37"/>
      <c r="G532" s="98"/>
      <c r="H532" s="98"/>
      <c r="I532" s="99"/>
      <c r="J532" s="98"/>
      <c r="K532" s="37"/>
      <c r="L532" s="37"/>
      <c r="M532" s="37"/>
      <c r="N532" s="37"/>
      <c r="O532" s="37"/>
      <c r="P532" s="37"/>
      <c r="Q532" s="37"/>
      <c r="R532" s="37"/>
      <c r="S532" s="37"/>
      <c r="T532" s="37"/>
      <c r="U532" s="3"/>
    </row>
    <row r="533" spans="1:21" ht="14.25" customHeight="1" x14ac:dyDescent="0.3">
      <c r="A533" s="3"/>
      <c r="B533" s="3"/>
      <c r="C533" s="37"/>
      <c r="D533" s="37"/>
      <c r="E533" s="37"/>
      <c r="F533" s="37"/>
      <c r="G533" s="98"/>
      <c r="H533" s="98"/>
      <c r="I533" s="99"/>
      <c r="J533" s="98"/>
      <c r="K533" s="37"/>
      <c r="L533" s="37"/>
      <c r="M533" s="37"/>
      <c r="N533" s="37"/>
      <c r="O533" s="37"/>
      <c r="P533" s="37"/>
      <c r="Q533" s="37"/>
      <c r="R533" s="37"/>
      <c r="S533" s="37"/>
      <c r="T533" s="37"/>
      <c r="U533" s="3"/>
    </row>
    <row r="534" spans="1:21" ht="14.25" customHeight="1" x14ac:dyDescent="0.3">
      <c r="A534" s="3"/>
      <c r="B534" s="3"/>
      <c r="C534" s="37"/>
      <c r="D534" s="37"/>
      <c r="E534" s="37"/>
      <c r="F534" s="37"/>
      <c r="G534" s="98"/>
      <c r="H534" s="98"/>
      <c r="I534" s="99"/>
      <c r="J534" s="98"/>
      <c r="K534" s="37"/>
      <c r="L534" s="37"/>
      <c r="M534" s="37"/>
      <c r="N534" s="37"/>
      <c r="O534" s="37"/>
      <c r="P534" s="37"/>
      <c r="Q534" s="37"/>
      <c r="R534" s="37"/>
      <c r="S534" s="37"/>
      <c r="T534" s="37"/>
      <c r="U534" s="3"/>
    </row>
    <row r="535" spans="1:21" ht="14.25" customHeight="1" x14ac:dyDescent="0.3">
      <c r="A535" s="3"/>
      <c r="B535" s="3"/>
      <c r="C535" s="37"/>
      <c r="D535" s="37"/>
      <c r="E535" s="37"/>
      <c r="F535" s="37"/>
      <c r="G535" s="98"/>
      <c r="H535" s="98"/>
      <c r="I535" s="99"/>
      <c r="J535" s="98"/>
      <c r="K535" s="37"/>
      <c r="L535" s="37"/>
      <c r="M535" s="37"/>
      <c r="N535" s="37"/>
      <c r="O535" s="37"/>
      <c r="P535" s="37"/>
      <c r="Q535" s="37"/>
      <c r="R535" s="37"/>
      <c r="S535" s="37"/>
      <c r="T535" s="37"/>
      <c r="U535" s="3"/>
    </row>
    <row r="536" spans="1:21" ht="14.25" customHeight="1" x14ac:dyDescent="0.3">
      <c r="A536" s="3"/>
      <c r="B536" s="3"/>
      <c r="C536" s="37"/>
      <c r="D536" s="37"/>
      <c r="E536" s="37"/>
      <c r="F536" s="37"/>
      <c r="G536" s="98"/>
      <c r="H536" s="98"/>
      <c r="I536" s="99"/>
      <c r="J536" s="98"/>
      <c r="K536" s="37"/>
      <c r="L536" s="37"/>
      <c r="M536" s="37"/>
      <c r="N536" s="37"/>
      <c r="O536" s="37"/>
      <c r="P536" s="37"/>
      <c r="Q536" s="37"/>
      <c r="R536" s="37"/>
      <c r="S536" s="37"/>
      <c r="T536" s="37"/>
      <c r="U536" s="3"/>
    </row>
    <row r="537" spans="1:21" ht="14.25" customHeight="1" x14ac:dyDescent="0.3">
      <c r="A537" s="3"/>
      <c r="B537" s="3"/>
      <c r="C537" s="37"/>
      <c r="D537" s="37"/>
      <c r="E537" s="37"/>
      <c r="F537" s="37"/>
      <c r="G537" s="98"/>
      <c r="H537" s="98"/>
      <c r="I537" s="99"/>
      <c r="J537" s="98"/>
      <c r="K537" s="37"/>
      <c r="L537" s="37"/>
      <c r="M537" s="37"/>
      <c r="N537" s="37"/>
      <c r="O537" s="37"/>
      <c r="P537" s="37"/>
      <c r="Q537" s="37"/>
      <c r="R537" s="37"/>
      <c r="S537" s="37"/>
      <c r="T537" s="37"/>
      <c r="U537" s="3"/>
    </row>
    <row r="538" spans="1:21" ht="14.25" customHeight="1" x14ac:dyDescent="0.3">
      <c r="A538" s="3"/>
      <c r="B538" s="3"/>
      <c r="C538" s="37"/>
      <c r="D538" s="37"/>
      <c r="E538" s="37"/>
      <c r="F538" s="37"/>
      <c r="G538" s="98"/>
      <c r="H538" s="98"/>
      <c r="I538" s="99"/>
      <c r="J538" s="98"/>
      <c r="K538" s="37"/>
      <c r="L538" s="37"/>
      <c r="M538" s="37"/>
      <c r="N538" s="37"/>
      <c r="O538" s="37"/>
      <c r="P538" s="37"/>
      <c r="Q538" s="37"/>
      <c r="R538" s="37"/>
      <c r="S538" s="37"/>
      <c r="T538" s="37"/>
      <c r="U538" s="3"/>
    </row>
    <row r="539" spans="1:21" ht="14.25" customHeight="1" x14ac:dyDescent="0.3">
      <c r="A539" s="3"/>
      <c r="B539" s="3"/>
      <c r="C539" s="37"/>
      <c r="D539" s="37"/>
      <c r="E539" s="37"/>
      <c r="F539" s="37"/>
      <c r="G539" s="98"/>
      <c r="H539" s="98"/>
      <c r="I539" s="99"/>
      <c r="J539" s="98"/>
      <c r="K539" s="37"/>
      <c r="L539" s="37"/>
      <c r="M539" s="37"/>
      <c r="N539" s="37"/>
      <c r="O539" s="37"/>
      <c r="P539" s="37"/>
      <c r="Q539" s="37"/>
      <c r="R539" s="37"/>
      <c r="S539" s="37"/>
      <c r="T539" s="37"/>
      <c r="U539" s="3"/>
    </row>
    <row r="540" spans="1:21" ht="14.25" customHeight="1" x14ac:dyDescent="0.3">
      <c r="A540" s="3"/>
      <c r="B540" s="3"/>
      <c r="C540" s="37"/>
      <c r="D540" s="37"/>
      <c r="E540" s="37"/>
      <c r="F540" s="37"/>
      <c r="G540" s="98"/>
      <c r="H540" s="98"/>
      <c r="I540" s="99"/>
      <c r="J540" s="98"/>
      <c r="K540" s="37"/>
      <c r="L540" s="37"/>
      <c r="M540" s="37"/>
      <c r="N540" s="37"/>
      <c r="O540" s="37"/>
      <c r="P540" s="37"/>
      <c r="Q540" s="37"/>
      <c r="R540" s="37"/>
      <c r="S540" s="37"/>
      <c r="T540" s="37"/>
      <c r="U540" s="3"/>
    </row>
    <row r="541" spans="1:21" ht="14.25" customHeight="1" x14ac:dyDescent="0.3">
      <c r="A541" s="3"/>
      <c r="B541" s="3"/>
      <c r="C541" s="37"/>
      <c r="D541" s="37"/>
      <c r="E541" s="37"/>
      <c r="F541" s="37"/>
      <c r="G541" s="98"/>
      <c r="H541" s="98"/>
      <c r="I541" s="99"/>
      <c r="J541" s="98"/>
      <c r="K541" s="37"/>
      <c r="L541" s="37"/>
      <c r="M541" s="37"/>
      <c r="N541" s="37"/>
      <c r="O541" s="37"/>
      <c r="P541" s="37"/>
      <c r="Q541" s="37"/>
      <c r="R541" s="37"/>
      <c r="S541" s="37"/>
      <c r="T541" s="37"/>
      <c r="U541" s="3"/>
    </row>
    <row r="542" spans="1:21" ht="14.25" customHeight="1" x14ac:dyDescent="0.3">
      <c r="A542" s="3"/>
      <c r="B542" s="3"/>
      <c r="C542" s="37"/>
      <c r="D542" s="37"/>
      <c r="E542" s="37"/>
      <c r="F542" s="37"/>
      <c r="G542" s="98"/>
      <c r="H542" s="98"/>
      <c r="I542" s="99"/>
      <c r="J542" s="98"/>
      <c r="K542" s="37"/>
      <c r="L542" s="37"/>
      <c r="M542" s="37"/>
      <c r="N542" s="37"/>
      <c r="O542" s="37"/>
      <c r="P542" s="37"/>
      <c r="Q542" s="37"/>
      <c r="R542" s="37"/>
      <c r="S542" s="37"/>
      <c r="T542" s="37"/>
      <c r="U542" s="3"/>
    </row>
    <row r="543" spans="1:21" ht="14.25" customHeight="1" x14ac:dyDescent="0.3">
      <c r="A543" s="3"/>
      <c r="B543" s="3"/>
      <c r="C543" s="37"/>
      <c r="D543" s="37"/>
      <c r="E543" s="37"/>
      <c r="F543" s="37"/>
      <c r="G543" s="98"/>
      <c r="H543" s="98"/>
      <c r="I543" s="99"/>
      <c r="J543" s="98"/>
      <c r="K543" s="37"/>
      <c r="L543" s="37"/>
      <c r="M543" s="37"/>
      <c r="N543" s="37"/>
      <c r="O543" s="37"/>
      <c r="P543" s="37"/>
      <c r="Q543" s="37"/>
      <c r="R543" s="37"/>
      <c r="S543" s="37"/>
      <c r="T543" s="37"/>
      <c r="U543" s="3"/>
    </row>
    <row r="544" spans="1:21" ht="14.25" customHeight="1" x14ac:dyDescent="0.3">
      <c r="A544" s="3"/>
      <c r="B544" s="3"/>
      <c r="C544" s="37"/>
      <c r="D544" s="37"/>
      <c r="E544" s="37"/>
      <c r="F544" s="37"/>
      <c r="G544" s="98"/>
      <c r="H544" s="98"/>
      <c r="I544" s="99"/>
      <c r="J544" s="98"/>
      <c r="K544" s="37"/>
      <c r="L544" s="37"/>
      <c r="M544" s="37"/>
      <c r="N544" s="37"/>
      <c r="O544" s="37"/>
      <c r="P544" s="37"/>
      <c r="Q544" s="37"/>
      <c r="R544" s="37"/>
      <c r="S544" s="37"/>
      <c r="T544" s="37"/>
      <c r="U544" s="3"/>
    </row>
    <row r="545" spans="1:21" ht="14.25" customHeight="1" x14ac:dyDescent="0.3">
      <c r="A545" s="3"/>
      <c r="B545" s="3"/>
      <c r="C545" s="37"/>
      <c r="D545" s="37"/>
      <c r="E545" s="37"/>
      <c r="F545" s="37"/>
      <c r="G545" s="98"/>
      <c r="H545" s="98"/>
      <c r="I545" s="99"/>
      <c r="J545" s="98"/>
      <c r="K545" s="37"/>
      <c r="L545" s="37"/>
      <c r="M545" s="37"/>
      <c r="N545" s="37"/>
      <c r="O545" s="37"/>
      <c r="P545" s="37"/>
      <c r="Q545" s="37"/>
      <c r="R545" s="37"/>
      <c r="S545" s="37"/>
      <c r="T545" s="37"/>
      <c r="U545" s="3"/>
    </row>
    <row r="546" spans="1:21" ht="15.75" customHeight="1" x14ac:dyDescent="0.3"/>
    <row r="547" spans="1:21" ht="15.75" customHeight="1" x14ac:dyDescent="0.3"/>
    <row r="548" spans="1:21" ht="15.75" customHeight="1" x14ac:dyDescent="0.3"/>
    <row r="549" spans="1:21" ht="15.75" customHeight="1" x14ac:dyDescent="0.3"/>
    <row r="550" spans="1:21" ht="15.75" customHeight="1" x14ac:dyDescent="0.3"/>
    <row r="551" spans="1:21" ht="15.75" customHeight="1" x14ac:dyDescent="0.3"/>
    <row r="552" spans="1:21" ht="15.75" customHeight="1" x14ac:dyDescent="0.3"/>
    <row r="553" spans="1:21" ht="15.7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345" xr:uid="{00000000-0009-0000-0000-000017000000}"/>
  <mergeCells count="10">
    <mergeCell ref="J4:J5"/>
    <mergeCell ref="I17:I20"/>
    <mergeCell ref="G17:G20"/>
    <mergeCell ref="G21:G27"/>
    <mergeCell ref="I21:I27"/>
    <mergeCell ref="B2:B3"/>
    <mergeCell ref="C2:F3"/>
    <mergeCell ref="B4:B5"/>
    <mergeCell ref="H4:H5"/>
    <mergeCell ref="I4:I5"/>
  </mergeCells>
  <dataValidations count="1">
    <dataValidation type="list" allowBlank="1" showErrorMessage="1" sqref="D7:D36 D38:D61 D63:D140 D142:D150 D153:D157 D159:D163 D165:D169 D171:D175 D177:D181 D183:D260 D263:D271 D273:D281 D283:D291 D293:D313 D315:D323 D325:D345" xr:uid="{00000000-0002-0000-1700-000001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700-000000000000}">
          <x14:formula1>
            <xm:f>Caixa!$B$5:$B$8</xm:f>
          </x14:formula1>
          <xm:sqref>H7:H15 H17:H32 H34:H36 H38:H61 H63:H88 H91:H105 H107:H110 H112:H114 H117:H121 H123:H140 H142:H150 H153:H157 H159:H163 H165:H169 H171:H175 H177:H181 H183:H210 H212:H220 H222:H230 H232:H240 H242:H250 H252:H260 H263:H271 H273:H281 H283:H291 H293:H313 H315:H323 H325:H345</xm:sqref>
        </x14:dataValidation>
        <x14:dataValidation type="list" allowBlank="1" showErrorMessage="1" xr:uid="{00000000-0002-0000-1700-000002000000}">
          <x14:formula1>
            <xm:f>'Plano de contas DG'!$C$43:$C$145</xm:f>
          </x14:formula1>
          <xm:sqref>J243</xm:sqref>
        </x14:dataValidation>
        <x14:dataValidation type="list" allowBlank="1" showErrorMessage="1" xr:uid="{00000000-0002-0000-1700-000003000000}">
          <x14:formula1>
            <xm:f>'Plano de contas DG'!$C$5:$C$145</xm:f>
          </x14:formula1>
          <xm:sqref>J6:J242 J244:J345</xm:sqref>
        </x14:dataValidation>
        <x14:dataValidation type="list" allowBlank="1" showErrorMessage="1" xr:uid="{00000000-0002-0000-1700-000004000000}">
          <x14:formula1>
            <xm:f>Caixa!$B$5:$B$7</xm:f>
          </x14:formula1>
          <xm:sqref>H16 H33 H89:H90 H106 H111 H115:H116 H122 H211 H221 H231 H241 H251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SUM(E6,E126,E154,E184,E188)</f>
        <v>0</v>
      </c>
      <c r="F4" s="26">
        <f t="shared" si="0"/>
        <v>0</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SUM(E7:E125)</f>
        <v>0</v>
      </c>
      <c r="F6" s="57">
        <f>SUMIF(D7:D125,"OK",F7:F125)+SUMIF(D7:D125,"Parcial",F7:F125)</f>
        <v>0</v>
      </c>
      <c r="G6" s="118" t="s">
        <v>43</v>
      </c>
      <c r="H6" s="59"/>
      <c r="I6" s="59"/>
      <c r="J6" s="60">
        <f>(COUNTIF(D7:D125,"Pendente")+COUNTIF(D7:D125,"Parcial"))/COUNTA(B7:B125)</f>
        <v>0</v>
      </c>
      <c r="K6" s="60" t="str">
        <f>IFERROR(-(X6/E6),"Pendente info")</f>
        <v>Pendente info</v>
      </c>
      <c r="L6" s="100">
        <f>SUM(L7:L104)/COUNTA(B7:B104)</f>
        <v>0</v>
      </c>
      <c r="M6" s="57">
        <f t="shared" ref="M6:U6" si="1">SUMIF($D$7:$D$125,"OK",M7:M125)+SUMIF($D$7:$D$125,"Parcial",M7:M125)</f>
        <v>0</v>
      </c>
      <c r="N6" s="57">
        <f t="shared" si="1"/>
        <v>0</v>
      </c>
      <c r="O6" s="57">
        <f t="shared" si="1"/>
        <v>0</v>
      </c>
      <c r="P6" s="57">
        <f t="shared" si="1"/>
        <v>0</v>
      </c>
      <c r="Q6" s="57">
        <f t="shared" si="1"/>
        <v>0</v>
      </c>
      <c r="R6" s="57">
        <f t="shared" si="1"/>
        <v>0</v>
      </c>
      <c r="S6" s="57">
        <f t="shared" si="1"/>
        <v>0</v>
      </c>
      <c r="T6" s="57">
        <f t="shared" si="1"/>
        <v>0</v>
      </c>
      <c r="U6" s="57">
        <f t="shared" si="1"/>
        <v>0</v>
      </c>
      <c r="V6" s="56" t="s">
        <v>43</v>
      </c>
      <c r="W6" s="44" t="str">
        <f t="shared" ref="W6:W125" si="2">IF(F6=SUM(M6:U6),"OK","Diferente")</f>
        <v>OK</v>
      </c>
      <c r="X6" s="47">
        <f>SUM(X7:X125)</f>
        <v>0</v>
      </c>
      <c r="Y6" s="18">
        <f>SUM(M6:U6)-F6</f>
        <v>0</v>
      </c>
      <c r="Z6" s="3"/>
    </row>
    <row r="7" spans="1:26" ht="14.4" hidden="1" outlineLevel="1" x14ac:dyDescent="0.3">
      <c r="A7" s="3"/>
      <c r="B7" s="150" t="s">
        <v>422</v>
      </c>
      <c r="C7" s="62"/>
      <c r="D7" s="62"/>
      <c r="E7" s="12"/>
      <c r="F7" s="101"/>
      <c r="G7" s="250"/>
      <c r="H7" s="103"/>
      <c r="I7" s="63"/>
      <c r="J7" s="64"/>
      <c r="K7" s="62"/>
      <c r="L7" s="62" t="str">
        <f t="shared" ref="L7:L125" si="3">IF(C7&gt;=13,1,"")</f>
        <v/>
      </c>
      <c r="M7" s="12"/>
      <c r="N7" s="12"/>
      <c r="O7" s="12"/>
      <c r="P7" s="12"/>
      <c r="Q7" s="12"/>
      <c r="R7" s="12"/>
      <c r="S7" s="12"/>
      <c r="T7" s="12"/>
      <c r="U7" s="12"/>
      <c r="V7" s="65"/>
      <c r="W7" s="44" t="str">
        <f t="shared" si="2"/>
        <v>OK</v>
      </c>
      <c r="X7" s="47" t="str">
        <f t="shared" ref="X7:X125" si="4">IF(W7="Diferente",F7-SUM(M7:U7),"")</f>
        <v/>
      </c>
      <c r="Y7" s="3"/>
      <c r="Z7" s="127"/>
    </row>
    <row r="8" spans="1:26" ht="14.4" hidden="1" outlineLevel="1" x14ac:dyDescent="0.3">
      <c r="A8" s="3"/>
      <c r="B8" s="150" t="s">
        <v>424</v>
      </c>
      <c r="C8" s="62"/>
      <c r="D8" s="62"/>
      <c r="E8" s="12"/>
      <c r="F8" s="101"/>
      <c r="G8" s="251"/>
      <c r="H8" s="103"/>
      <c r="I8" s="63"/>
      <c r="J8" s="64"/>
      <c r="K8" s="62"/>
      <c r="L8" s="62" t="str">
        <f t="shared" si="3"/>
        <v/>
      </c>
      <c r="M8" s="12"/>
      <c r="N8" s="12"/>
      <c r="O8" s="12"/>
      <c r="P8" s="12"/>
      <c r="Q8" s="12"/>
      <c r="R8" s="12"/>
      <c r="S8" s="12"/>
      <c r="T8" s="12"/>
      <c r="U8" s="12"/>
      <c r="V8" s="65"/>
      <c r="W8" s="44" t="str">
        <f t="shared" si="2"/>
        <v>OK</v>
      </c>
      <c r="X8" s="47" t="str">
        <f t="shared" si="4"/>
        <v/>
      </c>
      <c r="Y8" s="3"/>
      <c r="Z8" s="127"/>
    </row>
    <row r="9" spans="1:26" ht="14.4" hidden="1" outlineLevel="1" x14ac:dyDescent="0.3">
      <c r="A9" s="3"/>
      <c r="B9" s="150" t="s">
        <v>425</v>
      </c>
      <c r="C9" s="62"/>
      <c r="D9" s="62"/>
      <c r="E9" s="12"/>
      <c r="F9" s="101"/>
      <c r="G9" s="251"/>
      <c r="H9" s="103"/>
      <c r="I9" s="63"/>
      <c r="J9" s="64"/>
      <c r="K9" s="62"/>
      <c r="L9" s="62" t="str">
        <f t="shared" si="3"/>
        <v/>
      </c>
      <c r="M9" s="12"/>
      <c r="N9" s="12"/>
      <c r="O9" s="12"/>
      <c r="P9" s="12"/>
      <c r="Q9" s="12"/>
      <c r="R9" s="12"/>
      <c r="S9" s="12"/>
      <c r="T9" s="12"/>
      <c r="U9" s="12"/>
      <c r="V9" s="65"/>
      <c r="W9" s="44" t="str">
        <f t="shared" si="2"/>
        <v>OK</v>
      </c>
      <c r="X9" s="47" t="str">
        <f t="shared" si="4"/>
        <v/>
      </c>
      <c r="Y9" s="3"/>
      <c r="Z9" s="127"/>
    </row>
    <row r="10" spans="1:26" ht="14.4" hidden="1" outlineLevel="1" x14ac:dyDescent="0.3">
      <c r="A10" s="3"/>
      <c r="B10" s="150" t="s">
        <v>426</v>
      </c>
      <c r="C10" s="62"/>
      <c r="D10" s="62"/>
      <c r="E10" s="12"/>
      <c r="F10" s="101"/>
      <c r="G10" s="252"/>
      <c r="H10" s="103"/>
      <c r="I10" s="63"/>
      <c r="J10" s="64"/>
      <c r="K10" s="62"/>
      <c r="L10" s="62" t="str">
        <f t="shared" si="3"/>
        <v/>
      </c>
      <c r="M10" s="12"/>
      <c r="N10" s="12"/>
      <c r="O10" s="12"/>
      <c r="P10" s="12"/>
      <c r="Q10" s="12"/>
      <c r="R10" s="12"/>
      <c r="S10" s="12"/>
      <c r="T10" s="12"/>
      <c r="U10" s="12"/>
      <c r="V10" s="65"/>
      <c r="W10" s="44" t="str">
        <f t="shared" si="2"/>
        <v>OK</v>
      </c>
      <c r="X10" s="47" t="str">
        <f t="shared" si="4"/>
        <v/>
      </c>
      <c r="Y10" s="3"/>
      <c r="Z10" s="127"/>
    </row>
    <row r="11" spans="1:26" ht="14.4" hidden="1" outlineLevel="1" x14ac:dyDescent="0.3">
      <c r="A11" s="3"/>
      <c r="B11" s="109" t="s">
        <v>427</v>
      </c>
      <c r="C11" s="62"/>
      <c r="D11" s="62"/>
      <c r="E11" s="12"/>
      <c r="F11" s="101"/>
      <c r="G11" s="250"/>
      <c r="H11" s="103"/>
      <c r="I11" s="63"/>
      <c r="J11" s="64"/>
      <c r="K11" s="62"/>
      <c r="L11" s="62" t="str">
        <f t="shared" si="3"/>
        <v/>
      </c>
      <c r="M11" s="12"/>
      <c r="N11" s="12"/>
      <c r="O11" s="12"/>
      <c r="P11" s="12"/>
      <c r="Q11" s="12"/>
      <c r="R11" s="12"/>
      <c r="S11" s="12"/>
      <c r="T11" s="12"/>
      <c r="U11" s="12"/>
      <c r="V11" s="65"/>
      <c r="W11" s="44" t="str">
        <f t="shared" si="2"/>
        <v>OK</v>
      </c>
      <c r="X11" s="47" t="str">
        <f t="shared" si="4"/>
        <v/>
      </c>
      <c r="Y11" s="3"/>
      <c r="Z11" s="127"/>
    </row>
    <row r="12" spans="1:26" ht="14.4" hidden="1" outlineLevel="1" x14ac:dyDescent="0.3">
      <c r="A12" s="3"/>
      <c r="B12" s="109" t="s">
        <v>428</v>
      </c>
      <c r="C12" s="62"/>
      <c r="D12" s="62"/>
      <c r="E12" s="12"/>
      <c r="F12" s="101"/>
      <c r="G12" s="252"/>
      <c r="H12" s="103"/>
      <c r="I12" s="63"/>
      <c r="J12" s="64"/>
      <c r="K12" s="62"/>
      <c r="L12" s="62" t="str">
        <f t="shared" si="3"/>
        <v/>
      </c>
      <c r="M12" s="12"/>
      <c r="N12" s="12"/>
      <c r="O12" s="12"/>
      <c r="P12" s="12"/>
      <c r="Q12" s="12"/>
      <c r="R12" s="12"/>
      <c r="S12" s="12"/>
      <c r="T12" s="12"/>
      <c r="U12" s="12"/>
      <c r="V12" s="65"/>
      <c r="W12" s="44" t="str">
        <f t="shared" si="2"/>
        <v>OK</v>
      </c>
      <c r="X12" s="47" t="str">
        <f t="shared" si="4"/>
        <v/>
      </c>
      <c r="Y12" s="3"/>
      <c r="Z12" s="127"/>
    </row>
    <row r="13" spans="1:26" ht="14.4" hidden="1" outlineLevel="1" x14ac:dyDescent="0.3">
      <c r="A13" s="3"/>
      <c r="B13" s="150" t="s">
        <v>429</v>
      </c>
      <c r="C13" s="62"/>
      <c r="D13" s="62"/>
      <c r="E13" s="12"/>
      <c r="F13" s="101"/>
      <c r="G13" s="253"/>
      <c r="H13" s="103"/>
      <c r="I13" s="63"/>
      <c r="J13" s="64"/>
      <c r="K13" s="62"/>
      <c r="L13" s="62" t="str">
        <f t="shared" si="3"/>
        <v/>
      </c>
      <c r="M13" s="12"/>
      <c r="N13" s="12"/>
      <c r="O13" s="12"/>
      <c r="P13" s="12"/>
      <c r="Q13" s="12"/>
      <c r="R13" s="12"/>
      <c r="S13" s="12"/>
      <c r="T13" s="12"/>
      <c r="U13" s="12"/>
      <c r="V13" s="65"/>
      <c r="W13" s="44" t="str">
        <f t="shared" si="2"/>
        <v>OK</v>
      </c>
      <c r="X13" s="47" t="str">
        <f t="shared" si="4"/>
        <v/>
      </c>
      <c r="Y13" s="3"/>
      <c r="Z13" s="127"/>
    </row>
    <row r="14" spans="1:26" ht="14.4" hidden="1" outlineLevel="1" x14ac:dyDescent="0.3">
      <c r="A14" s="3"/>
      <c r="B14" s="150" t="s">
        <v>431</v>
      </c>
      <c r="C14" s="62"/>
      <c r="D14" s="62"/>
      <c r="E14" s="12"/>
      <c r="F14" s="101"/>
      <c r="G14" s="252"/>
      <c r="H14" s="103"/>
      <c r="I14" s="63"/>
      <c r="J14" s="64"/>
      <c r="K14" s="62"/>
      <c r="L14" s="62" t="str">
        <f t="shared" si="3"/>
        <v/>
      </c>
      <c r="M14" s="12"/>
      <c r="N14" s="12"/>
      <c r="O14" s="12"/>
      <c r="P14" s="12"/>
      <c r="Q14" s="12"/>
      <c r="R14" s="12"/>
      <c r="S14" s="12"/>
      <c r="T14" s="12"/>
      <c r="U14" s="12"/>
      <c r="V14" s="65"/>
      <c r="W14" s="44" t="str">
        <f t="shared" si="2"/>
        <v>OK</v>
      </c>
      <c r="X14" s="47" t="str">
        <f t="shared" si="4"/>
        <v/>
      </c>
      <c r="Y14" s="3"/>
      <c r="Z14" s="127"/>
    </row>
    <row r="15" spans="1:26" ht="18" hidden="1" customHeight="1" outlineLevel="1" x14ac:dyDescent="0.3">
      <c r="A15" s="3"/>
      <c r="B15" s="109" t="s">
        <v>432</v>
      </c>
      <c r="C15" s="62"/>
      <c r="D15" s="62"/>
      <c r="E15" s="12"/>
      <c r="F15" s="101"/>
      <c r="G15" s="253"/>
      <c r="H15" s="103"/>
      <c r="I15" s="63"/>
      <c r="J15" s="64"/>
      <c r="K15" s="62"/>
      <c r="L15" s="62" t="str">
        <f t="shared" si="3"/>
        <v/>
      </c>
      <c r="M15" s="12"/>
      <c r="N15" s="12"/>
      <c r="O15" s="12"/>
      <c r="P15" s="12"/>
      <c r="Q15" s="12"/>
      <c r="R15" s="12"/>
      <c r="S15" s="12"/>
      <c r="T15" s="12"/>
      <c r="U15" s="12"/>
      <c r="V15" s="65"/>
      <c r="W15" s="44" t="str">
        <f t="shared" si="2"/>
        <v>OK</v>
      </c>
      <c r="X15" s="47" t="str">
        <f t="shared" si="4"/>
        <v/>
      </c>
      <c r="Y15" s="3"/>
      <c r="Z15" s="127"/>
    </row>
    <row r="16" spans="1:26" ht="18" hidden="1" customHeight="1" outlineLevel="1" x14ac:dyDescent="0.3">
      <c r="A16" s="3"/>
      <c r="B16" s="109" t="s">
        <v>433</v>
      </c>
      <c r="C16" s="62"/>
      <c r="D16" s="62"/>
      <c r="E16" s="12"/>
      <c r="F16" s="101"/>
      <c r="G16" s="252"/>
      <c r="H16" s="103"/>
      <c r="I16" s="63"/>
      <c r="J16" s="64"/>
      <c r="K16" s="62"/>
      <c r="L16" s="62" t="str">
        <f t="shared" si="3"/>
        <v/>
      </c>
      <c r="M16" s="12"/>
      <c r="N16" s="12"/>
      <c r="O16" s="12"/>
      <c r="P16" s="12"/>
      <c r="Q16" s="12"/>
      <c r="R16" s="12"/>
      <c r="S16" s="12"/>
      <c r="T16" s="12"/>
      <c r="U16" s="12"/>
      <c r="V16" s="65"/>
      <c r="W16" s="44" t="str">
        <f t="shared" si="2"/>
        <v>OK</v>
      </c>
      <c r="X16" s="47" t="str">
        <f t="shared" si="4"/>
        <v/>
      </c>
      <c r="Y16" s="3"/>
      <c r="Z16" s="127"/>
    </row>
    <row r="17" spans="1:26" ht="14.4" hidden="1" outlineLevel="1" x14ac:dyDescent="0.3">
      <c r="A17" s="3"/>
      <c r="B17" s="150" t="s">
        <v>434</v>
      </c>
      <c r="C17" s="62"/>
      <c r="D17" s="62"/>
      <c r="E17" s="12"/>
      <c r="F17" s="101"/>
      <c r="G17" s="250"/>
      <c r="H17" s="103"/>
      <c r="I17" s="63"/>
      <c r="J17" s="64"/>
      <c r="K17" s="62"/>
      <c r="L17" s="62" t="str">
        <f t="shared" si="3"/>
        <v/>
      </c>
      <c r="M17" s="12"/>
      <c r="N17" s="12"/>
      <c r="O17" s="12"/>
      <c r="P17" s="12"/>
      <c r="Q17" s="12"/>
      <c r="R17" s="12"/>
      <c r="S17" s="12"/>
      <c r="T17" s="12"/>
      <c r="U17" s="12"/>
      <c r="V17" s="65"/>
      <c r="W17" s="44" t="str">
        <f t="shared" si="2"/>
        <v>OK</v>
      </c>
      <c r="X17" s="47" t="str">
        <f t="shared" si="4"/>
        <v/>
      </c>
      <c r="Y17" s="3"/>
      <c r="Z17" s="127"/>
    </row>
    <row r="18" spans="1:26" ht="14.4" hidden="1" outlineLevel="1" x14ac:dyDescent="0.3">
      <c r="A18" s="3"/>
      <c r="B18" s="150" t="s">
        <v>435</v>
      </c>
      <c r="C18" s="62"/>
      <c r="D18" s="62"/>
      <c r="E18" s="12"/>
      <c r="F18" s="101"/>
      <c r="G18" s="252"/>
      <c r="H18" s="103"/>
      <c r="I18" s="63"/>
      <c r="J18" s="64"/>
      <c r="K18" s="62"/>
      <c r="L18" s="62" t="str">
        <f t="shared" si="3"/>
        <v/>
      </c>
      <c r="M18" s="12"/>
      <c r="N18" s="12"/>
      <c r="O18" s="12"/>
      <c r="P18" s="12"/>
      <c r="Q18" s="12"/>
      <c r="R18" s="12"/>
      <c r="S18" s="12"/>
      <c r="T18" s="12"/>
      <c r="U18" s="12"/>
      <c r="V18" s="65"/>
      <c r="W18" s="44" t="str">
        <f t="shared" si="2"/>
        <v>OK</v>
      </c>
      <c r="X18" s="47" t="str">
        <f t="shared" si="4"/>
        <v/>
      </c>
      <c r="Y18" s="3"/>
      <c r="Z18" s="127"/>
    </row>
    <row r="19" spans="1:26" ht="14.4" hidden="1" outlineLevel="1" x14ac:dyDescent="0.3">
      <c r="A19" s="3"/>
      <c r="B19" s="109" t="s">
        <v>436</v>
      </c>
      <c r="C19" s="62"/>
      <c r="D19" s="62"/>
      <c r="E19" s="12"/>
      <c r="F19" s="101"/>
      <c r="G19" s="250"/>
      <c r="H19" s="103"/>
      <c r="I19" s="63"/>
      <c r="J19" s="64"/>
      <c r="K19" s="62"/>
      <c r="L19" s="62" t="str">
        <f t="shared" si="3"/>
        <v/>
      </c>
      <c r="M19" s="12"/>
      <c r="N19" s="12"/>
      <c r="O19" s="12"/>
      <c r="P19" s="12"/>
      <c r="Q19" s="12"/>
      <c r="R19" s="12"/>
      <c r="S19" s="12"/>
      <c r="T19" s="12"/>
      <c r="U19" s="12"/>
      <c r="V19" s="65"/>
      <c r="W19" s="44" t="str">
        <f t="shared" si="2"/>
        <v>OK</v>
      </c>
      <c r="X19" s="47" t="str">
        <f t="shared" si="4"/>
        <v/>
      </c>
      <c r="Y19" s="3"/>
      <c r="Z19" s="127"/>
    </row>
    <row r="20" spans="1:26" ht="14.4" hidden="1" outlineLevel="1" x14ac:dyDescent="0.3">
      <c r="A20" s="3"/>
      <c r="B20" s="109" t="s">
        <v>437</v>
      </c>
      <c r="C20" s="62"/>
      <c r="D20" s="62"/>
      <c r="E20" s="12"/>
      <c r="F20" s="101"/>
      <c r="G20" s="252"/>
      <c r="H20" s="103"/>
      <c r="I20" s="63"/>
      <c r="J20" s="64"/>
      <c r="K20" s="62"/>
      <c r="L20" s="62" t="str">
        <f t="shared" si="3"/>
        <v/>
      </c>
      <c r="M20" s="12"/>
      <c r="N20" s="12"/>
      <c r="O20" s="12"/>
      <c r="P20" s="12"/>
      <c r="Q20" s="12"/>
      <c r="R20" s="12"/>
      <c r="S20" s="12"/>
      <c r="T20" s="12"/>
      <c r="U20" s="12"/>
      <c r="V20" s="65"/>
      <c r="W20" s="44" t="str">
        <f t="shared" si="2"/>
        <v>OK</v>
      </c>
      <c r="X20" s="47" t="str">
        <f t="shared" si="4"/>
        <v/>
      </c>
      <c r="Y20" s="3"/>
      <c r="Z20" s="127"/>
    </row>
    <row r="21" spans="1:26" ht="15.75" hidden="1" customHeight="1" outlineLevel="1" x14ac:dyDescent="0.3">
      <c r="A21" s="3"/>
      <c r="B21" s="150" t="s">
        <v>438</v>
      </c>
      <c r="C21" s="62"/>
      <c r="D21" s="62"/>
      <c r="E21" s="12"/>
      <c r="F21" s="101"/>
      <c r="G21" s="253"/>
      <c r="H21" s="103"/>
      <c r="I21" s="63"/>
      <c r="J21" s="64"/>
      <c r="K21" s="62"/>
      <c r="L21" s="62" t="str">
        <f t="shared" si="3"/>
        <v/>
      </c>
      <c r="M21" s="12"/>
      <c r="N21" s="12"/>
      <c r="O21" s="12"/>
      <c r="P21" s="12"/>
      <c r="Q21" s="12"/>
      <c r="R21" s="12"/>
      <c r="S21" s="12"/>
      <c r="T21" s="12"/>
      <c r="U21" s="12"/>
      <c r="V21" s="65"/>
      <c r="W21" s="44" t="str">
        <f t="shared" si="2"/>
        <v>OK</v>
      </c>
      <c r="X21" s="47" t="str">
        <f t="shared" si="4"/>
        <v/>
      </c>
      <c r="Y21" s="3"/>
      <c r="Z21" s="127"/>
    </row>
    <row r="22" spans="1:26" ht="15.75" hidden="1" customHeight="1" outlineLevel="1" x14ac:dyDescent="0.3">
      <c r="A22" s="3"/>
      <c r="B22" s="150" t="s">
        <v>439</v>
      </c>
      <c r="C22" s="62"/>
      <c r="D22" s="62"/>
      <c r="E22" s="12"/>
      <c r="F22" s="101"/>
      <c r="G22" s="252"/>
      <c r="H22" s="103"/>
      <c r="I22" s="63"/>
      <c r="J22" s="64"/>
      <c r="K22" s="62"/>
      <c r="L22" s="62" t="str">
        <f t="shared" si="3"/>
        <v/>
      </c>
      <c r="M22" s="12"/>
      <c r="N22" s="12"/>
      <c r="O22" s="12"/>
      <c r="P22" s="12"/>
      <c r="Q22" s="12"/>
      <c r="R22" s="12"/>
      <c r="S22" s="12"/>
      <c r="T22" s="12"/>
      <c r="U22" s="12"/>
      <c r="V22" s="65"/>
      <c r="W22" s="44" t="str">
        <f t="shared" si="2"/>
        <v>OK</v>
      </c>
      <c r="X22" s="47" t="str">
        <f t="shared" si="4"/>
        <v/>
      </c>
      <c r="Y22" s="3"/>
      <c r="Z22" s="127"/>
    </row>
    <row r="23" spans="1:26" ht="15.75" hidden="1" customHeight="1" outlineLevel="1" x14ac:dyDescent="0.3">
      <c r="A23" s="3"/>
      <c r="B23" s="109" t="s">
        <v>440</v>
      </c>
      <c r="C23" s="62"/>
      <c r="D23" s="62"/>
      <c r="E23" s="12"/>
      <c r="F23" s="101"/>
      <c r="G23" s="253"/>
      <c r="H23" s="103"/>
      <c r="I23" s="63"/>
      <c r="J23" s="64"/>
      <c r="K23" s="12"/>
      <c r="L23" s="62" t="str">
        <f t="shared" si="3"/>
        <v/>
      </c>
      <c r="M23" s="12"/>
      <c r="N23" s="12"/>
      <c r="O23" s="12"/>
      <c r="P23" s="12"/>
      <c r="Q23" s="12"/>
      <c r="R23" s="12"/>
      <c r="S23" s="12"/>
      <c r="T23" s="12"/>
      <c r="U23" s="12"/>
      <c r="V23" s="65"/>
      <c r="W23" s="44" t="str">
        <f t="shared" si="2"/>
        <v>OK</v>
      </c>
      <c r="X23" s="47" t="str">
        <f t="shared" si="4"/>
        <v/>
      </c>
      <c r="Y23" s="3"/>
      <c r="Z23" s="127"/>
    </row>
    <row r="24" spans="1:26" ht="15.75" hidden="1" customHeight="1" outlineLevel="1" x14ac:dyDescent="0.3">
      <c r="A24" s="3"/>
      <c r="B24" s="109" t="s">
        <v>441</v>
      </c>
      <c r="C24" s="62"/>
      <c r="D24" s="62"/>
      <c r="E24" s="12"/>
      <c r="F24" s="101"/>
      <c r="G24" s="252"/>
      <c r="H24" s="103"/>
      <c r="I24" s="63"/>
      <c r="J24" s="64"/>
      <c r="K24" s="12"/>
      <c r="L24" s="62" t="str">
        <f t="shared" si="3"/>
        <v/>
      </c>
      <c r="M24" s="12"/>
      <c r="N24" s="12"/>
      <c r="O24" s="12"/>
      <c r="P24" s="12"/>
      <c r="Q24" s="12"/>
      <c r="R24" s="12"/>
      <c r="S24" s="12"/>
      <c r="T24" s="12"/>
      <c r="U24" s="12"/>
      <c r="V24" s="65"/>
      <c r="W24" s="44" t="str">
        <f t="shared" si="2"/>
        <v>OK</v>
      </c>
      <c r="X24" s="47" t="str">
        <f t="shared" si="4"/>
        <v/>
      </c>
      <c r="Y24" s="3"/>
      <c r="Z24" s="127"/>
    </row>
    <row r="25" spans="1:26" ht="15.75" hidden="1" customHeight="1" outlineLevel="1" x14ac:dyDescent="0.3">
      <c r="A25" s="3"/>
      <c r="B25" s="150" t="s">
        <v>442</v>
      </c>
      <c r="C25" s="62"/>
      <c r="D25" s="62"/>
      <c r="E25" s="12"/>
      <c r="F25" s="101"/>
      <c r="G25" s="119"/>
      <c r="H25" s="103"/>
      <c r="I25" s="63"/>
      <c r="J25" s="64"/>
      <c r="K25" s="12"/>
      <c r="L25" s="62" t="str">
        <f t="shared" si="3"/>
        <v/>
      </c>
      <c r="M25" s="12"/>
      <c r="N25" s="12"/>
      <c r="O25" s="12"/>
      <c r="P25" s="12"/>
      <c r="Q25" s="12"/>
      <c r="R25" s="12"/>
      <c r="S25" s="12"/>
      <c r="T25" s="12"/>
      <c r="U25" s="12"/>
      <c r="V25" s="65"/>
      <c r="W25" s="44" t="str">
        <f t="shared" si="2"/>
        <v>OK</v>
      </c>
      <c r="X25" s="47" t="str">
        <f t="shared" si="4"/>
        <v/>
      </c>
      <c r="Y25" s="3"/>
      <c r="Z25" s="127"/>
    </row>
    <row r="26" spans="1:26" ht="15.75" hidden="1" customHeight="1" outlineLevel="1" x14ac:dyDescent="0.3">
      <c r="A26" s="3"/>
      <c r="B26" s="109" t="s">
        <v>443</v>
      </c>
      <c r="C26" s="62"/>
      <c r="D26" s="62"/>
      <c r="E26" s="12"/>
      <c r="F26" s="101"/>
      <c r="G26" s="119"/>
      <c r="H26" s="103"/>
      <c r="I26" s="63"/>
      <c r="J26" s="64"/>
      <c r="K26" s="12"/>
      <c r="L26" s="62" t="str">
        <f t="shared" si="3"/>
        <v/>
      </c>
      <c r="M26" s="12"/>
      <c r="N26" s="12"/>
      <c r="O26" s="12"/>
      <c r="P26" s="12"/>
      <c r="Q26" s="12"/>
      <c r="R26" s="12"/>
      <c r="S26" s="12"/>
      <c r="T26" s="12"/>
      <c r="U26" s="12"/>
      <c r="V26" s="65"/>
      <c r="W26" s="44" t="str">
        <f t="shared" si="2"/>
        <v>OK</v>
      </c>
      <c r="X26" s="47" t="str">
        <f t="shared" si="4"/>
        <v/>
      </c>
      <c r="Y26" s="3"/>
      <c r="Z26" s="127"/>
    </row>
    <row r="27" spans="1:26" ht="15.75" hidden="1" customHeight="1" outlineLevel="1" x14ac:dyDescent="0.3">
      <c r="A27" s="3"/>
      <c r="B27" s="150" t="s">
        <v>444</v>
      </c>
      <c r="C27" s="62"/>
      <c r="D27" s="62"/>
      <c r="E27" s="12"/>
      <c r="F27" s="101"/>
      <c r="G27" s="253"/>
      <c r="H27" s="103"/>
      <c r="I27" s="63"/>
      <c r="J27" s="64"/>
      <c r="K27" s="12"/>
      <c r="L27" s="62" t="str">
        <f t="shared" si="3"/>
        <v/>
      </c>
      <c r="M27" s="12"/>
      <c r="N27" s="12"/>
      <c r="O27" s="12"/>
      <c r="P27" s="12"/>
      <c r="Q27" s="12"/>
      <c r="R27" s="12"/>
      <c r="S27" s="12"/>
      <c r="T27" s="12"/>
      <c r="U27" s="12"/>
      <c r="V27" s="65"/>
      <c r="W27" s="44" t="str">
        <f t="shared" si="2"/>
        <v>OK</v>
      </c>
      <c r="X27" s="47" t="str">
        <f t="shared" si="4"/>
        <v/>
      </c>
      <c r="Y27" s="3"/>
      <c r="Z27" s="127"/>
    </row>
    <row r="28" spans="1:26" ht="15.75" hidden="1" customHeight="1" outlineLevel="1" x14ac:dyDescent="0.3">
      <c r="A28" s="3"/>
      <c r="B28" s="150" t="s">
        <v>446</v>
      </c>
      <c r="C28" s="62"/>
      <c r="D28" s="62"/>
      <c r="E28" s="12"/>
      <c r="F28" s="101"/>
      <c r="G28" s="252"/>
      <c r="H28" s="103"/>
      <c r="I28" s="63"/>
      <c r="J28" s="64"/>
      <c r="K28" s="12"/>
      <c r="L28" s="62" t="str">
        <f t="shared" si="3"/>
        <v/>
      </c>
      <c r="M28" s="12"/>
      <c r="N28" s="12"/>
      <c r="O28" s="12"/>
      <c r="P28" s="12"/>
      <c r="Q28" s="12"/>
      <c r="R28" s="12"/>
      <c r="S28" s="12"/>
      <c r="T28" s="12"/>
      <c r="U28" s="12"/>
      <c r="V28" s="65"/>
      <c r="W28" s="44" t="str">
        <f t="shared" si="2"/>
        <v>OK</v>
      </c>
      <c r="X28" s="47" t="str">
        <f t="shared" si="4"/>
        <v/>
      </c>
      <c r="Y28" s="3"/>
      <c r="Z28" s="127"/>
    </row>
    <row r="29" spans="1:26" ht="15.75" hidden="1" customHeight="1" outlineLevel="1" x14ac:dyDescent="0.3">
      <c r="A29" s="3"/>
      <c r="B29" s="109" t="s">
        <v>447</v>
      </c>
      <c r="C29" s="62"/>
      <c r="D29" s="62"/>
      <c r="E29" s="12"/>
      <c r="F29" s="101"/>
      <c r="G29" s="253"/>
      <c r="H29" s="103"/>
      <c r="I29" s="63"/>
      <c r="J29" s="64"/>
      <c r="K29" s="12"/>
      <c r="L29" s="62" t="str">
        <f t="shared" si="3"/>
        <v/>
      </c>
      <c r="M29" s="12"/>
      <c r="N29" s="12"/>
      <c r="O29" s="12"/>
      <c r="P29" s="12"/>
      <c r="Q29" s="12"/>
      <c r="R29" s="12"/>
      <c r="S29" s="12"/>
      <c r="T29" s="12"/>
      <c r="U29" s="12"/>
      <c r="V29" s="65"/>
      <c r="W29" s="44" t="str">
        <f t="shared" si="2"/>
        <v>OK</v>
      </c>
      <c r="X29" s="47" t="str">
        <f t="shared" si="4"/>
        <v/>
      </c>
      <c r="Y29" s="3"/>
      <c r="Z29" s="127"/>
    </row>
    <row r="30" spans="1:26" ht="15.75" hidden="1" customHeight="1" outlineLevel="1" x14ac:dyDescent="0.3">
      <c r="A30" s="3"/>
      <c r="B30" s="109" t="s">
        <v>448</v>
      </c>
      <c r="C30" s="62"/>
      <c r="D30" s="62"/>
      <c r="E30" s="12"/>
      <c r="F30" s="101"/>
      <c r="G30" s="252"/>
      <c r="H30" s="103"/>
      <c r="I30" s="63"/>
      <c r="J30" s="64"/>
      <c r="K30" s="12"/>
      <c r="L30" s="62" t="str">
        <f t="shared" si="3"/>
        <v/>
      </c>
      <c r="M30" s="12"/>
      <c r="N30" s="12"/>
      <c r="O30" s="12"/>
      <c r="P30" s="12"/>
      <c r="Q30" s="12"/>
      <c r="R30" s="12"/>
      <c r="S30" s="12"/>
      <c r="T30" s="12"/>
      <c r="U30" s="12"/>
      <c r="V30" s="65"/>
      <c r="W30" s="44" t="str">
        <f t="shared" si="2"/>
        <v>OK</v>
      </c>
      <c r="X30" s="47" t="str">
        <f t="shared" si="4"/>
        <v/>
      </c>
      <c r="Y30" s="3"/>
      <c r="Z30" s="127"/>
    </row>
    <row r="31" spans="1:26" ht="15.75" hidden="1" customHeight="1" outlineLevel="1" x14ac:dyDescent="0.3">
      <c r="A31" s="3"/>
      <c r="B31" s="150" t="s">
        <v>449</v>
      </c>
      <c r="C31" s="62"/>
      <c r="D31" s="62"/>
      <c r="E31" s="12"/>
      <c r="F31" s="101"/>
      <c r="G31" s="253"/>
      <c r="H31" s="103"/>
      <c r="I31" s="63"/>
      <c r="J31" s="64"/>
      <c r="K31" s="12"/>
      <c r="L31" s="62" t="str">
        <f t="shared" si="3"/>
        <v/>
      </c>
      <c r="M31" s="12"/>
      <c r="N31" s="12"/>
      <c r="O31" s="12"/>
      <c r="P31" s="12"/>
      <c r="Q31" s="12"/>
      <c r="R31" s="12"/>
      <c r="S31" s="12"/>
      <c r="T31" s="12"/>
      <c r="U31" s="12"/>
      <c r="V31" s="65"/>
      <c r="W31" s="44" t="str">
        <f t="shared" si="2"/>
        <v>OK</v>
      </c>
      <c r="X31" s="47" t="str">
        <f t="shared" si="4"/>
        <v/>
      </c>
      <c r="Y31" s="3"/>
      <c r="Z31" s="127"/>
    </row>
    <row r="32" spans="1:26" ht="15.75" hidden="1" customHeight="1" outlineLevel="1" x14ac:dyDescent="0.3">
      <c r="A32" s="3"/>
      <c r="B32" s="150" t="s">
        <v>450</v>
      </c>
      <c r="C32" s="62"/>
      <c r="D32" s="62"/>
      <c r="E32" s="12"/>
      <c r="F32" s="101"/>
      <c r="G32" s="252"/>
      <c r="H32" s="103"/>
      <c r="I32" s="63"/>
      <c r="J32" s="64"/>
      <c r="K32" s="12"/>
      <c r="L32" s="62" t="str">
        <f t="shared" si="3"/>
        <v/>
      </c>
      <c r="M32" s="12"/>
      <c r="N32" s="12"/>
      <c r="O32" s="12"/>
      <c r="P32" s="12"/>
      <c r="Q32" s="12"/>
      <c r="R32" s="12"/>
      <c r="S32" s="12"/>
      <c r="T32" s="12"/>
      <c r="U32" s="12"/>
      <c r="V32" s="65"/>
      <c r="W32" s="44" t="str">
        <f t="shared" si="2"/>
        <v>OK</v>
      </c>
      <c r="X32" s="47" t="str">
        <f t="shared" si="4"/>
        <v/>
      </c>
      <c r="Y32" s="3"/>
      <c r="Z32" s="127"/>
    </row>
    <row r="33" spans="1:26" ht="15.75" hidden="1" customHeight="1" outlineLevel="1" x14ac:dyDescent="0.3">
      <c r="A33" s="3"/>
      <c r="B33" s="109" t="s">
        <v>451</v>
      </c>
      <c r="C33" s="62"/>
      <c r="D33" s="62"/>
      <c r="E33" s="12"/>
      <c r="F33" s="101"/>
      <c r="G33" s="253"/>
      <c r="H33" s="103"/>
      <c r="I33" s="63"/>
      <c r="J33" s="64"/>
      <c r="K33" s="12"/>
      <c r="L33" s="62" t="str">
        <f t="shared" si="3"/>
        <v/>
      </c>
      <c r="M33" s="12"/>
      <c r="N33" s="12"/>
      <c r="O33" s="12"/>
      <c r="P33" s="12"/>
      <c r="Q33" s="12"/>
      <c r="R33" s="12"/>
      <c r="S33" s="12"/>
      <c r="T33" s="12"/>
      <c r="U33" s="12"/>
      <c r="V33" s="65"/>
      <c r="W33" s="44" t="str">
        <f t="shared" si="2"/>
        <v>OK</v>
      </c>
      <c r="X33" s="47" t="str">
        <f t="shared" si="4"/>
        <v/>
      </c>
      <c r="Y33" s="3"/>
      <c r="Z33" s="127"/>
    </row>
    <row r="34" spans="1:26" ht="15.75" hidden="1" customHeight="1" outlineLevel="1" x14ac:dyDescent="0.3">
      <c r="A34" s="3"/>
      <c r="B34" s="109" t="s">
        <v>452</v>
      </c>
      <c r="C34" s="62"/>
      <c r="D34" s="62"/>
      <c r="E34" s="12"/>
      <c r="F34" s="101"/>
      <c r="G34" s="252"/>
      <c r="H34" s="103"/>
      <c r="I34" s="63"/>
      <c r="J34" s="64"/>
      <c r="K34" s="12"/>
      <c r="L34" s="62" t="str">
        <f t="shared" si="3"/>
        <v/>
      </c>
      <c r="M34" s="12"/>
      <c r="N34" s="12"/>
      <c r="O34" s="12"/>
      <c r="P34" s="12"/>
      <c r="Q34" s="12"/>
      <c r="R34" s="12"/>
      <c r="S34" s="12"/>
      <c r="T34" s="12"/>
      <c r="U34" s="12"/>
      <c r="V34" s="65"/>
      <c r="W34" s="44" t="str">
        <f t="shared" si="2"/>
        <v>OK</v>
      </c>
      <c r="X34" s="47" t="str">
        <f t="shared" si="4"/>
        <v/>
      </c>
      <c r="Y34" s="3"/>
      <c r="Z34" s="127"/>
    </row>
    <row r="35" spans="1:26" ht="15.75" hidden="1" customHeight="1" outlineLevel="1" x14ac:dyDescent="0.3">
      <c r="A35" s="3"/>
      <c r="B35" s="150" t="s">
        <v>453</v>
      </c>
      <c r="C35" s="62"/>
      <c r="D35" s="62"/>
      <c r="E35" s="12"/>
      <c r="F35" s="101"/>
      <c r="G35" s="120"/>
      <c r="H35" s="103"/>
      <c r="I35" s="63"/>
      <c r="J35" s="64"/>
      <c r="K35" s="12"/>
      <c r="L35" s="62" t="str">
        <f t="shared" si="3"/>
        <v/>
      </c>
      <c r="M35" s="12"/>
      <c r="N35" s="12"/>
      <c r="O35" s="12"/>
      <c r="P35" s="12"/>
      <c r="Q35" s="12"/>
      <c r="R35" s="12"/>
      <c r="S35" s="12"/>
      <c r="T35" s="12"/>
      <c r="U35" s="12"/>
      <c r="V35" s="65"/>
      <c r="W35" s="44" t="str">
        <f t="shared" si="2"/>
        <v>OK</v>
      </c>
      <c r="X35" s="47" t="str">
        <f t="shared" si="4"/>
        <v/>
      </c>
      <c r="Y35" s="3"/>
      <c r="Z35" s="127"/>
    </row>
    <row r="36" spans="1:26" ht="15.75" hidden="1" customHeight="1" outlineLevel="1" x14ac:dyDescent="0.3">
      <c r="A36" s="3"/>
      <c r="B36" s="109" t="s">
        <v>454</v>
      </c>
      <c r="C36" s="62"/>
      <c r="D36" s="62"/>
      <c r="E36" s="12"/>
      <c r="F36" s="101"/>
      <c r="G36" s="119"/>
      <c r="H36" s="103"/>
      <c r="I36" s="63"/>
      <c r="J36" s="64"/>
      <c r="K36" s="12"/>
      <c r="L36" s="62" t="str">
        <f t="shared" si="3"/>
        <v/>
      </c>
      <c r="M36" s="12"/>
      <c r="N36" s="12"/>
      <c r="O36" s="12"/>
      <c r="P36" s="12"/>
      <c r="Q36" s="12"/>
      <c r="R36" s="12"/>
      <c r="S36" s="12"/>
      <c r="T36" s="12"/>
      <c r="U36" s="12"/>
      <c r="V36" s="65"/>
      <c r="W36" s="44" t="str">
        <f t="shared" si="2"/>
        <v>OK</v>
      </c>
      <c r="X36" s="47" t="str">
        <f t="shared" si="4"/>
        <v/>
      </c>
      <c r="Y36" s="3"/>
      <c r="Z36" s="127"/>
    </row>
    <row r="37" spans="1:26" ht="15.75" hidden="1" customHeight="1" outlineLevel="1" x14ac:dyDescent="0.3">
      <c r="A37" s="3"/>
      <c r="B37" s="150" t="s">
        <v>455</v>
      </c>
      <c r="C37" s="62"/>
      <c r="D37" s="62"/>
      <c r="E37" s="12"/>
      <c r="F37" s="101"/>
      <c r="G37" s="253"/>
      <c r="H37" s="103"/>
      <c r="I37" s="63"/>
      <c r="J37" s="64"/>
      <c r="K37" s="12"/>
      <c r="L37" s="62" t="str">
        <f t="shared" si="3"/>
        <v/>
      </c>
      <c r="M37" s="12"/>
      <c r="N37" s="12"/>
      <c r="O37" s="12"/>
      <c r="P37" s="12"/>
      <c r="Q37" s="12"/>
      <c r="R37" s="12"/>
      <c r="S37" s="12"/>
      <c r="T37" s="12"/>
      <c r="U37" s="12"/>
      <c r="V37" s="65"/>
      <c r="W37" s="44" t="str">
        <f t="shared" si="2"/>
        <v>OK</v>
      </c>
      <c r="X37" s="47" t="str">
        <f t="shared" si="4"/>
        <v/>
      </c>
      <c r="Y37" s="3"/>
      <c r="Z37" s="127"/>
    </row>
    <row r="38" spans="1:26" ht="15.75" hidden="1" customHeight="1" outlineLevel="1" x14ac:dyDescent="0.3">
      <c r="A38" s="3"/>
      <c r="B38" s="150" t="s">
        <v>456</v>
      </c>
      <c r="C38" s="62"/>
      <c r="D38" s="62"/>
      <c r="E38" s="12"/>
      <c r="F38" s="101"/>
      <c r="G38" s="252"/>
      <c r="H38" s="103"/>
      <c r="I38" s="63"/>
      <c r="J38" s="64"/>
      <c r="K38" s="12"/>
      <c r="L38" s="62" t="str">
        <f t="shared" si="3"/>
        <v/>
      </c>
      <c r="M38" s="12"/>
      <c r="N38" s="12"/>
      <c r="O38" s="12"/>
      <c r="P38" s="12"/>
      <c r="Q38" s="12"/>
      <c r="R38" s="12"/>
      <c r="S38" s="12"/>
      <c r="T38" s="12"/>
      <c r="U38" s="12"/>
      <c r="V38" s="65"/>
      <c r="W38" s="44" t="str">
        <f t="shared" si="2"/>
        <v>OK</v>
      </c>
      <c r="X38" s="47" t="str">
        <f t="shared" si="4"/>
        <v/>
      </c>
      <c r="Y38" s="3"/>
      <c r="Z38" s="127"/>
    </row>
    <row r="39" spans="1:26" ht="15.75" hidden="1" customHeight="1" outlineLevel="1" x14ac:dyDescent="0.3">
      <c r="A39" s="3"/>
      <c r="B39" s="109" t="s">
        <v>457</v>
      </c>
      <c r="C39" s="62"/>
      <c r="D39" s="62"/>
      <c r="E39" s="12"/>
      <c r="F39" s="101"/>
      <c r="G39" s="250"/>
      <c r="H39" s="63"/>
      <c r="I39" s="63"/>
      <c r="J39" s="64"/>
      <c r="K39" s="12"/>
      <c r="L39" s="62" t="str">
        <f t="shared" si="3"/>
        <v/>
      </c>
      <c r="M39" s="12"/>
      <c r="N39" s="12"/>
      <c r="O39" s="12"/>
      <c r="P39" s="12"/>
      <c r="Q39" s="12"/>
      <c r="R39" s="12"/>
      <c r="S39" s="12"/>
      <c r="T39" s="12"/>
      <c r="U39" s="12"/>
      <c r="V39" s="65"/>
      <c r="W39" s="44" t="str">
        <f t="shared" si="2"/>
        <v>OK</v>
      </c>
      <c r="X39" s="47" t="str">
        <f t="shared" si="4"/>
        <v/>
      </c>
      <c r="Y39" s="3"/>
      <c r="Z39" s="127"/>
    </row>
    <row r="40" spans="1:26" ht="15.75" hidden="1" customHeight="1" outlineLevel="1" x14ac:dyDescent="0.3">
      <c r="A40" s="3"/>
      <c r="B40" s="109" t="s">
        <v>458</v>
      </c>
      <c r="C40" s="62"/>
      <c r="D40" s="62"/>
      <c r="E40" s="12"/>
      <c r="F40" s="101"/>
      <c r="G40" s="251"/>
      <c r="H40" s="63"/>
      <c r="I40" s="63"/>
      <c r="J40" s="64"/>
      <c r="K40" s="12"/>
      <c r="L40" s="62" t="str">
        <f t="shared" si="3"/>
        <v/>
      </c>
      <c r="M40" s="12"/>
      <c r="N40" s="12"/>
      <c r="O40" s="12"/>
      <c r="P40" s="12"/>
      <c r="Q40" s="12"/>
      <c r="R40" s="12"/>
      <c r="S40" s="12"/>
      <c r="T40" s="12"/>
      <c r="U40" s="12"/>
      <c r="V40" s="65"/>
      <c r="W40" s="44" t="str">
        <f t="shared" si="2"/>
        <v>OK</v>
      </c>
      <c r="X40" s="47" t="str">
        <f t="shared" si="4"/>
        <v/>
      </c>
      <c r="Y40" s="3"/>
      <c r="Z40" s="127"/>
    </row>
    <row r="41" spans="1:26" ht="15.75" hidden="1" customHeight="1" outlineLevel="1" x14ac:dyDescent="0.3">
      <c r="A41" s="3"/>
      <c r="B41" s="109" t="s">
        <v>459</v>
      </c>
      <c r="C41" s="62"/>
      <c r="D41" s="62"/>
      <c r="E41" s="12"/>
      <c r="F41" s="101"/>
      <c r="G41" s="251"/>
      <c r="H41" s="63"/>
      <c r="I41" s="63"/>
      <c r="J41" s="64"/>
      <c r="K41" s="12"/>
      <c r="L41" s="62" t="str">
        <f t="shared" si="3"/>
        <v/>
      </c>
      <c r="M41" s="12"/>
      <c r="N41" s="12"/>
      <c r="O41" s="12"/>
      <c r="P41" s="12"/>
      <c r="Q41" s="12"/>
      <c r="R41" s="12"/>
      <c r="S41" s="12"/>
      <c r="T41" s="12"/>
      <c r="U41" s="12"/>
      <c r="V41" s="65"/>
      <c r="W41" s="44" t="str">
        <f t="shared" si="2"/>
        <v>OK</v>
      </c>
      <c r="X41" s="47" t="str">
        <f t="shared" si="4"/>
        <v/>
      </c>
      <c r="Y41" s="3"/>
      <c r="Z41" s="127"/>
    </row>
    <row r="42" spans="1:26" ht="15.75" hidden="1" customHeight="1" outlineLevel="1" x14ac:dyDescent="0.3">
      <c r="A42" s="3"/>
      <c r="B42" s="109" t="s">
        <v>460</v>
      </c>
      <c r="C42" s="62"/>
      <c r="D42" s="62"/>
      <c r="E42" s="12"/>
      <c r="F42" s="101"/>
      <c r="G42" s="252"/>
      <c r="H42" s="63"/>
      <c r="I42" s="63"/>
      <c r="J42" s="64"/>
      <c r="K42" s="12"/>
      <c r="L42" s="62" t="str">
        <f t="shared" si="3"/>
        <v/>
      </c>
      <c r="M42" s="12"/>
      <c r="N42" s="12"/>
      <c r="O42" s="12"/>
      <c r="P42" s="12"/>
      <c r="Q42" s="12"/>
      <c r="R42" s="12"/>
      <c r="S42" s="12"/>
      <c r="T42" s="12"/>
      <c r="U42" s="12"/>
      <c r="V42" s="65"/>
      <c r="W42" s="44" t="str">
        <f t="shared" si="2"/>
        <v>OK</v>
      </c>
      <c r="X42" s="47" t="str">
        <f t="shared" si="4"/>
        <v/>
      </c>
      <c r="Y42" s="3"/>
      <c r="Z42" s="127"/>
    </row>
    <row r="43" spans="1:26" ht="15.75" hidden="1" customHeight="1" outlineLevel="1" x14ac:dyDescent="0.3">
      <c r="A43" s="3"/>
      <c r="B43" s="150" t="s">
        <v>461</v>
      </c>
      <c r="C43" s="62"/>
      <c r="D43" s="62"/>
      <c r="E43" s="12"/>
      <c r="F43" s="101"/>
      <c r="G43" s="121"/>
      <c r="H43" s="63"/>
      <c r="I43" s="63"/>
      <c r="J43" s="64"/>
      <c r="K43" s="12"/>
      <c r="L43" s="62" t="str">
        <f t="shared" si="3"/>
        <v/>
      </c>
      <c r="M43" s="12"/>
      <c r="N43" s="12"/>
      <c r="O43" s="12"/>
      <c r="P43" s="12"/>
      <c r="Q43" s="12"/>
      <c r="R43" s="12"/>
      <c r="S43" s="12"/>
      <c r="T43" s="12"/>
      <c r="U43" s="12"/>
      <c r="V43" s="65"/>
      <c r="W43" s="44" t="str">
        <f t="shared" si="2"/>
        <v>OK</v>
      </c>
      <c r="X43" s="47" t="str">
        <f t="shared" si="4"/>
        <v/>
      </c>
      <c r="Y43" s="3"/>
      <c r="Z43" s="127"/>
    </row>
    <row r="44" spans="1:26" ht="15.75" hidden="1" customHeight="1" outlineLevel="1" x14ac:dyDescent="0.3">
      <c r="A44" s="3"/>
      <c r="B44" s="109" t="s">
        <v>462</v>
      </c>
      <c r="C44" s="62"/>
      <c r="D44" s="62"/>
      <c r="E44" s="12"/>
      <c r="F44" s="101"/>
      <c r="G44" s="250"/>
      <c r="H44" s="63"/>
      <c r="I44" s="63"/>
      <c r="J44" s="64"/>
      <c r="K44" s="12"/>
      <c r="L44" s="62" t="str">
        <f t="shared" si="3"/>
        <v/>
      </c>
      <c r="M44" s="12"/>
      <c r="N44" s="12"/>
      <c r="O44" s="12"/>
      <c r="P44" s="12"/>
      <c r="Q44" s="12"/>
      <c r="R44" s="12"/>
      <c r="S44" s="12"/>
      <c r="T44" s="12"/>
      <c r="U44" s="12"/>
      <c r="V44" s="65"/>
      <c r="W44" s="44" t="str">
        <f t="shared" si="2"/>
        <v>OK</v>
      </c>
      <c r="X44" s="47" t="str">
        <f t="shared" si="4"/>
        <v/>
      </c>
      <c r="Y44" s="3"/>
      <c r="Z44" s="127"/>
    </row>
    <row r="45" spans="1:26" ht="15.75" hidden="1" customHeight="1" outlineLevel="1" x14ac:dyDescent="0.3">
      <c r="A45" s="3"/>
      <c r="B45" s="109" t="s">
        <v>463</v>
      </c>
      <c r="C45" s="62"/>
      <c r="D45" s="62"/>
      <c r="E45" s="12"/>
      <c r="F45" s="101"/>
      <c r="G45" s="252"/>
      <c r="H45" s="63"/>
      <c r="I45" s="63"/>
      <c r="J45" s="64"/>
      <c r="K45" s="12"/>
      <c r="L45" s="62" t="str">
        <f t="shared" si="3"/>
        <v/>
      </c>
      <c r="M45" s="12"/>
      <c r="N45" s="12"/>
      <c r="O45" s="12"/>
      <c r="P45" s="12"/>
      <c r="Q45" s="12"/>
      <c r="R45" s="12"/>
      <c r="S45" s="12"/>
      <c r="T45" s="12"/>
      <c r="U45" s="12"/>
      <c r="V45" s="65"/>
      <c r="W45" s="44" t="str">
        <f t="shared" si="2"/>
        <v>OK</v>
      </c>
      <c r="X45" s="47" t="str">
        <f t="shared" si="4"/>
        <v/>
      </c>
      <c r="Y45" s="3"/>
      <c r="Z45" s="127"/>
    </row>
    <row r="46" spans="1:26" ht="15.75" hidden="1" customHeight="1" outlineLevel="1" x14ac:dyDescent="0.3">
      <c r="A46" s="3"/>
      <c r="B46" s="150" t="s">
        <v>464</v>
      </c>
      <c r="C46" s="62"/>
      <c r="D46" s="62"/>
      <c r="E46" s="12"/>
      <c r="F46" s="101"/>
      <c r="G46" s="232"/>
      <c r="H46" s="63"/>
      <c r="I46" s="63"/>
      <c r="J46" s="64"/>
      <c r="K46" s="12"/>
      <c r="L46" s="62" t="str">
        <f t="shared" si="3"/>
        <v/>
      </c>
      <c r="M46" s="12"/>
      <c r="N46" s="12"/>
      <c r="O46" s="12"/>
      <c r="P46" s="12"/>
      <c r="Q46" s="12"/>
      <c r="R46" s="12"/>
      <c r="S46" s="12"/>
      <c r="T46" s="12"/>
      <c r="U46" s="12"/>
      <c r="V46" s="65"/>
      <c r="W46" s="44" t="str">
        <f t="shared" si="2"/>
        <v>OK</v>
      </c>
      <c r="X46" s="47" t="str">
        <f t="shared" si="4"/>
        <v/>
      </c>
      <c r="Y46" s="3"/>
      <c r="Z46" s="127"/>
    </row>
    <row r="47" spans="1:26" ht="15.75" hidden="1" customHeight="1" outlineLevel="1" x14ac:dyDescent="0.3">
      <c r="A47" s="3"/>
      <c r="B47" s="150" t="s">
        <v>465</v>
      </c>
      <c r="C47" s="62"/>
      <c r="D47" s="62"/>
      <c r="E47" s="12"/>
      <c r="F47" s="101"/>
      <c r="G47" s="234"/>
      <c r="H47" s="63"/>
      <c r="I47" s="63"/>
      <c r="J47" s="64"/>
      <c r="K47" s="12"/>
      <c r="L47" s="62" t="str">
        <f t="shared" si="3"/>
        <v/>
      </c>
      <c r="M47" s="12"/>
      <c r="N47" s="12"/>
      <c r="O47" s="12"/>
      <c r="P47" s="12"/>
      <c r="Q47" s="12"/>
      <c r="R47" s="12"/>
      <c r="S47" s="12"/>
      <c r="T47" s="12"/>
      <c r="U47" s="12"/>
      <c r="V47" s="65"/>
      <c r="W47" s="44" t="str">
        <f t="shared" si="2"/>
        <v>OK</v>
      </c>
      <c r="X47" s="47" t="str">
        <f t="shared" si="4"/>
        <v/>
      </c>
      <c r="Y47" s="3"/>
      <c r="Z47" s="127"/>
    </row>
    <row r="48" spans="1:26" ht="15.75" hidden="1" customHeight="1" outlineLevel="1" x14ac:dyDescent="0.3">
      <c r="A48" s="3"/>
      <c r="B48" s="109" t="s">
        <v>466</v>
      </c>
      <c r="C48" s="62"/>
      <c r="D48" s="62"/>
      <c r="E48" s="12"/>
      <c r="F48" s="101"/>
      <c r="G48" s="232"/>
      <c r="H48" s="63"/>
      <c r="I48" s="63"/>
      <c r="J48" s="64"/>
      <c r="K48" s="12"/>
      <c r="L48" s="62" t="str">
        <f t="shared" si="3"/>
        <v/>
      </c>
      <c r="M48" s="12"/>
      <c r="N48" s="12"/>
      <c r="O48" s="12"/>
      <c r="P48" s="12"/>
      <c r="Q48" s="12"/>
      <c r="R48" s="12"/>
      <c r="S48" s="12"/>
      <c r="T48" s="12"/>
      <c r="U48" s="12"/>
      <c r="V48" s="65"/>
      <c r="W48" s="44" t="str">
        <f t="shared" si="2"/>
        <v>OK</v>
      </c>
      <c r="X48" s="47" t="str">
        <f t="shared" si="4"/>
        <v/>
      </c>
      <c r="Y48" s="3"/>
      <c r="Z48" s="127"/>
    </row>
    <row r="49" spans="1:26" ht="15.75" hidden="1" customHeight="1" outlineLevel="1" x14ac:dyDescent="0.3">
      <c r="A49" s="3"/>
      <c r="B49" s="109" t="s">
        <v>467</v>
      </c>
      <c r="C49" s="62"/>
      <c r="D49" s="62"/>
      <c r="E49" s="12"/>
      <c r="F49" s="101"/>
      <c r="G49" s="234"/>
      <c r="H49" s="63"/>
      <c r="I49" s="63"/>
      <c r="J49" s="64"/>
      <c r="K49" s="12"/>
      <c r="L49" s="62" t="str">
        <f t="shared" si="3"/>
        <v/>
      </c>
      <c r="M49" s="12"/>
      <c r="N49" s="12"/>
      <c r="O49" s="12"/>
      <c r="P49" s="12"/>
      <c r="Q49" s="12"/>
      <c r="R49" s="12"/>
      <c r="S49" s="12"/>
      <c r="T49" s="12"/>
      <c r="U49" s="12"/>
      <c r="V49" s="65"/>
      <c r="W49" s="44" t="str">
        <f t="shared" si="2"/>
        <v>OK</v>
      </c>
      <c r="X49" s="47" t="str">
        <f t="shared" si="4"/>
        <v/>
      </c>
      <c r="Y49" s="3"/>
      <c r="Z49" s="127"/>
    </row>
    <row r="50" spans="1:26" ht="15.75" hidden="1" customHeight="1" outlineLevel="1" x14ac:dyDescent="0.3">
      <c r="A50" s="3"/>
      <c r="B50" s="150" t="s">
        <v>468</v>
      </c>
      <c r="C50" s="62"/>
      <c r="D50" s="62"/>
      <c r="E50" s="12"/>
      <c r="F50" s="101"/>
      <c r="G50" s="232"/>
      <c r="H50" s="63"/>
      <c r="I50" s="63"/>
      <c r="J50" s="64"/>
      <c r="K50" s="12"/>
      <c r="L50" s="62" t="str">
        <f t="shared" si="3"/>
        <v/>
      </c>
      <c r="M50" s="12"/>
      <c r="N50" s="12"/>
      <c r="O50" s="12"/>
      <c r="P50" s="12"/>
      <c r="Q50" s="12"/>
      <c r="R50" s="12"/>
      <c r="S50" s="12"/>
      <c r="T50" s="12"/>
      <c r="U50" s="12"/>
      <c r="V50" s="65"/>
      <c r="W50" s="44" t="str">
        <f t="shared" si="2"/>
        <v>OK</v>
      </c>
      <c r="X50" s="47" t="str">
        <f t="shared" si="4"/>
        <v/>
      </c>
      <c r="Y50" s="3"/>
      <c r="Z50" s="127"/>
    </row>
    <row r="51" spans="1:26" ht="15.75" hidden="1" customHeight="1" outlineLevel="1" x14ac:dyDescent="0.3">
      <c r="A51" s="3"/>
      <c r="B51" s="150" t="s">
        <v>469</v>
      </c>
      <c r="C51" s="62"/>
      <c r="D51" s="62"/>
      <c r="E51" s="12"/>
      <c r="F51" s="101"/>
      <c r="G51" s="234"/>
      <c r="H51" s="63"/>
      <c r="I51" s="63"/>
      <c r="J51" s="64"/>
      <c r="K51" s="12"/>
      <c r="L51" s="62" t="str">
        <f t="shared" si="3"/>
        <v/>
      </c>
      <c r="M51" s="12"/>
      <c r="N51" s="12"/>
      <c r="O51" s="12"/>
      <c r="P51" s="12"/>
      <c r="Q51" s="12"/>
      <c r="R51" s="12"/>
      <c r="S51" s="12"/>
      <c r="T51" s="12"/>
      <c r="U51" s="12"/>
      <c r="V51" s="65"/>
      <c r="W51" s="44" t="str">
        <f t="shared" si="2"/>
        <v>OK</v>
      </c>
      <c r="X51" s="47" t="str">
        <f t="shared" si="4"/>
        <v/>
      </c>
      <c r="Y51" s="3"/>
      <c r="Z51" s="127"/>
    </row>
    <row r="52" spans="1:26" ht="15.75" hidden="1" customHeight="1" outlineLevel="1" x14ac:dyDescent="0.3">
      <c r="A52" s="3"/>
      <c r="B52" s="109" t="s">
        <v>470</v>
      </c>
      <c r="C52" s="62"/>
      <c r="D52" s="62"/>
      <c r="E52" s="12"/>
      <c r="F52" s="101"/>
      <c r="G52" s="253"/>
      <c r="H52" s="63"/>
      <c r="I52" s="63"/>
      <c r="J52" s="64"/>
      <c r="K52" s="12"/>
      <c r="L52" s="62" t="str">
        <f t="shared" si="3"/>
        <v/>
      </c>
      <c r="M52" s="12"/>
      <c r="N52" s="12"/>
      <c r="O52" s="12"/>
      <c r="P52" s="12"/>
      <c r="Q52" s="12"/>
      <c r="R52" s="12"/>
      <c r="S52" s="12"/>
      <c r="T52" s="12"/>
      <c r="U52" s="12"/>
      <c r="V52" s="89"/>
      <c r="W52" s="44" t="str">
        <f t="shared" si="2"/>
        <v>OK</v>
      </c>
      <c r="X52" s="47" t="str">
        <f t="shared" si="4"/>
        <v/>
      </c>
      <c r="Y52" s="3"/>
      <c r="Z52" s="127"/>
    </row>
    <row r="53" spans="1:26" ht="15.75" hidden="1" customHeight="1" outlineLevel="1" x14ac:dyDescent="0.3">
      <c r="A53" s="3"/>
      <c r="B53" s="109" t="s">
        <v>472</v>
      </c>
      <c r="C53" s="62"/>
      <c r="D53" s="62"/>
      <c r="E53" s="12"/>
      <c r="F53" s="101"/>
      <c r="G53" s="252"/>
      <c r="H53" s="63"/>
      <c r="I53" s="63"/>
      <c r="J53" s="64"/>
      <c r="K53" s="12"/>
      <c r="L53" s="62" t="str">
        <f t="shared" si="3"/>
        <v/>
      </c>
      <c r="M53" s="12"/>
      <c r="N53" s="12"/>
      <c r="O53" s="12"/>
      <c r="P53" s="12"/>
      <c r="Q53" s="12"/>
      <c r="R53" s="12"/>
      <c r="S53" s="12"/>
      <c r="T53" s="12"/>
      <c r="U53" s="12"/>
      <c r="V53" s="65"/>
      <c r="W53" s="44" t="str">
        <f t="shared" si="2"/>
        <v>OK</v>
      </c>
      <c r="X53" s="47" t="str">
        <f t="shared" si="4"/>
        <v/>
      </c>
      <c r="Y53" s="3"/>
      <c r="Z53" s="127"/>
    </row>
    <row r="54" spans="1:26" ht="15.75" hidden="1" customHeight="1" outlineLevel="1" x14ac:dyDescent="0.3">
      <c r="A54" s="3"/>
      <c r="B54" s="150" t="s">
        <v>473</v>
      </c>
      <c r="C54" s="62"/>
      <c r="D54" s="62"/>
      <c r="E54" s="12"/>
      <c r="F54" s="101"/>
      <c r="G54" s="67"/>
      <c r="H54" s="63"/>
      <c r="I54" s="63"/>
      <c r="J54" s="64"/>
      <c r="K54" s="12"/>
      <c r="L54" s="62" t="str">
        <f t="shared" si="3"/>
        <v/>
      </c>
      <c r="M54" s="12"/>
      <c r="N54" s="12"/>
      <c r="O54" s="12"/>
      <c r="P54" s="12"/>
      <c r="Q54" s="12"/>
      <c r="R54" s="12"/>
      <c r="S54" s="12"/>
      <c r="T54" s="12"/>
      <c r="U54" s="12"/>
      <c r="V54" s="65"/>
      <c r="W54" s="44" t="str">
        <f t="shared" si="2"/>
        <v>OK</v>
      </c>
      <c r="X54" s="47" t="str">
        <f t="shared" si="4"/>
        <v/>
      </c>
      <c r="Y54" s="3"/>
      <c r="Z54" s="127"/>
    </row>
    <row r="55" spans="1:26" ht="21" hidden="1" customHeight="1" outlineLevel="1" x14ac:dyDescent="0.3">
      <c r="A55" s="3"/>
      <c r="B55" s="109" t="s">
        <v>474</v>
      </c>
      <c r="C55" s="62"/>
      <c r="D55" s="62"/>
      <c r="E55" s="12"/>
      <c r="F55" s="101"/>
      <c r="G55" s="235"/>
      <c r="H55" s="63"/>
      <c r="I55" s="63"/>
      <c r="J55" s="64"/>
      <c r="K55" s="12"/>
      <c r="L55" s="62" t="str">
        <f t="shared" si="3"/>
        <v/>
      </c>
      <c r="M55" s="12"/>
      <c r="N55" s="12"/>
      <c r="O55" s="12"/>
      <c r="P55" s="12"/>
      <c r="Q55" s="12"/>
      <c r="R55" s="12"/>
      <c r="S55" s="12"/>
      <c r="T55" s="12"/>
      <c r="U55" s="12"/>
      <c r="V55" s="65"/>
      <c r="W55" s="44" t="str">
        <f t="shared" si="2"/>
        <v>OK</v>
      </c>
      <c r="X55" s="47" t="str">
        <f t="shared" si="4"/>
        <v/>
      </c>
      <c r="Y55" s="3"/>
      <c r="Z55" s="127"/>
    </row>
    <row r="56" spans="1:26" ht="21" hidden="1" customHeight="1" outlineLevel="1" x14ac:dyDescent="0.3">
      <c r="A56" s="3"/>
      <c r="B56" s="109" t="s">
        <v>476</v>
      </c>
      <c r="C56" s="62"/>
      <c r="D56" s="62"/>
      <c r="E56" s="12"/>
      <c r="F56" s="101"/>
      <c r="G56" s="234"/>
      <c r="H56" s="63"/>
      <c r="I56" s="63"/>
      <c r="J56" s="64"/>
      <c r="K56" s="12"/>
      <c r="L56" s="62" t="str">
        <f t="shared" si="3"/>
        <v/>
      </c>
      <c r="M56" s="12"/>
      <c r="N56" s="12"/>
      <c r="O56" s="12"/>
      <c r="P56" s="12"/>
      <c r="Q56" s="12"/>
      <c r="R56" s="12"/>
      <c r="S56" s="12"/>
      <c r="T56" s="12"/>
      <c r="U56" s="12"/>
      <c r="V56" s="65"/>
      <c r="W56" s="44" t="str">
        <f t="shared" si="2"/>
        <v>OK</v>
      </c>
      <c r="X56" s="47" t="str">
        <f t="shared" si="4"/>
        <v/>
      </c>
      <c r="Y56" s="3"/>
      <c r="Z56" s="127"/>
    </row>
    <row r="57" spans="1:26" ht="15.75" hidden="1" customHeight="1" outlineLevel="1" x14ac:dyDescent="0.3">
      <c r="A57" s="3"/>
      <c r="B57" s="150" t="s">
        <v>477</v>
      </c>
      <c r="C57" s="62"/>
      <c r="D57" s="62"/>
      <c r="E57" s="12"/>
      <c r="F57" s="101"/>
      <c r="G57" s="70"/>
      <c r="H57" s="63"/>
      <c r="I57" s="63"/>
      <c r="J57" s="64"/>
      <c r="K57" s="12"/>
      <c r="L57" s="62" t="str">
        <f t="shared" si="3"/>
        <v/>
      </c>
      <c r="M57" s="12"/>
      <c r="N57" s="12"/>
      <c r="O57" s="12"/>
      <c r="P57" s="12"/>
      <c r="Q57" s="12"/>
      <c r="R57" s="12"/>
      <c r="S57" s="12"/>
      <c r="T57" s="12"/>
      <c r="U57" s="12"/>
      <c r="V57" s="65"/>
      <c r="W57" s="44" t="str">
        <f t="shared" si="2"/>
        <v>OK</v>
      </c>
      <c r="X57" s="47" t="str">
        <f t="shared" si="4"/>
        <v/>
      </c>
      <c r="Y57" s="3"/>
      <c r="Z57" s="127"/>
    </row>
    <row r="58" spans="1:26" ht="15.75" hidden="1" customHeight="1" outlineLevel="1" x14ac:dyDescent="0.3">
      <c r="A58" s="3"/>
      <c r="B58" s="109" t="s">
        <v>478</v>
      </c>
      <c r="C58" s="62"/>
      <c r="D58" s="62"/>
      <c r="E58" s="12"/>
      <c r="F58" s="101"/>
      <c r="G58" s="232"/>
      <c r="H58" s="63"/>
      <c r="I58" s="63"/>
      <c r="J58" s="64"/>
      <c r="K58" s="12"/>
      <c r="L58" s="62" t="str">
        <f t="shared" si="3"/>
        <v/>
      </c>
      <c r="M58" s="12"/>
      <c r="N58" s="12"/>
      <c r="O58" s="12"/>
      <c r="P58" s="12"/>
      <c r="Q58" s="12"/>
      <c r="R58" s="12"/>
      <c r="S58" s="12"/>
      <c r="T58" s="12"/>
      <c r="U58" s="12"/>
      <c r="V58" s="65"/>
      <c r="W58" s="44" t="str">
        <f t="shared" si="2"/>
        <v>OK</v>
      </c>
      <c r="X58" s="47" t="str">
        <f t="shared" si="4"/>
        <v/>
      </c>
      <c r="Y58" s="3"/>
      <c r="Z58" s="127"/>
    </row>
    <row r="59" spans="1:26" ht="15.75" hidden="1" customHeight="1" outlineLevel="1" x14ac:dyDescent="0.3">
      <c r="A59" s="3"/>
      <c r="B59" s="109" t="s">
        <v>479</v>
      </c>
      <c r="C59" s="62"/>
      <c r="D59" s="62"/>
      <c r="E59" s="12"/>
      <c r="F59" s="101"/>
      <c r="G59" s="234"/>
      <c r="H59" s="63"/>
      <c r="I59" s="63"/>
      <c r="J59" s="64"/>
      <c r="K59" s="12"/>
      <c r="L59" s="62" t="str">
        <f t="shared" si="3"/>
        <v/>
      </c>
      <c r="M59" s="12"/>
      <c r="N59" s="12"/>
      <c r="O59" s="12"/>
      <c r="P59" s="12"/>
      <c r="Q59" s="12"/>
      <c r="R59" s="12"/>
      <c r="S59" s="12"/>
      <c r="T59" s="12"/>
      <c r="U59" s="12"/>
      <c r="V59" s="65"/>
      <c r="W59" s="44" t="str">
        <f t="shared" si="2"/>
        <v>OK</v>
      </c>
      <c r="X59" s="47" t="str">
        <f t="shared" si="4"/>
        <v/>
      </c>
      <c r="Y59" s="3"/>
      <c r="Z59" s="127"/>
    </row>
    <row r="60" spans="1:26" ht="15.75" hidden="1" customHeight="1" outlineLevel="1" x14ac:dyDescent="0.3">
      <c r="A60" s="3"/>
      <c r="B60" s="150" t="s">
        <v>480</v>
      </c>
      <c r="C60" s="62"/>
      <c r="D60" s="62"/>
      <c r="E60" s="12"/>
      <c r="F60" s="101"/>
      <c r="G60" s="67"/>
      <c r="H60" s="63"/>
      <c r="I60" s="63"/>
      <c r="J60" s="64"/>
      <c r="K60" s="12"/>
      <c r="L60" s="62" t="str">
        <f t="shared" si="3"/>
        <v/>
      </c>
      <c r="M60" s="12"/>
      <c r="N60" s="12"/>
      <c r="O60" s="12"/>
      <c r="P60" s="12"/>
      <c r="Q60" s="12"/>
      <c r="R60" s="12"/>
      <c r="S60" s="12"/>
      <c r="T60" s="12"/>
      <c r="U60" s="12"/>
      <c r="V60" s="65"/>
      <c r="W60" s="44" t="str">
        <f t="shared" si="2"/>
        <v>OK</v>
      </c>
      <c r="X60" s="47" t="str">
        <f t="shared" si="4"/>
        <v/>
      </c>
      <c r="Y60" s="3"/>
      <c r="Z60" s="127"/>
    </row>
    <row r="61" spans="1:26" ht="15.75" hidden="1" customHeight="1" outlineLevel="1" x14ac:dyDescent="0.3">
      <c r="A61" s="3"/>
      <c r="B61" s="109" t="s">
        <v>481</v>
      </c>
      <c r="C61" s="62"/>
      <c r="D61" s="62"/>
      <c r="E61" s="12"/>
      <c r="F61" s="101"/>
      <c r="G61" s="69"/>
      <c r="H61" s="63"/>
      <c r="I61" s="63"/>
      <c r="J61" s="64"/>
      <c r="K61" s="12"/>
      <c r="L61" s="62" t="str">
        <f t="shared" si="3"/>
        <v/>
      </c>
      <c r="M61" s="12"/>
      <c r="N61" s="12"/>
      <c r="O61" s="12"/>
      <c r="P61" s="12"/>
      <c r="Q61" s="12"/>
      <c r="R61" s="12"/>
      <c r="S61" s="12"/>
      <c r="T61" s="12"/>
      <c r="U61" s="12"/>
      <c r="V61" s="65"/>
      <c r="W61" s="44" t="str">
        <f t="shared" si="2"/>
        <v>OK</v>
      </c>
      <c r="X61" s="47" t="str">
        <f t="shared" si="4"/>
        <v/>
      </c>
      <c r="Y61" s="3"/>
      <c r="Z61" s="127"/>
    </row>
    <row r="62" spans="1:26" ht="15.75" hidden="1" customHeight="1" outlineLevel="1" x14ac:dyDescent="0.3">
      <c r="A62" s="3"/>
      <c r="B62" s="150" t="s">
        <v>482</v>
      </c>
      <c r="C62" s="62"/>
      <c r="D62" s="62"/>
      <c r="E62" s="12"/>
      <c r="F62" s="101"/>
      <c r="G62" s="235"/>
      <c r="H62" s="63"/>
      <c r="I62" s="63"/>
      <c r="J62" s="64"/>
      <c r="K62" s="12"/>
      <c r="L62" s="62" t="str">
        <f t="shared" si="3"/>
        <v/>
      </c>
      <c r="M62" s="12"/>
      <c r="N62" s="12"/>
      <c r="O62" s="12"/>
      <c r="P62" s="12"/>
      <c r="Q62" s="12"/>
      <c r="R62" s="12"/>
      <c r="S62" s="12"/>
      <c r="T62" s="12"/>
      <c r="U62" s="12"/>
      <c r="V62" s="65"/>
      <c r="W62" s="44" t="str">
        <f t="shared" si="2"/>
        <v>OK</v>
      </c>
      <c r="X62" s="47" t="str">
        <f t="shared" si="4"/>
        <v/>
      </c>
      <c r="Y62" s="3"/>
      <c r="Z62" s="127"/>
    </row>
    <row r="63" spans="1:26" ht="15.75" hidden="1" customHeight="1" outlineLevel="1" x14ac:dyDescent="0.3">
      <c r="A63" s="3"/>
      <c r="B63" s="150" t="s">
        <v>483</v>
      </c>
      <c r="C63" s="62"/>
      <c r="D63" s="62"/>
      <c r="E63" s="12"/>
      <c r="F63" s="101"/>
      <c r="G63" s="234"/>
      <c r="H63" s="63"/>
      <c r="I63" s="63"/>
      <c r="J63" s="64"/>
      <c r="K63" s="12"/>
      <c r="L63" s="62" t="str">
        <f t="shared" si="3"/>
        <v/>
      </c>
      <c r="M63" s="12"/>
      <c r="N63" s="12"/>
      <c r="O63" s="12"/>
      <c r="P63" s="12"/>
      <c r="Q63" s="12"/>
      <c r="R63" s="12"/>
      <c r="S63" s="12"/>
      <c r="T63" s="12"/>
      <c r="U63" s="12"/>
      <c r="V63" s="65"/>
      <c r="W63" s="44" t="str">
        <f t="shared" si="2"/>
        <v>OK</v>
      </c>
      <c r="X63" s="47" t="str">
        <f t="shared" si="4"/>
        <v/>
      </c>
      <c r="Y63" s="3"/>
      <c r="Z63" s="127"/>
    </row>
    <row r="64" spans="1:26" ht="15.75" hidden="1" customHeight="1" outlineLevel="1" x14ac:dyDescent="0.3">
      <c r="A64" s="3"/>
      <c r="B64" s="109" t="s">
        <v>484</v>
      </c>
      <c r="C64" s="62"/>
      <c r="D64" s="62"/>
      <c r="E64" s="12"/>
      <c r="F64" s="101"/>
      <c r="G64" s="69"/>
      <c r="H64" s="63"/>
      <c r="I64" s="63"/>
      <c r="J64" s="64"/>
      <c r="K64" s="12"/>
      <c r="L64" s="62" t="str">
        <f t="shared" si="3"/>
        <v/>
      </c>
      <c r="M64" s="12"/>
      <c r="N64" s="12"/>
      <c r="O64" s="12"/>
      <c r="P64" s="12"/>
      <c r="Q64" s="12"/>
      <c r="R64" s="12"/>
      <c r="S64" s="12"/>
      <c r="T64" s="12"/>
      <c r="U64" s="12"/>
      <c r="V64" s="65"/>
      <c r="W64" s="44" t="str">
        <f t="shared" si="2"/>
        <v>OK</v>
      </c>
      <c r="X64" s="47" t="str">
        <f t="shared" si="4"/>
        <v/>
      </c>
      <c r="Y64" s="3"/>
      <c r="Z64" s="127"/>
    </row>
    <row r="65" spans="1:26" ht="15.75" hidden="1" customHeight="1" outlineLevel="1" x14ac:dyDescent="0.3">
      <c r="A65" s="3"/>
      <c r="B65" s="150" t="s">
        <v>486</v>
      </c>
      <c r="C65" s="62"/>
      <c r="D65" s="62"/>
      <c r="E65" s="12"/>
      <c r="F65" s="101"/>
      <c r="G65" s="69"/>
      <c r="H65" s="63"/>
      <c r="I65" s="63"/>
      <c r="J65" s="64"/>
      <c r="K65" s="12"/>
      <c r="L65" s="62" t="str">
        <f t="shared" si="3"/>
        <v/>
      </c>
      <c r="M65" s="12"/>
      <c r="N65" s="12"/>
      <c r="O65" s="12"/>
      <c r="P65" s="12"/>
      <c r="Q65" s="12"/>
      <c r="R65" s="12"/>
      <c r="S65" s="12"/>
      <c r="T65" s="12"/>
      <c r="U65" s="12"/>
      <c r="V65" s="65"/>
      <c r="W65" s="44" t="str">
        <f t="shared" si="2"/>
        <v>OK</v>
      </c>
      <c r="X65" s="47" t="str">
        <f t="shared" si="4"/>
        <v/>
      </c>
      <c r="Y65" s="3"/>
      <c r="Z65" s="127"/>
    </row>
    <row r="66" spans="1:26" ht="28.5" hidden="1" customHeight="1" outlineLevel="1" x14ac:dyDescent="0.3">
      <c r="A66" s="3"/>
      <c r="B66" s="109" t="s">
        <v>1513</v>
      </c>
      <c r="C66" s="62"/>
      <c r="D66" s="62"/>
      <c r="E66" s="12"/>
      <c r="F66" s="101"/>
      <c r="G66" s="69"/>
      <c r="H66" s="63"/>
      <c r="I66" s="63"/>
      <c r="J66" s="64"/>
      <c r="K66" s="12"/>
      <c r="L66" s="62" t="str">
        <f t="shared" si="3"/>
        <v/>
      </c>
      <c r="M66" s="12"/>
      <c r="N66" s="12"/>
      <c r="O66" s="12"/>
      <c r="P66" s="12"/>
      <c r="Q66" s="12"/>
      <c r="R66" s="12"/>
      <c r="S66" s="12"/>
      <c r="T66" s="12"/>
      <c r="U66" s="12"/>
      <c r="V66" s="65"/>
      <c r="W66" s="44" t="str">
        <f t="shared" si="2"/>
        <v>OK</v>
      </c>
      <c r="X66" s="47" t="str">
        <f t="shared" si="4"/>
        <v/>
      </c>
      <c r="Y66" s="3"/>
      <c r="Z66" s="127"/>
    </row>
    <row r="67" spans="1:26" ht="15.75" hidden="1" customHeight="1" outlineLevel="1" x14ac:dyDescent="0.3">
      <c r="A67" s="3"/>
      <c r="B67" s="150" t="s">
        <v>488</v>
      </c>
      <c r="C67" s="62"/>
      <c r="D67" s="62"/>
      <c r="E67" s="12"/>
      <c r="F67" s="101"/>
      <c r="G67" s="69"/>
      <c r="H67" s="63"/>
      <c r="I67" s="63"/>
      <c r="J67" s="64"/>
      <c r="K67" s="12"/>
      <c r="L67" s="62" t="str">
        <f t="shared" si="3"/>
        <v/>
      </c>
      <c r="M67" s="12"/>
      <c r="N67" s="12"/>
      <c r="O67" s="12"/>
      <c r="P67" s="12"/>
      <c r="Q67" s="12"/>
      <c r="R67" s="12"/>
      <c r="S67" s="12"/>
      <c r="T67" s="12"/>
      <c r="U67" s="12"/>
      <c r="V67" s="65"/>
      <c r="W67" s="44" t="str">
        <f t="shared" si="2"/>
        <v>OK</v>
      </c>
      <c r="X67" s="47" t="str">
        <f t="shared" si="4"/>
        <v/>
      </c>
      <c r="Y67" s="3"/>
      <c r="Z67" s="127"/>
    </row>
    <row r="68" spans="1:26" ht="15.75" hidden="1" customHeight="1" outlineLevel="1" x14ac:dyDescent="0.3">
      <c r="A68" s="3"/>
      <c r="B68" s="109" t="s">
        <v>489</v>
      </c>
      <c r="C68" s="62"/>
      <c r="D68" s="62"/>
      <c r="E68" s="12"/>
      <c r="F68" s="101"/>
      <c r="G68" s="232"/>
      <c r="H68" s="63"/>
      <c r="I68" s="63"/>
      <c r="J68" s="64"/>
      <c r="K68" s="12"/>
      <c r="L68" s="62" t="str">
        <f t="shared" si="3"/>
        <v/>
      </c>
      <c r="M68" s="12"/>
      <c r="N68" s="12"/>
      <c r="O68" s="12"/>
      <c r="P68" s="12"/>
      <c r="Q68" s="12"/>
      <c r="R68" s="12"/>
      <c r="S68" s="12"/>
      <c r="T68" s="12"/>
      <c r="U68" s="12"/>
      <c r="V68" s="65"/>
      <c r="W68" s="44" t="str">
        <f t="shared" si="2"/>
        <v>OK</v>
      </c>
      <c r="X68" s="47" t="str">
        <f t="shared" si="4"/>
        <v/>
      </c>
      <c r="Y68" s="3"/>
      <c r="Z68" s="127"/>
    </row>
    <row r="69" spans="1:26" ht="15.75" hidden="1" customHeight="1" outlineLevel="1" x14ac:dyDescent="0.3">
      <c r="A69" s="3"/>
      <c r="B69" s="109" t="s">
        <v>490</v>
      </c>
      <c r="C69" s="62"/>
      <c r="D69" s="62"/>
      <c r="E69" s="12"/>
      <c r="F69" s="101"/>
      <c r="G69" s="234"/>
      <c r="H69" s="63"/>
      <c r="I69" s="63"/>
      <c r="J69" s="64"/>
      <c r="K69" s="12"/>
      <c r="L69" s="62" t="str">
        <f t="shared" si="3"/>
        <v/>
      </c>
      <c r="M69" s="12"/>
      <c r="N69" s="12"/>
      <c r="O69" s="12"/>
      <c r="P69" s="12"/>
      <c r="Q69" s="12"/>
      <c r="R69" s="12"/>
      <c r="S69" s="12"/>
      <c r="T69" s="12"/>
      <c r="U69" s="12"/>
      <c r="V69" s="65"/>
      <c r="W69" s="44" t="str">
        <f t="shared" si="2"/>
        <v>OK</v>
      </c>
      <c r="X69" s="47" t="str">
        <f t="shared" si="4"/>
        <v/>
      </c>
      <c r="Y69" s="3"/>
      <c r="Z69" s="127"/>
    </row>
    <row r="70" spans="1:26" ht="15.75" hidden="1" customHeight="1" outlineLevel="1" x14ac:dyDescent="0.3">
      <c r="A70" s="3"/>
      <c r="B70" s="150" t="s">
        <v>491</v>
      </c>
      <c r="C70" s="62"/>
      <c r="D70" s="62"/>
      <c r="E70" s="12"/>
      <c r="F70" s="101"/>
      <c r="G70" s="67"/>
      <c r="H70" s="63"/>
      <c r="I70" s="63"/>
      <c r="J70" s="64"/>
      <c r="K70" s="12"/>
      <c r="L70" s="62" t="str">
        <f t="shared" si="3"/>
        <v/>
      </c>
      <c r="M70" s="12"/>
      <c r="N70" s="12"/>
      <c r="O70" s="12"/>
      <c r="P70" s="12"/>
      <c r="Q70" s="12"/>
      <c r="R70" s="12"/>
      <c r="S70" s="12"/>
      <c r="T70" s="12"/>
      <c r="U70" s="12"/>
      <c r="V70" s="65"/>
      <c r="W70" s="44" t="str">
        <f t="shared" si="2"/>
        <v>OK</v>
      </c>
      <c r="X70" s="47" t="str">
        <f t="shared" si="4"/>
        <v/>
      </c>
      <c r="Y70" s="3"/>
      <c r="Z70" s="127"/>
    </row>
    <row r="71" spans="1:26" ht="15.75" hidden="1" customHeight="1" outlineLevel="1" x14ac:dyDescent="0.3">
      <c r="A71" s="3"/>
      <c r="B71" s="109" t="s">
        <v>492</v>
      </c>
      <c r="C71" s="62"/>
      <c r="D71" s="62"/>
      <c r="E71" s="12"/>
      <c r="F71" s="101"/>
      <c r="G71" s="67"/>
      <c r="H71" s="63"/>
      <c r="I71" s="63"/>
      <c r="J71" s="64"/>
      <c r="K71" s="12"/>
      <c r="L71" s="62" t="str">
        <f t="shared" si="3"/>
        <v/>
      </c>
      <c r="M71" s="12"/>
      <c r="N71" s="12"/>
      <c r="O71" s="12"/>
      <c r="P71" s="12"/>
      <c r="Q71" s="12"/>
      <c r="R71" s="12"/>
      <c r="S71" s="12"/>
      <c r="T71" s="12"/>
      <c r="U71" s="12"/>
      <c r="V71" s="65"/>
      <c r="W71" s="44" t="str">
        <f t="shared" si="2"/>
        <v>OK</v>
      </c>
      <c r="X71" s="47" t="str">
        <f t="shared" si="4"/>
        <v/>
      </c>
      <c r="Y71" s="3"/>
      <c r="Z71" s="127"/>
    </row>
    <row r="72" spans="1:26" ht="15.75" hidden="1" customHeight="1" outlineLevel="1" x14ac:dyDescent="0.3">
      <c r="A72" s="3"/>
      <c r="B72" s="150" t="s">
        <v>493</v>
      </c>
      <c r="C72" s="62"/>
      <c r="D72" s="62"/>
      <c r="E72" s="12"/>
      <c r="F72" s="101"/>
      <c r="G72" s="67"/>
      <c r="H72" s="63"/>
      <c r="I72" s="63"/>
      <c r="J72" s="64"/>
      <c r="K72" s="12"/>
      <c r="L72" s="62" t="str">
        <f t="shared" si="3"/>
        <v/>
      </c>
      <c r="M72" s="12"/>
      <c r="N72" s="12"/>
      <c r="O72" s="12"/>
      <c r="P72" s="12"/>
      <c r="Q72" s="12"/>
      <c r="R72" s="12"/>
      <c r="S72" s="12"/>
      <c r="T72" s="12"/>
      <c r="U72" s="12"/>
      <c r="V72" s="65"/>
      <c r="W72" s="44" t="str">
        <f t="shared" si="2"/>
        <v>OK</v>
      </c>
      <c r="X72" s="47" t="str">
        <f t="shared" si="4"/>
        <v/>
      </c>
      <c r="Y72" s="3"/>
      <c r="Z72" s="127"/>
    </row>
    <row r="73" spans="1:26" ht="15.75" hidden="1" customHeight="1" outlineLevel="1" x14ac:dyDescent="0.3">
      <c r="A73" s="3"/>
      <c r="B73" s="109" t="s">
        <v>494</v>
      </c>
      <c r="C73" s="62"/>
      <c r="D73" s="62"/>
      <c r="E73" s="12"/>
      <c r="F73" s="101"/>
      <c r="G73" s="235"/>
      <c r="H73" s="63"/>
      <c r="I73" s="63"/>
      <c r="J73" s="64"/>
      <c r="K73" s="12"/>
      <c r="L73" s="62" t="str">
        <f t="shared" si="3"/>
        <v/>
      </c>
      <c r="M73" s="12"/>
      <c r="N73" s="12"/>
      <c r="O73" s="12"/>
      <c r="P73" s="12"/>
      <c r="Q73" s="12"/>
      <c r="R73" s="12"/>
      <c r="S73" s="12"/>
      <c r="T73" s="12"/>
      <c r="U73" s="12"/>
      <c r="V73" s="65"/>
      <c r="W73" s="44" t="str">
        <f t="shared" si="2"/>
        <v>OK</v>
      </c>
      <c r="X73" s="47" t="str">
        <f t="shared" si="4"/>
        <v/>
      </c>
      <c r="Y73" s="3"/>
      <c r="Z73" s="127"/>
    </row>
    <row r="74" spans="1:26" ht="15.75" hidden="1" customHeight="1" outlineLevel="1" x14ac:dyDescent="0.3">
      <c r="A74" s="3"/>
      <c r="B74" s="109" t="s">
        <v>495</v>
      </c>
      <c r="C74" s="62"/>
      <c r="D74" s="62"/>
      <c r="E74" s="12"/>
      <c r="F74" s="101"/>
      <c r="G74" s="234"/>
      <c r="H74" s="63"/>
      <c r="I74" s="63"/>
      <c r="J74" s="64"/>
      <c r="K74" s="12"/>
      <c r="L74" s="62" t="str">
        <f t="shared" si="3"/>
        <v/>
      </c>
      <c r="M74" s="12"/>
      <c r="N74" s="12"/>
      <c r="O74" s="12"/>
      <c r="P74" s="12"/>
      <c r="Q74" s="12"/>
      <c r="R74" s="12"/>
      <c r="S74" s="12"/>
      <c r="T74" s="12"/>
      <c r="U74" s="12"/>
      <c r="V74" s="65"/>
      <c r="W74" s="44" t="str">
        <f t="shared" si="2"/>
        <v>OK</v>
      </c>
      <c r="X74" s="47" t="str">
        <f t="shared" si="4"/>
        <v/>
      </c>
      <c r="Y74" s="3"/>
      <c r="Z74" s="127"/>
    </row>
    <row r="75" spans="1:26" ht="15.75" hidden="1" customHeight="1" outlineLevel="1" x14ac:dyDescent="0.3">
      <c r="A75" s="3"/>
      <c r="B75" s="150" t="s">
        <v>496</v>
      </c>
      <c r="C75" s="62"/>
      <c r="D75" s="62"/>
      <c r="E75" s="12"/>
      <c r="F75" s="101"/>
      <c r="G75" s="67"/>
      <c r="H75" s="63"/>
      <c r="I75" s="63"/>
      <c r="J75" s="64"/>
      <c r="K75" s="12"/>
      <c r="L75" s="62" t="str">
        <f t="shared" si="3"/>
        <v/>
      </c>
      <c r="M75" s="12"/>
      <c r="N75" s="12"/>
      <c r="O75" s="12"/>
      <c r="P75" s="12"/>
      <c r="Q75" s="12"/>
      <c r="R75" s="12"/>
      <c r="S75" s="12"/>
      <c r="T75" s="12"/>
      <c r="U75" s="12"/>
      <c r="V75" s="65"/>
      <c r="W75" s="44" t="str">
        <f t="shared" si="2"/>
        <v>OK</v>
      </c>
      <c r="X75" s="47" t="str">
        <f t="shared" si="4"/>
        <v/>
      </c>
      <c r="Y75" s="3"/>
      <c r="Z75" s="127"/>
    </row>
    <row r="76" spans="1:26" ht="15.75" hidden="1" customHeight="1" outlineLevel="1" x14ac:dyDescent="0.3">
      <c r="A76" s="3"/>
      <c r="B76" s="109" t="s">
        <v>497</v>
      </c>
      <c r="C76" s="62"/>
      <c r="D76" s="62"/>
      <c r="E76" s="12"/>
      <c r="F76" s="101"/>
      <c r="G76" s="67"/>
      <c r="H76" s="63"/>
      <c r="I76" s="63"/>
      <c r="J76" s="64"/>
      <c r="K76" s="12"/>
      <c r="L76" s="62" t="str">
        <f t="shared" si="3"/>
        <v/>
      </c>
      <c r="M76" s="12"/>
      <c r="N76" s="12"/>
      <c r="O76" s="12"/>
      <c r="P76" s="12"/>
      <c r="Q76" s="12"/>
      <c r="R76" s="12"/>
      <c r="S76" s="12"/>
      <c r="T76" s="12"/>
      <c r="U76" s="12"/>
      <c r="V76" s="65"/>
      <c r="W76" s="44" t="str">
        <f t="shared" si="2"/>
        <v>OK</v>
      </c>
      <c r="X76" s="47" t="str">
        <f t="shared" si="4"/>
        <v/>
      </c>
      <c r="Y76" s="3"/>
      <c r="Z76" s="127"/>
    </row>
    <row r="77" spans="1:26" ht="15.75" hidden="1" customHeight="1" outlineLevel="1" x14ac:dyDescent="0.3">
      <c r="A77" s="3"/>
      <c r="B77" s="150" t="s">
        <v>498</v>
      </c>
      <c r="C77" s="62"/>
      <c r="D77" s="62"/>
      <c r="E77" s="12"/>
      <c r="F77" s="101"/>
      <c r="G77" s="67"/>
      <c r="H77" s="63"/>
      <c r="I77" s="63"/>
      <c r="J77" s="64"/>
      <c r="K77" s="12"/>
      <c r="L77" s="62" t="str">
        <f t="shared" si="3"/>
        <v/>
      </c>
      <c r="M77" s="12"/>
      <c r="N77" s="12"/>
      <c r="O77" s="12"/>
      <c r="P77" s="12"/>
      <c r="Q77" s="12"/>
      <c r="R77" s="12"/>
      <c r="S77" s="12"/>
      <c r="T77" s="12"/>
      <c r="U77" s="12"/>
      <c r="V77" s="65"/>
      <c r="W77" s="44" t="str">
        <f t="shared" si="2"/>
        <v>OK</v>
      </c>
      <c r="X77" s="47" t="str">
        <f t="shared" si="4"/>
        <v/>
      </c>
      <c r="Y77" s="3"/>
      <c r="Z77" s="127"/>
    </row>
    <row r="78" spans="1:26" ht="15.75" hidden="1" customHeight="1" outlineLevel="1" x14ac:dyDescent="0.3">
      <c r="A78" s="3"/>
      <c r="B78" s="109" t="s">
        <v>499</v>
      </c>
      <c r="C78" s="62"/>
      <c r="D78" s="62"/>
      <c r="E78" s="12"/>
      <c r="F78" s="101"/>
      <c r="G78" s="70"/>
      <c r="H78" s="63"/>
      <c r="I78" s="63"/>
      <c r="J78" s="64"/>
      <c r="K78" s="12"/>
      <c r="L78" s="62" t="str">
        <f t="shared" si="3"/>
        <v/>
      </c>
      <c r="M78" s="12"/>
      <c r="N78" s="12"/>
      <c r="O78" s="12"/>
      <c r="P78" s="12"/>
      <c r="Q78" s="12"/>
      <c r="R78" s="12"/>
      <c r="S78" s="12"/>
      <c r="T78" s="12"/>
      <c r="U78" s="12"/>
      <c r="V78" s="65"/>
      <c r="W78" s="44" t="str">
        <f t="shared" si="2"/>
        <v>OK</v>
      </c>
      <c r="X78" s="47" t="str">
        <f t="shared" si="4"/>
        <v/>
      </c>
      <c r="Y78" s="3"/>
      <c r="Z78" s="127"/>
    </row>
    <row r="79" spans="1:26" ht="15.75" hidden="1" customHeight="1" outlineLevel="1" x14ac:dyDescent="0.3">
      <c r="A79" s="3"/>
      <c r="B79" s="150" t="s">
        <v>500</v>
      </c>
      <c r="C79" s="62"/>
      <c r="D79" s="62"/>
      <c r="E79" s="12"/>
      <c r="F79" s="101"/>
      <c r="G79" s="235"/>
      <c r="H79" s="63"/>
      <c r="I79" s="63"/>
      <c r="J79" s="64"/>
      <c r="K79" s="12"/>
      <c r="L79" s="62" t="str">
        <f t="shared" si="3"/>
        <v/>
      </c>
      <c r="M79" s="12"/>
      <c r="N79" s="12"/>
      <c r="O79" s="12"/>
      <c r="P79" s="12"/>
      <c r="Q79" s="12"/>
      <c r="R79" s="12"/>
      <c r="S79" s="12"/>
      <c r="T79" s="12"/>
      <c r="U79" s="12"/>
      <c r="V79" s="65"/>
      <c r="W79" s="44" t="str">
        <f t="shared" si="2"/>
        <v>OK</v>
      </c>
      <c r="X79" s="47" t="str">
        <f t="shared" si="4"/>
        <v/>
      </c>
      <c r="Y79" s="3"/>
      <c r="Z79" s="127"/>
    </row>
    <row r="80" spans="1:26" ht="15.75" hidden="1" customHeight="1" outlineLevel="1" x14ac:dyDescent="0.3">
      <c r="A80" s="3"/>
      <c r="B80" s="150" t="s">
        <v>501</v>
      </c>
      <c r="C80" s="62"/>
      <c r="D80" s="62"/>
      <c r="E80" s="12"/>
      <c r="F80" s="101"/>
      <c r="G80" s="234"/>
      <c r="H80" s="63"/>
      <c r="I80" s="63"/>
      <c r="J80" s="64"/>
      <c r="K80" s="12"/>
      <c r="L80" s="62" t="str">
        <f t="shared" si="3"/>
        <v/>
      </c>
      <c r="M80" s="12"/>
      <c r="N80" s="12"/>
      <c r="O80" s="12"/>
      <c r="P80" s="12"/>
      <c r="Q80" s="12"/>
      <c r="R80" s="12"/>
      <c r="S80" s="12"/>
      <c r="T80" s="12"/>
      <c r="U80" s="12"/>
      <c r="V80" s="65"/>
      <c r="W80" s="44" t="str">
        <f t="shared" si="2"/>
        <v>OK</v>
      </c>
      <c r="X80" s="47" t="str">
        <f t="shared" si="4"/>
        <v/>
      </c>
      <c r="Y80" s="3"/>
      <c r="Z80" s="127"/>
    </row>
    <row r="81" spans="1:26" ht="15.75" hidden="1" customHeight="1" outlineLevel="1" x14ac:dyDescent="0.3">
      <c r="A81" s="3"/>
      <c r="B81" s="109" t="s">
        <v>502</v>
      </c>
      <c r="C81" s="62"/>
      <c r="D81" s="62"/>
      <c r="E81" s="12"/>
      <c r="F81" s="101"/>
      <c r="G81" s="232"/>
      <c r="H81" s="63"/>
      <c r="I81" s="63"/>
      <c r="J81" s="64"/>
      <c r="K81" s="12"/>
      <c r="L81" s="62" t="str">
        <f t="shared" si="3"/>
        <v/>
      </c>
      <c r="M81" s="12"/>
      <c r="N81" s="12"/>
      <c r="O81" s="12"/>
      <c r="P81" s="12"/>
      <c r="Q81" s="12"/>
      <c r="R81" s="12"/>
      <c r="S81" s="12"/>
      <c r="T81" s="12"/>
      <c r="U81" s="12"/>
      <c r="V81" s="65"/>
      <c r="W81" s="44" t="str">
        <f t="shared" si="2"/>
        <v>OK</v>
      </c>
      <c r="X81" s="47" t="str">
        <f t="shared" si="4"/>
        <v/>
      </c>
      <c r="Y81" s="3"/>
      <c r="Z81" s="127"/>
    </row>
    <row r="82" spans="1:26" ht="15.75" hidden="1" customHeight="1" outlineLevel="1" x14ac:dyDescent="0.3">
      <c r="A82" s="3"/>
      <c r="B82" s="109" t="s">
        <v>503</v>
      </c>
      <c r="C82" s="62"/>
      <c r="D82" s="62"/>
      <c r="E82" s="12"/>
      <c r="F82" s="101"/>
      <c r="G82" s="234"/>
      <c r="H82" s="63"/>
      <c r="I82" s="63"/>
      <c r="J82" s="64"/>
      <c r="K82" s="12"/>
      <c r="L82" s="62" t="str">
        <f t="shared" si="3"/>
        <v/>
      </c>
      <c r="M82" s="12"/>
      <c r="N82" s="12"/>
      <c r="O82" s="12"/>
      <c r="P82" s="12"/>
      <c r="Q82" s="12"/>
      <c r="R82" s="12"/>
      <c r="S82" s="12"/>
      <c r="T82" s="12"/>
      <c r="U82" s="12"/>
      <c r="V82" s="65"/>
      <c r="W82" s="44" t="str">
        <f t="shared" si="2"/>
        <v>OK</v>
      </c>
      <c r="X82" s="47" t="str">
        <f t="shared" si="4"/>
        <v/>
      </c>
      <c r="Y82" s="3"/>
      <c r="Z82" s="127"/>
    </row>
    <row r="83" spans="1:26" ht="15.75" hidden="1" customHeight="1" outlineLevel="1" x14ac:dyDescent="0.3">
      <c r="A83" s="3"/>
      <c r="B83" s="150" t="s">
        <v>504</v>
      </c>
      <c r="C83" s="62"/>
      <c r="D83" s="62"/>
      <c r="E83" s="12"/>
      <c r="F83" s="101"/>
      <c r="G83" s="232"/>
      <c r="H83" s="63"/>
      <c r="I83" s="63"/>
      <c r="J83" s="64"/>
      <c r="K83" s="12"/>
      <c r="L83" s="62" t="str">
        <f t="shared" si="3"/>
        <v/>
      </c>
      <c r="M83" s="12"/>
      <c r="N83" s="12"/>
      <c r="O83" s="12"/>
      <c r="P83" s="12"/>
      <c r="Q83" s="12"/>
      <c r="R83" s="12"/>
      <c r="S83" s="12"/>
      <c r="T83" s="12"/>
      <c r="U83" s="12"/>
      <c r="V83" s="65"/>
      <c r="W83" s="44" t="str">
        <f t="shared" si="2"/>
        <v>OK</v>
      </c>
      <c r="X83" s="47" t="str">
        <f t="shared" si="4"/>
        <v/>
      </c>
      <c r="Y83" s="3"/>
      <c r="Z83" s="127"/>
    </row>
    <row r="84" spans="1:26" ht="15.75" hidden="1" customHeight="1" outlineLevel="1" x14ac:dyDescent="0.3">
      <c r="A84" s="3"/>
      <c r="B84" s="150" t="s">
        <v>506</v>
      </c>
      <c r="C84" s="62"/>
      <c r="D84" s="62"/>
      <c r="E84" s="12"/>
      <c r="F84" s="101"/>
      <c r="G84" s="234"/>
      <c r="H84" s="63"/>
      <c r="I84" s="63"/>
      <c r="J84" s="64"/>
      <c r="K84" s="12"/>
      <c r="L84" s="62" t="str">
        <f t="shared" si="3"/>
        <v/>
      </c>
      <c r="M84" s="12"/>
      <c r="N84" s="12"/>
      <c r="O84" s="12"/>
      <c r="P84" s="12"/>
      <c r="Q84" s="12"/>
      <c r="R84" s="12"/>
      <c r="S84" s="12"/>
      <c r="T84" s="12"/>
      <c r="U84" s="12"/>
      <c r="V84" s="65"/>
      <c r="W84" s="44" t="str">
        <f t="shared" si="2"/>
        <v>OK</v>
      </c>
      <c r="X84" s="47" t="str">
        <f t="shared" si="4"/>
        <v/>
      </c>
      <c r="Y84" s="3"/>
      <c r="Z84" s="127"/>
    </row>
    <row r="85" spans="1:26" ht="15.75" hidden="1" customHeight="1" outlineLevel="1" x14ac:dyDescent="0.3">
      <c r="A85" s="3"/>
      <c r="B85" s="109" t="s">
        <v>1514</v>
      </c>
      <c r="C85" s="62"/>
      <c r="D85" s="62"/>
      <c r="E85" s="12"/>
      <c r="F85" s="101"/>
      <c r="G85" s="67"/>
      <c r="H85" s="63"/>
      <c r="I85" s="63"/>
      <c r="J85" s="64"/>
      <c r="K85" s="12"/>
      <c r="L85" s="62" t="str">
        <f t="shared" si="3"/>
        <v/>
      </c>
      <c r="M85" s="12"/>
      <c r="N85" s="12"/>
      <c r="O85" s="12"/>
      <c r="P85" s="12"/>
      <c r="Q85" s="12"/>
      <c r="R85" s="12"/>
      <c r="S85" s="12"/>
      <c r="T85" s="12"/>
      <c r="U85" s="12"/>
      <c r="V85" s="65"/>
      <c r="W85" s="44" t="str">
        <f t="shared" si="2"/>
        <v>OK</v>
      </c>
      <c r="X85" s="47" t="str">
        <f t="shared" si="4"/>
        <v/>
      </c>
      <c r="Y85" s="3"/>
      <c r="Z85" s="127"/>
    </row>
    <row r="86" spans="1:26" ht="15.75" hidden="1" customHeight="1" outlineLevel="1" x14ac:dyDescent="0.3">
      <c r="A86" s="3"/>
      <c r="B86" s="150" t="s">
        <v>508</v>
      </c>
      <c r="C86" s="62"/>
      <c r="D86" s="62"/>
      <c r="E86" s="12"/>
      <c r="F86" s="101"/>
      <c r="G86" s="232"/>
      <c r="H86" s="63"/>
      <c r="I86" s="63"/>
      <c r="J86" s="64"/>
      <c r="K86" s="12"/>
      <c r="L86" s="62" t="str">
        <f t="shared" si="3"/>
        <v/>
      </c>
      <c r="M86" s="12"/>
      <c r="N86" s="12"/>
      <c r="O86" s="12"/>
      <c r="P86" s="12"/>
      <c r="Q86" s="12"/>
      <c r="R86" s="12"/>
      <c r="S86" s="12"/>
      <c r="T86" s="12"/>
      <c r="U86" s="12"/>
      <c r="V86" s="65"/>
      <c r="W86" s="44" t="str">
        <f t="shared" si="2"/>
        <v>OK</v>
      </c>
      <c r="X86" s="47" t="str">
        <f t="shared" si="4"/>
        <v/>
      </c>
      <c r="Y86" s="3"/>
      <c r="Z86" s="127"/>
    </row>
    <row r="87" spans="1:26" ht="15.75" hidden="1" customHeight="1" outlineLevel="1" x14ac:dyDescent="0.3">
      <c r="A87" s="3"/>
      <c r="B87" s="150" t="s">
        <v>509</v>
      </c>
      <c r="C87" s="62"/>
      <c r="D87" s="62"/>
      <c r="E87" s="12"/>
      <c r="F87" s="101"/>
      <c r="G87" s="234"/>
      <c r="H87" s="63"/>
      <c r="I87" s="63"/>
      <c r="J87" s="64"/>
      <c r="K87" s="12"/>
      <c r="L87" s="62" t="str">
        <f t="shared" si="3"/>
        <v/>
      </c>
      <c r="M87" s="12"/>
      <c r="N87" s="12"/>
      <c r="O87" s="12"/>
      <c r="P87" s="12"/>
      <c r="Q87" s="12"/>
      <c r="R87" s="12"/>
      <c r="S87" s="12"/>
      <c r="T87" s="12"/>
      <c r="U87" s="12"/>
      <c r="V87" s="65"/>
      <c r="W87" s="44" t="str">
        <f t="shared" si="2"/>
        <v>OK</v>
      </c>
      <c r="X87" s="47" t="str">
        <f t="shared" si="4"/>
        <v/>
      </c>
      <c r="Y87" s="3"/>
      <c r="Z87" s="127"/>
    </row>
    <row r="88" spans="1:26" ht="15.75" hidden="1" customHeight="1" outlineLevel="1" x14ac:dyDescent="0.3">
      <c r="A88" s="3"/>
      <c r="B88" s="109" t="s">
        <v>1515</v>
      </c>
      <c r="C88" s="62"/>
      <c r="D88" s="62"/>
      <c r="E88" s="12"/>
      <c r="F88" s="101"/>
      <c r="G88" s="67"/>
      <c r="H88" s="63"/>
      <c r="I88" s="63"/>
      <c r="J88" s="64"/>
      <c r="K88" s="12"/>
      <c r="L88" s="62" t="str">
        <f t="shared" si="3"/>
        <v/>
      </c>
      <c r="M88" s="12"/>
      <c r="N88" s="12"/>
      <c r="O88" s="12"/>
      <c r="P88" s="12"/>
      <c r="Q88" s="12"/>
      <c r="R88" s="12"/>
      <c r="S88" s="12"/>
      <c r="T88" s="12"/>
      <c r="U88" s="12"/>
      <c r="V88" s="65"/>
      <c r="W88" s="44" t="str">
        <f t="shared" si="2"/>
        <v>OK</v>
      </c>
      <c r="X88" s="47" t="str">
        <f t="shared" si="4"/>
        <v/>
      </c>
      <c r="Y88" s="3"/>
      <c r="Z88" s="127"/>
    </row>
    <row r="89" spans="1:26" ht="15.75" hidden="1" customHeight="1" outlineLevel="1" x14ac:dyDescent="0.3">
      <c r="A89" s="3"/>
      <c r="B89" s="150" t="s">
        <v>510</v>
      </c>
      <c r="C89" s="62"/>
      <c r="D89" s="62"/>
      <c r="E89" s="12"/>
      <c r="F89" s="101"/>
      <c r="G89" s="67"/>
      <c r="H89" s="63"/>
      <c r="I89" s="63"/>
      <c r="J89" s="64"/>
      <c r="K89" s="12"/>
      <c r="L89" s="62" t="str">
        <f t="shared" si="3"/>
        <v/>
      </c>
      <c r="M89" s="12"/>
      <c r="N89" s="12"/>
      <c r="O89" s="12"/>
      <c r="P89" s="12"/>
      <c r="Q89" s="12"/>
      <c r="R89" s="12"/>
      <c r="S89" s="12"/>
      <c r="T89" s="12"/>
      <c r="U89" s="12"/>
      <c r="V89" s="65"/>
      <c r="W89" s="44" t="str">
        <f t="shared" si="2"/>
        <v>OK</v>
      </c>
      <c r="X89" s="47" t="str">
        <f t="shared" si="4"/>
        <v/>
      </c>
      <c r="Y89" s="3"/>
      <c r="Z89" s="127"/>
    </row>
    <row r="90" spans="1:26" ht="15.75" hidden="1" customHeight="1" outlineLevel="1" x14ac:dyDescent="0.3">
      <c r="A90" s="3"/>
      <c r="B90" s="109" t="s">
        <v>512</v>
      </c>
      <c r="C90" s="62"/>
      <c r="D90" s="62"/>
      <c r="E90" s="12"/>
      <c r="F90" s="101"/>
      <c r="G90" s="232"/>
      <c r="H90" s="63"/>
      <c r="I90" s="63"/>
      <c r="J90" s="64"/>
      <c r="K90" s="12"/>
      <c r="L90" s="62" t="str">
        <f t="shared" si="3"/>
        <v/>
      </c>
      <c r="M90" s="12"/>
      <c r="N90" s="12"/>
      <c r="O90" s="12"/>
      <c r="P90" s="12"/>
      <c r="Q90" s="12"/>
      <c r="R90" s="12"/>
      <c r="S90" s="12"/>
      <c r="T90" s="12"/>
      <c r="U90" s="12"/>
      <c r="V90" s="65"/>
      <c r="W90" s="44" t="str">
        <f t="shared" si="2"/>
        <v>OK</v>
      </c>
      <c r="X90" s="47" t="str">
        <f t="shared" si="4"/>
        <v/>
      </c>
      <c r="Y90" s="3"/>
      <c r="Z90" s="127"/>
    </row>
    <row r="91" spans="1:26" ht="15.75" hidden="1" customHeight="1" outlineLevel="1" x14ac:dyDescent="0.3">
      <c r="A91" s="3"/>
      <c r="B91" s="109" t="s">
        <v>513</v>
      </c>
      <c r="C91" s="62"/>
      <c r="D91" s="62"/>
      <c r="E91" s="12"/>
      <c r="F91" s="101"/>
      <c r="G91" s="234"/>
      <c r="H91" s="63"/>
      <c r="I91" s="63"/>
      <c r="J91" s="64"/>
      <c r="K91" s="12"/>
      <c r="L91" s="62" t="str">
        <f t="shared" si="3"/>
        <v/>
      </c>
      <c r="M91" s="12"/>
      <c r="N91" s="12"/>
      <c r="O91" s="12"/>
      <c r="P91" s="12"/>
      <c r="Q91" s="12"/>
      <c r="R91" s="12"/>
      <c r="S91" s="12"/>
      <c r="T91" s="12"/>
      <c r="U91" s="12"/>
      <c r="V91" s="65"/>
      <c r="W91" s="44" t="str">
        <f t="shared" si="2"/>
        <v>OK</v>
      </c>
      <c r="X91" s="47" t="str">
        <f t="shared" si="4"/>
        <v/>
      </c>
      <c r="Y91" s="3"/>
      <c r="Z91" s="127"/>
    </row>
    <row r="92" spans="1:26" ht="15.75" hidden="1" customHeight="1" outlineLevel="1" x14ac:dyDescent="0.3">
      <c r="A92" s="3"/>
      <c r="B92" s="150" t="s">
        <v>514</v>
      </c>
      <c r="C92" s="62"/>
      <c r="D92" s="62"/>
      <c r="E92" s="12"/>
      <c r="F92" s="101"/>
      <c r="G92" s="67"/>
      <c r="H92" s="63"/>
      <c r="I92" s="63"/>
      <c r="J92" s="64"/>
      <c r="K92" s="12"/>
      <c r="L92" s="62" t="str">
        <f t="shared" si="3"/>
        <v/>
      </c>
      <c r="M92" s="12"/>
      <c r="N92" s="12"/>
      <c r="O92" s="12"/>
      <c r="P92" s="12"/>
      <c r="Q92" s="12"/>
      <c r="R92" s="12"/>
      <c r="S92" s="12"/>
      <c r="T92" s="12"/>
      <c r="U92" s="12"/>
      <c r="V92" s="65"/>
      <c r="W92" s="44" t="str">
        <f t="shared" si="2"/>
        <v>OK</v>
      </c>
      <c r="X92" s="47" t="str">
        <f t="shared" si="4"/>
        <v/>
      </c>
      <c r="Y92" s="3"/>
      <c r="Z92" s="127"/>
    </row>
    <row r="93" spans="1:26" ht="15.75" hidden="1" customHeight="1" outlineLevel="1" x14ac:dyDescent="0.3">
      <c r="A93" s="3"/>
      <c r="B93" s="109" t="s">
        <v>515</v>
      </c>
      <c r="C93" s="62"/>
      <c r="D93" s="62"/>
      <c r="E93" s="12"/>
      <c r="F93" s="101"/>
      <c r="G93" s="232"/>
      <c r="H93" s="63"/>
      <c r="I93" s="63"/>
      <c r="J93" s="64"/>
      <c r="K93" s="12"/>
      <c r="L93" s="62" t="str">
        <f t="shared" si="3"/>
        <v/>
      </c>
      <c r="M93" s="12"/>
      <c r="N93" s="12"/>
      <c r="O93" s="12"/>
      <c r="P93" s="12"/>
      <c r="Q93" s="12"/>
      <c r="R93" s="12"/>
      <c r="S93" s="12"/>
      <c r="T93" s="12"/>
      <c r="U93" s="12"/>
      <c r="V93" s="65"/>
      <c r="W93" s="44" t="str">
        <f t="shared" si="2"/>
        <v>OK</v>
      </c>
      <c r="X93" s="47" t="str">
        <f t="shared" si="4"/>
        <v/>
      </c>
      <c r="Y93" s="3"/>
      <c r="Z93" s="127"/>
    </row>
    <row r="94" spans="1:26" ht="15.75" hidden="1" customHeight="1" outlineLevel="1" x14ac:dyDescent="0.3">
      <c r="A94" s="3"/>
      <c r="B94" s="109" t="s">
        <v>516</v>
      </c>
      <c r="C94" s="62"/>
      <c r="D94" s="62"/>
      <c r="E94" s="12"/>
      <c r="F94" s="101"/>
      <c r="G94" s="234"/>
      <c r="H94" s="63"/>
      <c r="I94" s="63"/>
      <c r="J94" s="64"/>
      <c r="K94" s="12"/>
      <c r="L94" s="62" t="str">
        <f t="shared" si="3"/>
        <v/>
      </c>
      <c r="M94" s="12"/>
      <c r="N94" s="12"/>
      <c r="O94" s="12"/>
      <c r="P94" s="12"/>
      <c r="Q94" s="12"/>
      <c r="R94" s="12"/>
      <c r="S94" s="12"/>
      <c r="T94" s="12"/>
      <c r="U94" s="12"/>
      <c r="V94" s="65"/>
      <c r="W94" s="44" t="str">
        <f t="shared" si="2"/>
        <v>OK</v>
      </c>
      <c r="X94" s="47" t="str">
        <f t="shared" si="4"/>
        <v/>
      </c>
      <c r="Y94" s="3"/>
      <c r="Z94" s="127"/>
    </row>
    <row r="95" spans="1:26" ht="15.75" hidden="1" customHeight="1" outlineLevel="1" x14ac:dyDescent="0.3">
      <c r="A95" s="3"/>
      <c r="B95" s="150" t="s">
        <v>517</v>
      </c>
      <c r="C95" s="62"/>
      <c r="D95" s="62"/>
      <c r="E95" s="12"/>
      <c r="F95" s="101"/>
      <c r="G95" s="67"/>
      <c r="H95" s="63"/>
      <c r="I95" s="63"/>
      <c r="J95" s="64"/>
      <c r="K95" s="12"/>
      <c r="L95" s="62" t="str">
        <f t="shared" si="3"/>
        <v/>
      </c>
      <c r="M95" s="12"/>
      <c r="N95" s="12"/>
      <c r="O95" s="12"/>
      <c r="P95" s="12"/>
      <c r="Q95" s="12"/>
      <c r="R95" s="12"/>
      <c r="S95" s="12"/>
      <c r="T95" s="12"/>
      <c r="U95" s="12"/>
      <c r="V95" s="65"/>
      <c r="W95" s="44" t="str">
        <f t="shared" si="2"/>
        <v>OK</v>
      </c>
      <c r="X95" s="47" t="str">
        <f t="shared" si="4"/>
        <v/>
      </c>
      <c r="Y95" s="3"/>
      <c r="Z95" s="127"/>
    </row>
    <row r="96" spans="1:26" ht="15.75" hidden="1" customHeight="1" outlineLevel="1" x14ac:dyDescent="0.3">
      <c r="A96" s="3"/>
      <c r="B96" s="109" t="s">
        <v>518</v>
      </c>
      <c r="C96" s="80"/>
      <c r="D96" s="62"/>
      <c r="E96" s="12"/>
      <c r="F96" s="101"/>
      <c r="G96" s="67"/>
      <c r="H96" s="63"/>
      <c r="I96" s="63"/>
      <c r="J96" s="64"/>
      <c r="K96" s="12"/>
      <c r="L96" s="62" t="str">
        <f t="shared" si="3"/>
        <v/>
      </c>
      <c r="M96" s="12"/>
      <c r="N96" s="12"/>
      <c r="O96" s="12"/>
      <c r="P96" s="12"/>
      <c r="Q96" s="12"/>
      <c r="R96" s="12"/>
      <c r="S96" s="12"/>
      <c r="T96" s="12"/>
      <c r="U96" s="12"/>
      <c r="V96" s="65"/>
      <c r="W96" s="44" t="str">
        <f t="shared" si="2"/>
        <v>OK</v>
      </c>
      <c r="X96" s="47" t="str">
        <f t="shared" si="4"/>
        <v/>
      </c>
      <c r="Y96" s="3"/>
      <c r="Z96" s="127"/>
    </row>
    <row r="97" spans="1:26" ht="15.75" hidden="1" customHeight="1" outlineLevel="1" x14ac:dyDescent="0.3">
      <c r="A97" s="3"/>
      <c r="B97" s="150" t="s">
        <v>519</v>
      </c>
      <c r="C97" s="62"/>
      <c r="D97" s="62"/>
      <c r="E97" s="12"/>
      <c r="F97" s="101"/>
      <c r="G97" s="67"/>
      <c r="H97" s="63"/>
      <c r="I97" s="63"/>
      <c r="J97" s="64"/>
      <c r="K97" s="12"/>
      <c r="L97" s="62" t="str">
        <f t="shared" si="3"/>
        <v/>
      </c>
      <c r="M97" s="12"/>
      <c r="N97" s="12"/>
      <c r="O97" s="12"/>
      <c r="P97" s="12"/>
      <c r="Q97" s="12"/>
      <c r="R97" s="12"/>
      <c r="S97" s="12"/>
      <c r="T97" s="12"/>
      <c r="U97" s="12"/>
      <c r="V97" s="65"/>
      <c r="W97" s="44" t="str">
        <f t="shared" si="2"/>
        <v>OK</v>
      </c>
      <c r="X97" s="47" t="str">
        <f t="shared" si="4"/>
        <v/>
      </c>
      <c r="Y97" s="3"/>
      <c r="Z97" s="127"/>
    </row>
    <row r="98" spans="1:26" ht="15.75" hidden="1" customHeight="1" outlineLevel="1" x14ac:dyDescent="0.3">
      <c r="A98" s="3"/>
      <c r="B98" s="109" t="s">
        <v>520</v>
      </c>
      <c r="C98" s="62"/>
      <c r="D98" s="62"/>
      <c r="E98" s="12"/>
      <c r="F98" s="101"/>
      <c r="G98" s="70"/>
      <c r="H98" s="63"/>
      <c r="I98" s="63"/>
      <c r="J98" s="64"/>
      <c r="K98" s="12"/>
      <c r="L98" s="62" t="str">
        <f t="shared" si="3"/>
        <v/>
      </c>
      <c r="M98" s="12"/>
      <c r="N98" s="12"/>
      <c r="O98" s="12"/>
      <c r="P98" s="12"/>
      <c r="Q98" s="12"/>
      <c r="R98" s="12"/>
      <c r="S98" s="12"/>
      <c r="T98" s="12"/>
      <c r="U98" s="12"/>
      <c r="V98" s="65"/>
      <c r="W98" s="44" t="str">
        <f t="shared" si="2"/>
        <v>OK</v>
      </c>
      <c r="X98" s="47" t="str">
        <f t="shared" si="4"/>
        <v/>
      </c>
      <c r="Y98" s="3"/>
      <c r="Z98" s="127"/>
    </row>
    <row r="99" spans="1:26" ht="15.75" hidden="1" customHeight="1" outlineLevel="1" x14ac:dyDescent="0.3">
      <c r="A99" s="3"/>
      <c r="B99" s="150" t="s">
        <v>522</v>
      </c>
      <c r="C99" s="62"/>
      <c r="D99" s="62"/>
      <c r="E99" s="12"/>
      <c r="F99" s="101"/>
      <c r="G99" s="67"/>
      <c r="H99" s="63"/>
      <c r="I99" s="63"/>
      <c r="J99" s="64"/>
      <c r="K99" s="12"/>
      <c r="L99" s="62" t="str">
        <f t="shared" si="3"/>
        <v/>
      </c>
      <c r="M99" s="12"/>
      <c r="N99" s="12"/>
      <c r="O99" s="12"/>
      <c r="P99" s="12"/>
      <c r="Q99" s="12"/>
      <c r="R99" s="12"/>
      <c r="S99" s="12"/>
      <c r="T99" s="12"/>
      <c r="U99" s="12"/>
      <c r="V99" s="65"/>
      <c r="W99" s="44" t="str">
        <f t="shared" si="2"/>
        <v>OK</v>
      </c>
      <c r="X99" s="47" t="str">
        <f t="shared" si="4"/>
        <v/>
      </c>
      <c r="Y99" s="3"/>
      <c r="Z99" s="3"/>
    </row>
    <row r="100" spans="1:26" ht="15.75" hidden="1" customHeight="1" outlineLevel="1" x14ac:dyDescent="0.3">
      <c r="A100" s="3"/>
      <c r="B100" s="109" t="s">
        <v>523</v>
      </c>
      <c r="C100" s="62"/>
      <c r="D100" s="62"/>
      <c r="E100" s="12"/>
      <c r="F100" s="101"/>
      <c r="G100" s="67"/>
      <c r="H100" s="63"/>
      <c r="I100" s="63"/>
      <c r="J100" s="64"/>
      <c r="K100" s="62"/>
      <c r="L100" s="62" t="str">
        <f t="shared" si="3"/>
        <v/>
      </c>
      <c r="M100" s="12"/>
      <c r="N100" s="12"/>
      <c r="O100" s="12"/>
      <c r="P100" s="12"/>
      <c r="Q100" s="12"/>
      <c r="R100" s="12"/>
      <c r="S100" s="12"/>
      <c r="T100" s="12"/>
      <c r="U100" s="12"/>
      <c r="V100" s="65"/>
      <c r="W100" s="44" t="str">
        <f t="shared" si="2"/>
        <v>OK</v>
      </c>
      <c r="X100" s="47" t="str">
        <f t="shared" si="4"/>
        <v/>
      </c>
      <c r="Y100" s="3"/>
      <c r="Z100" s="3"/>
    </row>
    <row r="101" spans="1:26" ht="15.75" hidden="1" customHeight="1" outlineLevel="1" x14ac:dyDescent="0.3">
      <c r="A101" s="3"/>
      <c r="B101" s="150" t="s">
        <v>524</v>
      </c>
      <c r="C101" s="62"/>
      <c r="D101" s="62"/>
      <c r="E101" s="12"/>
      <c r="F101" s="101"/>
      <c r="G101" s="232"/>
      <c r="H101" s="63"/>
      <c r="I101" s="63"/>
      <c r="J101" s="64"/>
      <c r="K101" s="62"/>
      <c r="L101" s="62" t="str">
        <f t="shared" si="3"/>
        <v/>
      </c>
      <c r="M101" s="12"/>
      <c r="N101" s="12"/>
      <c r="O101" s="12"/>
      <c r="P101" s="12"/>
      <c r="Q101" s="12"/>
      <c r="R101" s="12"/>
      <c r="S101" s="12"/>
      <c r="T101" s="12"/>
      <c r="U101" s="12"/>
      <c r="V101" s="65"/>
      <c r="W101" s="44" t="str">
        <f t="shared" si="2"/>
        <v>OK</v>
      </c>
      <c r="X101" s="47" t="str">
        <f t="shared" si="4"/>
        <v/>
      </c>
      <c r="Y101" s="3"/>
      <c r="Z101" s="3"/>
    </row>
    <row r="102" spans="1:26" ht="15.75" hidden="1" customHeight="1" outlineLevel="1" x14ac:dyDescent="0.3">
      <c r="A102" s="3"/>
      <c r="B102" s="150" t="s">
        <v>525</v>
      </c>
      <c r="C102" s="62"/>
      <c r="D102" s="62"/>
      <c r="E102" s="12"/>
      <c r="F102" s="101"/>
      <c r="G102" s="234"/>
      <c r="H102" s="63"/>
      <c r="I102" s="63"/>
      <c r="J102" s="64"/>
      <c r="K102" s="62"/>
      <c r="L102" s="62" t="str">
        <f t="shared" si="3"/>
        <v/>
      </c>
      <c r="M102" s="12"/>
      <c r="N102" s="12"/>
      <c r="O102" s="12"/>
      <c r="P102" s="12"/>
      <c r="Q102" s="12"/>
      <c r="R102" s="12"/>
      <c r="S102" s="12"/>
      <c r="T102" s="12"/>
      <c r="U102" s="12"/>
      <c r="V102" s="65"/>
      <c r="W102" s="44" t="str">
        <f t="shared" si="2"/>
        <v>OK</v>
      </c>
      <c r="X102" s="47" t="str">
        <f t="shared" si="4"/>
        <v/>
      </c>
      <c r="Y102" s="3"/>
      <c r="Z102" s="3"/>
    </row>
    <row r="103" spans="1:26" ht="15.75" hidden="1" customHeight="1" outlineLevel="1" x14ac:dyDescent="0.3">
      <c r="A103" s="3"/>
      <c r="B103" s="10"/>
      <c r="C103" s="62"/>
      <c r="D103" s="62"/>
      <c r="E103" s="12"/>
      <c r="F103" s="12"/>
      <c r="G103" s="67"/>
      <c r="H103" s="63"/>
      <c r="I103" s="63"/>
      <c r="J103" s="64"/>
      <c r="K103" s="62"/>
      <c r="L103" s="62" t="str">
        <f t="shared" si="3"/>
        <v/>
      </c>
      <c r="M103" s="12"/>
      <c r="N103" s="12"/>
      <c r="O103" s="12"/>
      <c r="P103" s="12"/>
      <c r="Q103" s="12"/>
      <c r="R103" s="12"/>
      <c r="S103" s="12"/>
      <c r="T103" s="12"/>
      <c r="U103" s="12"/>
      <c r="V103" s="65"/>
      <c r="W103" s="44" t="str">
        <f t="shared" si="2"/>
        <v>OK</v>
      </c>
      <c r="X103" s="47" t="str">
        <f t="shared" si="4"/>
        <v/>
      </c>
      <c r="Y103" s="3"/>
      <c r="Z103" s="3"/>
    </row>
    <row r="104" spans="1:26" ht="15.75" hidden="1" customHeight="1" outlineLevel="1" x14ac:dyDescent="0.3">
      <c r="A104" s="3"/>
      <c r="B104" s="10"/>
      <c r="C104" s="62"/>
      <c r="D104" s="62"/>
      <c r="E104" s="12"/>
      <c r="F104" s="12"/>
      <c r="G104" s="67"/>
      <c r="H104" s="63"/>
      <c r="I104" s="63"/>
      <c r="J104" s="64"/>
      <c r="K104" s="62"/>
      <c r="L104" s="62" t="str">
        <f t="shared" si="3"/>
        <v/>
      </c>
      <c r="M104" s="12"/>
      <c r="N104" s="12"/>
      <c r="O104" s="12"/>
      <c r="P104" s="12"/>
      <c r="Q104" s="12"/>
      <c r="R104" s="12"/>
      <c r="S104" s="12"/>
      <c r="T104" s="12"/>
      <c r="U104" s="12"/>
      <c r="V104" s="62"/>
      <c r="W104" s="44" t="str">
        <f t="shared" si="2"/>
        <v>OK</v>
      </c>
      <c r="X104" s="47" t="str">
        <f t="shared" si="4"/>
        <v/>
      </c>
      <c r="Y104" s="3"/>
      <c r="Z104" s="3"/>
    </row>
    <row r="105" spans="1:26" ht="15.75" hidden="1" customHeight="1" outlineLevel="1" x14ac:dyDescent="0.3">
      <c r="A105" s="3"/>
      <c r="B105" s="10"/>
      <c r="C105" s="62"/>
      <c r="D105" s="62"/>
      <c r="E105" s="12"/>
      <c r="F105" s="12"/>
      <c r="G105" s="67"/>
      <c r="H105" s="63"/>
      <c r="I105" s="63"/>
      <c r="J105" s="64"/>
      <c r="K105" s="62"/>
      <c r="L105" s="62" t="str">
        <f t="shared" si="3"/>
        <v/>
      </c>
      <c r="M105" s="12"/>
      <c r="N105" s="12"/>
      <c r="O105" s="12"/>
      <c r="P105" s="12"/>
      <c r="Q105" s="12"/>
      <c r="R105" s="12"/>
      <c r="S105" s="12"/>
      <c r="T105" s="12"/>
      <c r="U105" s="12"/>
      <c r="V105" s="62"/>
      <c r="W105" s="44" t="str">
        <f t="shared" si="2"/>
        <v>OK</v>
      </c>
      <c r="X105" s="47" t="str">
        <f t="shared" si="4"/>
        <v/>
      </c>
      <c r="Y105" s="3"/>
      <c r="Z105" s="3"/>
    </row>
    <row r="106" spans="1:26" ht="15.75" hidden="1" customHeight="1" outlineLevel="1" x14ac:dyDescent="0.3">
      <c r="A106" s="3"/>
      <c r="B106" s="10"/>
      <c r="C106" s="62"/>
      <c r="D106" s="62"/>
      <c r="E106" s="12"/>
      <c r="F106" s="12"/>
      <c r="G106" s="67"/>
      <c r="H106" s="63"/>
      <c r="I106" s="63"/>
      <c r="J106" s="64"/>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5.75" hidden="1" customHeight="1" outlineLevel="1" x14ac:dyDescent="0.3">
      <c r="A107" s="3"/>
      <c r="B107" s="10"/>
      <c r="C107" s="62"/>
      <c r="D107" s="62"/>
      <c r="E107" s="12"/>
      <c r="F107" s="12"/>
      <c r="G107" s="67"/>
      <c r="H107" s="63"/>
      <c r="I107" s="63"/>
      <c r="J107" s="64" t="s">
        <v>96</v>
      </c>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5.75" hidden="1" customHeight="1" outlineLevel="1" x14ac:dyDescent="0.3">
      <c r="A108" s="3"/>
      <c r="B108" s="10"/>
      <c r="C108" s="62"/>
      <c r="D108" s="62"/>
      <c r="E108" s="12"/>
      <c r="F108" s="12"/>
      <c r="G108" s="67"/>
      <c r="H108" s="63"/>
      <c r="I108" s="63"/>
      <c r="J108" s="64" t="s">
        <v>96</v>
      </c>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5.75" hidden="1" customHeight="1" outlineLevel="1" x14ac:dyDescent="0.3">
      <c r="A109" s="3"/>
      <c r="B109" s="10"/>
      <c r="C109" s="62"/>
      <c r="D109" s="62"/>
      <c r="E109" s="12"/>
      <c r="F109" s="12"/>
      <c r="G109" s="67"/>
      <c r="H109" s="63"/>
      <c r="I109" s="63"/>
      <c r="J109" s="64" t="s">
        <v>96</v>
      </c>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5.75" hidden="1" customHeight="1" outlineLevel="1" x14ac:dyDescent="0.3">
      <c r="A110" s="3"/>
      <c r="B110" s="10"/>
      <c r="C110" s="62"/>
      <c r="D110" s="62"/>
      <c r="E110" s="12"/>
      <c r="F110" s="12"/>
      <c r="G110" s="67"/>
      <c r="H110" s="63"/>
      <c r="I110" s="63"/>
      <c r="J110" s="64" t="s">
        <v>96</v>
      </c>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5.75" hidden="1" customHeight="1" outlineLevel="1" x14ac:dyDescent="0.3">
      <c r="A111" s="3"/>
      <c r="B111" s="10"/>
      <c r="C111" s="62"/>
      <c r="D111" s="62"/>
      <c r="E111" s="12"/>
      <c r="F111" s="12"/>
      <c r="G111" s="67"/>
      <c r="H111" s="63"/>
      <c r="I111" s="63"/>
      <c r="J111" s="64" t="s">
        <v>96</v>
      </c>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5.75" hidden="1" customHeight="1" outlineLevel="1" x14ac:dyDescent="0.3">
      <c r="A112" s="3"/>
      <c r="B112" s="10"/>
      <c r="C112" s="62"/>
      <c r="D112" s="62"/>
      <c r="E112" s="12"/>
      <c r="F112" s="12"/>
      <c r="G112" s="67"/>
      <c r="H112" s="63"/>
      <c r="I112" s="63"/>
      <c r="J112" s="64" t="s">
        <v>96</v>
      </c>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5.75" hidden="1" customHeight="1" outlineLevel="1" x14ac:dyDescent="0.3">
      <c r="A113" s="3"/>
      <c r="B113" s="10"/>
      <c r="C113" s="62"/>
      <c r="D113" s="62"/>
      <c r="E113" s="12"/>
      <c r="F113" s="12"/>
      <c r="G113" s="67"/>
      <c r="H113" s="63"/>
      <c r="I113" s="63"/>
      <c r="J113" s="64" t="s">
        <v>96</v>
      </c>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5.75" hidden="1" customHeight="1" outlineLevel="1" x14ac:dyDescent="0.3">
      <c r="A114" s="3"/>
      <c r="B114" s="10"/>
      <c r="C114" s="62"/>
      <c r="D114" s="62"/>
      <c r="E114" s="12"/>
      <c r="F114" s="12"/>
      <c r="G114" s="67"/>
      <c r="H114" s="63"/>
      <c r="I114" s="63"/>
      <c r="J114" s="64" t="s">
        <v>96</v>
      </c>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5.75" hidden="1" customHeight="1" outlineLevel="1" x14ac:dyDescent="0.3">
      <c r="A115" s="3"/>
      <c r="B115" s="10"/>
      <c r="C115" s="62"/>
      <c r="D115" s="62"/>
      <c r="E115" s="12"/>
      <c r="F115" s="12"/>
      <c r="G115" s="67"/>
      <c r="H115" s="63"/>
      <c r="I115" s="63"/>
      <c r="J115" s="64" t="s">
        <v>96</v>
      </c>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5.75" hidden="1" customHeight="1" outlineLevel="1" x14ac:dyDescent="0.3">
      <c r="A116" s="3"/>
      <c r="B116" s="10"/>
      <c r="C116" s="62"/>
      <c r="D116" s="62"/>
      <c r="E116" s="12"/>
      <c r="F116" s="12"/>
      <c r="G116" s="67"/>
      <c r="H116" s="63"/>
      <c r="I116" s="63"/>
      <c r="J116" s="64" t="s">
        <v>96</v>
      </c>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5.75" hidden="1" customHeight="1" outlineLevel="1" x14ac:dyDescent="0.3">
      <c r="A117" s="3"/>
      <c r="B117" s="10"/>
      <c r="C117" s="62"/>
      <c r="D117" s="62"/>
      <c r="E117" s="12"/>
      <c r="F117" s="12"/>
      <c r="G117" s="67"/>
      <c r="H117" s="63"/>
      <c r="I117" s="63"/>
      <c r="J117" s="64" t="s">
        <v>96</v>
      </c>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5.75" hidden="1" customHeight="1" outlineLevel="1" x14ac:dyDescent="0.3">
      <c r="A118" s="3"/>
      <c r="B118" s="10"/>
      <c r="C118" s="62"/>
      <c r="D118" s="62"/>
      <c r="E118" s="12"/>
      <c r="F118" s="12"/>
      <c r="G118" s="67"/>
      <c r="H118" s="63"/>
      <c r="I118" s="63"/>
      <c r="J118" s="64" t="s">
        <v>96</v>
      </c>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5.75" hidden="1" customHeight="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5.75" hidden="1" customHeight="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5.75" hidden="1" customHeight="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5.75" hidden="1" customHeight="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5.75" hidden="1" customHeight="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5.75" hidden="1" customHeight="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row>
    <row r="125" spans="1:26" ht="15.75" hidden="1" customHeight="1" outlineLevel="1" x14ac:dyDescent="0.3">
      <c r="A125" s="3"/>
      <c r="B125" s="10"/>
      <c r="C125" s="62"/>
      <c r="D125" s="62"/>
      <c r="E125" s="12"/>
      <c r="F125" s="12"/>
      <c r="G125" s="67"/>
      <c r="H125" s="63"/>
      <c r="I125" s="63"/>
      <c r="J125" s="64"/>
      <c r="K125" s="62"/>
      <c r="L125" s="62" t="str">
        <f t="shared" si="3"/>
        <v/>
      </c>
      <c r="M125" s="12"/>
      <c r="N125" s="12"/>
      <c r="O125" s="12"/>
      <c r="P125" s="12"/>
      <c r="Q125" s="12"/>
      <c r="R125" s="12"/>
      <c r="S125" s="12"/>
      <c r="T125" s="12"/>
      <c r="U125" s="12"/>
      <c r="V125" s="62"/>
      <c r="W125" s="44" t="str">
        <f t="shared" si="2"/>
        <v>OK</v>
      </c>
      <c r="X125" s="47" t="str">
        <f t="shared" si="4"/>
        <v/>
      </c>
      <c r="Y125" s="3"/>
      <c r="Z125" s="3"/>
    </row>
    <row r="126" spans="1:26" ht="19.5" customHeight="1" collapsed="1" x14ac:dyDescent="0.3">
      <c r="A126" s="3"/>
      <c r="B126" s="73" t="s">
        <v>62</v>
      </c>
      <c r="C126" s="56" t="s">
        <v>43</v>
      </c>
      <c r="D126" s="56" t="s">
        <v>43</v>
      </c>
      <c r="E126" s="57">
        <f t="shared" ref="E126:F126" si="5">SUM(E127,E130,,E134,E139,E146)</f>
        <v>0</v>
      </c>
      <c r="F126" s="57">
        <f t="shared" si="5"/>
        <v>0</v>
      </c>
      <c r="G126" s="58" t="s">
        <v>43</v>
      </c>
      <c r="H126" s="74"/>
      <c r="I126" s="74"/>
      <c r="J126" s="3"/>
      <c r="K126" s="3"/>
      <c r="L126" s="3"/>
      <c r="M126" s="3"/>
      <c r="N126" s="3"/>
      <c r="O126" s="3"/>
      <c r="P126" s="3"/>
      <c r="Q126" s="3"/>
      <c r="R126" s="3"/>
      <c r="S126" s="3"/>
      <c r="T126" s="3"/>
      <c r="U126" s="3"/>
      <c r="V126" s="3"/>
      <c r="W126" s="44"/>
      <c r="X126" s="41"/>
      <c r="Y126" s="3"/>
      <c r="Z126" s="3"/>
    </row>
    <row r="127" spans="1:26" ht="15.75" hidden="1" customHeight="1" outlineLevel="1" x14ac:dyDescent="0.3">
      <c r="A127" s="3"/>
      <c r="B127" s="75" t="s">
        <v>230</v>
      </c>
      <c r="C127" s="76" t="s">
        <v>43</v>
      </c>
      <c r="D127" s="76" t="s">
        <v>43</v>
      </c>
      <c r="E127" s="77">
        <f>SUM(E128:E129)</f>
        <v>0</v>
      </c>
      <c r="F127" s="77">
        <f>SUMIF(D128:D129,"OK",F128:F129)</f>
        <v>0</v>
      </c>
      <c r="G127" s="78" t="s">
        <v>43</v>
      </c>
      <c r="H127" s="79"/>
      <c r="I127" s="79"/>
      <c r="J127" s="3"/>
      <c r="K127" s="3"/>
      <c r="L127" s="3"/>
      <c r="M127" s="3"/>
      <c r="N127" s="3"/>
      <c r="O127" s="3"/>
      <c r="P127" s="3"/>
      <c r="Q127" s="3"/>
      <c r="R127" s="3"/>
      <c r="S127" s="3"/>
      <c r="T127" s="3"/>
      <c r="U127" s="3"/>
      <c r="V127" s="3"/>
      <c r="W127" s="44"/>
      <c r="X127" s="41"/>
      <c r="Y127" s="3"/>
      <c r="Z127" s="3"/>
    </row>
    <row r="128" spans="1:26" ht="15.75" hidden="1" customHeight="1" outlineLevel="1" x14ac:dyDescent="0.3">
      <c r="A128" s="3"/>
      <c r="B128" s="10" t="s">
        <v>231</v>
      </c>
      <c r="C128" s="62"/>
      <c r="D128" s="62"/>
      <c r="E128" s="12">
        <v>0</v>
      </c>
      <c r="F128" s="12">
        <v>0</v>
      </c>
      <c r="G128" s="70"/>
      <c r="H128" s="63" t="s">
        <v>37</v>
      </c>
      <c r="I128" s="63"/>
      <c r="J128" s="3"/>
      <c r="K128" s="3"/>
      <c r="L128" s="3"/>
      <c r="M128" s="3"/>
      <c r="N128" s="3"/>
      <c r="O128" s="3"/>
      <c r="P128" s="3"/>
      <c r="Q128" s="3"/>
      <c r="R128" s="3"/>
      <c r="S128" s="3"/>
      <c r="T128" s="3"/>
      <c r="U128" s="3"/>
      <c r="V128" s="3"/>
      <c r="W128" s="44"/>
      <c r="X128" s="41"/>
      <c r="Y128" s="3"/>
      <c r="Z128" s="3"/>
    </row>
    <row r="129" spans="1:26" ht="15.75" hidden="1" customHeight="1" outlineLevel="1" x14ac:dyDescent="0.3">
      <c r="A129" s="3"/>
      <c r="B129" s="10" t="s">
        <v>61</v>
      </c>
      <c r="C129" s="62"/>
      <c r="D129" s="62"/>
      <c r="E129" s="12">
        <v>0</v>
      </c>
      <c r="F129" s="12">
        <v>0</v>
      </c>
      <c r="G129" s="67"/>
      <c r="H129" s="63"/>
      <c r="I129" s="63"/>
      <c r="J129" s="3"/>
      <c r="K129" s="3"/>
      <c r="L129" s="3"/>
      <c r="M129" s="3"/>
      <c r="N129" s="3"/>
      <c r="O129" s="3"/>
      <c r="P129" s="3"/>
      <c r="Q129" s="3"/>
      <c r="R129" s="3"/>
      <c r="S129" s="3"/>
      <c r="T129" s="3"/>
      <c r="U129" s="3"/>
      <c r="V129" s="3"/>
      <c r="W129" s="44"/>
      <c r="X129" s="41"/>
      <c r="Y129" s="3"/>
      <c r="Z129" s="3"/>
    </row>
    <row r="130" spans="1:26" ht="15.75" hidden="1" customHeight="1" outlineLevel="1" x14ac:dyDescent="0.3">
      <c r="A130" s="3"/>
      <c r="B130" s="75" t="s">
        <v>232</v>
      </c>
      <c r="C130" s="76" t="s">
        <v>43</v>
      </c>
      <c r="D130" s="76" t="s">
        <v>43</v>
      </c>
      <c r="E130" s="77">
        <f>SUM(E131:E133)</f>
        <v>0</v>
      </c>
      <c r="F130" s="77">
        <f>SUMIF(D131:D133,"OK",F131:F133)</f>
        <v>0</v>
      </c>
      <c r="G130" s="78" t="s">
        <v>43</v>
      </c>
      <c r="H130" s="79"/>
      <c r="I130" s="79"/>
      <c r="J130" s="3"/>
      <c r="K130" s="3"/>
      <c r="L130" s="3"/>
      <c r="M130" s="3"/>
      <c r="N130" s="3"/>
      <c r="O130" s="3"/>
      <c r="P130" s="3"/>
      <c r="Q130" s="3"/>
      <c r="R130" s="3"/>
      <c r="S130" s="3"/>
      <c r="T130" s="3"/>
      <c r="U130" s="3"/>
      <c r="V130" s="3"/>
      <c r="W130" s="44"/>
      <c r="X130" s="41"/>
      <c r="Y130" s="3"/>
      <c r="Z130" s="3"/>
    </row>
    <row r="131" spans="1:26" ht="15.75" hidden="1" customHeight="1" outlineLevel="1" x14ac:dyDescent="0.3">
      <c r="A131" s="3"/>
      <c r="B131" s="10" t="s">
        <v>715</v>
      </c>
      <c r="C131" s="62"/>
      <c r="D131" s="62"/>
      <c r="E131" s="12">
        <v>0</v>
      </c>
      <c r="F131" s="12">
        <v>0</v>
      </c>
      <c r="G131" s="69"/>
      <c r="H131" s="63"/>
      <c r="I131" s="63"/>
      <c r="J131" s="3"/>
      <c r="K131" s="3"/>
      <c r="L131" s="3"/>
      <c r="M131" s="3"/>
      <c r="N131" s="3"/>
      <c r="O131" s="3"/>
      <c r="P131" s="3"/>
      <c r="Q131" s="3"/>
      <c r="R131" s="3"/>
      <c r="S131" s="3"/>
      <c r="T131" s="3"/>
      <c r="U131" s="3"/>
      <c r="V131" s="3"/>
      <c r="W131" s="44"/>
      <c r="X131" s="41"/>
      <c r="Y131" s="3"/>
      <c r="Z131" s="3"/>
    </row>
    <row r="132" spans="1:26" ht="15.75" hidden="1" customHeight="1" outlineLevel="1" x14ac:dyDescent="0.3">
      <c r="A132" s="3"/>
      <c r="B132" s="10" t="s">
        <v>529</v>
      </c>
      <c r="C132" s="62"/>
      <c r="D132" s="62"/>
      <c r="E132" s="12">
        <v>0</v>
      </c>
      <c r="F132" s="12">
        <v>0</v>
      </c>
      <c r="G132" s="70"/>
      <c r="H132" s="63"/>
      <c r="I132" s="63"/>
      <c r="J132" s="3"/>
      <c r="K132" s="3"/>
      <c r="L132" s="3"/>
      <c r="M132" s="3"/>
      <c r="N132" s="3"/>
      <c r="O132" s="3"/>
      <c r="P132" s="3"/>
      <c r="Q132" s="3"/>
      <c r="R132" s="3"/>
      <c r="S132" s="3"/>
      <c r="T132" s="3"/>
      <c r="U132" s="3"/>
      <c r="V132" s="3"/>
      <c r="W132" s="44"/>
      <c r="X132" s="41"/>
      <c r="Y132" s="3"/>
      <c r="Z132" s="3"/>
    </row>
    <row r="133" spans="1:26" ht="15.75" hidden="1" customHeight="1" outlineLevel="1" x14ac:dyDescent="0.3">
      <c r="A133" s="3"/>
      <c r="B133" s="10" t="s">
        <v>532</v>
      </c>
      <c r="C133" s="62"/>
      <c r="D133" s="62"/>
      <c r="E133" s="12">
        <v>0</v>
      </c>
      <c r="F133" s="12">
        <v>0</v>
      </c>
      <c r="G133" s="69"/>
      <c r="H133" s="63"/>
      <c r="I133" s="63"/>
      <c r="J133" s="3"/>
      <c r="K133" s="3"/>
      <c r="L133" s="3"/>
      <c r="M133" s="3"/>
      <c r="N133" s="3"/>
      <c r="O133" s="3"/>
      <c r="P133" s="3"/>
      <c r="Q133" s="3"/>
      <c r="R133" s="3"/>
      <c r="S133" s="3"/>
      <c r="T133" s="3"/>
      <c r="U133" s="3"/>
      <c r="V133" s="3"/>
      <c r="W133" s="44"/>
      <c r="X133" s="41"/>
      <c r="Y133" s="3"/>
      <c r="Z133" s="3"/>
    </row>
    <row r="134" spans="1:26" ht="15.75" hidden="1" customHeight="1" outlineLevel="1" x14ac:dyDescent="0.3">
      <c r="A134" s="3"/>
      <c r="B134" s="75" t="s">
        <v>651</v>
      </c>
      <c r="C134" s="76" t="s">
        <v>43</v>
      </c>
      <c r="D134" s="76" t="s">
        <v>43</v>
      </c>
      <c r="E134" s="77">
        <f>SUM(E135:E138)</f>
        <v>0</v>
      </c>
      <c r="F134" s="77">
        <f>SUMIF(D135:D138,"OK",F135:F138)</f>
        <v>0</v>
      </c>
      <c r="G134" s="78" t="s">
        <v>43</v>
      </c>
      <c r="H134" s="79"/>
      <c r="I134" s="79"/>
      <c r="J134" s="3"/>
      <c r="K134" s="3"/>
      <c r="L134" s="3"/>
      <c r="M134" s="3"/>
      <c r="N134" s="3"/>
      <c r="O134" s="3"/>
      <c r="P134" s="3"/>
      <c r="Q134" s="3"/>
      <c r="R134" s="3"/>
      <c r="S134" s="3"/>
      <c r="T134" s="3"/>
      <c r="U134" s="3"/>
      <c r="V134" s="3"/>
      <c r="W134" s="44"/>
      <c r="X134" s="41"/>
      <c r="Y134" s="3"/>
      <c r="Z134" s="3"/>
    </row>
    <row r="135" spans="1:26" ht="15.75" hidden="1" customHeight="1" outlineLevel="1" x14ac:dyDescent="0.3">
      <c r="A135" s="3"/>
      <c r="B135" s="10" t="s">
        <v>715</v>
      </c>
      <c r="C135" s="62"/>
      <c r="D135" s="62"/>
      <c r="E135" s="12">
        <v>0</v>
      </c>
      <c r="F135" s="12">
        <v>0</v>
      </c>
      <c r="G135" s="69"/>
      <c r="H135" s="63"/>
      <c r="I135" s="63"/>
      <c r="J135" s="3"/>
      <c r="K135" s="3"/>
      <c r="L135" s="3"/>
      <c r="M135" s="3"/>
      <c r="N135" s="3"/>
      <c r="O135" s="3"/>
      <c r="P135" s="3"/>
      <c r="Q135" s="3"/>
      <c r="R135" s="3"/>
      <c r="S135" s="3"/>
      <c r="T135" s="3"/>
      <c r="U135" s="3"/>
      <c r="V135" s="3"/>
      <c r="W135" s="44"/>
      <c r="X135" s="41"/>
      <c r="Y135" s="3"/>
      <c r="Z135" s="3"/>
    </row>
    <row r="136" spans="1:26" ht="15.75" hidden="1" customHeight="1" outlineLevel="1" x14ac:dyDescent="0.3">
      <c r="A136" s="3"/>
      <c r="B136" s="10" t="s">
        <v>531</v>
      </c>
      <c r="C136" s="62"/>
      <c r="D136" s="62"/>
      <c r="E136" s="12">
        <v>0</v>
      </c>
      <c r="F136" s="12">
        <v>0</v>
      </c>
      <c r="G136" s="70"/>
      <c r="H136" s="63"/>
      <c r="I136" s="63"/>
      <c r="J136" s="3"/>
      <c r="K136" s="3"/>
      <c r="L136" s="3"/>
      <c r="M136" s="3"/>
      <c r="N136" s="3"/>
      <c r="O136" s="3"/>
      <c r="P136" s="3"/>
      <c r="Q136" s="3"/>
      <c r="R136" s="3"/>
      <c r="S136" s="3"/>
      <c r="T136" s="3"/>
      <c r="U136" s="3"/>
      <c r="V136" s="3"/>
      <c r="W136" s="44"/>
      <c r="X136" s="41"/>
      <c r="Y136" s="3"/>
      <c r="Z136" s="3"/>
    </row>
    <row r="137" spans="1:26" ht="15.75" hidden="1" customHeight="1" outlineLevel="1" x14ac:dyDescent="0.3">
      <c r="A137" s="3"/>
      <c r="B137" s="10" t="s">
        <v>532</v>
      </c>
      <c r="C137" s="62"/>
      <c r="D137" s="62"/>
      <c r="E137" s="12">
        <v>0</v>
      </c>
      <c r="F137" s="12">
        <v>0</v>
      </c>
      <c r="G137" s="69"/>
      <c r="H137" s="63"/>
      <c r="I137" s="63"/>
      <c r="J137" s="3"/>
      <c r="K137" s="3"/>
      <c r="L137" s="3"/>
      <c r="M137" s="3"/>
      <c r="N137" s="3"/>
      <c r="O137" s="3"/>
      <c r="P137" s="3"/>
      <c r="Q137" s="3"/>
      <c r="R137" s="3"/>
      <c r="S137" s="3"/>
      <c r="T137" s="3"/>
      <c r="U137" s="3"/>
      <c r="V137" s="3"/>
      <c r="W137" s="44"/>
      <c r="X137" s="41"/>
      <c r="Y137" s="3"/>
      <c r="Z137" s="3"/>
    </row>
    <row r="138" spans="1:26" ht="15.75" hidden="1" customHeight="1" outlineLevel="1" x14ac:dyDescent="0.3">
      <c r="A138" s="3"/>
      <c r="B138" s="10" t="s">
        <v>529</v>
      </c>
      <c r="C138" s="62"/>
      <c r="D138" s="62"/>
      <c r="E138" s="12">
        <v>0</v>
      </c>
      <c r="F138" s="12">
        <v>0</v>
      </c>
      <c r="G138" s="69"/>
      <c r="H138" s="63"/>
      <c r="I138" s="63"/>
      <c r="J138" s="3"/>
      <c r="K138" s="3"/>
      <c r="L138" s="3"/>
      <c r="M138" s="3"/>
      <c r="N138" s="3"/>
      <c r="O138" s="3"/>
      <c r="P138" s="3"/>
      <c r="Q138" s="3"/>
      <c r="R138" s="3"/>
      <c r="S138" s="3"/>
      <c r="T138" s="3"/>
      <c r="U138" s="3"/>
      <c r="V138" s="3"/>
      <c r="W138" s="44"/>
      <c r="X138" s="41"/>
      <c r="Y138" s="3"/>
      <c r="Z138" s="3"/>
    </row>
    <row r="139" spans="1:26" ht="15.75" hidden="1" customHeight="1" outlineLevel="1" x14ac:dyDescent="0.3">
      <c r="A139" s="3"/>
      <c r="B139" s="75" t="s">
        <v>901</v>
      </c>
      <c r="C139" s="76" t="s">
        <v>43</v>
      </c>
      <c r="D139" s="76" t="s">
        <v>43</v>
      </c>
      <c r="E139" s="77">
        <f>SUM(E140:E145)</f>
        <v>0</v>
      </c>
      <c r="F139" s="77">
        <f>SUMIF(D140:D145,"OK",F140:F145)</f>
        <v>0</v>
      </c>
      <c r="G139" s="78" t="s">
        <v>43</v>
      </c>
      <c r="H139" s="79"/>
      <c r="I139" s="79"/>
      <c r="J139" s="3"/>
      <c r="K139" s="3"/>
      <c r="L139" s="3"/>
      <c r="M139" s="3"/>
      <c r="N139" s="3"/>
      <c r="O139" s="3"/>
      <c r="P139" s="3"/>
      <c r="Q139" s="3"/>
      <c r="R139" s="3"/>
      <c r="S139" s="3"/>
      <c r="T139" s="3"/>
      <c r="U139" s="3"/>
      <c r="V139" s="3"/>
      <c r="W139" s="44"/>
      <c r="X139" s="41"/>
      <c r="Y139" s="3"/>
      <c r="Z139" s="3"/>
    </row>
    <row r="140" spans="1:26" ht="15.75" hidden="1" customHeight="1" outlineLevel="1" x14ac:dyDescent="0.3">
      <c r="A140" s="3"/>
      <c r="B140" s="10" t="s">
        <v>1036</v>
      </c>
      <c r="C140" s="62"/>
      <c r="D140" s="62"/>
      <c r="E140" s="12">
        <v>0</v>
      </c>
      <c r="F140" s="12">
        <v>0</v>
      </c>
      <c r="G140" s="67"/>
      <c r="H140" s="63"/>
      <c r="I140" s="63"/>
      <c r="J140" s="3"/>
      <c r="K140" s="3"/>
      <c r="L140" s="3"/>
      <c r="M140" s="3"/>
      <c r="N140" s="3"/>
      <c r="O140" s="3"/>
      <c r="P140" s="3"/>
      <c r="Q140" s="3"/>
      <c r="R140" s="3"/>
      <c r="S140" s="3"/>
      <c r="T140" s="3"/>
      <c r="U140" s="3"/>
      <c r="V140" s="3"/>
      <c r="W140" s="44"/>
      <c r="X140" s="41"/>
      <c r="Y140" s="3"/>
      <c r="Z140" s="3"/>
    </row>
    <row r="141" spans="1:26" ht="15.75" hidden="1" customHeight="1" outlineLevel="1" x14ac:dyDescent="0.3">
      <c r="A141" s="3"/>
      <c r="B141" s="10" t="s">
        <v>904</v>
      </c>
      <c r="C141" s="62"/>
      <c r="D141" s="62"/>
      <c r="E141" s="12">
        <v>0</v>
      </c>
      <c r="F141" s="12">
        <v>0</v>
      </c>
      <c r="G141" s="67"/>
      <c r="H141" s="63"/>
      <c r="I141" s="63"/>
      <c r="J141" s="3"/>
      <c r="K141" s="3"/>
      <c r="L141" s="3"/>
      <c r="M141" s="3"/>
      <c r="N141" s="3"/>
      <c r="O141" s="3"/>
      <c r="P141" s="3"/>
      <c r="Q141" s="3"/>
      <c r="R141" s="3"/>
      <c r="S141" s="3"/>
      <c r="T141" s="3"/>
      <c r="U141" s="3"/>
      <c r="V141" s="3"/>
      <c r="W141" s="44"/>
      <c r="X141" s="41"/>
      <c r="Y141" s="3"/>
      <c r="Z141" s="3"/>
    </row>
    <row r="142" spans="1:26" ht="15.75" hidden="1" customHeight="1" outlineLevel="1" x14ac:dyDescent="0.3">
      <c r="A142" s="3"/>
      <c r="B142" s="10" t="s">
        <v>905</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row>
    <row r="143" spans="1:26" ht="15.75" hidden="1" customHeight="1" outlineLevel="1" x14ac:dyDescent="0.3">
      <c r="A143" s="3"/>
      <c r="B143" s="10" t="s">
        <v>1040</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5.75" hidden="1" customHeight="1" outlineLevel="1" x14ac:dyDescent="0.3">
      <c r="A144" s="3"/>
      <c r="B144" s="10" t="s">
        <v>907</v>
      </c>
      <c r="C144" s="62"/>
      <c r="D144" s="62"/>
      <c r="E144" s="12">
        <v>0</v>
      </c>
      <c r="F144" s="12">
        <v>0</v>
      </c>
      <c r="G144" s="67"/>
      <c r="H144" s="63"/>
      <c r="I144" s="63"/>
      <c r="J144" s="3"/>
      <c r="K144" s="3"/>
      <c r="L144" s="3"/>
      <c r="M144" s="3"/>
      <c r="N144" s="3"/>
      <c r="O144" s="3"/>
      <c r="P144" s="3"/>
      <c r="Q144" s="3"/>
      <c r="R144" s="3"/>
      <c r="S144" s="3"/>
      <c r="T144" s="3"/>
      <c r="U144" s="3"/>
      <c r="V144" s="3"/>
      <c r="W144" s="44"/>
      <c r="X144" s="41"/>
      <c r="Y144" s="3"/>
      <c r="Z144" s="3"/>
    </row>
    <row r="145" spans="1:26" ht="15.75" hidden="1" customHeight="1" outlineLevel="1" x14ac:dyDescent="0.3">
      <c r="A145" s="3"/>
      <c r="B145" s="10" t="s">
        <v>908</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row>
    <row r="146" spans="1:26" ht="15.75" hidden="1" customHeight="1" outlineLevel="1" x14ac:dyDescent="0.3">
      <c r="A146" s="3"/>
      <c r="B146" s="75" t="s">
        <v>689</v>
      </c>
      <c r="C146" s="76" t="s">
        <v>43</v>
      </c>
      <c r="D146" s="76" t="s">
        <v>43</v>
      </c>
      <c r="E146" s="77">
        <f>SUM(E147:E152)</f>
        <v>0</v>
      </c>
      <c r="F146" s="77">
        <f>SUMIF(D147:D153,"OK",F147:F153)</f>
        <v>0</v>
      </c>
      <c r="G146" s="78" t="s">
        <v>43</v>
      </c>
      <c r="H146" s="79"/>
      <c r="I146" s="79"/>
      <c r="J146" s="3"/>
      <c r="K146" s="3"/>
      <c r="L146" s="3"/>
      <c r="M146" s="3"/>
      <c r="N146" s="3"/>
      <c r="O146" s="3"/>
      <c r="P146" s="3"/>
      <c r="Q146" s="3"/>
      <c r="R146" s="3"/>
      <c r="S146" s="3"/>
      <c r="T146" s="3"/>
      <c r="U146" s="3"/>
      <c r="V146" s="3"/>
      <c r="W146" s="44"/>
      <c r="X146" s="41"/>
      <c r="Y146" s="3"/>
      <c r="Z146" s="3"/>
    </row>
    <row r="147" spans="1:26" ht="15.75" hidden="1" customHeight="1" outlineLevel="1" x14ac:dyDescent="0.3">
      <c r="A147" s="3"/>
      <c r="B147" s="10" t="s">
        <v>537</v>
      </c>
      <c r="C147" s="62"/>
      <c r="D147" s="62"/>
      <c r="E147" s="12">
        <v>0</v>
      </c>
      <c r="F147" s="12">
        <v>0</v>
      </c>
      <c r="G147" s="69"/>
      <c r="H147" s="63"/>
      <c r="I147" s="63"/>
      <c r="J147" s="3"/>
      <c r="K147" s="3"/>
      <c r="L147" s="3"/>
      <c r="M147" s="3"/>
      <c r="N147" s="3"/>
      <c r="O147" s="3"/>
      <c r="P147" s="3"/>
      <c r="Q147" s="3"/>
      <c r="R147" s="3"/>
      <c r="S147" s="3"/>
      <c r="T147" s="3"/>
      <c r="U147" s="3"/>
      <c r="V147" s="3"/>
      <c r="W147" s="44"/>
      <c r="X147" s="41"/>
      <c r="Y147" s="3"/>
      <c r="Z147" s="3"/>
    </row>
    <row r="148" spans="1:26" ht="15.75" hidden="1" customHeight="1" outlineLevel="1" x14ac:dyDescent="0.3">
      <c r="A148" s="3"/>
      <c r="B148" s="10" t="s">
        <v>42</v>
      </c>
      <c r="C148" s="62"/>
      <c r="D148" s="62"/>
      <c r="E148" s="12">
        <v>0</v>
      </c>
      <c r="F148" s="12">
        <v>0</v>
      </c>
      <c r="G148" s="69"/>
      <c r="H148" s="63"/>
      <c r="I148" s="63"/>
      <c r="J148" s="3"/>
      <c r="K148" s="3"/>
      <c r="L148" s="3"/>
      <c r="M148" s="3"/>
      <c r="N148" s="3"/>
      <c r="O148" s="3"/>
      <c r="P148" s="3"/>
      <c r="Q148" s="3"/>
      <c r="R148" s="3"/>
      <c r="S148" s="3"/>
      <c r="T148" s="3"/>
      <c r="U148" s="3"/>
      <c r="V148" s="3"/>
      <c r="W148" s="44"/>
      <c r="X148" s="41"/>
      <c r="Y148" s="3"/>
      <c r="Z148" s="3"/>
    </row>
    <row r="149" spans="1:26" ht="15.75" hidden="1" customHeight="1" outlineLevel="1" x14ac:dyDescent="0.3">
      <c r="A149" s="3"/>
      <c r="B149" s="10" t="s">
        <v>42</v>
      </c>
      <c r="C149" s="62"/>
      <c r="D149" s="62"/>
      <c r="E149" s="12">
        <v>0</v>
      </c>
      <c r="F149" s="12">
        <v>0</v>
      </c>
      <c r="G149" s="69"/>
      <c r="H149" s="63"/>
      <c r="I149" s="63"/>
      <c r="J149" s="3"/>
      <c r="K149" s="3"/>
      <c r="L149" s="3"/>
      <c r="M149" s="3"/>
      <c r="N149" s="3"/>
      <c r="O149" s="3"/>
      <c r="P149" s="3"/>
      <c r="Q149" s="3"/>
      <c r="R149" s="3"/>
      <c r="S149" s="3"/>
      <c r="T149" s="3"/>
      <c r="U149" s="3"/>
      <c r="V149" s="3"/>
      <c r="W149" s="44"/>
      <c r="X149" s="41"/>
      <c r="Y149" s="3"/>
      <c r="Z149" s="3"/>
    </row>
    <row r="150" spans="1:26" ht="15.75" hidden="1" customHeight="1" outlineLevel="1" x14ac:dyDescent="0.3">
      <c r="A150" s="3"/>
      <c r="B150" s="10" t="s">
        <v>42</v>
      </c>
      <c r="C150" s="62"/>
      <c r="D150" s="62"/>
      <c r="E150" s="12">
        <v>0</v>
      </c>
      <c r="F150" s="12">
        <v>0</v>
      </c>
      <c r="G150" s="69"/>
      <c r="H150" s="63"/>
      <c r="I150" s="63"/>
      <c r="J150" s="3"/>
      <c r="K150" s="3"/>
      <c r="L150" s="3"/>
      <c r="M150" s="3"/>
      <c r="N150" s="3"/>
      <c r="O150" s="3"/>
      <c r="P150" s="3"/>
      <c r="Q150" s="3"/>
      <c r="R150" s="3"/>
      <c r="S150" s="3"/>
      <c r="T150" s="3"/>
      <c r="U150" s="3"/>
      <c r="V150" s="3"/>
      <c r="W150" s="44"/>
      <c r="X150" s="41"/>
      <c r="Y150" s="3"/>
      <c r="Z150" s="3"/>
    </row>
    <row r="151" spans="1:26" ht="15.75" hidden="1" customHeight="1" outlineLevel="1" x14ac:dyDescent="0.3">
      <c r="A151" s="3"/>
      <c r="B151" s="10" t="s">
        <v>42</v>
      </c>
      <c r="C151" s="62"/>
      <c r="D151" s="62"/>
      <c r="E151" s="12">
        <v>0</v>
      </c>
      <c r="F151" s="12">
        <v>0</v>
      </c>
      <c r="G151" s="69"/>
      <c r="H151" s="63"/>
      <c r="I151" s="63"/>
      <c r="J151" s="3"/>
      <c r="K151" s="3"/>
      <c r="L151" s="3"/>
      <c r="M151" s="3"/>
      <c r="N151" s="3"/>
      <c r="O151" s="3"/>
      <c r="P151" s="3"/>
      <c r="Q151" s="3"/>
      <c r="R151" s="3"/>
      <c r="S151" s="3"/>
      <c r="T151" s="3"/>
      <c r="U151" s="3"/>
      <c r="V151" s="3"/>
      <c r="W151" s="44"/>
      <c r="X151" s="41"/>
      <c r="Y151" s="3"/>
      <c r="Z151" s="3"/>
    </row>
    <row r="152" spans="1:26" ht="15.75" hidden="1" customHeight="1" outlineLevel="1" x14ac:dyDescent="0.3">
      <c r="A152" s="3"/>
      <c r="B152" s="10" t="s">
        <v>42</v>
      </c>
      <c r="C152" s="62"/>
      <c r="D152" s="62"/>
      <c r="E152" s="12">
        <v>0</v>
      </c>
      <c r="F152" s="12">
        <v>0</v>
      </c>
      <c r="G152" s="69"/>
      <c r="H152" s="63"/>
      <c r="I152" s="63"/>
      <c r="J152" s="127"/>
      <c r="K152" s="3"/>
      <c r="L152" s="3"/>
      <c r="M152" s="3"/>
      <c r="N152" s="3"/>
      <c r="O152" s="3"/>
      <c r="P152" s="3"/>
      <c r="Q152" s="3"/>
      <c r="R152" s="3"/>
      <c r="S152" s="3"/>
      <c r="T152" s="3"/>
      <c r="U152" s="3"/>
      <c r="V152" s="3"/>
      <c r="W152" s="44"/>
      <c r="X152" s="41"/>
      <c r="Y152" s="3"/>
      <c r="Z152" s="3"/>
    </row>
    <row r="153" spans="1:26" ht="15.75" hidden="1" customHeight="1" outlineLevel="1" x14ac:dyDescent="0.3">
      <c r="A153" s="3"/>
      <c r="B153" s="10" t="s">
        <v>42</v>
      </c>
      <c r="C153" s="62"/>
      <c r="D153" s="62"/>
      <c r="E153" s="12">
        <v>0</v>
      </c>
      <c r="F153" s="12">
        <v>0</v>
      </c>
      <c r="G153" s="69"/>
      <c r="H153" s="63"/>
      <c r="I153" s="63"/>
      <c r="J153" s="3"/>
      <c r="K153" s="3"/>
      <c r="L153" s="3"/>
      <c r="M153" s="3"/>
      <c r="N153" s="3"/>
      <c r="O153" s="3"/>
      <c r="P153" s="3"/>
      <c r="Q153" s="3"/>
      <c r="R153" s="3"/>
      <c r="S153" s="3"/>
      <c r="T153" s="3"/>
      <c r="U153" s="3"/>
      <c r="V153" s="3"/>
      <c r="W153" s="44"/>
      <c r="X153" s="41"/>
      <c r="Y153" s="3"/>
      <c r="Z153" s="3"/>
    </row>
    <row r="154" spans="1:26" ht="19.5" customHeight="1" collapsed="1" x14ac:dyDescent="0.3">
      <c r="A154" s="3"/>
      <c r="B154" s="73" t="s">
        <v>239</v>
      </c>
      <c r="C154" s="56" t="s">
        <v>43</v>
      </c>
      <c r="D154" s="56" t="s">
        <v>43</v>
      </c>
      <c r="E154" s="57">
        <f t="shared" ref="E154:F154" si="6">SUM(E155,E160,E165,E169)</f>
        <v>0</v>
      </c>
      <c r="F154" s="57">
        <f t="shared" si="6"/>
        <v>0</v>
      </c>
      <c r="G154" s="58" t="s">
        <v>43</v>
      </c>
      <c r="H154" s="74"/>
      <c r="I154" s="74"/>
      <c r="J154" s="3"/>
      <c r="K154" s="3"/>
      <c r="L154" s="3"/>
      <c r="M154" s="3"/>
      <c r="N154" s="3"/>
      <c r="O154" s="3"/>
      <c r="P154" s="3"/>
      <c r="Q154" s="3"/>
      <c r="R154" s="3"/>
      <c r="S154" s="3"/>
      <c r="T154" s="3"/>
      <c r="U154" s="3"/>
      <c r="V154" s="3"/>
      <c r="W154" s="44"/>
      <c r="X154" s="41"/>
      <c r="Y154" s="3"/>
      <c r="Z154" s="3"/>
    </row>
    <row r="155" spans="1:26" ht="15.75" hidden="1" customHeight="1" outlineLevel="1" x14ac:dyDescent="0.3">
      <c r="A155" s="3"/>
      <c r="B155" s="75" t="s">
        <v>240</v>
      </c>
      <c r="C155" s="76" t="s">
        <v>43</v>
      </c>
      <c r="D155" s="76" t="s">
        <v>43</v>
      </c>
      <c r="E155" s="77">
        <f>SUM(E156:E159)</f>
        <v>0</v>
      </c>
      <c r="F155" s="77">
        <f>SUMIF(D156:D159,"OK",F156:F159)</f>
        <v>0</v>
      </c>
      <c r="G155" s="78" t="s">
        <v>43</v>
      </c>
      <c r="H155" s="79"/>
      <c r="I155" s="79"/>
      <c r="J155" s="3"/>
      <c r="K155" s="3"/>
      <c r="L155" s="3"/>
      <c r="M155" s="3"/>
      <c r="N155" s="3"/>
      <c r="O155" s="3"/>
      <c r="P155" s="3"/>
      <c r="Q155" s="3"/>
      <c r="R155" s="3"/>
      <c r="S155" s="3"/>
      <c r="T155" s="3"/>
      <c r="U155" s="3"/>
      <c r="V155" s="3"/>
      <c r="W155" s="44"/>
      <c r="X155" s="41"/>
      <c r="Y155" s="3"/>
      <c r="Z155" s="3"/>
    </row>
    <row r="156" spans="1:26" ht="15.75" hidden="1" customHeight="1" outlineLevel="1" x14ac:dyDescent="0.3">
      <c r="A156" s="3"/>
      <c r="B156" s="10" t="s">
        <v>241</v>
      </c>
      <c r="C156" s="62"/>
      <c r="D156" s="62"/>
      <c r="E156" s="12">
        <v>0</v>
      </c>
      <c r="F156" s="12">
        <v>0</v>
      </c>
      <c r="G156" s="70"/>
      <c r="H156" s="63" t="s">
        <v>37</v>
      </c>
      <c r="I156" s="63"/>
      <c r="J156" s="3"/>
      <c r="K156" s="3"/>
      <c r="L156" s="3"/>
      <c r="M156" s="3"/>
      <c r="N156" s="3"/>
      <c r="O156" s="3"/>
      <c r="P156" s="3"/>
      <c r="Q156" s="3"/>
      <c r="R156" s="3"/>
      <c r="S156" s="3"/>
      <c r="T156" s="3"/>
      <c r="U156" s="3"/>
      <c r="V156" s="3"/>
      <c r="W156" s="44"/>
      <c r="X156" s="41"/>
      <c r="Y156" s="3"/>
      <c r="Z156" s="3"/>
    </row>
    <row r="157" spans="1:26" ht="15.75" hidden="1" customHeight="1" outlineLevel="1" x14ac:dyDescent="0.3">
      <c r="A157" s="3"/>
      <c r="B157" s="10" t="s">
        <v>242</v>
      </c>
      <c r="C157" s="62"/>
      <c r="D157" s="62"/>
      <c r="E157" s="12">
        <v>0</v>
      </c>
      <c r="F157" s="12">
        <v>0</v>
      </c>
      <c r="G157" s="67"/>
      <c r="H157" s="63" t="s">
        <v>36</v>
      </c>
      <c r="I157" s="63"/>
      <c r="J157" s="3"/>
      <c r="K157" s="3"/>
      <c r="L157" s="3"/>
      <c r="M157" s="3"/>
      <c r="N157" s="3"/>
      <c r="O157" s="3"/>
      <c r="P157" s="3"/>
      <c r="Q157" s="3"/>
      <c r="R157" s="3"/>
      <c r="S157" s="3"/>
      <c r="T157" s="3"/>
      <c r="U157" s="3"/>
      <c r="V157" s="3"/>
      <c r="W157" s="44"/>
      <c r="X157" s="41"/>
      <c r="Y157" s="3"/>
      <c r="Z157" s="3"/>
    </row>
    <row r="158" spans="1:26" ht="15.75" hidden="1" customHeight="1" outlineLevel="1" x14ac:dyDescent="0.3">
      <c r="A158" s="3"/>
      <c r="B158" s="10" t="s">
        <v>243</v>
      </c>
      <c r="C158" s="62"/>
      <c r="D158" s="62"/>
      <c r="E158" s="12">
        <v>0</v>
      </c>
      <c r="F158" s="12">
        <v>0</v>
      </c>
      <c r="G158" s="67"/>
      <c r="H158" s="63" t="s">
        <v>37</v>
      </c>
      <c r="I158" s="63"/>
      <c r="J158" s="3"/>
      <c r="K158" s="3"/>
      <c r="L158" s="3"/>
      <c r="M158" s="3"/>
      <c r="N158" s="3"/>
      <c r="O158" s="3"/>
      <c r="P158" s="3"/>
      <c r="Q158" s="3"/>
      <c r="R158" s="3"/>
      <c r="S158" s="3"/>
      <c r="T158" s="3"/>
      <c r="U158" s="3"/>
      <c r="V158" s="3"/>
      <c r="W158" s="44"/>
      <c r="X158" s="41"/>
      <c r="Y158" s="3"/>
      <c r="Z158" s="3"/>
    </row>
    <row r="159" spans="1:26" ht="15.75" hidden="1" customHeight="1" outlineLevel="1" x14ac:dyDescent="0.3">
      <c r="A159" s="3"/>
      <c r="B159" s="10" t="s">
        <v>244</v>
      </c>
      <c r="C159" s="62"/>
      <c r="D159" s="62"/>
      <c r="E159" s="12">
        <v>0</v>
      </c>
      <c r="F159" s="12">
        <v>0</v>
      </c>
      <c r="G159" s="131"/>
      <c r="H159" s="63" t="s">
        <v>36</v>
      </c>
      <c r="I159" s="63"/>
      <c r="J159" s="3"/>
      <c r="K159" s="3"/>
      <c r="L159" s="3"/>
      <c r="M159" s="3"/>
      <c r="N159" s="3"/>
      <c r="O159" s="3"/>
      <c r="P159" s="3"/>
      <c r="Q159" s="3"/>
      <c r="R159" s="3"/>
      <c r="S159" s="3"/>
      <c r="T159" s="3"/>
      <c r="U159" s="3"/>
      <c r="V159" s="3"/>
      <c r="W159" s="44"/>
      <c r="X159" s="41"/>
      <c r="Y159" s="3"/>
      <c r="Z159" s="3"/>
    </row>
    <row r="160" spans="1:26" ht="15.75" hidden="1" customHeight="1" outlineLevel="1" x14ac:dyDescent="0.3">
      <c r="A160" s="3"/>
      <c r="B160" s="75" t="s">
        <v>245</v>
      </c>
      <c r="C160" s="76" t="s">
        <v>43</v>
      </c>
      <c r="D160" s="76" t="s">
        <v>43</v>
      </c>
      <c r="E160" s="77">
        <f>SUM(E161:E164)</f>
        <v>0</v>
      </c>
      <c r="F160" s="77">
        <f>SUMIF(D161:D164,"OK",F161:F164)</f>
        <v>0</v>
      </c>
      <c r="G160" s="78" t="s">
        <v>43</v>
      </c>
      <c r="H160" s="79"/>
      <c r="I160" s="79"/>
      <c r="J160" s="3"/>
      <c r="K160" s="3"/>
      <c r="L160" s="3"/>
      <c r="M160" s="3"/>
      <c r="N160" s="3"/>
      <c r="O160" s="3"/>
      <c r="P160" s="3"/>
      <c r="Q160" s="3"/>
      <c r="R160" s="3"/>
      <c r="S160" s="3"/>
      <c r="T160" s="3"/>
      <c r="U160" s="3"/>
      <c r="V160" s="3"/>
      <c r="W160" s="44"/>
      <c r="X160" s="41"/>
      <c r="Y160" s="3"/>
      <c r="Z160" s="3"/>
    </row>
    <row r="161" spans="1:26" ht="15.75" hidden="1" customHeight="1" outlineLevel="1" x14ac:dyDescent="0.3">
      <c r="A161" s="3"/>
      <c r="B161" s="10" t="s">
        <v>241</v>
      </c>
      <c r="C161" s="62"/>
      <c r="D161" s="62"/>
      <c r="E161" s="12">
        <v>0</v>
      </c>
      <c r="F161" s="12">
        <v>0</v>
      </c>
      <c r="G161" s="69"/>
      <c r="H161" s="63" t="s">
        <v>37</v>
      </c>
      <c r="I161" s="63"/>
      <c r="J161" s="3"/>
      <c r="K161" s="3"/>
      <c r="L161" s="3"/>
      <c r="M161" s="3"/>
      <c r="N161" s="3"/>
      <c r="O161" s="3"/>
      <c r="P161" s="3"/>
      <c r="Q161" s="3"/>
      <c r="R161" s="3"/>
      <c r="S161" s="3"/>
      <c r="T161" s="3"/>
      <c r="U161" s="3"/>
      <c r="V161" s="3"/>
      <c r="W161" s="44"/>
      <c r="X161" s="41"/>
      <c r="Y161" s="3"/>
      <c r="Z161" s="3"/>
    </row>
    <row r="162" spans="1:26" ht="15.75" hidden="1" customHeight="1" outlineLevel="1" x14ac:dyDescent="0.3">
      <c r="A162" s="3"/>
      <c r="B162" s="10" t="s">
        <v>242</v>
      </c>
      <c r="C162" s="62"/>
      <c r="D162" s="62"/>
      <c r="E162" s="12">
        <v>0</v>
      </c>
      <c r="F162" s="12">
        <v>0</v>
      </c>
      <c r="G162" s="67"/>
      <c r="H162" s="63" t="s">
        <v>36</v>
      </c>
      <c r="I162" s="63"/>
      <c r="J162" s="3"/>
      <c r="K162" s="3"/>
      <c r="L162" s="3"/>
      <c r="M162" s="3"/>
      <c r="N162" s="3"/>
      <c r="O162" s="3"/>
      <c r="P162" s="3"/>
      <c r="Q162" s="3"/>
      <c r="R162" s="3"/>
      <c r="S162" s="3"/>
      <c r="T162" s="3"/>
      <c r="U162" s="3"/>
      <c r="V162" s="3"/>
      <c r="W162" s="44"/>
      <c r="X162" s="41"/>
      <c r="Y162" s="3"/>
      <c r="Z162" s="3"/>
    </row>
    <row r="163" spans="1:26" ht="15.75" hidden="1" customHeight="1" outlineLevel="1" x14ac:dyDescent="0.3">
      <c r="A163" s="3"/>
      <c r="B163" s="10" t="s">
        <v>243</v>
      </c>
      <c r="C163" s="62"/>
      <c r="D163" s="62"/>
      <c r="E163" s="12">
        <v>0</v>
      </c>
      <c r="F163" s="12">
        <v>0</v>
      </c>
      <c r="G163" s="67"/>
      <c r="H163" s="63" t="s">
        <v>37</v>
      </c>
      <c r="I163" s="63"/>
      <c r="J163" s="3"/>
      <c r="K163" s="3"/>
      <c r="L163" s="3"/>
      <c r="M163" s="3"/>
      <c r="N163" s="3"/>
      <c r="O163" s="3"/>
      <c r="P163" s="3"/>
      <c r="Q163" s="3"/>
      <c r="R163" s="3"/>
      <c r="S163" s="3"/>
      <c r="T163" s="3"/>
      <c r="U163" s="3"/>
      <c r="V163" s="3"/>
      <c r="W163" s="44"/>
      <c r="X163" s="41"/>
      <c r="Y163" s="3"/>
      <c r="Z163" s="3"/>
    </row>
    <row r="164" spans="1:26" ht="15.75" hidden="1" customHeight="1" outlineLevel="1" x14ac:dyDescent="0.3">
      <c r="A164" s="3"/>
      <c r="B164" s="10" t="s">
        <v>244</v>
      </c>
      <c r="C164" s="62"/>
      <c r="D164" s="62"/>
      <c r="E164" s="12">
        <v>0</v>
      </c>
      <c r="F164" s="12">
        <v>0</v>
      </c>
      <c r="G164" s="67"/>
      <c r="H164" s="63" t="s">
        <v>36</v>
      </c>
      <c r="I164" s="63"/>
      <c r="J164" s="3"/>
      <c r="K164" s="3"/>
      <c r="L164" s="3"/>
      <c r="M164" s="3"/>
      <c r="N164" s="3"/>
      <c r="O164" s="3"/>
      <c r="P164" s="3"/>
      <c r="Q164" s="3"/>
      <c r="R164" s="3"/>
      <c r="S164" s="3"/>
      <c r="T164" s="3"/>
      <c r="U164" s="3"/>
      <c r="V164" s="3"/>
      <c r="W164" s="44"/>
      <c r="X164" s="41"/>
      <c r="Y164" s="3"/>
      <c r="Z164" s="3"/>
    </row>
    <row r="165" spans="1:26" ht="15.75" hidden="1" customHeight="1" outlineLevel="1" x14ac:dyDescent="0.3">
      <c r="A165" s="3"/>
      <c r="B165" s="75" t="s">
        <v>246</v>
      </c>
      <c r="C165" s="76" t="s">
        <v>43</v>
      </c>
      <c r="D165" s="76" t="s">
        <v>43</v>
      </c>
      <c r="E165" s="77">
        <f>SUM(E166:E168)</f>
        <v>0</v>
      </c>
      <c r="F165" s="77">
        <f>SUMIF(D166:D168,"OK",F166:F168)</f>
        <v>0</v>
      </c>
      <c r="G165" s="78" t="s">
        <v>43</v>
      </c>
      <c r="H165" s="79"/>
      <c r="I165" s="79"/>
      <c r="J165" s="3"/>
      <c r="K165" s="3"/>
      <c r="L165" s="3"/>
      <c r="M165" s="3"/>
      <c r="N165" s="3"/>
      <c r="O165" s="3"/>
      <c r="P165" s="3"/>
      <c r="Q165" s="3"/>
      <c r="R165" s="3"/>
      <c r="S165" s="3"/>
      <c r="T165" s="3"/>
      <c r="U165" s="3"/>
      <c r="V165" s="3"/>
      <c r="W165" s="44"/>
      <c r="X165" s="41"/>
      <c r="Y165" s="3"/>
      <c r="Z165" s="3"/>
    </row>
    <row r="166" spans="1:26" ht="15.75" hidden="1" customHeight="1" outlineLevel="1" x14ac:dyDescent="0.3">
      <c r="A166" s="3"/>
      <c r="B166" s="10" t="s">
        <v>42</v>
      </c>
      <c r="C166" s="80"/>
      <c r="D166" s="62"/>
      <c r="E166" s="12">
        <v>0</v>
      </c>
      <c r="F166" s="12">
        <v>0</v>
      </c>
      <c r="G166" s="69"/>
      <c r="H166" s="63"/>
      <c r="I166" s="63"/>
      <c r="J166" s="3"/>
      <c r="K166" s="3"/>
      <c r="L166" s="3"/>
      <c r="M166" s="3"/>
      <c r="N166" s="3"/>
      <c r="O166" s="3"/>
      <c r="P166" s="3"/>
      <c r="Q166" s="3"/>
      <c r="R166" s="3"/>
      <c r="S166" s="3"/>
      <c r="T166" s="3"/>
      <c r="U166" s="3"/>
      <c r="V166" s="3"/>
      <c r="W166" s="44"/>
      <c r="X166" s="41"/>
      <c r="Y166" s="3"/>
      <c r="Z166" s="3"/>
    </row>
    <row r="167" spans="1:26" ht="15.75" hidden="1" customHeight="1" outlineLevel="1" x14ac:dyDescent="0.3">
      <c r="A167" s="3"/>
      <c r="B167" s="10" t="s">
        <v>42</v>
      </c>
      <c r="C167" s="80"/>
      <c r="D167" s="62"/>
      <c r="E167" s="12">
        <v>0</v>
      </c>
      <c r="F167" s="12">
        <v>0</v>
      </c>
      <c r="G167" s="69"/>
      <c r="H167" s="63"/>
      <c r="I167" s="63"/>
      <c r="J167" s="3"/>
      <c r="K167" s="3"/>
      <c r="L167" s="3"/>
      <c r="M167" s="3"/>
      <c r="N167" s="3"/>
      <c r="O167" s="3"/>
      <c r="P167" s="3"/>
      <c r="Q167" s="3"/>
      <c r="R167" s="3"/>
      <c r="S167" s="3"/>
      <c r="T167" s="3"/>
      <c r="U167" s="3"/>
      <c r="V167" s="3"/>
      <c r="W167" s="44"/>
      <c r="X167" s="41"/>
      <c r="Y167" s="3"/>
      <c r="Z167" s="3"/>
    </row>
    <row r="168" spans="1:26" ht="15.75" hidden="1" customHeight="1" outlineLevel="1" x14ac:dyDescent="0.3">
      <c r="A168" s="3"/>
      <c r="B168" s="10" t="s">
        <v>42</v>
      </c>
      <c r="C168" s="62"/>
      <c r="D168" s="62"/>
      <c r="E168" s="12">
        <v>0</v>
      </c>
      <c r="F168" s="12">
        <v>0</v>
      </c>
      <c r="G168" s="69"/>
      <c r="H168" s="63"/>
      <c r="I168" s="63"/>
      <c r="J168" s="3"/>
      <c r="K168" s="3"/>
      <c r="L168" s="3"/>
      <c r="M168" s="3"/>
      <c r="N168" s="3"/>
      <c r="O168" s="3"/>
      <c r="P168" s="3"/>
      <c r="Q168" s="3"/>
      <c r="R168" s="3"/>
      <c r="S168" s="3"/>
      <c r="T168" s="3"/>
      <c r="U168" s="3"/>
      <c r="V168" s="3"/>
      <c r="W168" s="44"/>
      <c r="X168" s="41"/>
      <c r="Y168" s="3"/>
      <c r="Z168" s="3"/>
    </row>
    <row r="169" spans="1:26" ht="15.75" hidden="1" customHeight="1" outlineLevel="1" x14ac:dyDescent="0.3">
      <c r="A169" s="3"/>
      <c r="B169" s="75" t="s">
        <v>61</v>
      </c>
      <c r="C169" s="76" t="s">
        <v>43</v>
      </c>
      <c r="D169" s="76" t="s">
        <v>43</v>
      </c>
      <c r="E169" s="77">
        <f>SUM(E170:E183)</f>
        <v>0</v>
      </c>
      <c r="F169" s="77">
        <f>SUMIF(D170:D183,"OK",F170:F183)</f>
        <v>0</v>
      </c>
      <c r="G169" s="78"/>
      <c r="H169" s="79"/>
      <c r="I169" s="79"/>
      <c r="J169" s="3"/>
      <c r="K169" s="3"/>
      <c r="L169" s="3"/>
      <c r="M169" s="3"/>
      <c r="N169" s="3"/>
      <c r="O169" s="3"/>
      <c r="P169" s="3"/>
      <c r="Q169" s="3"/>
      <c r="R169" s="3"/>
      <c r="S169" s="3"/>
      <c r="T169" s="3"/>
      <c r="U169" s="3"/>
      <c r="V169" s="3"/>
      <c r="W169" s="44"/>
      <c r="X169" s="41"/>
      <c r="Y169" s="3"/>
      <c r="Z169" s="3"/>
    </row>
    <row r="170" spans="1:26" ht="15.75" hidden="1" customHeight="1" outlineLevel="1" x14ac:dyDescent="0.3">
      <c r="A170" s="3"/>
      <c r="B170" s="10" t="s">
        <v>1559</v>
      </c>
      <c r="C170" s="80"/>
      <c r="D170" s="62"/>
      <c r="E170" s="12">
        <v>0</v>
      </c>
      <c r="F170" s="12">
        <v>0</v>
      </c>
      <c r="G170" s="70"/>
      <c r="H170" s="63"/>
      <c r="I170" s="63"/>
      <c r="J170" s="3"/>
      <c r="K170" s="3"/>
      <c r="L170" s="3"/>
      <c r="M170" s="3"/>
      <c r="N170" s="3"/>
      <c r="O170" s="3"/>
      <c r="P170" s="3"/>
      <c r="Q170" s="3"/>
      <c r="R170" s="3"/>
      <c r="S170" s="3"/>
      <c r="T170" s="3"/>
      <c r="U170" s="3"/>
      <c r="V170" s="3"/>
      <c r="W170" s="44"/>
      <c r="X170" s="41"/>
      <c r="Y170" s="3"/>
      <c r="Z170" s="3"/>
    </row>
    <row r="171" spans="1:26" ht="15.75" hidden="1" customHeight="1" outlineLevel="1" x14ac:dyDescent="0.3">
      <c r="A171" s="3"/>
      <c r="B171" s="10" t="s">
        <v>1560</v>
      </c>
      <c r="C171" s="80"/>
      <c r="D171" s="62"/>
      <c r="E171" s="12">
        <v>0</v>
      </c>
      <c r="F171" s="12">
        <v>0</v>
      </c>
      <c r="G171" s="70"/>
      <c r="H171" s="63"/>
      <c r="I171" s="63"/>
      <c r="J171" s="3"/>
      <c r="K171" s="3"/>
      <c r="L171" s="3"/>
      <c r="M171" s="3"/>
      <c r="N171" s="3"/>
      <c r="O171" s="3"/>
      <c r="P171" s="3"/>
      <c r="Q171" s="3"/>
      <c r="R171" s="3"/>
      <c r="S171" s="3"/>
      <c r="T171" s="3"/>
      <c r="U171" s="3"/>
      <c r="V171" s="3"/>
      <c r="W171" s="44"/>
      <c r="X171" s="41"/>
      <c r="Y171" s="3"/>
      <c r="Z171" s="3"/>
    </row>
    <row r="172" spans="1:26" ht="15.75" hidden="1" customHeight="1" outlineLevel="1" x14ac:dyDescent="0.3">
      <c r="A172" s="3"/>
      <c r="B172" s="10" t="s">
        <v>1560</v>
      </c>
      <c r="C172" s="62"/>
      <c r="D172" s="62"/>
      <c r="E172" s="12">
        <v>0</v>
      </c>
      <c r="F172" s="12">
        <v>0</v>
      </c>
      <c r="G172" s="69"/>
      <c r="H172" s="63"/>
      <c r="I172" s="63"/>
      <c r="J172" s="3"/>
      <c r="K172" s="3"/>
      <c r="L172" s="3"/>
      <c r="M172" s="3"/>
      <c r="N172" s="3"/>
      <c r="O172" s="3"/>
      <c r="P172" s="3"/>
      <c r="Q172" s="3"/>
      <c r="R172" s="3"/>
      <c r="S172" s="3"/>
      <c r="T172" s="3"/>
      <c r="U172" s="3"/>
      <c r="V172" s="3"/>
      <c r="W172" s="44"/>
      <c r="X172" s="41"/>
      <c r="Y172" s="3"/>
      <c r="Z172" s="3"/>
    </row>
    <row r="173" spans="1:26" ht="15.75" hidden="1" customHeight="1" outlineLevel="1" x14ac:dyDescent="0.3">
      <c r="A173" s="3"/>
      <c r="B173" s="10" t="s">
        <v>1561</v>
      </c>
      <c r="C173" s="62"/>
      <c r="D173" s="62"/>
      <c r="E173" s="12">
        <v>0</v>
      </c>
      <c r="F173" s="12">
        <v>0</v>
      </c>
      <c r="G173" s="70"/>
      <c r="H173" s="63"/>
      <c r="I173" s="63"/>
      <c r="J173" s="3"/>
      <c r="K173" s="3"/>
      <c r="L173" s="3"/>
      <c r="M173" s="3"/>
      <c r="N173" s="3"/>
      <c r="O173" s="3"/>
      <c r="P173" s="3"/>
      <c r="Q173" s="3"/>
      <c r="R173" s="3"/>
      <c r="S173" s="3"/>
      <c r="T173" s="3"/>
      <c r="U173" s="3"/>
      <c r="V173" s="3"/>
      <c r="W173" s="44"/>
      <c r="X173" s="41"/>
      <c r="Y173" s="3"/>
      <c r="Z173" s="3"/>
    </row>
    <row r="174" spans="1:26" ht="15.75" hidden="1" customHeight="1" outlineLevel="1" x14ac:dyDescent="0.3">
      <c r="A174" s="3"/>
      <c r="B174" s="10" t="s">
        <v>61</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row>
    <row r="175" spans="1:26" ht="15.75" hidden="1" customHeight="1" outlineLevel="1" x14ac:dyDescent="0.3">
      <c r="A175" s="3"/>
      <c r="B175" s="10" t="s">
        <v>61</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row>
    <row r="176" spans="1:26" ht="15.75" hidden="1" customHeight="1" outlineLevel="1" x14ac:dyDescent="0.3">
      <c r="A176" s="3"/>
      <c r="B176" s="10" t="s">
        <v>61</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5.75" hidden="1" customHeight="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5.75" hidden="1" customHeight="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row>
    <row r="179" spans="1:26" ht="15.75" hidden="1" customHeight="1" outlineLevel="1" x14ac:dyDescent="0.3">
      <c r="A179" s="3"/>
      <c r="B179" s="10" t="s">
        <v>61</v>
      </c>
      <c r="C179" s="62"/>
      <c r="D179" s="62"/>
      <c r="E179" s="12">
        <v>0</v>
      </c>
      <c r="F179" s="12">
        <v>0</v>
      </c>
      <c r="G179" s="69"/>
      <c r="H179" s="63"/>
      <c r="I179" s="63"/>
      <c r="J179" s="3"/>
      <c r="K179" s="3"/>
      <c r="L179" s="3"/>
      <c r="M179" s="3"/>
      <c r="N179" s="3"/>
      <c r="O179" s="3"/>
      <c r="P179" s="3"/>
      <c r="Q179" s="3"/>
      <c r="R179" s="3"/>
      <c r="S179" s="3"/>
      <c r="T179" s="3"/>
      <c r="U179" s="3"/>
      <c r="V179" s="3"/>
      <c r="W179" s="44"/>
      <c r="X179" s="41"/>
      <c r="Y179" s="3"/>
      <c r="Z179" s="3"/>
    </row>
    <row r="180" spans="1:26" ht="15.75" hidden="1" customHeight="1" outlineLevel="1" x14ac:dyDescent="0.3">
      <c r="A180" s="3"/>
      <c r="B180" s="10" t="s">
        <v>61</v>
      </c>
      <c r="C180" s="62"/>
      <c r="D180" s="62"/>
      <c r="E180" s="12">
        <v>0</v>
      </c>
      <c r="F180" s="12">
        <v>0</v>
      </c>
      <c r="G180" s="69"/>
      <c r="H180" s="63"/>
      <c r="I180" s="63"/>
      <c r="J180" s="3"/>
      <c r="K180" s="3"/>
      <c r="L180" s="3"/>
      <c r="M180" s="3"/>
      <c r="N180" s="3"/>
      <c r="O180" s="3"/>
      <c r="P180" s="3"/>
      <c r="Q180" s="3"/>
      <c r="R180" s="3"/>
      <c r="S180" s="3"/>
      <c r="T180" s="3"/>
      <c r="U180" s="3"/>
      <c r="V180" s="3"/>
      <c r="W180" s="44"/>
      <c r="X180" s="41"/>
      <c r="Y180" s="3"/>
      <c r="Z180" s="3"/>
    </row>
    <row r="181" spans="1:26" ht="15.75" hidden="1" customHeight="1" outlineLevel="1" x14ac:dyDescent="0.3">
      <c r="A181" s="3"/>
      <c r="B181" s="10" t="s">
        <v>61</v>
      </c>
      <c r="C181" s="62"/>
      <c r="D181" s="62"/>
      <c r="E181" s="12">
        <v>0</v>
      </c>
      <c r="F181" s="12">
        <v>0</v>
      </c>
      <c r="G181" s="69"/>
      <c r="H181" s="63"/>
      <c r="I181" s="63"/>
      <c r="J181" s="3"/>
      <c r="K181" s="3"/>
      <c r="L181" s="3"/>
      <c r="M181" s="3"/>
      <c r="N181" s="3"/>
      <c r="O181" s="3"/>
      <c r="P181" s="3"/>
      <c r="Q181" s="3"/>
      <c r="R181" s="3"/>
      <c r="S181" s="3"/>
      <c r="T181" s="3"/>
      <c r="U181" s="3"/>
      <c r="V181" s="3"/>
      <c r="W181" s="44"/>
      <c r="X181" s="41"/>
      <c r="Y181" s="3"/>
      <c r="Z181" s="3"/>
    </row>
    <row r="182" spans="1:26" ht="15.75" hidden="1" customHeight="1" outlineLevel="1" x14ac:dyDescent="0.3">
      <c r="A182" s="3"/>
      <c r="B182" s="10" t="s">
        <v>61</v>
      </c>
      <c r="C182" s="62"/>
      <c r="D182" s="62"/>
      <c r="E182" s="12">
        <v>0</v>
      </c>
      <c r="F182" s="12">
        <v>0</v>
      </c>
      <c r="G182" s="69"/>
      <c r="H182" s="63"/>
      <c r="I182" s="63"/>
      <c r="J182" s="3"/>
      <c r="K182" s="3"/>
      <c r="L182" s="3"/>
      <c r="M182" s="3"/>
      <c r="N182" s="3"/>
      <c r="O182" s="3"/>
      <c r="P182" s="3"/>
      <c r="Q182" s="3"/>
      <c r="R182" s="3"/>
      <c r="S182" s="3"/>
      <c r="T182" s="3"/>
      <c r="U182" s="3"/>
      <c r="V182" s="3"/>
      <c r="W182" s="44"/>
      <c r="X182" s="41"/>
      <c r="Y182" s="3"/>
      <c r="Z182" s="3"/>
    </row>
    <row r="183" spans="1:26" ht="15.75" hidden="1" customHeight="1" outlineLevel="1" x14ac:dyDescent="0.3">
      <c r="A183" s="3"/>
      <c r="B183" s="10" t="s">
        <v>61</v>
      </c>
      <c r="C183" s="62"/>
      <c r="D183" s="62"/>
      <c r="E183" s="12">
        <v>0</v>
      </c>
      <c r="F183" s="12">
        <v>0</v>
      </c>
      <c r="G183" s="69"/>
      <c r="H183" s="63"/>
      <c r="I183" s="63"/>
      <c r="J183" s="3"/>
      <c r="K183" s="3"/>
      <c r="L183" s="3"/>
      <c r="M183" s="3"/>
      <c r="N183" s="3"/>
      <c r="O183" s="3"/>
      <c r="P183" s="3"/>
      <c r="Q183" s="3"/>
      <c r="R183" s="3"/>
      <c r="S183" s="3"/>
      <c r="T183" s="3"/>
      <c r="U183" s="3"/>
      <c r="V183" s="3"/>
      <c r="W183" s="44"/>
      <c r="X183" s="41"/>
      <c r="Y183" s="3"/>
      <c r="Z183" s="3"/>
    </row>
    <row r="184" spans="1:26" ht="19.5" customHeight="1" collapsed="1" x14ac:dyDescent="0.3">
      <c r="A184" s="3"/>
      <c r="B184" s="73" t="s">
        <v>63</v>
      </c>
      <c r="C184" s="56" t="s">
        <v>43</v>
      </c>
      <c r="D184" s="56" t="s">
        <v>43</v>
      </c>
      <c r="E184" s="57">
        <f>SUM(E185:E187)</f>
        <v>0</v>
      </c>
      <c r="F184" s="57">
        <f>SUMIF(D185:D187,"OK",F185:F187)</f>
        <v>0</v>
      </c>
      <c r="G184" s="58" t="s">
        <v>43</v>
      </c>
      <c r="H184" s="74"/>
      <c r="I184" s="74"/>
      <c r="J184" s="3"/>
      <c r="K184" s="3"/>
      <c r="L184" s="3"/>
      <c r="M184" s="3"/>
      <c r="N184" s="3"/>
      <c r="O184" s="3"/>
      <c r="P184" s="3"/>
      <c r="Q184" s="3"/>
      <c r="R184" s="3"/>
      <c r="S184" s="3"/>
      <c r="T184" s="3"/>
      <c r="U184" s="3"/>
      <c r="V184" s="3"/>
      <c r="W184" s="44"/>
      <c r="X184" s="41"/>
      <c r="Y184" s="3"/>
      <c r="Z184" s="3"/>
    </row>
    <row r="185" spans="1:26" ht="15.75" hidden="1" customHeight="1" outlineLevel="1" x14ac:dyDescent="0.3">
      <c r="A185" s="3"/>
      <c r="B185" s="10" t="s">
        <v>1562</v>
      </c>
      <c r="C185" s="62"/>
      <c r="D185" s="62"/>
      <c r="E185" s="12">
        <v>0</v>
      </c>
      <c r="F185" s="12">
        <v>0</v>
      </c>
      <c r="G185" s="69"/>
      <c r="H185" s="63"/>
      <c r="I185" s="63"/>
      <c r="J185" s="3"/>
      <c r="K185" s="3"/>
      <c r="L185" s="3"/>
      <c r="M185" s="3"/>
      <c r="N185" s="3"/>
      <c r="O185" s="3"/>
      <c r="P185" s="3"/>
      <c r="Q185" s="3"/>
      <c r="R185" s="3"/>
      <c r="S185" s="3"/>
      <c r="T185" s="3"/>
      <c r="U185" s="3"/>
      <c r="V185" s="3"/>
      <c r="W185" s="44"/>
      <c r="X185" s="41"/>
      <c r="Y185" s="3"/>
      <c r="Z185" s="3"/>
    </row>
    <row r="186" spans="1:26" ht="15.75" hidden="1" customHeight="1" outlineLevel="1" x14ac:dyDescent="0.3">
      <c r="A186" s="3"/>
      <c r="B186" s="10" t="s">
        <v>63</v>
      </c>
      <c r="C186" s="62"/>
      <c r="D186" s="62"/>
      <c r="E186" s="12">
        <v>0</v>
      </c>
      <c r="F186" s="12">
        <v>0</v>
      </c>
      <c r="G186" s="69"/>
      <c r="H186" s="63"/>
      <c r="I186" s="63"/>
      <c r="J186" s="3"/>
      <c r="K186" s="3"/>
      <c r="L186" s="3"/>
      <c r="M186" s="3"/>
      <c r="N186" s="3"/>
      <c r="O186" s="3"/>
      <c r="P186" s="3"/>
      <c r="Q186" s="3"/>
      <c r="R186" s="3"/>
      <c r="S186" s="3"/>
      <c r="T186" s="3"/>
      <c r="U186" s="3"/>
      <c r="V186" s="3"/>
      <c r="W186" s="44"/>
      <c r="X186" s="41"/>
      <c r="Y186" s="3"/>
      <c r="Z186" s="3"/>
    </row>
    <row r="187" spans="1:26" ht="15.75" hidden="1" customHeight="1" outlineLevel="1" x14ac:dyDescent="0.3">
      <c r="A187" s="3"/>
      <c r="B187" s="10" t="s">
        <v>63</v>
      </c>
      <c r="C187" s="62"/>
      <c r="D187" s="62"/>
      <c r="E187" s="12">
        <v>0</v>
      </c>
      <c r="F187" s="12">
        <v>0</v>
      </c>
      <c r="G187" s="67"/>
      <c r="H187" s="63"/>
      <c r="I187" s="63"/>
      <c r="J187" s="3"/>
      <c r="K187" s="3"/>
      <c r="L187" s="3"/>
      <c r="M187" s="3"/>
      <c r="N187" s="3"/>
      <c r="O187" s="3"/>
      <c r="P187" s="3"/>
      <c r="Q187" s="3"/>
      <c r="R187" s="3"/>
      <c r="S187" s="3"/>
      <c r="T187" s="3"/>
      <c r="U187" s="3"/>
      <c r="V187" s="3"/>
      <c r="W187" s="44"/>
      <c r="X187" s="41"/>
      <c r="Y187" s="3"/>
      <c r="Z187" s="3"/>
    </row>
    <row r="188" spans="1:26" ht="19.5" customHeight="1" collapsed="1" x14ac:dyDescent="0.3">
      <c r="A188" s="3"/>
      <c r="B188" s="73" t="s">
        <v>259</v>
      </c>
      <c r="C188" s="56" t="s">
        <v>43</v>
      </c>
      <c r="D188" s="56" t="s">
        <v>43</v>
      </c>
      <c r="E188" s="57">
        <f>SUM(E189:E195)</f>
        <v>0</v>
      </c>
      <c r="F188" s="57">
        <f>SUMIF(D189:D195,"OK",F189:F195)</f>
        <v>0</v>
      </c>
      <c r="G188" s="58" t="s">
        <v>43</v>
      </c>
      <c r="H188" s="74"/>
      <c r="I188" s="74"/>
      <c r="J188" s="3"/>
      <c r="K188" s="3"/>
      <c r="L188" s="3"/>
      <c r="M188" s="3"/>
      <c r="N188" s="3"/>
      <c r="O188" s="3"/>
      <c r="P188" s="3"/>
      <c r="Q188" s="3"/>
      <c r="R188" s="3"/>
      <c r="S188" s="3"/>
      <c r="T188" s="3"/>
      <c r="U188" s="3"/>
      <c r="V188" s="3"/>
      <c r="W188" s="44"/>
      <c r="X188" s="41"/>
      <c r="Y188" s="3"/>
      <c r="Z188" s="3"/>
    </row>
    <row r="189" spans="1:26" ht="15.75" hidden="1" customHeight="1" outlineLevel="1" x14ac:dyDescent="0.3">
      <c r="A189" s="3"/>
      <c r="B189" s="10" t="s">
        <v>260</v>
      </c>
      <c r="C189" s="62"/>
      <c r="D189" s="62"/>
      <c r="E189" s="12">
        <v>0</v>
      </c>
      <c r="F189" s="12">
        <v>0</v>
      </c>
      <c r="G189" s="67"/>
      <c r="H189" s="63" t="s">
        <v>37</v>
      </c>
      <c r="I189" s="63"/>
      <c r="J189" s="3"/>
      <c r="K189" s="3"/>
      <c r="L189" s="3"/>
      <c r="M189" s="3"/>
      <c r="N189" s="3"/>
      <c r="O189" s="3"/>
      <c r="P189" s="3"/>
      <c r="Q189" s="3"/>
      <c r="R189" s="3"/>
      <c r="S189" s="3"/>
      <c r="T189" s="3"/>
      <c r="U189" s="3"/>
      <c r="V189" s="3"/>
      <c r="W189" s="44"/>
      <c r="X189" s="41"/>
      <c r="Y189" s="3"/>
      <c r="Z189" s="3"/>
    </row>
    <row r="190" spans="1:26" ht="15.75" hidden="1" customHeight="1" outlineLevel="1" x14ac:dyDescent="0.3">
      <c r="A190" s="3"/>
      <c r="B190" s="10" t="s">
        <v>261</v>
      </c>
      <c r="C190" s="62"/>
      <c r="D190" s="62"/>
      <c r="E190" s="12">
        <v>0</v>
      </c>
      <c r="F190" s="12">
        <v>0</v>
      </c>
      <c r="G190" s="69"/>
      <c r="H190" s="63" t="s">
        <v>38</v>
      </c>
      <c r="I190" s="63"/>
      <c r="J190" s="3"/>
      <c r="K190" s="3"/>
      <c r="L190" s="3"/>
      <c r="M190" s="3"/>
      <c r="N190" s="3"/>
      <c r="O190" s="3"/>
      <c r="P190" s="3"/>
      <c r="Q190" s="3"/>
      <c r="R190" s="3"/>
      <c r="S190" s="3"/>
      <c r="T190" s="3"/>
      <c r="U190" s="3"/>
      <c r="V190" s="3"/>
      <c r="W190" s="44"/>
      <c r="X190" s="41"/>
      <c r="Y190" s="3"/>
      <c r="Z190" s="3"/>
    </row>
    <row r="191" spans="1:26" ht="15.75" hidden="1" customHeight="1" outlineLevel="1" x14ac:dyDescent="0.3">
      <c r="A191" s="3"/>
      <c r="B191" s="10" t="s">
        <v>263</v>
      </c>
      <c r="C191" s="62"/>
      <c r="D191" s="62"/>
      <c r="E191" s="12">
        <v>0</v>
      </c>
      <c r="F191" s="12">
        <v>0</v>
      </c>
      <c r="G191" s="67"/>
      <c r="H191" s="63" t="s">
        <v>234</v>
      </c>
      <c r="I191" s="63"/>
      <c r="J191" s="3"/>
      <c r="K191" s="3"/>
      <c r="L191" s="3"/>
      <c r="M191" s="3"/>
      <c r="N191" s="3"/>
      <c r="O191" s="3"/>
      <c r="P191" s="3"/>
      <c r="Q191" s="3"/>
      <c r="R191" s="3"/>
      <c r="S191" s="3"/>
      <c r="T191" s="3"/>
      <c r="U191" s="3"/>
      <c r="V191" s="3"/>
      <c r="W191" s="44"/>
      <c r="X191" s="41"/>
      <c r="Y191" s="3"/>
      <c r="Z191" s="3"/>
    </row>
    <row r="192" spans="1:26" ht="15.75" hidden="1" customHeight="1" outlineLevel="1" x14ac:dyDescent="0.3">
      <c r="A192" s="3"/>
      <c r="B192" s="10" t="s">
        <v>264</v>
      </c>
      <c r="C192" s="62"/>
      <c r="D192" s="62"/>
      <c r="E192" s="12">
        <v>0</v>
      </c>
      <c r="F192" s="12">
        <v>0</v>
      </c>
      <c r="G192" s="67"/>
      <c r="H192" s="63" t="s">
        <v>265</v>
      </c>
      <c r="I192" s="63"/>
      <c r="J192" s="3"/>
      <c r="K192" s="3"/>
      <c r="L192" s="3"/>
      <c r="M192" s="3"/>
      <c r="N192" s="3"/>
      <c r="O192" s="3"/>
      <c r="P192" s="3"/>
      <c r="Q192" s="3"/>
      <c r="R192" s="3"/>
      <c r="S192" s="3"/>
      <c r="T192" s="3"/>
      <c r="U192" s="3"/>
      <c r="V192" s="3"/>
      <c r="W192" s="44"/>
      <c r="X192" s="41"/>
      <c r="Y192" s="3"/>
      <c r="Z192" s="3"/>
    </row>
    <row r="193" spans="1:26" ht="15.75" hidden="1" customHeight="1" outlineLevel="1" x14ac:dyDescent="0.3">
      <c r="A193" s="3"/>
      <c r="B193" s="10" t="s">
        <v>551</v>
      </c>
      <c r="C193" s="62"/>
      <c r="D193" s="62"/>
      <c r="E193" s="12">
        <v>0</v>
      </c>
      <c r="F193" s="12">
        <v>0</v>
      </c>
      <c r="G193" s="67"/>
      <c r="H193" s="63" t="s">
        <v>39</v>
      </c>
      <c r="I193" s="63"/>
      <c r="J193" s="3"/>
      <c r="K193" s="3"/>
      <c r="L193" s="3"/>
      <c r="M193" s="3"/>
      <c r="N193" s="3"/>
      <c r="O193" s="3"/>
      <c r="P193" s="3"/>
      <c r="Q193" s="3"/>
      <c r="R193" s="3"/>
      <c r="S193" s="3"/>
      <c r="T193" s="3"/>
      <c r="U193" s="3"/>
      <c r="V193" s="3"/>
      <c r="W193" s="44"/>
      <c r="X193" s="41"/>
      <c r="Y193" s="3"/>
      <c r="Z193" s="3"/>
    </row>
    <row r="194" spans="1:26" ht="15.75" hidden="1" customHeight="1" outlineLevel="1" x14ac:dyDescent="0.3">
      <c r="A194" s="3"/>
      <c r="B194" s="10" t="s">
        <v>1524</v>
      </c>
      <c r="C194" s="62"/>
      <c r="D194" s="62"/>
      <c r="E194" s="12">
        <v>0</v>
      </c>
      <c r="F194" s="12">
        <v>0</v>
      </c>
      <c r="G194" s="67"/>
      <c r="H194" s="63" t="s">
        <v>38</v>
      </c>
      <c r="I194" s="63"/>
      <c r="J194" s="3"/>
      <c r="K194" s="3"/>
      <c r="L194" s="3"/>
      <c r="M194" s="3"/>
      <c r="N194" s="3"/>
      <c r="O194" s="3"/>
      <c r="P194" s="3"/>
      <c r="Q194" s="3"/>
      <c r="R194" s="3"/>
      <c r="S194" s="3"/>
      <c r="T194" s="3"/>
      <c r="U194" s="3"/>
      <c r="V194" s="3"/>
      <c r="W194" s="44"/>
      <c r="X194" s="41"/>
      <c r="Y194" s="3"/>
      <c r="Z194" s="3"/>
    </row>
    <row r="195" spans="1:26" ht="15.75" hidden="1" customHeight="1" outlineLevel="1" x14ac:dyDescent="0.3">
      <c r="A195" s="3"/>
      <c r="B195" s="10" t="s">
        <v>916</v>
      </c>
      <c r="C195" s="62"/>
      <c r="D195" s="62"/>
      <c r="E195" s="12">
        <v>0</v>
      </c>
      <c r="F195" s="12">
        <v>0</v>
      </c>
      <c r="G195" s="67"/>
      <c r="H195" s="63"/>
      <c r="I195" s="63"/>
      <c r="J195" s="3"/>
      <c r="K195" s="3"/>
      <c r="L195" s="3"/>
      <c r="M195" s="3"/>
      <c r="N195" s="3"/>
      <c r="O195" s="3"/>
      <c r="P195" s="3"/>
      <c r="Q195" s="3"/>
      <c r="R195" s="3"/>
      <c r="S195" s="3"/>
      <c r="T195" s="3"/>
      <c r="U195" s="3"/>
      <c r="V195" s="3"/>
      <c r="W195" s="44"/>
      <c r="X195" s="41"/>
      <c r="Y195" s="3"/>
      <c r="Z195" s="3"/>
    </row>
    <row r="196" spans="1:26" ht="15.75" customHeight="1" collapsed="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6" ht="15.75" customHeight="1" x14ac:dyDescent="0.3">
      <c r="A197" s="3"/>
      <c r="B197" s="3"/>
      <c r="C197" s="37"/>
      <c r="D197" s="37"/>
      <c r="E197" s="37"/>
      <c r="F197" s="111"/>
      <c r="G197" s="123"/>
      <c r="H197" s="37"/>
      <c r="I197" s="37"/>
      <c r="J197" s="37"/>
      <c r="K197" s="37"/>
      <c r="L197" s="37"/>
      <c r="M197" s="37"/>
      <c r="N197" s="37"/>
      <c r="O197" s="37"/>
      <c r="P197" s="37"/>
      <c r="Q197" s="37"/>
      <c r="R197" s="37"/>
      <c r="S197" s="37"/>
      <c r="T197" s="37"/>
      <c r="U197" s="37"/>
      <c r="V197" s="37"/>
      <c r="W197" s="44"/>
      <c r="X197" s="41"/>
    </row>
    <row r="198" spans="1:26"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6"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6"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6"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6"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6"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6"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6"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6"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6"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6"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c r="A391" s="3"/>
      <c r="B391" s="3"/>
      <c r="C391" s="37"/>
      <c r="D391" s="37"/>
      <c r="E391" s="37"/>
      <c r="F391" s="37"/>
      <c r="G391" s="123"/>
      <c r="H391" s="37"/>
      <c r="I391" s="37"/>
      <c r="J391" s="37"/>
      <c r="K391" s="37"/>
      <c r="L391" s="37"/>
      <c r="M391" s="37"/>
      <c r="N391" s="37"/>
      <c r="O391" s="37"/>
      <c r="P391" s="37"/>
      <c r="Q391" s="37"/>
      <c r="R391" s="37"/>
      <c r="S391" s="37"/>
      <c r="T391" s="37"/>
      <c r="U391" s="37"/>
      <c r="V391" s="37"/>
      <c r="W391" s="44"/>
      <c r="X391" s="41"/>
    </row>
    <row r="392" spans="1:24" ht="15.75" customHeight="1" x14ac:dyDescent="0.3">
      <c r="A392" s="3"/>
      <c r="B392" s="3"/>
      <c r="C392" s="37"/>
      <c r="D392" s="37"/>
      <c r="E392" s="37"/>
      <c r="F392" s="37"/>
      <c r="G392" s="123"/>
      <c r="H392" s="37"/>
      <c r="I392" s="37"/>
      <c r="J392" s="37"/>
      <c r="K392" s="37"/>
      <c r="L392" s="37"/>
      <c r="M392" s="37"/>
      <c r="N392" s="37"/>
      <c r="O392" s="37"/>
      <c r="P392" s="37"/>
      <c r="Q392" s="37"/>
      <c r="R392" s="37"/>
      <c r="S392" s="37"/>
      <c r="T392" s="37"/>
      <c r="U392" s="37"/>
      <c r="V392" s="37"/>
      <c r="W392" s="44"/>
      <c r="X392" s="41"/>
    </row>
    <row r="393" spans="1:24" ht="15.75" customHeight="1" x14ac:dyDescent="0.3">
      <c r="A393" s="3"/>
      <c r="B393" s="3"/>
      <c r="C393" s="37"/>
      <c r="D393" s="37"/>
      <c r="E393" s="37"/>
      <c r="F393" s="37"/>
      <c r="G393" s="123"/>
      <c r="H393" s="37"/>
      <c r="I393" s="37"/>
      <c r="J393" s="37"/>
      <c r="K393" s="37"/>
      <c r="L393" s="37"/>
      <c r="M393" s="37"/>
      <c r="N393" s="37"/>
      <c r="O393" s="37"/>
      <c r="P393" s="37"/>
      <c r="Q393" s="37"/>
      <c r="R393" s="37"/>
      <c r="S393" s="37"/>
      <c r="T393" s="37"/>
      <c r="U393" s="37"/>
      <c r="V393" s="37"/>
      <c r="W393" s="44"/>
      <c r="X393" s="41"/>
    </row>
    <row r="394" spans="1:24" ht="15.75" customHeight="1" x14ac:dyDescent="0.3">
      <c r="A394" s="3"/>
      <c r="B394" s="3"/>
      <c r="C394" s="37"/>
      <c r="D394" s="37"/>
      <c r="E394" s="37"/>
      <c r="F394" s="37"/>
      <c r="G394" s="123"/>
      <c r="H394" s="37"/>
      <c r="I394" s="37"/>
      <c r="J394" s="37"/>
      <c r="K394" s="37"/>
      <c r="L394" s="37"/>
      <c r="M394" s="37"/>
      <c r="N394" s="37"/>
      <c r="O394" s="37"/>
      <c r="P394" s="37"/>
      <c r="Q394" s="37"/>
      <c r="R394" s="37"/>
      <c r="S394" s="37"/>
      <c r="T394" s="37"/>
      <c r="U394" s="37"/>
      <c r="V394" s="37"/>
      <c r="W394" s="44"/>
      <c r="X394" s="41"/>
    </row>
    <row r="395" spans="1:24" ht="15.75" customHeight="1" x14ac:dyDescent="0.3">
      <c r="A395" s="3"/>
      <c r="B395" s="3"/>
      <c r="C395" s="37"/>
      <c r="D395" s="37"/>
      <c r="E395" s="37"/>
      <c r="F395" s="37"/>
      <c r="G395" s="123"/>
      <c r="H395" s="37"/>
      <c r="I395" s="37"/>
      <c r="J395" s="37"/>
      <c r="K395" s="37"/>
      <c r="L395" s="37"/>
      <c r="M395" s="37"/>
      <c r="N395" s="37"/>
      <c r="O395" s="37"/>
      <c r="P395" s="37"/>
      <c r="Q395" s="37"/>
      <c r="R395" s="37"/>
      <c r="S395" s="37"/>
      <c r="T395" s="37"/>
      <c r="U395" s="37"/>
      <c r="V395" s="37"/>
      <c r="W395" s="44"/>
      <c r="X395" s="41"/>
    </row>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5" xr:uid="{00000000-0009-0000-0000-000018000000}"/>
  <mergeCells count="35">
    <mergeCell ref="G90:G91"/>
    <mergeCell ref="G93:G94"/>
    <mergeCell ref="G101:G102"/>
    <mergeCell ref="G50:G51"/>
    <mergeCell ref="G52:G53"/>
    <mergeCell ref="G55:G56"/>
    <mergeCell ref="G58:G59"/>
    <mergeCell ref="G62:G63"/>
    <mergeCell ref="G68:G69"/>
    <mergeCell ref="G73:G74"/>
    <mergeCell ref="G48:G49"/>
    <mergeCell ref="G79:G80"/>
    <mergeCell ref="G81:G82"/>
    <mergeCell ref="G83:G84"/>
    <mergeCell ref="G86:G87"/>
    <mergeCell ref="G33:G34"/>
    <mergeCell ref="G37:G38"/>
    <mergeCell ref="G39:G42"/>
    <mergeCell ref="G44:G45"/>
    <mergeCell ref="G46:G47"/>
    <mergeCell ref="G21:G22"/>
    <mergeCell ref="G23:G24"/>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5">
    <cfRule type="cellIs" dxfId="11" priority="1" operator="equal">
      <formula>"Diferente"</formula>
    </cfRule>
    <cfRule type="cellIs" dxfId="10" priority="2" operator="equal">
      <formula>"OK"</formula>
    </cfRule>
  </conditionalFormatting>
  <dataValidations count="1">
    <dataValidation type="list" allowBlank="1" showErrorMessage="1" sqref="D7:D125 D128:D129 D131:D133 D135:D138 D140:D145 D147:D153 D156:D159 D161:D164 D166:D168 D170:D183 D185:D187 D189:D195" xr:uid="{00000000-0002-0000-18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800-000000000000}">
          <x14:formula1>
            <xm:f>'Plano de contas DG'!$C$5:$C$38</xm:f>
          </x14:formula1>
          <xm:sqref>I6:I195</xm:sqref>
        </x14:dataValidation>
        <x14:dataValidation type="list" allowBlank="1" showErrorMessage="1" xr:uid="{00000000-0002-0000-1800-000001000000}">
          <x14:formula1>
            <xm:f>Caixa!$B$5:$B$8</xm:f>
          </x14:formula1>
          <xm:sqref>H7:H125 H128:H129 H131:H133 H135:H138 H140:H145 H147:H153 H156:H159 H161:H164 H166:H168 H170:H183 H185:H187 H189:H195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25" customHeight="1" x14ac:dyDescent="0.3">
      <c r="A2" s="3"/>
      <c r="B2" s="238" t="s">
        <v>269</v>
      </c>
      <c r="C2" s="239"/>
      <c r="D2" s="218"/>
      <c r="E2" s="218"/>
      <c r="F2" s="219"/>
      <c r="G2" s="82"/>
      <c r="H2" s="82"/>
      <c r="I2" s="83"/>
      <c r="J2" s="82"/>
      <c r="K2" s="37"/>
      <c r="L2" s="37"/>
      <c r="M2" s="37"/>
      <c r="N2" s="37"/>
      <c r="O2" s="37"/>
      <c r="P2" s="37"/>
      <c r="Q2" s="37"/>
      <c r="R2" s="37"/>
      <c r="S2" s="37"/>
      <c r="T2" s="37"/>
      <c r="U2" s="3"/>
    </row>
    <row r="3" spans="1:26" ht="14.25" customHeight="1" x14ac:dyDescent="0.3">
      <c r="A3" s="3"/>
      <c r="B3" s="206"/>
      <c r="C3" s="240"/>
      <c r="D3" s="241"/>
      <c r="E3" s="241"/>
      <c r="F3" s="242"/>
      <c r="G3" s="82"/>
      <c r="H3" s="82"/>
      <c r="I3" s="83"/>
      <c r="J3" s="82"/>
      <c r="K3" s="37"/>
      <c r="L3" s="37"/>
      <c r="M3" s="37"/>
      <c r="N3" s="37"/>
      <c r="O3" s="37"/>
      <c r="P3" s="37"/>
      <c r="Q3" s="37"/>
      <c r="R3" s="37"/>
      <c r="S3" s="37"/>
      <c r="T3" s="37"/>
      <c r="U3" s="3"/>
    </row>
    <row r="4" spans="1:26" ht="14.25" customHeight="1" x14ac:dyDescent="0.3">
      <c r="A4" s="3"/>
      <c r="B4" s="227" t="s">
        <v>73</v>
      </c>
      <c r="C4" s="48" t="s">
        <v>43</v>
      </c>
      <c r="D4" s="48" t="s">
        <v>43</v>
      </c>
      <c r="E4" s="26">
        <f>SUBTOTAL(9,E16,E62,E37,E151,E176,E182,E89,E6,E33,E261,E324,E211,E221,E231,E241,E251,E115)</f>
        <v>0</v>
      </c>
      <c r="F4" s="26">
        <f>SUBTOTAL(9,F16,F62,F37,F141,F151,F176,F182,F89,F6,F33,F261,F324,F211,F221,F231,F241,F251,F115)</f>
        <v>0</v>
      </c>
      <c r="G4" s="48" t="s">
        <v>43</v>
      </c>
      <c r="H4" s="237" t="s">
        <v>1</v>
      </c>
      <c r="I4" s="243" t="s">
        <v>270</v>
      </c>
      <c r="J4" s="237" t="s">
        <v>74</v>
      </c>
      <c r="K4" s="37"/>
      <c r="L4" s="37"/>
      <c r="M4" s="37"/>
      <c r="N4" s="37"/>
      <c r="O4" s="37"/>
      <c r="P4" s="37"/>
      <c r="Q4" s="37"/>
      <c r="R4" s="37"/>
      <c r="S4" s="37"/>
      <c r="T4" s="37"/>
      <c r="U4" s="3"/>
      <c r="W4" s="3"/>
      <c r="X4" s="3"/>
      <c r="Y4" s="3"/>
      <c r="Z4" s="3"/>
    </row>
    <row r="5" spans="1:26" ht="14.25" customHeight="1"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0</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c r="D7" s="62"/>
      <c r="E7" s="12">
        <v>0</v>
      </c>
      <c r="F7" s="12">
        <v>0</v>
      </c>
      <c r="G7" s="89"/>
      <c r="H7" s="65"/>
      <c r="I7" s="156"/>
      <c r="J7" s="65"/>
      <c r="K7" s="37"/>
      <c r="L7" s="37"/>
      <c r="M7" s="37"/>
      <c r="N7" s="37"/>
      <c r="O7" s="37"/>
      <c r="P7" s="37"/>
      <c r="Q7" s="37"/>
      <c r="R7" s="37"/>
      <c r="S7" s="37"/>
      <c r="T7" s="37"/>
      <c r="U7" s="3"/>
      <c r="W7" s="3"/>
      <c r="X7" s="3"/>
      <c r="Y7" s="3"/>
      <c r="Z7" s="3"/>
    </row>
    <row r="8" spans="1:26" ht="14.4" hidden="1" outlineLevel="1" x14ac:dyDescent="0.3">
      <c r="A8" s="3"/>
      <c r="B8" s="10" t="s">
        <v>273</v>
      </c>
      <c r="C8" s="62"/>
      <c r="D8" s="62"/>
      <c r="E8" s="12">
        <v>0</v>
      </c>
      <c r="F8" s="12">
        <v>0</v>
      </c>
      <c r="G8" s="89"/>
      <c r="H8" s="65"/>
      <c r="I8" s="157"/>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89"/>
      <c r="H9" s="65"/>
      <c r="I9" s="157"/>
      <c r="J9" s="65"/>
      <c r="K9" s="37"/>
      <c r="L9" s="37"/>
      <c r="M9" s="37"/>
      <c r="N9" s="37"/>
      <c r="O9" s="37"/>
      <c r="P9" s="37"/>
      <c r="Q9" s="37"/>
      <c r="R9" s="37"/>
      <c r="S9" s="37"/>
      <c r="T9" s="37"/>
      <c r="U9" s="3"/>
      <c r="W9" s="3"/>
      <c r="X9" s="3"/>
      <c r="Y9" s="3"/>
      <c r="Z9" s="3"/>
    </row>
    <row r="10" spans="1:26" ht="14.4" hidden="1" outlineLevel="1" x14ac:dyDescent="0.3">
      <c r="A10" s="3"/>
      <c r="B10" s="10" t="s">
        <v>281</v>
      </c>
      <c r="C10" s="62"/>
      <c r="D10" s="62"/>
      <c r="E10" s="12">
        <v>0</v>
      </c>
      <c r="F10" s="12">
        <v>0</v>
      </c>
      <c r="G10" s="89"/>
      <c r="H10" s="65"/>
      <c r="I10" s="156"/>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c r="D11" s="62"/>
      <c r="E11" s="12">
        <v>0</v>
      </c>
      <c r="F11" s="12">
        <v>0</v>
      </c>
      <c r="G11" s="89"/>
      <c r="H11" s="65"/>
      <c r="I11" s="156"/>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c r="D12" s="62"/>
      <c r="E12" s="12">
        <v>0</v>
      </c>
      <c r="F12" s="12">
        <v>0</v>
      </c>
      <c r="G12" s="89"/>
      <c r="H12" s="65"/>
      <c r="I12" s="156"/>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57"/>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c r="D14" s="62"/>
      <c r="E14" s="12">
        <v>0</v>
      </c>
      <c r="F14" s="12">
        <v>0</v>
      </c>
      <c r="G14" s="89"/>
      <c r="H14" s="65"/>
      <c r="I14" s="156"/>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c r="D15" s="62"/>
      <c r="E15" s="12">
        <v>0</v>
      </c>
      <c r="F15" s="12">
        <v>0</v>
      </c>
      <c r="G15" s="89"/>
      <c r="H15" s="65"/>
      <c r="I15" s="157"/>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SUM(E17:E32)</f>
        <v>0</v>
      </c>
      <c r="F16" s="86">
        <f>SUMIF(D17:D32,"OK",F17:F32)</f>
        <v>0</v>
      </c>
      <c r="G16" s="87"/>
      <c r="H16" s="87"/>
      <c r="I16" s="88"/>
      <c r="J16" s="87"/>
      <c r="K16" s="37"/>
      <c r="L16" s="37"/>
      <c r="M16" s="37"/>
      <c r="N16" s="37"/>
      <c r="O16" s="37"/>
      <c r="P16" s="37"/>
      <c r="Q16" s="37"/>
      <c r="R16" s="37"/>
      <c r="S16" s="37"/>
      <c r="T16" s="37"/>
      <c r="U16" s="3"/>
    </row>
    <row r="17" spans="1:22" ht="14.4" hidden="1" outlineLevel="1" x14ac:dyDescent="0.3">
      <c r="A17" s="3"/>
      <c r="B17" s="10" t="s">
        <v>561</v>
      </c>
      <c r="C17" s="62"/>
      <c r="D17" s="62"/>
      <c r="E17" s="12">
        <v>0</v>
      </c>
      <c r="F17" s="12">
        <v>0</v>
      </c>
      <c r="G17" s="249"/>
      <c r="H17" s="65"/>
      <c r="I17" s="272"/>
      <c r="J17" s="65"/>
      <c r="K17" s="37"/>
      <c r="L17" s="37"/>
      <c r="M17" s="37"/>
      <c r="N17" s="37"/>
      <c r="O17" s="37"/>
      <c r="P17" s="37"/>
      <c r="Q17" s="37"/>
      <c r="R17" s="37"/>
      <c r="S17" s="37"/>
      <c r="T17" s="37"/>
      <c r="U17" s="3"/>
    </row>
    <row r="18" spans="1:22" ht="14.4" hidden="1" outlineLevel="1" x14ac:dyDescent="0.3">
      <c r="A18" s="3"/>
      <c r="B18" s="10" t="s">
        <v>563</v>
      </c>
      <c r="C18" s="62"/>
      <c r="D18" s="62"/>
      <c r="E18" s="12">
        <v>0</v>
      </c>
      <c r="F18" s="12">
        <v>0</v>
      </c>
      <c r="G18" s="215"/>
      <c r="H18" s="65"/>
      <c r="I18" s="215"/>
      <c r="J18" s="65"/>
      <c r="K18" s="37"/>
      <c r="L18" s="37"/>
      <c r="M18" s="37"/>
      <c r="N18" s="37"/>
      <c r="O18" s="37"/>
      <c r="P18" s="37"/>
      <c r="Q18" s="37"/>
      <c r="R18" s="37"/>
      <c r="S18" s="37"/>
      <c r="T18" s="37"/>
      <c r="U18" s="3"/>
    </row>
    <row r="19" spans="1:22" ht="14.4" hidden="1" outlineLevel="1" x14ac:dyDescent="0.3">
      <c r="A19" s="3"/>
      <c r="B19" s="10" t="s">
        <v>564</v>
      </c>
      <c r="C19" s="62"/>
      <c r="D19" s="62"/>
      <c r="E19" s="12">
        <v>0</v>
      </c>
      <c r="F19" s="12">
        <v>0</v>
      </c>
      <c r="G19" s="215"/>
      <c r="H19" s="65"/>
      <c r="I19" s="215"/>
      <c r="J19" s="65"/>
      <c r="K19" s="37"/>
      <c r="L19" s="37"/>
      <c r="M19" s="37"/>
      <c r="N19" s="37"/>
      <c r="O19" s="37"/>
      <c r="P19" s="37"/>
      <c r="Q19" s="37"/>
      <c r="R19" s="37"/>
      <c r="S19" s="37"/>
      <c r="T19" s="37"/>
      <c r="U19" s="3"/>
    </row>
    <row r="20" spans="1:22" ht="14.4" hidden="1" outlineLevel="1" x14ac:dyDescent="0.3">
      <c r="A20" s="3"/>
      <c r="B20" s="10" t="s">
        <v>565</v>
      </c>
      <c r="C20" s="62"/>
      <c r="D20" s="62"/>
      <c r="E20" s="12">
        <v>0</v>
      </c>
      <c r="F20" s="12">
        <v>0</v>
      </c>
      <c r="G20" s="216"/>
      <c r="H20" s="65"/>
      <c r="I20" s="216"/>
      <c r="J20" s="65"/>
      <c r="K20" s="37"/>
      <c r="L20" s="37"/>
      <c r="M20" s="37"/>
      <c r="N20" s="37"/>
      <c r="O20" s="37"/>
      <c r="P20" s="37"/>
      <c r="Q20" s="37"/>
      <c r="R20" s="37"/>
      <c r="S20" s="37"/>
      <c r="T20" s="37"/>
      <c r="U20" s="3"/>
    </row>
    <row r="21" spans="1:22" ht="15.75" hidden="1" customHeight="1" outlineLevel="1" x14ac:dyDescent="0.3">
      <c r="A21" s="3"/>
      <c r="B21" s="10" t="s">
        <v>567</v>
      </c>
      <c r="C21" s="62"/>
      <c r="D21" s="62"/>
      <c r="E21" s="12">
        <v>0</v>
      </c>
      <c r="F21" s="12">
        <v>0</v>
      </c>
      <c r="G21" s="244"/>
      <c r="H21" s="65"/>
      <c r="I21" s="272"/>
      <c r="J21" s="65"/>
      <c r="K21" s="37"/>
      <c r="L21" s="37"/>
      <c r="M21" s="37"/>
      <c r="N21" s="37"/>
      <c r="O21" s="37"/>
      <c r="P21" s="37"/>
      <c r="Q21" s="37"/>
      <c r="R21" s="37"/>
      <c r="S21" s="37"/>
      <c r="T21" s="37"/>
      <c r="U21" s="3"/>
      <c r="V21" s="18"/>
    </row>
    <row r="22" spans="1:22" ht="15.75" hidden="1" customHeight="1" outlineLevel="1" x14ac:dyDescent="0.3">
      <c r="A22" s="3"/>
      <c r="B22" s="10" t="s">
        <v>570</v>
      </c>
      <c r="C22" s="62"/>
      <c r="D22" s="62"/>
      <c r="E22" s="12">
        <v>0</v>
      </c>
      <c r="F22" s="12">
        <v>0</v>
      </c>
      <c r="G22" s="215"/>
      <c r="H22" s="65"/>
      <c r="I22" s="215"/>
      <c r="J22" s="65"/>
      <c r="K22" s="37"/>
      <c r="L22" s="37"/>
      <c r="M22" s="37"/>
      <c r="N22" s="37"/>
      <c r="O22" s="37"/>
      <c r="P22" s="37"/>
      <c r="Q22" s="37"/>
      <c r="R22" s="37"/>
      <c r="S22" s="37"/>
      <c r="T22" s="37"/>
      <c r="U22" s="3"/>
      <c r="V22" s="18"/>
    </row>
    <row r="23" spans="1:22" ht="15.75" hidden="1" customHeight="1" outlineLevel="1" x14ac:dyDescent="0.3">
      <c r="A23" s="3"/>
      <c r="B23" s="10" t="s">
        <v>571</v>
      </c>
      <c r="C23" s="62"/>
      <c r="D23" s="62"/>
      <c r="E23" s="12">
        <v>0</v>
      </c>
      <c r="F23" s="12">
        <v>0</v>
      </c>
      <c r="G23" s="215"/>
      <c r="H23" s="65"/>
      <c r="I23" s="215"/>
      <c r="J23" s="65"/>
      <c r="K23" s="37"/>
      <c r="L23" s="37"/>
      <c r="M23" s="37"/>
      <c r="N23" s="37"/>
      <c r="O23" s="37"/>
      <c r="P23" s="37"/>
      <c r="Q23" s="37"/>
      <c r="R23" s="37"/>
      <c r="S23" s="37"/>
      <c r="T23" s="37"/>
      <c r="U23" s="3"/>
      <c r="V23" s="18"/>
    </row>
    <row r="24" spans="1:22" ht="15.75" hidden="1" customHeight="1" outlineLevel="1" x14ac:dyDescent="0.3">
      <c r="A24" s="3"/>
      <c r="B24" s="10" t="s">
        <v>572</v>
      </c>
      <c r="C24" s="62"/>
      <c r="D24" s="62"/>
      <c r="E24" s="12">
        <v>0</v>
      </c>
      <c r="F24" s="12">
        <v>0</v>
      </c>
      <c r="G24" s="215"/>
      <c r="H24" s="65"/>
      <c r="I24" s="215"/>
      <c r="J24" s="65"/>
      <c r="K24" s="37"/>
      <c r="L24" s="37"/>
      <c r="M24" s="37"/>
      <c r="N24" s="37"/>
      <c r="O24" s="37"/>
      <c r="P24" s="37"/>
      <c r="Q24" s="37"/>
      <c r="R24" s="37"/>
      <c r="S24" s="37"/>
      <c r="T24" s="37"/>
      <c r="U24" s="3"/>
      <c r="V24" s="18"/>
    </row>
    <row r="25" spans="1:22" ht="15.75" hidden="1" customHeight="1" outlineLevel="1" x14ac:dyDescent="0.3">
      <c r="A25" s="3"/>
      <c r="B25" s="10" t="s">
        <v>573</v>
      </c>
      <c r="C25" s="62"/>
      <c r="D25" s="62"/>
      <c r="E25" s="12">
        <v>0</v>
      </c>
      <c r="F25" s="12">
        <v>0</v>
      </c>
      <c r="G25" s="215"/>
      <c r="H25" s="65"/>
      <c r="I25" s="215"/>
      <c r="J25" s="65"/>
      <c r="K25" s="37"/>
      <c r="L25" s="37"/>
      <c r="M25" s="37"/>
      <c r="N25" s="37"/>
      <c r="O25" s="37"/>
      <c r="P25" s="37"/>
      <c r="Q25" s="37"/>
      <c r="R25" s="37"/>
      <c r="S25" s="37"/>
      <c r="T25" s="37"/>
      <c r="U25" s="3"/>
      <c r="V25" s="18"/>
    </row>
    <row r="26" spans="1:22" ht="15.75" hidden="1" customHeight="1" outlineLevel="1" x14ac:dyDescent="0.3">
      <c r="A26" s="3"/>
      <c r="B26" s="10" t="s">
        <v>574</v>
      </c>
      <c r="C26" s="62"/>
      <c r="D26" s="62"/>
      <c r="E26" s="12">
        <v>0</v>
      </c>
      <c r="F26" s="12">
        <v>0</v>
      </c>
      <c r="G26" s="215"/>
      <c r="H26" s="65"/>
      <c r="I26" s="215"/>
      <c r="J26" s="65"/>
      <c r="K26" s="37"/>
      <c r="L26" s="37"/>
      <c r="M26" s="37"/>
      <c r="N26" s="37"/>
      <c r="O26" s="37"/>
      <c r="P26" s="37"/>
      <c r="Q26" s="37"/>
      <c r="R26" s="37"/>
      <c r="S26" s="37"/>
      <c r="T26" s="37"/>
      <c r="U26" s="3"/>
      <c r="V26" s="18"/>
    </row>
    <row r="27" spans="1:22" ht="15.75" hidden="1" customHeight="1" outlineLevel="1" x14ac:dyDescent="0.3">
      <c r="A27" s="3"/>
      <c r="B27" s="10" t="s">
        <v>1563</v>
      </c>
      <c r="C27" s="62"/>
      <c r="D27" s="62"/>
      <c r="E27" s="12">
        <v>0</v>
      </c>
      <c r="F27" s="12">
        <v>0</v>
      </c>
      <c r="G27" s="216"/>
      <c r="H27" s="65"/>
      <c r="I27" s="216"/>
      <c r="J27" s="65"/>
      <c r="K27" s="37"/>
      <c r="L27" s="37"/>
      <c r="M27" s="37"/>
      <c r="N27" s="37"/>
      <c r="O27" s="37"/>
      <c r="P27" s="37"/>
      <c r="Q27" s="37"/>
      <c r="R27" s="37"/>
      <c r="S27" s="37"/>
      <c r="T27" s="37"/>
      <c r="U27" s="3"/>
      <c r="V27" s="18"/>
    </row>
    <row r="28" spans="1:22" ht="15.75" hidden="1" customHeight="1" outlineLevel="1" x14ac:dyDescent="0.3">
      <c r="A28" s="3"/>
      <c r="B28" s="10" t="s">
        <v>292</v>
      </c>
      <c r="C28" s="62"/>
      <c r="D28" s="62"/>
      <c r="E28" s="12">
        <v>0</v>
      </c>
      <c r="F28" s="12">
        <v>0</v>
      </c>
      <c r="G28" s="65"/>
      <c r="H28" s="65"/>
      <c r="I28" s="156"/>
      <c r="J28" s="65"/>
      <c r="K28" s="37"/>
      <c r="L28" s="37"/>
      <c r="M28" s="37"/>
      <c r="N28" s="37"/>
      <c r="O28" s="37"/>
      <c r="P28" s="37"/>
      <c r="Q28" s="37"/>
      <c r="R28" s="37"/>
      <c r="S28" s="37"/>
      <c r="T28" s="37"/>
      <c r="U28" s="3"/>
      <c r="V28" s="18"/>
    </row>
    <row r="29" spans="1:22" ht="15.75" hidden="1" customHeight="1" outlineLevel="1" x14ac:dyDescent="0.3">
      <c r="A29" s="3"/>
      <c r="B29" s="10" t="s">
        <v>294</v>
      </c>
      <c r="C29" s="62"/>
      <c r="D29" s="62"/>
      <c r="E29" s="12">
        <v>0</v>
      </c>
      <c r="F29" s="12">
        <v>0</v>
      </c>
      <c r="G29" s="89"/>
      <c r="H29" s="65"/>
      <c r="I29" s="156"/>
      <c r="J29" s="65"/>
      <c r="K29" s="37"/>
      <c r="L29" s="37"/>
      <c r="M29" s="37"/>
      <c r="N29" s="37"/>
      <c r="O29" s="37"/>
      <c r="P29" s="37"/>
      <c r="Q29" s="37"/>
      <c r="R29" s="37"/>
      <c r="S29" s="37"/>
      <c r="T29" s="37"/>
      <c r="U29" s="3"/>
    </row>
    <row r="30" spans="1:22" ht="15.75" hidden="1" customHeight="1" outlineLevel="1" x14ac:dyDescent="0.3">
      <c r="A30" s="3"/>
      <c r="B30" s="10" t="s">
        <v>579</v>
      </c>
      <c r="C30" s="62"/>
      <c r="D30" s="62"/>
      <c r="E30" s="12">
        <v>0</v>
      </c>
      <c r="F30" s="12">
        <v>0</v>
      </c>
      <c r="G30" s="65"/>
      <c r="H30" s="65"/>
      <c r="I30" s="157"/>
      <c r="J30" s="65"/>
      <c r="K30" s="37"/>
      <c r="L30" s="37"/>
      <c r="M30" s="37"/>
      <c r="N30" s="37"/>
      <c r="O30" s="37"/>
      <c r="P30" s="37"/>
      <c r="Q30" s="37"/>
      <c r="R30" s="37"/>
      <c r="S30" s="37"/>
      <c r="T30" s="37"/>
      <c r="U30" s="3"/>
    </row>
    <row r="31" spans="1:22" ht="15.75" hidden="1" customHeight="1" outlineLevel="1" x14ac:dyDescent="0.3">
      <c r="A31" s="3"/>
      <c r="B31" s="10" t="s">
        <v>582</v>
      </c>
      <c r="C31" s="62"/>
      <c r="D31" s="62"/>
      <c r="E31" s="12">
        <v>0</v>
      </c>
      <c r="F31" s="12">
        <v>0</v>
      </c>
      <c r="G31" s="89"/>
      <c r="H31" s="65"/>
      <c r="I31" s="157"/>
      <c r="J31" s="65"/>
      <c r="K31" s="37"/>
      <c r="L31" s="37"/>
      <c r="M31" s="37"/>
      <c r="N31" s="37"/>
      <c r="O31" s="37"/>
      <c r="P31" s="37"/>
      <c r="Q31" s="37"/>
      <c r="R31" s="37"/>
      <c r="S31" s="37"/>
      <c r="T31" s="37"/>
      <c r="U31" s="3"/>
    </row>
    <row r="32" spans="1:22" ht="15.75" hidden="1" customHeight="1" outlineLevel="1" x14ac:dyDescent="0.3">
      <c r="A32" s="3"/>
      <c r="B32" s="10" t="s">
        <v>582</v>
      </c>
      <c r="C32" s="62"/>
      <c r="D32" s="62"/>
      <c r="E32" s="12">
        <v>0</v>
      </c>
      <c r="F32" s="12">
        <v>0</v>
      </c>
      <c r="G32" s="65"/>
      <c r="H32" s="65"/>
      <c r="I32" s="89"/>
      <c r="J32" s="65"/>
      <c r="K32" s="37"/>
      <c r="L32" s="37"/>
      <c r="M32" s="37"/>
      <c r="N32" s="37"/>
      <c r="O32" s="37"/>
      <c r="P32" s="37"/>
      <c r="Q32" s="37"/>
      <c r="R32" s="37"/>
      <c r="S32" s="37"/>
      <c r="T32" s="37"/>
      <c r="U32" s="3"/>
    </row>
    <row r="33" spans="1:26" ht="15.75" customHeight="1" collapsed="1" x14ac:dyDescent="0.3">
      <c r="A33" s="3"/>
      <c r="B33" s="84" t="s">
        <v>300</v>
      </c>
      <c r="C33" s="85" t="s">
        <v>43</v>
      </c>
      <c r="D33" s="85" t="s">
        <v>43</v>
      </c>
      <c r="E33" s="86">
        <f>SUM(E34:E36)</f>
        <v>0</v>
      </c>
      <c r="F33" s="86">
        <f>SUMIF(D34:D36,"OK",F34:F36)</f>
        <v>0</v>
      </c>
      <c r="G33" s="87"/>
      <c r="H33" s="87"/>
      <c r="I33" s="88"/>
      <c r="J33" s="87"/>
      <c r="K33" s="37"/>
      <c r="L33" s="37"/>
      <c r="M33" s="37"/>
      <c r="N33" s="37"/>
      <c r="O33" s="37"/>
      <c r="P33" s="37"/>
      <c r="Q33" s="37"/>
      <c r="R33" s="37"/>
      <c r="S33" s="37"/>
      <c r="T33" s="37"/>
      <c r="U33" s="3"/>
      <c r="W33" s="3"/>
      <c r="X33" s="3"/>
      <c r="Y33" s="3"/>
      <c r="Z33" s="3"/>
    </row>
    <row r="34" spans="1:26" ht="15.75" hidden="1" customHeight="1" outlineLevel="1" x14ac:dyDescent="0.3">
      <c r="A34" s="3"/>
      <c r="B34" s="10" t="s">
        <v>583</v>
      </c>
      <c r="C34" s="62"/>
      <c r="D34" s="62"/>
      <c r="E34" s="12">
        <v>0</v>
      </c>
      <c r="F34" s="12">
        <v>0</v>
      </c>
      <c r="G34" s="69"/>
      <c r="H34" s="65"/>
      <c r="I34" s="156"/>
      <c r="J34" s="65"/>
      <c r="K34" s="37"/>
      <c r="L34" s="37"/>
      <c r="M34" s="37"/>
      <c r="N34" s="37"/>
      <c r="O34" s="37"/>
      <c r="P34" s="37"/>
      <c r="Q34" s="37"/>
      <c r="R34" s="37"/>
      <c r="S34" s="37"/>
      <c r="T34" s="37"/>
      <c r="U34" s="3"/>
      <c r="W34" s="3"/>
      <c r="X34" s="3"/>
      <c r="Y34" s="3"/>
      <c r="Z34" s="3"/>
    </row>
    <row r="35" spans="1:26" ht="15.75" hidden="1" customHeight="1" outlineLevel="1" x14ac:dyDescent="0.3">
      <c r="A35" s="3"/>
      <c r="B35" s="10" t="s">
        <v>1527</v>
      </c>
      <c r="C35" s="62"/>
      <c r="D35" s="62"/>
      <c r="E35" s="12">
        <v>0</v>
      </c>
      <c r="F35" s="12">
        <v>0</v>
      </c>
      <c r="G35" s="67"/>
      <c r="H35" s="65"/>
      <c r="I35" s="157"/>
      <c r="J35" s="65"/>
      <c r="K35" s="37"/>
      <c r="L35" s="37"/>
      <c r="M35" s="37"/>
      <c r="N35" s="37"/>
      <c r="O35" s="37"/>
      <c r="P35" s="37"/>
      <c r="Q35" s="37"/>
      <c r="R35" s="37"/>
      <c r="S35" s="37"/>
      <c r="T35" s="37"/>
      <c r="U35" s="3"/>
      <c r="W35" s="3"/>
      <c r="X35" s="3"/>
      <c r="Y35" s="3"/>
      <c r="Z35" s="3"/>
    </row>
    <row r="36" spans="1:26" ht="15.75" hidden="1" customHeight="1" outlineLevel="1" x14ac:dyDescent="0.3">
      <c r="A36" s="3"/>
      <c r="B36" s="10" t="s">
        <v>1527</v>
      </c>
      <c r="C36" s="62"/>
      <c r="D36" s="62"/>
      <c r="E36" s="12">
        <v>0</v>
      </c>
      <c r="F36" s="12">
        <v>0</v>
      </c>
      <c r="G36" s="65"/>
      <c r="H36" s="65"/>
      <c r="I36" s="157"/>
      <c r="J36" s="65"/>
      <c r="K36" s="37"/>
      <c r="L36" s="37"/>
      <c r="M36" s="37"/>
      <c r="N36" s="37"/>
      <c r="O36" s="37"/>
      <c r="P36" s="37"/>
      <c r="Q36" s="37"/>
      <c r="R36" s="37"/>
      <c r="S36" s="37"/>
      <c r="T36" s="37"/>
      <c r="U36" s="3"/>
      <c r="W36" s="3"/>
      <c r="X36" s="3"/>
      <c r="Y36" s="3"/>
      <c r="Z36" s="3"/>
    </row>
    <row r="37" spans="1:26" ht="15.75" customHeight="1" collapsed="1" x14ac:dyDescent="0.3">
      <c r="A37" s="3"/>
      <c r="B37" s="84" t="s">
        <v>306</v>
      </c>
      <c r="C37" s="85" t="s">
        <v>43</v>
      </c>
      <c r="D37" s="85" t="s">
        <v>43</v>
      </c>
      <c r="E37" s="86">
        <f>SUM(E38:E61)</f>
        <v>0</v>
      </c>
      <c r="F37" s="86">
        <f>SUMIF(D38:D61,"OK",F38:F61)</f>
        <v>0</v>
      </c>
      <c r="G37" s="87"/>
      <c r="H37" s="87"/>
      <c r="I37" s="88"/>
      <c r="J37" s="87"/>
      <c r="K37" s="37"/>
      <c r="L37" s="37"/>
      <c r="M37" s="37"/>
      <c r="N37" s="37"/>
      <c r="O37" s="37"/>
      <c r="P37" s="37"/>
      <c r="Q37" s="37"/>
      <c r="R37" s="37"/>
      <c r="S37" s="37"/>
      <c r="T37" s="37"/>
      <c r="U37" s="3"/>
      <c r="W37" s="3"/>
      <c r="X37" s="3"/>
      <c r="Y37" s="3"/>
      <c r="Z37" s="3"/>
    </row>
    <row r="38" spans="1:26" ht="15.75" hidden="1" customHeight="1" outlineLevel="1" x14ac:dyDescent="0.3">
      <c r="A38" s="3"/>
      <c r="B38" s="10" t="s">
        <v>307</v>
      </c>
      <c r="C38" s="62"/>
      <c r="D38" s="62"/>
      <c r="E38" s="12">
        <v>0</v>
      </c>
      <c r="F38" s="12">
        <v>0</v>
      </c>
      <c r="G38" s="65"/>
      <c r="H38" s="65"/>
      <c r="I38" s="156"/>
      <c r="J38" s="65"/>
      <c r="K38" s="37"/>
      <c r="L38" s="37"/>
      <c r="M38" s="37"/>
      <c r="N38" s="37"/>
      <c r="O38" s="37"/>
      <c r="P38" s="37"/>
      <c r="Q38" s="37"/>
      <c r="R38" s="37"/>
      <c r="S38" s="37"/>
      <c r="T38" s="37"/>
      <c r="U38" s="3"/>
      <c r="W38" s="3"/>
      <c r="X38" s="3"/>
      <c r="Y38" s="3"/>
      <c r="Z38" s="3"/>
    </row>
    <row r="39" spans="1:26" ht="15.75" hidden="1" customHeight="1" outlineLevel="1" x14ac:dyDescent="0.3">
      <c r="A39" s="3"/>
      <c r="B39" s="10" t="s">
        <v>589</v>
      </c>
      <c r="C39" s="62"/>
      <c r="D39" s="62"/>
      <c r="E39" s="12">
        <v>0</v>
      </c>
      <c r="F39" s="12">
        <v>0</v>
      </c>
      <c r="G39" s="65"/>
      <c r="H39" s="65"/>
      <c r="I39" s="156"/>
      <c r="J39" s="65"/>
      <c r="K39" s="37"/>
      <c r="L39" s="37"/>
      <c r="M39" s="37"/>
      <c r="N39" s="37"/>
      <c r="O39" s="37"/>
      <c r="P39" s="37"/>
      <c r="Q39" s="37"/>
      <c r="R39" s="37"/>
      <c r="S39" s="37"/>
      <c r="T39" s="37"/>
      <c r="U39" s="3"/>
      <c r="W39" s="3"/>
      <c r="X39" s="3"/>
      <c r="Y39" s="3"/>
      <c r="Z39" s="3"/>
    </row>
    <row r="40" spans="1:26" ht="15.75" hidden="1" customHeight="1" outlineLevel="1" x14ac:dyDescent="0.3">
      <c r="A40" s="3"/>
      <c r="B40" s="10" t="s">
        <v>756</v>
      </c>
      <c r="C40" s="62"/>
      <c r="D40" s="62"/>
      <c r="E40" s="12">
        <v>0</v>
      </c>
      <c r="F40" s="12">
        <v>0</v>
      </c>
      <c r="G40" s="65"/>
      <c r="H40" s="65"/>
      <c r="I40" s="157"/>
      <c r="J40" s="65"/>
      <c r="K40" s="37"/>
      <c r="L40" s="37"/>
      <c r="M40" s="37"/>
      <c r="N40" s="37"/>
      <c r="O40" s="37"/>
      <c r="P40" s="37"/>
      <c r="Q40" s="37"/>
      <c r="R40" s="37"/>
      <c r="S40" s="37"/>
      <c r="T40" s="37"/>
      <c r="U40" s="3"/>
      <c r="W40" s="3"/>
      <c r="X40" s="3"/>
      <c r="Y40" s="3"/>
      <c r="Z40" s="3"/>
    </row>
    <row r="41" spans="1:26" ht="15.75" hidden="1" customHeight="1" outlineLevel="1" x14ac:dyDescent="0.3">
      <c r="A41" s="3"/>
      <c r="B41" s="10" t="s">
        <v>312</v>
      </c>
      <c r="C41" s="62"/>
      <c r="D41" s="62"/>
      <c r="E41" s="12">
        <v>0</v>
      </c>
      <c r="F41" s="12">
        <v>0</v>
      </c>
      <c r="G41" s="65"/>
      <c r="H41" s="65"/>
      <c r="I41" s="156"/>
      <c r="J41" s="65"/>
      <c r="K41" s="37"/>
      <c r="L41" s="37"/>
      <c r="M41" s="37"/>
      <c r="N41" s="37"/>
      <c r="O41" s="37"/>
      <c r="P41" s="37"/>
      <c r="Q41" s="37"/>
      <c r="R41" s="37"/>
      <c r="S41" s="37"/>
      <c r="T41" s="37"/>
      <c r="U41" s="3"/>
      <c r="W41" s="3"/>
      <c r="X41" s="3"/>
      <c r="Y41" s="3"/>
      <c r="Z41" s="3"/>
    </row>
    <row r="42" spans="1:26" ht="15.75" hidden="1" customHeight="1" outlineLevel="1" x14ac:dyDescent="0.3">
      <c r="A42" s="3"/>
      <c r="B42" s="10" t="s">
        <v>314</v>
      </c>
      <c r="C42" s="62"/>
      <c r="D42" s="62"/>
      <c r="E42" s="12">
        <v>0</v>
      </c>
      <c r="F42" s="12">
        <v>0</v>
      </c>
      <c r="G42" s="65"/>
      <c r="H42" s="65"/>
      <c r="I42" s="156"/>
      <c r="J42" s="65"/>
      <c r="K42" s="37"/>
      <c r="L42" s="37"/>
      <c r="M42" s="37"/>
      <c r="N42" s="37"/>
      <c r="O42" s="37"/>
      <c r="P42" s="37"/>
      <c r="Q42" s="37"/>
      <c r="R42" s="37"/>
      <c r="S42" s="37"/>
      <c r="T42" s="37"/>
      <c r="U42" s="3"/>
      <c r="W42" s="3"/>
      <c r="X42" s="3"/>
      <c r="Y42" s="3"/>
      <c r="Z42" s="3"/>
    </row>
    <row r="43" spans="1:26" ht="15.75" hidden="1" customHeight="1" outlineLevel="1" x14ac:dyDescent="0.3">
      <c r="A43" s="3"/>
      <c r="B43" s="10" t="s">
        <v>316</v>
      </c>
      <c r="C43" s="62"/>
      <c r="D43" s="62"/>
      <c r="E43" s="12">
        <v>0</v>
      </c>
      <c r="F43" s="12">
        <v>0</v>
      </c>
      <c r="G43" s="89"/>
      <c r="H43" s="65"/>
      <c r="I43" s="157"/>
      <c r="J43" s="65"/>
      <c r="K43" s="37"/>
      <c r="L43" s="37"/>
      <c r="M43" s="37"/>
      <c r="N43" s="37"/>
      <c r="O43" s="37"/>
      <c r="P43" s="37"/>
      <c r="Q43" s="37"/>
      <c r="R43" s="37"/>
      <c r="S43" s="37"/>
      <c r="T43" s="37"/>
      <c r="U43" s="3"/>
      <c r="W43" s="3"/>
      <c r="X43" s="3"/>
      <c r="Y43" s="3"/>
      <c r="Z43" s="3"/>
    </row>
    <row r="44" spans="1:26" ht="15.75" hidden="1" customHeight="1" outlineLevel="1" x14ac:dyDescent="0.3">
      <c r="A44" s="3"/>
      <c r="B44" s="10" t="s">
        <v>316</v>
      </c>
      <c r="C44" s="62"/>
      <c r="D44" s="62"/>
      <c r="E44" s="12">
        <v>0</v>
      </c>
      <c r="F44" s="12">
        <v>0</v>
      </c>
      <c r="G44" s="65"/>
      <c r="H44" s="65"/>
      <c r="I44" s="157"/>
      <c r="J44" s="65"/>
      <c r="K44" s="37"/>
      <c r="L44" s="37"/>
      <c r="M44" s="37"/>
      <c r="N44" s="37"/>
      <c r="O44" s="37"/>
      <c r="P44" s="37"/>
      <c r="Q44" s="37"/>
      <c r="R44" s="37"/>
      <c r="S44" s="37"/>
      <c r="T44" s="37"/>
      <c r="U44" s="3"/>
      <c r="W44" s="3"/>
      <c r="X44" s="3"/>
      <c r="Y44" s="3"/>
      <c r="Z44" s="3"/>
    </row>
    <row r="45" spans="1:26" ht="15.75" hidden="1" customHeight="1" outlineLevel="1" x14ac:dyDescent="0.3">
      <c r="A45" s="3"/>
      <c r="B45" s="10" t="s">
        <v>317</v>
      </c>
      <c r="C45" s="62"/>
      <c r="D45" s="62"/>
      <c r="E45" s="12">
        <v>0</v>
      </c>
      <c r="F45" s="12">
        <v>0</v>
      </c>
      <c r="G45" s="65"/>
      <c r="H45" s="65"/>
      <c r="I45" s="89"/>
      <c r="J45" s="65"/>
      <c r="K45" s="37"/>
      <c r="L45" s="37"/>
      <c r="M45" s="37"/>
      <c r="N45" s="37"/>
      <c r="O45" s="37"/>
      <c r="P45" s="37"/>
      <c r="Q45" s="37"/>
      <c r="R45" s="37"/>
      <c r="S45" s="37"/>
      <c r="T45" s="37"/>
      <c r="U45" s="3"/>
      <c r="W45" s="3"/>
      <c r="X45" s="3"/>
      <c r="Y45" s="3"/>
      <c r="Z45" s="3"/>
    </row>
    <row r="46" spans="1:26" ht="15.75" hidden="1" customHeight="1" outlineLevel="1" x14ac:dyDescent="0.3">
      <c r="A46" s="3"/>
      <c r="B46" s="10" t="s">
        <v>1528</v>
      </c>
      <c r="C46" s="62"/>
      <c r="D46" s="62"/>
      <c r="E46" s="12">
        <v>0</v>
      </c>
      <c r="F46" s="12">
        <v>0</v>
      </c>
      <c r="G46" s="65"/>
      <c r="H46" s="65"/>
      <c r="I46" s="156"/>
      <c r="J46" s="65"/>
      <c r="K46" s="37"/>
      <c r="L46" s="37"/>
      <c r="M46" s="37"/>
      <c r="N46" s="37"/>
      <c r="O46" s="37"/>
      <c r="P46" s="37"/>
      <c r="Q46" s="37"/>
      <c r="R46" s="37"/>
      <c r="S46" s="37"/>
      <c r="T46" s="37"/>
      <c r="U46" s="3"/>
      <c r="W46" s="3"/>
      <c r="X46" s="3"/>
      <c r="Y46" s="3"/>
      <c r="Z46" s="3"/>
    </row>
    <row r="47" spans="1:26" ht="15.75" hidden="1" customHeight="1" outlineLevel="1" x14ac:dyDescent="0.3">
      <c r="A47" s="3"/>
      <c r="B47" s="10" t="s">
        <v>1528</v>
      </c>
      <c r="C47" s="62"/>
      <c r="D47" s="62"/>
      <c r="E47" s="12">
        <v>0</v>
      </c>
      <c r="F47" s="12">
        <v>0</v>
      </c>
      <c r="G47" s="65"/>
      <c r="H47" s="65"/>
      <c r="I47" s="156"/>
      <c r="J47" s="65"/>
      <c r="K47" s="37"/>
      <c r="L47" s="37"/>
      <c r="M47" s="37"/>
      <c r="N47" s="37"/>
      <c r="O47" s="37"/>
      <c r="P47" s="37"/>
      <c r="Q47" s="37"/>
      <c r="R47" s="37"/>
      <c r="S47" s="37"/>
      <c r="T47" s="37"/>
      <c r="U47" s="3"/>
      <c r="W47" s="3"/>
      <c r="X47" s="3"/>
      <c r="Y47" s="3"/>
      <c r="Z47" s="3"/>
    </row>
    <row r="48" spans="1:26" ht="15.75" hidden="1" customHeight="1" outlineLevel="1" x14ac:dyDescent="0.3">
      <c r="A48" s="3"/>
      <c r="B48" s="10" t="s">
        <v>1528</v>
      </c>
      <c r="C48" s="62"/>
      <c r="D48" s="62"/>
      <c r="E48" s="12">
        <v>0</v>
      </c>
      <c r="F48" s="12">
        <v>0</v>
      </c>
      <c r="G48" s="65"/>
      <c r="H48" s="65"/>
      <c r="I48" s="156"/>
      <c r="J48" s="65"/>
      <c r="K48" s="37"/>
      <c r="L48" s="37"/>
      <c r="M48" s="37"/>
      <c r="N48" s="37"/>
      <c r="O48" s="37"/>
      <c r="P48" s="37"/>
      <c r="Q48" s="37"/>
      <c r="R48" s="37"/>
      <c r="S48" s="37"/>
      <c r="T48" s="37"/>
      <c r="U48" s="3"/>
      <c r="W48" s="3"/>
      <c r="X48" s="3"/>
      <c r="Y48" s="3"/>
      <c r="Z48" s="3"/>
    </row>
    <row r="49" spans="1:26" ht="15.75" hidden="1" customHeight="1" outlineLevel="1" x14ac:dyDescent="0.3">
      <c r="A49" s="3"/>
      <c r="B49" s="10" t="s">
        <v>1529</v>
      </c>
      <c r="C49" s="62"/>
      <c r="D49" s="62"/>
      <c r="E49" s="12">
        <v>0</v>
      </c>
      <c r="F49" s="12">
        <v>0</v>
      </c>
      <c r="G49" s="89"/>
      <c r="H49" s="65"/>
      <c r="I49" s="156"/>
      <c r="J49" s="65"/>
      <c r="K49" s="37"/>
      <c r="L49" s="37"/>
      <c r="M49" s="37"/>
      <c r="N49" s="37"/>
      <c r="O49" s="37"/>
      <c r="P49" s="37"/>
      <c r="Q49" s="37"/>
      <c r="R49" s="37"/>
      <c r="S49" s="37"/>
      <c r="T49" s="37"/>
      <c r="U49" s="3"/>
      <c r="W49" s="3"/>
      <c r="X49" s="3"/>
      <c r="Y49" s="3"/>
      <c r="Z49" s="3"/>
    </row>
    <row r="50" spans="1:26" ht="15.75" hidden="1" customHeight="1" outlineLevel="1" x14ac:dyDescent="0.3">
      <c r="A50" s="3"/>
      <c r="B50" s="10" t="s">
        <v>595</v>
      </c>
      <c r="C50" s="62"/>
      <c r="D50" s="62"/>
      <c r="E50" s="12">
        <v>0</v>
      </c>
      <c r="F50" s="12">
        <v>0</v>
      </c>
      <c r="G50" s="65"/>
      <c r="H50" s="65"/>
      <c r="I50" s="156"/>
      <c r="J50" s="65"/>
      <c r="K50" s="37"/>
      <c r="L50" s="37"/>
      <c r="M50" s="37"/>
      <c r="N50" s="37"/>
      <c r="O50" s="37"/>
      <c r="P50" s="37"/>
      <c r="Q50" s="37"/>
      <c r="R50" s="37"/>
      <c r="S50" s="37"/>
      <c r="T50" s="37"/>
      <c r="U50" s="3"/>
      <c r="W50" s="3"/>
      <c r="X50" s="3"/>
      <c r="Y50" s="3"/>
      <c r="Z50" s="3"/>
    </row>
    <row r="51" spans="1:26" ht="15.75" hidden="1" customHeight="1" outlineLevel="1" x14ac:dyDescent="0.3">
      <c r="A51" s="3"/>
      <c r="B51" s="10" t="s">
        <v>50</v>
      </c>
      <c r="C51" s="80"/>
      <c r="D51" s="62"/>
      <c r="E51" s="12">
        <v>0</v>
      </c>
      <c r="F51" s="12">
        <v>0</v>
      </c>
      <c r="G51" s="65"/>
      <c r="H51" s="65"/>
      <c r="I51" s="128"/>
      <c r="J51" s="65"/>
      <c r="K51" s="37"/>
      <c r="L51" s="37"/>
      <c r="M51" s="37"/>
      <c r="N51" s="37"/>
      <c r="O51" s="37"/>
      <c r="P51" s="37"/>
      <c r="Q51" s="37"/>
      <c r="R51" s="37"/>
      <c r="S51" s="37"/>
      <c r="T51" s="37"/>
      <c r="U51" s="3"/>
      <c r="W51" s="3"/>
      <c r="X51" s="3"/>
      <c r="Y51" s="3"/>
      <c r="Z51" s="3"/>
    </row>
    <row r="52" spans="1:26" ht="15.75" hidden="1" customHeight="1" outlineLevel="1" x14ac:dyDescent="0.3">
      <c r="A52" s="3"/>
      <c r="B52" s="10" t="s">
        <v>50</v>
      </c>
      <c r="C52" s="62"/>
      <c r="D52" s="62"/>
      <c r="E52" s="12">
        <v>0</v>
      </c>
      <c r="F52" s="12">
        <v>0</v>
      </c>
      <c r="G52" s="65"/>
      <c r="H52" s="65"/>
      <c r="I52" s="128"/>
      <c r="J52" s="65"/>
      <c r="K52" s="37"/>
      <c r="L52" s="37"/>
      <c r="M52" s="37"/>
      <c r="N52" s="37"/>
      <c r="O52" s="37"/>
      <c r="P52" s="37"/>
      <c r="Q52" s="37"/>
      <c r="R52" s="37"/>
      <c r="S52" s="37"/>
      <c r="T52" s="37"/>
      <c r="U52" s="3"/>
      <c r="W52" s="3"/>
      <c r="X52" s="3"/>
      <c r="Y52" s="3"/>
      <c r="Z52" s="3"/>
    </row>
    <row r="53" spans="1:26" ht="15.75" hidden="1" customHeight="1" outlineLevel="1" x14ac:dyDescent="0.3">
      <c r="A53" s="3"/>
      <c r="B53" s="10" t="s">
        <v>50</v>
      </c>
      <c r="C53" s="62"/>
      <c r="D53" s="62"/>
      <c r="E53" s="12">
        <v>0</v>
      </c>
      <c r="F53" s="12">
        <v>0</v>
      </c>
      <c r="G53" s="65"/>
      <c r="H53" s="65"/>
      <c r="I53" s="157"/>
      <c r="J53" s="65"/>
      <c r="K53" s="37"/>
      <c r="L53" s="37"/>
      <c r="M53" s="37"/>
      <c r="N53" s="37"/>
      <c r="O53" s="37"/>
      <c r="P53" s="37"/>
      <c r="Q53" s="37"/>
      <c r="R53" s="37"/>
      <c r="S53" s="37"/>
      <c r="T53" s="37"/>
      <c r="U53" s="3"/>
      <c r="W53" s="3"/>
      <c r="X53" s="3"/>
      <c r="Y53" s="3"/>
      <c r="Z53" s="3"/>
    </row>
    <row r="54" spans="1:26" ht="15.75" hidden="1" customHeight="1" outlineLevel="1" x14ac:dyDescent="0.3">
      <c r="A54" s="3"/>
      <c r="B54" s="10" t="s">
        <v>50</v>
      </c>
      <c r="C54" s="62"/>
      <c r="D54" s="62"/>
      <c r="E54" s="12">
        <v>0</v>
      </c>
      <c r="F54" s="12">
        <v>0</v>
      </c>
      <c r="G54" s="89"/>
      <c r="H54" s="65"/>
      <c r="I54" s="157"/>
      <c r="J54" s="65"/>
      <c r="K54" s="37"/>
      <c r="L54" s="37"/>
      <c r="M54" s="37"/>
      <c r="N54" s="37"/>
      <c r="O54" s="37"/>
      <c r="P54" s="37"/>
      <c r="Q54" s="37"/>
      <c r="R54" s="37"/>
      <c r="S54" s="37"/>
      <c r="T54" s="37"/>
      <c r="U54" s="3"/>
      <c r="W54" s="3"/>
      <c r="X54" s="3"/>
      <c r="Y54" s="3"/>
      <c r="Z54" s="3"/>
    </row>
    <row r="55" spans="1:26" ht="15.75" hidden="1" customHeight="1" outlineLevel="1" x14ac:dyDescent="0.3">
      <c r="A55" s="3"/>
      <c r="B55" s="10" t="s">
        <v>50</v>
      </c>
      <c r="C55" s="62"/>
      <c r="D55" s="62"/>
      <c r="E55" s="12">
        <v>0</v>
      </c>
      <c r="F55" s="12">
        <v>0</v>
      </c>
      <c r="G55" s="89"/>
      <c r="H55" s="65"/>
      <c r="I55" s="157"/>
      <c r="J55" s="65"/>
      <c r="K55" s="37"/>
      <c r="L55" s="37"/>
      <c r="M55" s="37"/>
      <c r="N55" s="37"/>
      <c r="O55" s="37"/>
      <c r="P55" s="37"/>
      <c r="Q55" s="37"/>
      <c r="R55" s="37"/>
      <c r="S55" s="37"/>
      <c r="T55" s="37"/>
      <c r="U55" s="3"/>
      <c r="W55" s="3"/>
      <c r="X55" s="3"/>
      <c r="Y55" s="3"/>
      <c r="Z55" s="3"/>
    </row>
    <row r="56" spans="1:26" ht="15.75" hidden="1" customHeight="1" outlineLevel="1" x14ac:dyDescent="0.3">
      <c r="A56" s="3"/>
      <c r="B56" s="10" t="s">
        <v>50</v>
      </c>
      <c r="C56" s="62"/>
      <c r="D56" s="62"/>
      <c r="E56" s="12">
        <v>0</v>
      </c>
      <c r="F56" s="12">
        <v>0</v>
      </c>
      <c r="G56" s="89"/>
      <c r="H56" s="65"/>
      <c r="I56" s="157"/>
      <c r="J56" s="65"/>
      <c r="K56" s="37"/>
      <c r="L56" s="37"/>
      <c r="M56" s="37"/>
      <c r="N56" s="37"/>
      <c r="O56" s="37"/>
      <c r="P56" s="37"/>
      <c r="Q56" s="37"/>
      <c r="R56" s="37"/>
      <c r="S56" s="37"/>
      <c r="T56" s="37"/>
      <c r="U56" s="3"/>
      <c r="W56" s="3"/>
      <c r="X56" s="3"/>
      <c r="Y56" s="3"/>
      <c r="Z56" s="3"/>
    </row>
    <row r="57" spans="1:26" ht="15.75" hidden="1" customHeight="1" outlineLevel="1" x14ac:dyDescent="0.3">
      <c r="A57" s="3"/>
      <c r="B57" s="10" t="s">
        <v>50</v>
      </c>
      <c r="C57" s="62"/>
      <c r="D57" s="62"/>
      <c r="E57" s="12">
        <v>0</v>
      </c>
      <c r="F57" s="12">
        <v>0</v>
      </c>
      <c r="G57" s="89"/>
      <c r="H57" s="65"/>
      <c r="I57" s="157"/>
      <c r="J57" s="65"/>
      <c r="K57" s="37"/>
      <c r="L57" s="37"/>
      <c r="M57" s="37"/>
      <c r="N57" s="37"/>
      <c r="O57" s="37"/>
      <c r="P57" s="37"/>
      <c r="Q57" s="37"/>
      <c r="R57" s="37"/>
      <c r="S57" s="37"/>
      <c r="T57" s="37"/>
      <c r="U57" s="3"/>
      <c r="W57" s="3"/>
      <c r="X57" s="3"/>
      <c r="Y57" s="3"/>
      <c r="Z57" s="3"/>
    </row>
    <row r="58" spans="1:26" ht="15.75" hidden="1" customHeight="1" outlineLevel="1" x14ac:dyDescent="0.3">
      <c r="A58" s="3"/>
      <c r="B58" s="10" t="s">
        <v>50</v>
      </c>
      <c r="C58" s="62"/>
      <c r="D58" s="62"/>
      <c r="E58" s="12">
        <v>0</v>
      </c>
      <c r="F58" s="12">
        <v>0</v>
      </c>
      <c r="G58" s="89"/>
      <c r="H58" s="65"/>
      <c r="I58" s="157"/>
      <c r="J58" s="65"/>
      <c r="K58" s="37"/>
      <c r="L58" s="37"/>
      <c r="M58" s="37"/>
      <c r="N58" s="37"/>
      <c r="O58" s="37"/>
      <c r="P58" s="37"/>
      <c r="Q58" s="37"/>
      <c r="R58" s="37"/>
      <c r="S58" s="37"/>
      <c r="T58" s="37"/>
      <c r="U58" s="3"/>
      <c r="W58" s="3"/>
      <c r="X58" s="3"/>
      <c r="Y58" s="3"/>
      <c r="Z58" s="3"/>
    </row>
    <row r="59" spans="1:26" ht="15.75" hidden="1" customHeight="1" outlineLevel="1" x14ac:dyDescent="0.3">
      <c r="A59" s="3"/>
      <c r="B59" s="10" t="s">
        <v>50</v>
      </c>
      <c r="C59" s="62"/>
      <c r="D59" s="62"/>
      <c r="E59" s="12">
        <v>0</v>
      </c>
      <c r="F59" s="12">
        <v>0</v>
      </c>
      <c r="G59" s="89"/>
      <c r="H59" s="65"/>
      <c r="I59" s="157"/>
      <c r="J59" s="65"/>
      <c r="K59" s="37"/>
      <c r="L59" s="37"/>
      <c r="M59" s="37"/>
      <c r="N59" s="37"/>
      <c r="O59" s="37"/>
      <c r="P59" s="37"/>
      <c r="Q59" s="37"/>
      <c r="R59" s="37"/>
      <c r="S59" s="37"/>
      <c r="T59" s="37"/>
      <c r="U59" s="3"/>
      <c r="W59" s="3"/>
      <c r="X59" s="3"/>
      <c r="Y59" s="3"/>
      <c r="Z59" s="3"/>
    </row>
    <row r="60" spans="1:26" ht="15.75" hidden="1" customHeight="1" outlineLevel="1" x14ac:dyDescent="0.3">
      <c r="A60" s="3"/>
      <c r="B60" s="10" t="s">
        <v>50</v>
      </c>
      <c r="C60" s="62"/>
      <c r="D60" s="62"/>
      <c r="E60" s="12">
        <v>0</v>
      </c>
      <c r="F60" s="12">
        <v>0</v>
      </c>
      <c r="G60" s="89"/>
      <c r="H60" s="65"/>
      <c r="I60" s="157"/>
      <c r="J60" s="65"/>
      <c r="K60" s="37"/>
      <c r="L60" s="37"/>
      <c r="M60" s="37"/>
      <c r="N60" s="37"/>
      <c r="O60" s="37"/>
      <c r="P60" s="37"/>
      <c r="Q60" s="37"/>
      <c r="R60" s="37"/>
      <c r="S60" s="37"/>
      <c r="T60" s="37"/>
      <c r="U60" s="3"/>
      <c r="W60" s="3"/>
      <c r="X60" s="3"/>
      <c r="Y60" s="3"/>
      <c r="Z60" s="3"/>
    </row>
    <row r="61" spans="1:26" ht="15.75" hidden="1" customHeight="1" outlineLevel="1" x14ac:dyDescent="0.3">
      <c r="A61" s="3"/>
      <c r="B61" s="10" t="s">
        <v>50</v>
      </c>
      <c r="C61" s="62"/>
      <c r="D61" s="62"/>
      <c r="E61" s="12">
        <v>0</v>
      </c>
      <c r="F61" s="12">
        <v>0</v>
      </c>
      <c r="G61" s="65"/>
      <c r="H61" s="65"/>
      <c r="I61" s="157"/>
      <c r="J61" s="65"/>
      <c r="K61" s="37"/>
      <c r="L61" s="37"/>
      <c r="M61" s="37"/>
      <c r="N61" s="37"/>
      <c r="O61" s="37"/>
      <c r="P61" s="37"/>
      <c r="Q61" s="37"/>
      <c r="R61" s="37"/>
      <c r="S61" s="37"/>
      <c r="T61" s="37"/>
      <c r="U61" s="3"/>
      <c r="W61" s="3"/>
      <c r="X61" s="3"/>
      <c r="Y61" s="3"/>
      <c r="Z61" s="3"/>
    </row>
    <row r="62" spans="1:26" ht="15.75" customHeight="1" collapsed="1" x14ac:dyDescent="0.3">
      <c r="A62" s="3"/>
      <c r="B62" s="84" t="s">
        <v>329</v>
      </c>
      <c r="C62" s="85" t="s">
        <v>43</v>
      </c>
      <c r="D62" s="85" t="s">
        <v>43</v>
      </c>
      <c r="E62" s="86">
        <f>SUM(E63:E88)</f>
        <v>0</v>
      </c>
      <c r="F62" s="86">
        <f>SUMIF(D63:D88,"OK",F63:F88)</f>
        <v>0</v>
      </c>
      <c r="G62" s="87"/>
      <c r="H62" s="87"/>
      <c r="I62" s="88"/>
      <c r="J62" s="87"/>
      <c r="K62" s="37"/>
      <c r="L62" s="37"/>
      <c r="M62" s="37"/>
      <c r="N62" s="37"/>
      <c r="O62" s="37"/>
      <c r="P62" s="37"/>
      <c r="Q62" s="37"/>
      <c r="R62" s="37"/>
      <c r="S62" s="37"/>
      <c r="T62" s="37"/>
      <c r="U62" s="3"/>
    </row>
    <row r="63" spans="1:26" ht="15.75" hidden="1" customHeight="1" outlineLevel="1" x14ac:dyDescent="0.3">
      <c r="A63" s="3"/>
      <c r="B63" s="10" t="s">
        <v>1199</v>
      </c>
      <c r="C63" s="80"/>
      <c r="D63" s="62"/>
      <c r="E63" s="12">
        <v>0</v>
      </c>
      <c r="F63" s="12">
        <v>0</v>
      </c>
      <c r="G63" s="65"/>
      <c r="H63" s="65"/>
      <c r="I63" s="156"/>
      <c r="J63" s="89"/>
      <c r="K63" s="37"/>
      <c r="L63" s="37"/>
      <c r="M63" s="37"/>
      <c r="N63" s="37"/>
      <c r="O63" s="37"/>
      <c r="P63" s="37"/>
      <c r="Q63" s="37"/>
      <c r="R63" s="37"/>
      <c r="S63" s="37"/>
      <c r="T63" s="37"/>
      <c r="U63" s="3"/>
      <c r="V63" s="18"/>
    </row>
    <row r="64" spans="1:26" ht="15.75" hidden="1" customHeight="1" outlineLevel="1" x14ac:dyDescent="0.3">
      <c r="A64" s="3"/>
      <c r="B64" s="10" t="s">
        <v>1199</v>
      </c>
      <c r="C64" s="80"/>
      <c r="D64" s="62"/>
      <c r="E64" s="12">
        <v>0</v>
      </c>
      <c r="F64" s="12">
        <v>0</v>
      </c>
      <c r="G64" s="65"/>
      <c r="H64" s="65"/>
      <c r="I64" s="156"/>
      <c r="J64" s="89"/>
      <c r="K64" s="37"/>
      <c r="L64" s="37"/>
      <c r="M64" s="37"/>
      <c r="N64" s="37"/>
      <c r="O64" s="37"/>
      <c r="P64" s="37"/>
      <c r="Q64" s="37"/>
      <c r="R64" s="37"/>
      <c r="S64" s="37"/>
      <c r="T64" s="37"/>
      <c r="U64" s="3"/>
      <c r="V64" s="18"/>
    </row>
    <row r="65" spans="1:22" ht="15.75" hidden="1" customHeight="1" outlineLevel="1" x14ac:dyDescent="0.3">
      <c r="A65" s="3"/>
      <c r="B65" s="10" t="s">
        <v>1199</v>
      </c>
      <c r="C65" s="80"/>
      <c r="D65" s="62"/>
      <c r="E65" s="12">
        <v>0</v>
      </c>
      <c r="F65" s="12">
        <v>0</v>
      </c>
      <c r="G65" s="65"/>
      <c r="H65" s="65"/>
      <c r="I65" s="156"/>
      <c r="J65" s="89"/>
      <c r="K65" s="37"/>
      <c r="L65" s="37"/>
      <c r="M65" s="37"/>
      <c r="N65" s="37"/>
      <c r="O65" s="37"/>
      <c r="P65" s="37"/>
      <c r="Q65" s="37"/>
      <c r="R65" s="37"/>
      <c r="S65" s="37"/>
      <c r="T65" s="37"/>
      <c r="U65" s="3"/>
      <c r="V65" s="18"/>
    </row>
    <row r="66" spans="1:22" ht="15.75" hidden="1" customHeight="1" outlineLevel="1" x14ac:dyDescent="0.3">
      <c r="A66" s="3"/>
      <c r="B66" s="10" t="s">
        <v>1199</v>
      </c>
      <c r="C66" s="80"/>
      <c r="D66" s="62"/>
      <c r="E66" s="12">
        <v>0</v>
      </c>
      <c r="F66" s="12">
        <v>0</v>
      </c>
      <c r="G66" s="65"/>
      <c r="H66" s="65"/>
      <c r="I66" s="156"/>
      <c r="J66" s="89"/>
      <c r="K66" s="37"/>
      <c r="L66" s="37"/>
      <c r="M66" s="37"/>
      <c r="N66" s="37"/>
      <c r="O66" s="37"/>
      <c r="P66" s="37"/>
      <c r="Q66" s="37"/>
      <c r="R66" s="37"/>
      <c r="S66" s="37"/>
      <c r="T66" s="37"/>
      <c r="U66" s="3"/>
      <c r="V66" s="18"/>
    </row>
    <row r="67" spans="1:22" ht="15.75" hidden="1" customHeight="1" outlineLevel="1" x14ac:dyDescent="0.3">
      <c r="A67" s="3"/>
      <c r="B67" s="10" t="s">
        <v>1564</v>
      </c>
      <c r="C67" s="80"/>
      <c r="D67" s="62"/>
      <c r="E67" s="12">
        <v>0</v>
      </c>
      <c r="F67" s="12">
        <v>0</v>
      </c>
      <c r="G67" s="65"/>
      <c r="H67" s="65"/>
      <c r="I67" s="156"/>
      <c r="J67" s="89"/>
      <c r="K67" s="37"/>
      <c r="L67" s="37"/>
      <c r="M67" s="37"/>
      <c r="N67" s="37"/>
      <c r="O67" s="37"/>
      <c r="P67" s="37"/>
      <c r="Q67" s="37"/>
      <c r="R67" s="37"/>
      <c r="S67" s="37"/>
      <c r="T67" s="37"/>
      <c r="U67" s="3"/>
      <c r="V67" s="18"/>
    </row>
    <row r="68" spans="1:22" ht="15.75" hidden="1" customHeight="1" outlineLevel="1" x14ac:dyDescent="0.3">
      <c r="A68" s="3"/>
      <c r="B68" s="10" t="s">
        <v>1564</v>
      </c>
      <c r="C68" s="80"/>
      <c r="D68" s="62"/>
      <c r="E68" s="12">
        <v>0</v>
      </c>
      <c r="F68" s="12">
        <v>0</v>
      </c>
      <c r="G68" s="65"/>
      <c r="H68" s="65"/>
      <c r="I68" s="156"/>
      <c r="J68" s="89"/>
      <c r="K68" s="37"/>
      <c r="L68" s="37"/>
      <c r="M68" s="37"/>
      <c r="N68" s="37"/>
      <c r="O68" s="37"/>
      <c r="P68" s="37"/>
      <c r="Q68" s="37"/>
      <c r="R68" s="37"/>
      <c r="S68" s="37"/>
      <c r="T68" s="37"/>
      <c r="U68" s="3"/>
      <c r="V68" s="18"/>
    </row>
    <row r="69" spans="1:22" ht="15.75" hidden="1" customHeight="1" outlineLevel="1" x14ac:dyDescent="0.3">
      <c r="A69" s="3"/>
      <c r="B69" s="10" t="s">
        <v>1564</v>
      </c>
      <c r="C69" s="80"/>
      <c r="D69" s="62"/>
      <c r="E69" s="12">
        <v>0</v>
      </c>
      <c r="F69" s="12">
        <v>0</v>
      </c>
      <c r="G69" s="65"/>
      <c r="H69" s="65"/>
      <c r="I69" s="156"/>
      <c r="J69" s="89"/>
      <c r="K69" s="37"/>
      <c r="L69" s="37"/>
      <c r="M69" s="37"/>
      <c r="N69" s="37"/>
      <c r="O69" s="37"/>
      <c r="P69" s="37"/>
      <c r="Q69" s="37"/>
      <c r="R69" s="37"/>
      <c r="S69" s="37"/>
      <c r="T69" s="37"/>
      <c r="U69" s="3"/>
      <c r="V69" s="18"/>
    </row>
    <row r="70" spans="1:22" ht="15.75" hidden="1" customHeight="1" outlineLevel="1" x14ac:dyDescent="0.3">
      <c r="A70" s="3"/>
      <c r="B70" s="10" t="s">
        <v>1202</v>
      </c>
      <c r="C70" s="80"/>
      <c r="D70" s="62"/>
      <c r="E70" s="12">
        <v>0</v>
      </c>
      <c r="F70" s="12">
        <v>0</v>
      </c>
      <c r="G70" s="65"/>
      <c r="H70" s="65"/>
      <c r="I70" s="156"/>
      <c r="J70" s="89"/>
      <c r="K70" s="37"/>
      <c r="L70" s="37"/>
      <c r="M70" s="37"/>
      <c r="N70" s="37"/>
      <c r="O70" s="37"/>
      <c r="P70" s="37"/>
      <c r="Q70" s="37"/>
      <c r="R70" s="37"/>
      <c r="S70" s="37"/>
      <c r="T70" s="37"/>
      <c r="U70" s="3"/>
      <c r="V70" s="18"/>
    </row>
    <row r="71" spans="1:22" ht="15.75" hidden="1" customHeight="1" outlineLevel="1" x14ac:dyDescent="0.3">
      <c r="A71" s="3"/>
      <c r="B71" s="10" t="s">
        <v>1202</v>
      </c>
      <c r="C71" s="80"/>
      <c r="D71" s="62"/>
      <c r="E71" s="12">
        <v>0</v>
      </c>
      <c r="F71" s="12">
        <v>0</v>
      </c>
      <c r="G71" s="65"/>
      <c r="H71" s="65"/>
      <c r="I71" s="156"/>
      <c r="J71" s="89"/>
      <c r="K71" s="37"/>
      <c r="L71" s="37"/>
      <c r="M71" s="37"/>
      <c r="N71" s="37"/>
      <c r="O71" s="37"/>
      <c r="P71" s="37"/>
      <c r="Q71" s="37"/>
      <c r="R71" s="37"/>
      <c r="S71" s="37"/>
      <c r="T71" s="37"/>
      <c r="U71" s="3"/>
      <c r="V71" s="18"/>
    </row>
    <row r="72" spans="1:22" ht="15.75" hidden="1" customHeight="1" outlineLevel="1" x14ac:dyDescent="0.3">
      <c r="A72" s="3"/>
      <c r="B72" s="10" t="s">
        <v>1202</v>
      </c>
      <c r="C72" s="80"/>
      <c r="D72" s="62"/>
      <c r="E72" s="12">
        <v>0</v>
      </c>
      <c r="F72" s="12">
        <v>0</v>
      </c>
      <c r="G72" s="65"/>
      <c r="H72" s="65"/>
      <c r="I72" s="156"/>
      <c r="J72" s="89"/>
      <c r="K72" s="37"/>
      <c r="L72" s="37"/>
      <c r="M72" s="37"/>
      <c r="N72" s="37"/>
      <c r="O72" s="37"/>
      <c r="P72" s="37"/>
      <c r="Q72" s="37"/>
      <c r="R72" s="37"/>
      <c r="S72" s="37"/>
      <c r="T72" s="37"/>
      <c r="U72" s="3"/>
      <c r="V72" s="18"/>
    </row>
    <row r="73" spans="1:22" ht="15.75" hidden="1" customHeight="1" outlineLevel="1" x14ac:dyDescent="0.3">
      <c r="A73" s="3"/>
      <c r="B73" s="10" t="s">
        <v>1202</v>
      </c>
      <c r="C73" s="80"/>
      <c r="D73" s="62"/>
      <c r="E73" s="12">
        <v>0</v>
      </c>
      <c r="F73" s="12">
        <v>0</v>
      </c>
      <c r="G73" s="65"/>
      <c r="H73" s="65"/>
      <c r="I73" s="156"/>
      <c r="J73" s="89"/>
      <c r="K73" s="37"/>
      <c r="L73" s="37"/>
      <c r="M73" s="37"/>
      <c r="N73" s="37"/>
      <c r="O73" s="37"/>
      <c r="P73" s="37"/>
      <c r="Q73" s="37"/>
      <c r="R73" s="37"/>
      <c r="S73" s="37"/>
      <c r="T73" s="37"/>
      <c r="U73" s="3"/>
      <c r="V73" s="18"/>
    </row>
    <row r="74" spans="1:22" ht="15.75" hidden="1" customHeight="1" outlineLevel="1" x14ac:dyDescent="0.3">
      <c r="A74" s="3"/>
      <c r="B74" s="10" t="s">
        <v>1202</v>
      </c>
      <c r="C74" s="80"/>
      <c r="D74" s="62"/>
      <c r="E74" s="12">
        <v>0</v>
      </c>
      <c r="F74" s="12">
        <v>0</v>
      </c>
      <c r="G74" s="65"/>
      <c r="H74" s="65"/>
      <c r="I74" s="157"/>
      <c r="J74" s="89"/>
      <c r="K74" s="37"/>
      <c r="L74" s="37"/>
      <c r="M74" s="37"/>
      <c r="N74" s="37"/>
      <c r="O74" s="37"/>
      <c r="P74" s="37"/>
      <c r="Q74" s="37"/>
      <c r="R74" s="37"/>
      <c r="S74" s="37"/>
      <c r="T74" s="37"/>
      <c r="U74" s="3"/>
      <c r="V74" s="18"/>
    </row>
    <row r="75" spans="1:22" ht="15.75" hidden="1" customHeight="1" outlineLevel="1" x14ac:dyDescent="0.3">
      <c r="A75" s="3"/>
      <c r="B75" s="10" t="s">
        <v>1202</v>
      </c>
      <c r="C75" s="80"/>
      <c r="D75" s="62"/>
      <c r="E75" s="12">
        <v>0</v>
      </c>
      <c r="F75" s="12">
        <v>0</v>
      </c>
      <c r="G75" s="65"/>
      <c r="H75" s="65"/>
      <c r="I75" s="157"/>
      <c r="J75" s="89"/>
      <c r="K75" s="37"/>
      <c r="L75" s="37"/>
      <c r="M75" s="37"/>
      <c r="N75" s="37"/>
      <c r="O75" s="37"/>
      <c r="P75" s="37"/>
      <c r="Q75" s="37"/>
      <c r="R75" s="37"/>
      <c r="S75" s="37"/>
      <c r="T75" s="37"/>
      <c r="U75" s="3"/>
      <c r="V75" s="18"/>
    </row>
    <row r="76" spans="1:22" ht="15.75" hidden="1" customHeight="1" outlineLevel="1" x14ac:dyDescent="0.3">
      <c r="A76" s="3"/>
      <c r="B76" s="10" t="s">
        <v>330</v>
      </c>
      <c r="C76" s="80"/>
      <c r="D76" s="62"/>
      <c r="E76" s="12">
        <v>0</v>
      </c>
      <c r="F76" s="12">
        <v>0</v>
      </c>
      <c r="G76" s="65"/>
      <c r="H76" s="65"/>
      <c r="I76" s="156"/>
      <c r="J76" s="89"/>
      <c r="K76" s="37"/>
      <c r="L76" s="37"/>
      <c r="M76" s="37"/>
      <c r="N76" s="37"/>
      <c r="O76" s="37"/>
      <c r="P76" s="37"/>
      <c r="Q76" s="37"/>
      <c r="R76" s="37"/>
      <c r="S76" s="37"/>
      <c r="T76" s="37"/>
      <c r="U76" s="3"/>
      <c r="V76" s="18"/>
    </row>
    <row r="77" spans="1:22" ht="15.75" hidden="1" customHeight="1" outlineLevel="1" x14ac:dyDescent="0.3">
      <c r="A77" s="3"/>
      <c r="B77" s="10" t="s">
        <v>330</v>
      </c>
      <c r="C77" s="80"/>
      <c r="D77" s="62"/>
      <c r="E77" s="12">
        <v>0</v>
      </c>
      <c r="F77" s="12">
        <v>0</v>
      </c>
      <c r="G77" s="65"/>
      <c r="H77" s="65"/>
      <c r="I77" s="157"/>
      <c r="J77" s="89"/>
      <c r="K77" s="37"/>
      <c r="L77" s="37"/>
      <c r="M77" s="37"/>
      <c r="N77" s="37"/>
      <c r="O77" s="37"/>
      <c r="P77" s="37"/>
      <c r="Q77" s="37"/>
      <c r="R77" s="37"/>
      <c r="S77" s="37"/>
      <c r="T77" s="37"/>
      <c r="U77" s="3"/>
      <c r="V77" s="18"/>
    </row>
    <row r="78" spans="1:22" ht="15.75" hidden="1" customHeight="1" outlineLevel="1" x14ac:dyDescent="0.3">
      <c r="A78" s="3"/>
      <c r="B78" s="10" t="s">
        <v>330</v>
      </c>
      <c r="C78" s="80"/>
      <c r="D78" s="62"/>
      <c r="E78" s="12">
        <v>0</v>
      </c>
      <c r="F78" s="12">
        <v>0</v>
      </c>
      <c r="G78" s="65"/>
      <c r="H78" s="65"/>
      <c r="I78" s="157"/>
      <c r="J78" s="89"/>
      <c r="K78" s="37"/>
      <c r="L78" s="37"/>
      <c r="M78" s="37"/>
      <c r="N78" s="37"/>
      <c r="O78" s="37"/>
      <c r="P78" s="37"/>
      <c r="Q78" s="37"/>
      <c r="R78" s="37"/>
      <c r="S78" s="37"/>
      <c r="T78" s="37"/>
      <c r="U78" s="3"/>
      <c r="V78" s="18"/>
    </row>
    <row r="79" spans="1:22" ht="15.75" hidden="1" customHeight="1" outlineLevel="1" x14ac:dyDescent="0.3">
      <c r="A79" s="3"/>
      <c r="B79" s="10" t="s">
        <v>334</v>
      </c>
      <c r="C79" s="62"/>
      <c r="D79" s="62"/>
      <c r="E79" s="12">
        <v>0</v>
      </c>
      <c r="F79" s="12">
        <v>0</v>
      </c>
      <c r="G79" s="65"/>
      <c r="H79" s="65"/>
      <c r="I79" s="156"/>
      <c r="J79" s="65"/>
      <c r="K79" s="37"/>
      <c r="L79" s="37"/>
      <c r="M79" s="37"/>
      <c r="N79" s="37"/>
      <c r="O79" s="37"/>
      <c r="P79" s="37"/>
      <c r="Q79" s="37"/>
      <c r="R79" s="37"/>
      <c r="S79" s="37"/>
      <c r="T79" s="37"/>
      <c r="U79" s="3"/>
    </row>
    <row r="80" spans="1:22" ht="15.75" hidden="1" customHeight="1" outlineLevel="1" x14ac:dyDescent="0.3">
      <c r="A80" s="3"/>
      <c r="B80" s="10" t="s">
        <v>334</v>
      </c>
      <c r="C80" s="62"/>
      <c r="D80" s="62"/>
      <c r="E80" s="12">
        <v>0</v>
      </c>
      <c r="F80" s="12">
        <v>0</v>
      </c>
      <c r="G80" s="65"/>
      <c r="H80" s="65"/>
      <c r="I80" s="89"/>
      <c r="J80" s="65"/>
      <c r="K80" s="37"/>
      <c r="L80" s="37"/>
      <c r="M80" s="37"/>
      <c r="N80" s="37"/>
      <c r="O80" s="37"/>
      <c r="P80" s="37"/>
      <c r="Q80" s="37"/>
      <c r="R80" s="37"/>
      <c r="S80" s="37"/>
      <c r="T80" s="37"/>
      <c r="U80" s="3"/>
    </row>
    <row r="81" spans="1:26" ht="15.75" hidden="1" customHeight="1" outlineLevel="1" x14ac:dyDescent="0.3">
      <c r="A81" s="3"/>
      <c r="B81" s="10" t="s">
        <v>627</v>
      </c>
      <c r="C81" s="80"/>
      <c r="D81" s="62"/>
      <c r="E81" s="12">
        <v>0</v>
      </c>
      <c r="F81" s="12">
        <v>0</v>
      </c>
      <c r="G81" s="65"/>
      <c r="H81" s="65"/>
      <c r="I81" s="156"/>
      <c r="J81" s="89"/>
      <c r="K81" s="37"/>
      <c r="L81" s="37"/>
      <c r="M81" s="37"/>
      <c r="N81" s="37"/>
      <c r="O81" s="37"/>
      <c r="P81" s="37"/>
      <c r="Q81" s="37"/>
      <c r="R81" s="37"/>
      <c r="S81" s="37"/>
      <c r="T81" s="37"/>
      <c r="U81" s="3"/>
    </row>
    <row r="82" spans="1:26" ht="15.75" hidden="1" customHeight="1" outlineLevel="1" x14ac:dyDescent="0.3">
      <c r="A82" s="3"/>
      <c r="B82" s="10" t="s">
        <v>627</v>
      </c>
      <c r="C82" s="80"/>
      <c r="D82" s="62"/>
      <c r="E82" s="12">
        <v>0</v>
      </c>
      <c r="F82" s="12">
        <v>0</v>
      </c>
      <c r="G82" s="65"/>
      <c r="H82" s="65"/>
      <c r="I82" s="156"/>
      <c r="J82" s="89"/>
      <c r="K82" s="37"/>
      <c r="L82" s="37"/>
      <c r="M82" s="37"/>
      <c r="N82" s="37"/>
      <c r="O82" s="37"/>
      <c r="P82" s="37"/>
      <c r="Q82" s="37"/>
      <c r="R82" s="37"/>
      <c r="S82" s="37"/>
      <c r="T82" s="37"/>
      <c r="U82" s="3"/>
    </row>
    <row r="83" spans="1:26" ht="15.75" hidden="1" customHeight="1" outlineLevel="1" x14ac:dyDescent="0.3">
      <c r="A83" s="3"/>
      <c r="B83" s="10" t="s">
        <v>629</v>
      </c>
      <c r="C83" s="80"/>
      <c r="D83" s="62"/>
      <c r="E83" s="12">
        <v>0</v>
      </c>
      <c r="F83" s="12">
        <v>0</v>
      </c>
      <c r="G83" s="65"/>
      <c r="H83" s="65"/>
      <c r="I83" s="156"/>
      <c r="J83" s="89"/>
      <c r="K83" s="37"/>
      <c r="L83" s="37"/>
      <c r="M83" s="37"/>
      <c r="N83" s="37"/>
      <c r="O83" s="37"/>
      <c r="P83" s="37"/>
      <c r="Q83" s="37"/>
      <c r="R83" s="37"/>
      <c r="S83" s="37"/>
      <c r="T83" s="37"/>
      <c r="U83" s="3"/>
    </row>
    <row r="84" spans="1:26" ht="15.75" hidden="1" customHeight="1" outlineLevel="1" x14ac:dyDescent="0.3">
      <c r="A84" s="3"/>
      <c r="B84" s="10" t="s">
        <v>629</v>
      </c>
      <c r="C84" s="80"/>
      <c r="D84" s="62"/>
      <c r="E84" s="12">
        <v>0</v>
      </c>
      <c r="F84" s="12">
        <v>0</v>
      </c>
      <c r="G84" s="65"/>
      <c r="H84" s="65"/>
      <c r="I84" s="157"/>
      <c r="J84" s="89"/>
      <c r="K84" s="37"/>
      <c r="L84" s="37"/>
      <c r="M84" s="37"/>
      <c r="N84" s="37"/>
      <c r="O84" s="37"/>
      <c r="P84" s="37"/>
      <c r="Q84" s="37"/>
      <c r="R84" s="37"/>
      <c r="S84" s="37"/>
      <c r="T84" s="37"/>
      <c r="U84" s="3"/>
    </row>
    <row r="85" spans="1:26" ht="15.75" hidden="1" customHeight="1" outlineLevel="1" x14ac:dyDescent="0.3">
      <c r="A85" s="3"/>
      <c r="B85" s="10" t="s">
        <v>629</v>
      </c>
      <c r="C85" s="80"/>
      <c r="D85" s="62"/>
      <c r="E85" s="12">
        <v>0</v>
      </c>
      <c r="F85" s="12">
        <v>0</v>
      </c>
      <c r="G85" s="65"/>
      <c r="H85" s="65"/>
      <c r="I85" s="157"/>
      <c r="J85" s="89"/>
      <c r="K85" s="37"/>
      <c r="L85" s="37"/>
      <c r="M85" s="37"/>
      <c r="N85" s="37"/>
      <c r="O85" s="37"/>
      <c r="P85" s="37"/>
      <c r="Q85" s="37"/>
      <c r="R85" s="37"/>
      <c r="S85" s="37"/>
      <c r="T85" s="37"/>
      <c r="U85" s="3"/>
    </row>
    <row r="86" spans="1:26" ht="15.75" hidden="1" customHeight="1" outlineLevel="1" x14ac:dyDescent="0.3">
      <c r="A86" s="3"/>
      <c r="B86" s="10" t="s">
        <v>1531</v>
      </c>
      <c r="C86" s="80"/>
      <c r="D86" s="62"/>
      <c r="E86" s="12">
        <v>0</v>
      </c>
      <c r="F86" s="12">
        <v>0</v>
      </c>
      <c r="G86" s="65"/>
      <c r="H86" s="65"/>
      <c r="I86" s="157"/>
      <c r="J86" s="65"/>
      <c r="K86" s="37"/>
      <c r="L86" s="37"/>
      <c r="M86" s="37"/>
      <c r="N86" s="37"/>
      <c r="O86" s="37"/>
      <c r="P86" s="37"/>
      <c r="Q86" s="37"/>
      <c r="R86" s="37"/>
      <c r="S86" s="37"/>
      <c r="T86" s="37"/>
      <c r="U86" s="3"/>
      <c r="W86" s="3"/>
      <c r="X86" s="3"/>
      <c r="Y86" s="3"/>
      <c r="Z86" s="3"/>
    </row>
    <row r="87" spans="1:26" ht="15.75" hidden="1" customHeight="1" outlineLevel="1" x14ac:dyDescent="0.3">
      <c r="A87" s="3"/>
      <c r="B87" s="10" t="s">
        <v>65</v>
      </c>
      <c r="C87" s="62"/>
      <c r="D87" s="62"/>
      <c r="E87" s="12">
        <v>0</v>
      </c>
      <c r="F87" s="12">
        <v>0</v>
      </c>
      <c r="G87" s="65"/>
      <c r="H87" s="65"/>
      <c r="I87" s="157"/>
      <c r="J87" s="65"/>
      <c r="K87" s="37"/>
      <c r="L87" s="37"/>
      <c r="M87" s="37"/>
      <c r="N87" s="37"/>
      <c r="O87" s="37"/>
      <c r="P87" s="37"/>
      <c r="Q87" s="37"/>
      <c r="R87" s="37"/>
      <c r="S87" s="37"/>
      <c r="T87" s="37"/>
      <c r="U87" s="3"/>
      <c r="W87" s="3"/>
      <c r="X87" s="3"/>
      <c r="Y87" s="3"/>
      <c r="Z87" s="3"/>
    </row>
    <row r="88" spans="1:26" ht="15.75" hidden="1" customHeight="1" outlineLevel="1" x14ac:dyDescent="0.3">
      <c r="A88" s="3"/>
      <c r="B88" s="10" t="s">
        <v>811</v>
      </c>
      <c r="C88" s="62"/>
      <c r="D88" s="62"/>
      <c r="E88" s="12">
        <v>0</v>
      </c>
      <c r="F88" s="12">
        <v>0</v>
      </c>
      <c r="G88" s="89"/>
      <c r="H88" s="65"/>
      <c r="I88" s="157"/>
      <c r="J88" s="65"/>
      <c r="K88" s="37"/>
      <c r="L88" s="37"/>
      <c r="M88" s="37"/>
      <c r="N88" s="37"/>
      <c r="O88" s="37"/>
      <c r="P88" s="37"/>
      <c r="Q88" s="37"/>
      <c r="R88" s="37"/>
      <c r="S88" s="37"/>
      <c r="T88" s="37"/>
      <c r="U88" s="3"/>
      <c r="W88" s="3"/>
      <c r="X88" s="3"/>
      <c r="Y88" s="3"/>
      <c r="Z88" s="3"/>
    </row>
    <row r="89" spans="1:26" ht="15.75" customHeight="1" collapsed="1" x14ac:dyDescent="0.3">
      <c r="A89" s="3"/>
      <c r="B89" s="84" t="s">
        <v>348</v>
      </c>
      <c r="C89" s="85" t="s">
        <v>43</v>
      </c>
      <c r="D89" s="85" t="s">
        <v>43</v>
      </c>
      <c r="E89" s="86">
        <f t="shared" ref="E89:F89" si="0">SUM(E90,E106,E111)</f>
        <v>0</v>
      </c>
      <c r="F89" s="86">
        <f t="shared" si="0"/>
        <v>0</v>
      </c>
      <c r="G89" s="87"/>
      <c r="H89" s="87"/>
      <c r="I89" s="88"/>
      <c r="J89" s="87"/>
      <c r="K89" s="37"/>
      <c r="L89" s="37"/>
      <c r="M89" s="37"/>
      <c r="N89" s="37"/>
      <c r="O89" s="37"/>
      <c r="P89" s="37"/>
      <c r="Q89" s="37"/>
      <c r="R89" s="37"/>
      <c r="S89" s="37"/>
      <c r="T89" s="37"/>
      <c r="U89" s="3"/>
      <c r="W89" s="3"/>
      <c r="X89" s="3"/>
      <c r="Y89" s="3"/>
      <c r="Z89" s="3"/>
    </row>
    <row r="90" spans="1:26" ht="15.75" hidden="1" customHeight="1" outlineLevel="1" x14ac:dyDescent="0.3">
      <c r="A90" s="3"/>
      <c r="B90" s="91" t="s">
        <v>349</v>
      </c>
      <c r="C90" s="92"/>
      <c r="D90" s="92"/>
      <c r="E90" s="93">
        <f>SUM(E91:E105)</f>
        <v>0</v>
      </c>
      <c r="F90" s="93">
        <f>SUMIF(D91:D105,"OK",F91:F105)</f>
        <v>0</v>
      </c>
      <c r="G90" s="94"/>
      <c r="H90" s="94"/>
      <c r="I90" s="95"/>
      <c r="J90" s="94"/>
      <c r="K90" s="37"/>
      <c r="L90" s="37"/>
      <c r="M90" s="37"/>
      <c r="N90" s="37"/>
      <c r="O90" s="37"/>
      <c r="P90" s="37"/>
      <c r="Q90" s="37"/>
      <c r="R90" s="37"/>
      <c r="S90" s="37"/>
      <c r="T90" s="37"/>
      <c r="U90" s="3"/>
      <c r="W90" s="3"/>
      <c r="X90" s="3"/>
      <c r="Y90" s="3"/>
      <c r="Z90" s="3"/>
    </row>
    <row r="91" spans="1:26" ht="15.75" hidden="1" customHeight="1" outlineLevel="1" x14ac:dyDescent="0.3">
      <c r="A91" s="3"/>
      <c r="B91" s="10" t="s">
        <v>50</v>
      </c>
      <c r="C91" s="62"/>
      <c r="D91" s="62"/>
      <c r="E91" s="12">
        <v>0</v>
      </c>
      <c r="F91" s="12">
        <v>0</v>
      </c>
      <c r="G91" s="65"/>
      <c r="H91" s="65"/>
      <c r="I91" s="157"/>
      <c r="J91" s="65"/>
      <c r="K91" s="37"/>
      <c r="L91" s="37"/>
      <c r="M91" s="37"/>
      <c r="N91" s="37"/>
      <c r="O91" s="37"/>
      <c r="P91" s="37"/>
      <c r="Q91" s="37"/>
      <c r="R91" s="37"/>
      <c r="S91" s="37"/>
      <c r="T91" s="37"/>
      <c r="U91" s="3"/>
      <c r="W91" s="3"/>
      <c r="X91" s="3"/>
      <c r="Y91" s="3"/>
      <c r="Z91" s="3"/>
    </row>
    <row r="92" spans="1:26" ht="15.75" hidden="1" customHeight="1" outlineLevel="1" x14ac:dyDescent="0.3">
      <c r="A92" s="3"/>
      <c r="B92" s="10" t="s">
        <v>50</v>
      </c>
      <c r="C92" s="62"/>
      <c r="D92" s="62"/>
      <c r="E92" s="12">
        <v>0</v>
      </c>
      <c r="F92" s="12">
        <v>0</v>
      </c>
      <c r="G92" s="65"/>
      <c r="H92" s="65"/>
      <c r="I92" s="157"/>
      <c r="J92" s="65"/>
      <c r="K92" s="37"/>
      <c r="L92" s="37"/>
      <c r="M92" s="37"/>
      <c r="N92" s="37"/>
      <c r="O92" s="37"/>
      <c r="P92" s="37"/>
      <c r="Q92" s="37"/>
      <c r="R92" s="37"/>
      <c r="S92" s="37"/>
      <c r="T92" s="37"/>
      <c r="U92" s="3"/>
      <c r="W92" s="3"/>
      <c r="X92" s="3"/>
      <c r="Y92" s="3"/>
      <c r="Z92" s="3"/>
    </row>
    <row r="93" spans="1:26" ht="15.75" hidden="1" customHeight="1" outlineLevel="1" x14ac:dyDescent="0.3">
      <c r="A93" s="3"/>
      <c r="B93" s="10" t="s">
        <v>50</v>
      </c>
      <c r="C93" s="62"/>
      <c r="D93" s="62"/>
      <c r="E93" s="12">
        <v>0</v>
      </c>
      <c r="F93" s="12">
        <v>0</v>
      </c>
      <c r="G93" s="65"/>
      <c r="H93" s="65"/>
      <c r="I93" s="157"/>
      <c r="J93" s="65"/>
      <c r="K93" s="37"/>
      <c r="L93" s="37"/>
      <c r="M93" s="37"/>
      <c r="N93" s="37"/>
      <c r="O93" s="37"/>
      <c r="P93" s="37"/>
      <c r="Q93" s="37"/>
      <c r="R93" s="37"/>
      <c r="S93" s="37"/>
      <c r="T93" s="37"/>
      <c r="U93" s="3"/>
      <c r="W93" s="3"/>
      <c r="X93" s="3"/>
      <c r="Y93" s="3"/>
      <c r="Z93" s="3"/>
    </row>
    <row r="94" spans="1:26" ht="15.75" hidden="1" customHeight="1" outlineLevel="1" x14ac:dyDescent="0.3">
      <c r="A94" s="3"/>
      <c r="B94" s="10" t="s">
        <v>50</v>
      </c>
      <c r="C94" s="62"/>
      <c r="D94" s="62"/>
      <c r="E94" s="12">
        <v>0</v>
      </c>
      <c r="F94" s="12">
        <v>0</v>
      </c>
      <c r="G94" s="65"/>
      <c r="H94" s="65"/>
      <c r="I94" s="157"/>
      <c r="J94" s="65"/>
      <c r="K94" s="37"/>
      <c r="L94" s="37"/>
      <c r="M94" s="37"/>
      <c r="N94" s="37"/>
      <c r="O94" s="37"/>
      <c r="P94" s="37"/>
      <c r="Q94" s="37"/>
      <c r="R94" s="37"/>
      <c r="S94" s="37"/>
      <c r="T94" s="37"/>
      <c r="U94" s="3"/>
      <c r="W94" s="3"/>
      <c r="X94" s="3"/>
      <c r="Y94" s="3"/>
      <c r="Z94" s="3"/>
    </row>
    <row r="95" spans="1:26" ht="15.75" hidden="1" customHeight="1" outlineLevel="1" x14ac:dyDescent="0.3">
      <c r="A95" s="3"/>
      <c r="B95" s="10" t="s">
        <v>50</v>
      </c>
      <c r="C95" s="62"/>
      <c r="D95" s="62"/>
      <c r="E95" s="12">
        <v>0</v>
      </c>
      <c r="F95" s="12">
        <v>0</v>
      </c>
      <c r="G95" s="65"/>
      <c r="H95" s="65"/>
      <c r="I95" s="157"/>
      <c r="J95" s="65"/>
      <c r="K95" s="37"/>
      <c r="L95" s="37"/>
      <c r="M95" s="37"/>
      <c r="N95" s="37"/>
      <c r="O95" s="37"/>
      <c r="P95" s="37"/>
      <c r="Q95" s="37"/>
      <c r="R95" s="37"/>
      <c r="S95" s="37"/>
      <c r="T95" s="37"/>
      <c r="U95" s="3"/>
      <c r="W95" s="3"/>
      <c r="X95" s="3"/>
      <c r="Y95" s="3"/>
      <c r="Z95" s="3"/>
    </row>
    <row r="96" spans="1:26" ht="15.75" hidden="1" customHeight="1" outlineLevel="1" x14ac:dyDescent="0.3">
      <c r="A96" s="3"/>
      <c r="B96" s="10" t="s">
        <v>50</v>
      </c>
      <c r="C96" s="62"/>
      <c r="D96" s="62"/>
      <c r="E96" s="12">
        <v>0</v>
      </c>
      <c r="F96" s="12">
        <v>0</v>
      </c>
      <c r="G96" s="65"/>
      <c r="H96" s="65"/>
      <c r="I96" s="157"/>
      <c r="J96" s="65"/>
      <c r="K96" s="37"/>
      <c r="L96" s="37"/>
      <c r="M96" s="37"/>
      <c r="N96" s="37"/>
      <c r="O96" s="37"/>
      <c r="P96" s="37"/>
      <c r="Q96" s="37"/>
      <c r="R96" s="37"/>
      <c r="S96" s="37"/>
      <c r="T96" s="37"/>
      <c r="U96" s="3"/>
      <c r="W96" s="3"/>
      <c r="X96" s="3"/>
      <c r="Y96" s="3"/>
      <c r="Z96" s="3"/>
    </row>
    <row r="97" spans="1:26" ht="15.75" hidden="1" customHeight="1" outlineLevel="1" x14ac:dyDescent="0.3">
      <c r="A97" s="3"/>
      <c r="B97" s="10" t="s">
        <v>50</v>
      </c>
      <c r="C97" s="62"/>
      <c r="D97" s="62"/>
      <c r="E97" s="12">
        <v>0</v>
      </c>
      <c r="F97" s="12">
        <v>0</v>
      </c>
      <c r="G97" s="65"/>
      <c r="H97" s="65"/>
      <c r="I97" s="157"/>
      <c r="J97" s="65"/>
      <c r="K97" s="37"/>
      <c r="L97" s="37"/>
      <c r="M97" s="37"/>
      <c r="N97" s="37"/>
      <c r="O97" s="37"/>
      <c r="P97" s="37"/>
      <c r="Q97" s="37"/>
      <c r="R97" s="37"/>
      <c r="S97" s="37"/>
      <c r="T97" s="37"/>
      <c r="U97" s="3"/>
      <c r="W97" s="3"/>
      <c r="X97" s="3"/>
      <c r="Y97" s="3"/>
      <c r="Z97" s="3"/>
    </row>
    <row r="98" spans="1:26" ht="15.75" hidden="1" customHeight="1" outlineLevel="1" x14ac:dyDescent="0.3">
      <c r="A98" s="3"/>
      <c r="B98" s="10" t="s">
        <v>50</v>
      </c>
      <c r="C98" s="62"/>
      <c r="D98" s="62"/>
      <c r="E98" s="12">
        <v>0</v>
      </c>
      <c r="F98" s="12">
        <v>0</v>
      </c>
      <c r="G98" s="65"/>
      <c r="H98" s="65"/>
      <c r="I98" s="157"/>
      <c r="J98" s="65"/>
      <c r="K98" s="37"/>
      <c r="L98" s="37"/>
      <c r="M98" s="37"/>
      <c r="N98" s="37"/>
      <c r="O98" s="37"/>
      <c r="P98" s="37"/>
      <c r="Q98" s="37"/>
      <c r="R98" s="37"/>
      <c r="S98" s="37"/>
      <c r="T98" s="37"/>
      <c r="U98" s="3"/>
      <c r="W98" s="3"/>
      <c r="X98" s="3"/>
      <c r="Y98" s="3"/>
      <c r="Z98" s="3"/>
    </row>
    <row r="99" spans="1:26" ht="15.75" hidden="1" customHeight="1" outlineLevel="1" x14ac:dyDescent="0.3">
      <c r="A99" s="3"/>
      <c r="B99" s="10" t="s">
        <v>50</v>
      </c>
      <c r="C99" s="62"/>
      <c r="D99" s="62"/>
      <c r="E99" s="12">
        <v>0</v>
      </c>
      <c r="F99" s="12">
        <v>0</v>
      </c>
      <c r="G99" s="65"/>
      <c r="H99" s="65"/>
      <c r="I99" s="157"/>
      <c r="J99" s="65"/>
      <c r="K99" s="37"/>
      <c r="L99" s="37"/>
      <c r="M99" s="37"/>
      <c r="N99" s="37"/>
      <c r="O99" s="37"/>
      <c r="P99" s="37"/>
      <c r="Q99" s="37"/>
      <c r="R99" s="37"/>
      <c r="S99" s="37"/>
      <c r="T99" s="37"/>
      <c r="U99" s="3"/>
      <c r="W99" s="3"/>
      <c r="X99" s="3"/>
      <c r="Y99" s="3"/>
      <c r="Z99" s="3"/>
    </row>
    <row r="100" spans="1:26" ht="15.75" hidden="1" customHeight="1" outlineLevel="1" x14ac:dyDescent="0.3">
      <c r="A100" s="3"/>
      <c r="B100" s="10" t="s">
        <v>50</v>
      </c>
      <c r="C100" s="62"/>
      <c r="D100" s="62"/>
      <c r="E100" s="12">
        <v>0</v>
      </c>
      <c r="F100" s="12">
        <v>0</v>
      </c>
      <c r="G100" s="65"/>
      <c r="H100" s="65"/>
      <c r="I100" s="157"/>
      <c r="J100" s="65"/>
      <c r="K100" s="37"/>
      <c r="L100" s="37"/>
      <c r="M100" s="37"/>
      <c r="N100" s="37"/>
      <c r="O100" s="37"/>
      <c r="P100" s="37"/>
      <c r="Q100" s="37"/>
      <c r="R100" s="37"/>
      <c r="S100" s="37"/>
      <c r="T100" s="37"/>
      <c r="U100" s="3"/>
      <c r="W100" s="3"/>
      <c r="X100" s="3"/>
      <c r="Y100" s="3"/>
      <c r="Z100" s="3"/>
    </row>
    <row r="101" spans="1:26" ht="15.75" hidden="1" customHeight="1" outlineLevel="1" x14ac:dyDescent="0.3">
      <c r="A101" s="3"/>
      <c r="B101" s="10" t="s">
        <v>50</v>
      </c>
      <c r="C101" s="62"/>
      <c r="D101" s="62"/>
      <c r="E101" s="12">
        <v>0</v>
      </c>
      <c r="F101" s="12">
        <v>0</v>
      </c>
      <c r="G101" s="65"/>
      <c r="H101" s="65"/>
      <c r="I101" s="157"/>
      <c r="J101" s="65"/>
      <c r="K101" s="37"/>
      <c r="L101" s="37"/>
      <c r="M101" s="37"/>
      <c r="N101" s="37"/>
      <c r="O101" s="37"/>
      <c r="P101" s="37"/>
      <c r="Q101" s="37"/>
      <c r="R101" s="37"/>
      <c r="S101" s="37"/>
      <c r="T101" s="37"/>
      <c r="U101" s="3"/>
      <c r="W101" s="3"/>
      <c r="X101" s="3"/>
      <c r="Y101" s="3"/>
      <c r="Z101" s="3"/>
    </row>
    <row r="102" spans="1:26" ht="15.75" hidden="1" customHeight="1" outlineLevel="1" x14ac:dyDescent="0.3">
      <c r="A102" s="3"/>
      <c r="B102" s="10" t="s">
        <v>50</v>
      </c>
      <c r="C102" s="62"/>
      <c r="D102" s="62"/>
      <c r="E102" s="12">
        <v>0</v>
      </c>
      <c r="F102" s="12">
        <v>0</v>
      </c>
      <c r="G102" s="65"/>
      <c r="H102" s="65"/>
      <c r="I102" s="128"/>
      <c r="J102" s="65"/>
      <c r="K102" s="37"/>
      <c r="L102" s="37"/>
      <c r="M102" s="37"/>
      <c r="N102" s="37"/>
      <c r="O102" s="37"/>
      <c r="P102" s="37"/>
      <c r="Q102" s="37"/>
      <c r="R102" s="37"/>
      <c r="S102" s="37"/>
      <c r="T102" s="37"/>
      <c r="U102" s="3"/>
      <c r="W102" s="3"/>
      <c r="X102" s="3"/>
      <c r="Y102" s="3"/>
      <c r="Z102" s="3"/>
    </row>
    <row r="103" spans="1:26" ht="15.75" hidden="1" customHeight="1" outlineLevel="1" x14ac:dyDescent="0.3">
      <c r="A103" s="3"/>
      <c r="B103" s="10" t="s">
        <v>50</v>
      </c>
      <c r="C103" s="62"/>
      <c r="D103" s="62"/>
      <c r="E103" s="12">
        <v>0</v>
      </c>
      <c r="F103" s="12">
        <v>0</v>
      </c>
      <c r="G103" s="65"/>
      <c r="H103" s="65"/>
      <c r="I103" s="157"/>
      <c r="J103" s="65"/>
      <c r="K103" s="37"/>
      <c r="L103" s="37"/>
      <c r="M103" s="37"/>
      <c r="N103" s="37"/>
      <c r="O103" s="37"/>
      <c r="P103" s="37"/>
      <c r="Q103" s="37"/>
      <c r="R103" s="37"/>
      <c r="S103" s="37"/>
      <c r="T103" s="37"/>
      <c r="U103" s="3"/>
      <c r="W103" s="3"/>
      <c r="X103" s="3"/>
      <c r="Y103" s="3"/>
      <c r="Z103" s="3"/>
    </row>
    <row r="104" spans="1:26" ht="15.75" hidden="1" customHeight="1" outlineLevel="1" x14ac:dyDescent="0.3">
      <c r="A104" s="3"/>
      <c r="B104" s="10" t="s">
        <v>50</v>
      </c>
      <c r="C104" s="62"/>
      <c r="D104" s="62"/>
      <c r="E104" s="12">
        <v>0</v>
      </c>
      <c r="F104" s="12">
        <v>0</v>
      </c>
      <c r="G104" s="65"/>
      <c r="H104" s="65"/>
      <c r="I104" s="128"/>
      <c r="J104" s="65"/>
      <c r="K104" s="37"/>
      <c r="L104" s="37"/>
      <c r="M104" s="37"/>
      <c r="N104" s="37"/>
      <c r="O104" s="37"/>
      <c r="P104" s="37"/>
      <c r="Q104" s="37"/>
      <c r="R104" s="37"/>
      <c r="S104" s="37"/>
      <c r="T104" s="37"/>
      <c r="U104" s="3"/>
      <c r="W104" s="3"/>
      <c r="X104" s="3"/>
      <c r="Y104" s="3"/>
      <c r="Z104" s="3"/>
    </row>
    <row r="105" spans="1:26" ht="15.75" hidden="1" customHeight="1" outlineLevel="1" x14ac:dyDescent="0.3">
      <c r="A105" s="3"/>
      <c r="B105" s="10" t="s">
        <v>50</v>
      </c>
      <c r="C105" s="62"/>
      <c r="D105" s="62"/>
      <c r="E105" s="12">
        <v>0</v>
      </c>
      <c r="F105" s="12">
        <v>0</v>
      </c>
      <c r="G105" s="65"/>
      <c r="H105" s="65"/>
      <c r="I105" s="128"/>
      <c r="J105" s="65"/>
      <c r="K105" s="37"/>
      <c r="L105" s="37"/>
      <c r="M105" s="37"/>
      <c r="N105" s="37"/>
      <c r="O105" s="37"/>
      <c r="P105" s="37"/>
      <c r="Q105" s="37"/>
      <c r="R105" s="37"/>
      <c r="S105" s="37"/>
      <c r="T105" s="37"/>
      <c r="U105" s="3"/>
      <c r="W105" s="3"/>
      <c r="X105" s="3"/>
      <c r="Y105" s="3"/>
      <c r="Z105" s="3"/>
    </row>
    <row r="106" spans="1:26" ht="15.75" hidden="1" customHeight="1" outlineLevel="1" x14ac:dyDescent="0.3">
      <c r="A106" s="3"/>
      <c r="B106" s="91" t="s">
        <v>352</v>
      </c>
      <c r="C106" s="92"/>
      <c r="D106" s="92"/>
      <c r="E106" s="93">
        <f>SUM(E107:E110)</f>
        <v>0</v>
      </c>
      <c r="F106" s="93">
        <f>SUMIF(D107:D110,"OK",F107:F110)</f>
        <v>0</v>
      </c>
      <c r="G106" s="94"/>
      <c r="H106" s="94"/>
      <c r="I106" s="95"/>
      <c r="J106" s="94"/>
      <c r="K106" s="37"/>
      <c r="L106" s="37"/>
      <c r="M106" s="37"/>
      <c r="N106" s="37"/>
      <c r="O106" s="37"/>
      <c r="P106" s="37"/>
      <c r="Q106" s="37"/>
      <c r="R106" s="37"/>
      <c r="S106" s="37"/>
      <c r="T106" s="37"/>
      <c r="U106" s="3"/>
      <c r="W106" s="3"/>
      <c r="X106" s="3"/>
      <c r="Y106" s="3"/>
      <c r="Z106" s="3"/>
    </row>
    <row r="107" spans="1:26" ht="15.75" hidden="1" customHeight="1" outlineLevel="1" x14ac:dyDescent="0.3">
      <c r="A107" s="3"/>
      <c r="B107" s="10" t="s">
        <v>50</v>
      </c>
      <c r="C107" s="62"/>
      <c r="D107" s="62"/>
      <c r="E107" s="12">
        <v>0</v>
      </c>
      <c r="F107" s="12">
        <v>0</v>
      </c>
      <c r="G107" s="65"/>
      <c r="H107" s="65"/>
      <c r="I107" s="157"/>
      <c r="J107" s="65"/>
      <c r="K107" s="37"/>
      <c r="L107" s="37"/>
      <c r="M107" s="37"/>
      <c r="N107" s="37"/>
      <c r="O107" s="37"/>
      <c r="P107" s="37"/>
      <c r="Q107" s="37"/>
      <c r="R107" s="37"/>
      <c r="S107" s="37"/>
      <c r="T107" s="37"/>
      <c r="U107" s="3"/>
      <c r="W107" s="3"/>
      <c r="X107" s="3"/>
      <c r="Y107" s="3"/>
      <c r="Z107" s="3"/>
    </row>
    <row r="108" spans="1:26" ht="15.75" hidden="1" customHeight="1" outlineLevel="1" x14ac:dyDescent="0.3">
      <c r="A108" s="3"/>
      <c r="B108" s="10" t="s">
        <v>50</v>
      </c>
      <c r="C108" s="62"/>
      <c r="D108" s="62"/>
      <c r="E108" s="12">
        <v>0</v>
      </c>
      <c r="F108" s="12">
        <v>0</v>
      </c>
      <c r="G108" s="65"/>
      <c r="H108" s="65"/>
      <c r="I108" s="157"/>
      <c r="J108" s="65"/>
      <c r="K108" s="37"/>
      <c r="L108" s="37"/>
      <c r="M108" s="37"/>
      <c r="N108" s="37"/>
      <c r="O108" s="37"/>
      <c r="P108" s="37"/>
      <c r="Q108" s="37"/>
      <c r="R108" s="37"/>
      <c r="S108" s="37"/>
      <c r="T108" s="37"/>
      <c r="U108" s="3"/>
      <c r="W108" s="3"/>
      <c r="X108" s="3"/>
      <c r="Y108" s="3"/>
      <c r="Z108" s="3"/>
    </row>
    <row r="109" spans="1:26" ht="15.75" hidden="1" customHeight="1" outlineLevel="1" x14ac:dyDescent="0.3">
      <c r="A109" s="3"/>
      <c r="B109" s="10" t="s">
        <v>50</v>
      </c>
      <c r="C109" s="62"/>
      <c r="D109" s="62"/>
      <c r="E109" s="12">
        <v>0</v>
      </c>
      <c r="F109" s="12">
        <v>0</v>
      </c>
      <c r="G109" s="65"/>
      <c r="H109" s="65"/>
      <c r="I109" s="157"/>
      <c r="J109" s="65"/>
      <c r="K109" s="37"/>
      <c r="L109" s="37"/>
      <c r="M109" s="37"/>
      <c r="N109" s="37"/>
      <c r="O109" s="37"/>
      <c r="P109" s="37"/>
      <c r="Q109" s="37"/>
      <c r="R109" s="37"/>
      <c r="S109" s="37"/>
      <c r="T109" s="37"/>
      <c r="U109" s="3"/>
      <c r="W109" s="3"/>
      <c r="X109" s="3"/>
      <c r="Y109" s="3"/>
      <c r="Z109" s="3"/>
    </row>
    <row r="110" spans="1:26" ht="15.75" hidden="1" customHeight="1" outlineLevel="1" x14ac:dyDescent="0.3">
      <c r="A110" s="3"/>
      <c r="B110" s="10" t="s">
        <v>50</v>
      </c>
      <c r="C110" s="62"/>
      <c r="D110" s="62"/>
      <c r="E110" s="12">
        <v>0</v>
      </c>
      <c r="F110" s="12">
        <v>0</v>
      </c>
      <c r="G110" s="89"/>
      <c r="H110" s="65"/>
      <c r="I110" s="157"/>
      <c r="J110" s="65"/>
      <c r="K110" s="37"/>
      <c r="L110" s="37"/>
      <c r="M110" s="37"/>
      <c r="N110" s="37"/>
      <c r="O110" s="37"/>
      <c r="P110" s="37"/>
      <c r="Q110" s="37"/>
      <c r="R110" s="37"/>
      <c r="S110" s="37"/>
      <c r="T110" s="37"/>
      <c r="U110" s="3"/>
      <c r="W110" s="3"/>
      <c r="X110" s="3"/>
      <c r="Y110" s="3"/>
      <c r="Z110" s="3"/>
    </row>
    <row r="111" spans="1:26" ht="15.75" hidden="1" customHeight="1" outlineLevel="1" x14ac:dyDescent="0.3">
      <c r="A111" s="3"/>
      <c r="B111" s="91" t="s">
        <v>356</v>
      </c>
      <c r="C111" s="92"/>
      <c r="D111" s="92"/>
      <c r="E111" s="93">
        <f>SUM(E112:E114)</f>
        <v>0</v>
      </c>
      <c r="F111" s="93">
        <f>SUMIF(D112:D114,"OK",F112:F114)</f>
        <v>0</v>
      </c>
      <c r="G111" s="94"/>
      <c r="H111" s="94"/>
      <c r="I111" s="95"/>
      <c r="J111" s="94"/>
      <c r="K111" s="37"/>
      <c r="L111" s="37"/>
      <c r="M111" s="37"/>
      <c r="N111" s="37"/>
      <c r="O111" s="37"/>
      <c r="P111" s="37"/>
      <c r="Q111" s="37"/>
      <c r="R111" s="37"/>
      <c r="S111" s="37"/>
      <c r="T111" s="37"/>
      <c r="U111" s="3"/>
      <c r="W111" s="3"/>
      <c r="X111" s="3"/>
      <c r="Y111" s="3"/>
      <c r="Z111" s="3"/>
    </row>
    <row r="112" spans="1:26" ht="15.75" hidden="1" customHeight="1" outlineLevel="1" x14ac:dyDescent="0.3">
      <c r="A112" s="3"/>
      <c r="B112" s="10" t="s">
        <v>50</v>
      </c>
      <c r="C112" s="62"/>
      <c r="D112" s="62"/>
      <c r="E112" s="12">
        <v>0</v>
      </c>
      <c r="F112" s="12">
        <v>0</v>
      </c>
      <c r="G112" s="65"/>
      <c r="H112" s="65"/>
      <c r="I112" s="157"/>
      <c r="J112" s="65"/>
      <c r="K112" s="37"/>
      <c r="L112" s="37"/>
      <c r="M112" s="37"/>
      <c r="N112" s="37"/>
      <c r="O112" s="37"/>
      <c r="P112" s="37"/>
      <c r="Q112" s="37"/>
      <c r="R112" s="37"/>
      <c r="S112" s="37"/>
      <c r="T112" s="37"/>
      <c r="U112" s="3"/>
      <c r="W112" s="3"/>
      <c r="X112" s="3"/>
      <c r="Y112" s="3"/>
      <c r="Z112" s="3"/>
    </row>
    <row r="113" spans="1:26" ht="15.75" hidden="1" customHeight="1" outlineLevel="1" x14ac:dyDescent="0.3">
      <c r="A113" s="3"/>
      <c r="B113" s="10" t="s">
        <v>50</v>
      </c>
      <c r="C113" s="62"/>
      <c r="D113" s="62"/>
      <c r="E113" s="12">
        <v>0</v>
      </c>
      <c r="F113" s="12">
        <v>0</v>
      </c>
      <c r="G113" s="65"/>
      <c r="H113" s="65"/>
      <c r="I113" s="157"/>
      <c r="J113" s="65"/>
      <c r="K113" s="37"/>
      <c r="L113" s="37"/>
      <c r="M113" s="37"/>
      <c r="N113" s="37"/>
      <c r="O113" s="37"/>
      <c r="P113" s="37"/>
      <c r="Q113" s="37"/>
      <c r="R113" s="37"/>
      <c r="S113" s="37"/>
      <c r="T113" s="37"/>
      <c r="U113" s="3"/>
      <c r="W113" s="3"/>
      <c r="X113" s="3"/>
      <c r="Y113" s="3"/>
      <c r="Z113" s="3"/>
    </row>
    <row r="114" spans="1:26" ht="15.75" hidden="1" customHeight="1" outlineLevel="1" x14ac:dyDescent="0.3">
      <c r="A114" s="3"/>
      <c r="B114" s="10" t="s">
        <v>50</v>
      </c>
      <c r="C114" s="62"/>
      <c r="D114" s="62"/>
      <c r="E114" s="12">
        <v>0</v>
      </c>
      <c r="F114" s="12">
        <v>0</v>
      </c>
      <c r="G114" s="65"/>
      <c r="H114" s="65"/>
      <c r="I114" s="128"/>
      <c r="J114" s="65"/>
      <c r="K114" s="37"/>
      <c r="L114" s="37"/>
      <c r="M114" s="37"/>
      <c r="N114" s="37"/>
      <c r="O114" s="37"/>
      <c r="P114" s="37"/>
      <c r="Q114" s="37"/>
      <c r="R114" s="37"/>
      <c r="S114" s="37"/>
      <c r="T114" s="37"/>
      <c r="U114" s="3"/>
      <c r="W114" s="3"/>
      <c r="X114" s="3"/>
      <c r="Y114" s="3"/>
      <c r="Z114" s="3"/>
    </row>
    <row r="115" spans="1:26" ht="15.75" customHeight="1" collapsed="1" x14ac:dyDescent="0.3">
      <c r="A115" s="3"/>
      <c r="B115" s="84" t="s">
        <v>357</v>
      </c>
      <c r="C115" s="85" t="s">
        <v>43</v>
      </c>
      <c r="D115" s="85" t="s">
        <v>43</v>
      </c>
      <c r="E115" s="86">
        <f t="shared" ref="E115:F115" si="1">SUM(E116,E122)</f>
        <v>0</v>
      </c>
      <c r="F115" s="86">
        <f t="shared" si="1"/>
        <v>0</v>
      </c>
      <c r="G115" s="87"/>
      <c r="H115" s="87"/>
      <c r="I115" s="88"/>
      <c r="J115" s="87"/>
      <c r="K115" s="37"/>
      <c r="L115" s="37"/>
      <c r="M115" s="37"/>
      <c r="N115" s="37"/>
      <c r="O115" s="37"/>
      <c r="P115" s="37"/>
      <c r="Q115" s="37"/>
      <c r="R115" s="37"/>
      <c r="S115" s="37"/>
      <c r="T115" s="37"/>
      <c r="U115" s="3"/>
      <c r="W115" s="3"/>
      <c r="X115" s="3"/>
      <c r="Y115" s="3"/>
      <c r="Z115" s="3"/>
    </row>
    <row r="116" spans="1:26" ht="15.75" hidden="1" customHeight="1" outlineLevel="1" x14ac:dyDescent="0.3">
      <c r="A116" s="3"/>
      <c r="B116" s="91" t="s">
        <v>358</v>
      </c>
      <c r="C116" s="92"/>
      <c r="D116" s="92"/>
      <c r="E116" s="93">
        <f>SUM(E117:E121)</f>
        <v>0</v>
      </c>
      <c r="F116" s="93">
        <f>SUMIF(D117:D121,"OK",F117:F121)</f>
        <v>0</v>
      </c>
      <c r="G116" s="94"/>
      <c r="H116" s="94"/>
      <c r="I116" s="95"/>
      <c r="J116" s="94"/>
      <c r="K116" s="37"/>
      <c r="L116" s="37"/>
      <c r="M116" s="37"/>
      <c r="N116" s="37"/>
      <c r="O116" s="37"/>
      <c r="P116" s="37"/>
      <c r="Q116" s="37"/>
      <c r="R116" s="37"/>
      <c r="S116" s="37"/>
      <c r="T116" s="37"/>
      <c r="U116" s="3"/>
      <c r="W116" s="3"/>
      <c r="X116" s="3"/>
      <c r="Y116" s="3"/>
      <c r="Z116" s="3"/>
    </row>
    <row r="117" spans="1:26" ht="15.75" hidden="1" customHeight="1" outlineLevel="1" x14ac:dyDescent="0.3">
      <c r="A117" s="3"/>
      <c r="B117" s="10" t="s">
        <v>1565</v>
      </c>
      <c r="C117" s="62"/>
      <c r="D117" s="62"/>
      <c r="E117" s="12">
        <v>0</v>
      </c>
      <c r="F117" s="12">
        <v>0</v>
      </c>
      <c r="G117" s="65"/>
      <c r="H117" s="65"/>
      <c r="I117" s="156"/>
      <c r="J117" s="65"/>
      <c r="K117" s="37"/>
      <c r="L117" s="37"/>
      <c r="M117" s="37"/>
      <c r="N117" s="37"/>
      <c r="O117" s="37"/>
      <c r="P117" s="37"/>
      <c r="Q117" s="37"/>
      <c r="R117" s="37"/>
      <c r="S117" s="37"/>
      <c r="T117" s="37"/>
      <c r="U117" s="3"/>
      <c r="W117" s="3"/>
      <c r="X117" s="3"/>
      <c r="Y117" s="3"/>
      <c r="Z117" s="3"/>
    </row>
    <row r="118" spans="1:26" ht="15.75" hidden="1" customHeight="1" outlineLevel="1" x14ac:dyDescent="0.3">
      <c r="A118" s="3"/>
      <c r="B118" s="10" t="s">
        <v>1565</v>
      </c>
      <c r="C118" s="62"/>
      <c r="D118" s="62"/>
      <c r="E118" s="12">
        <v>0</v>
      </c>
      <c r="F118" s="12">
        <v>0</v>
      </c>
      <c r="G118" s="89"/>
      <c r="H118" s="65"/>
      <c r="I118" s="156"/>
      <c r="J118" s="65"/>
      <c r="K118" s="37"/>
      <c r="L118" s="37"/>
      <c r="M118" s="37"/>
      <c r="N118" s="37"/>
      <c r="O118" s="37"/>
      <c r="P118" s="37"/>
      <c r="Q118" s="37"/>
      <c r="R118" s="37"/>
      <c r="S118" s="37"/>
      <c r="T118" s="37"/>
      <c r="U118" s="3"/>
      <c r="W118" s="3"/>
      <c r="X118" s="3"/>
      <c r="Y118" s="3"/>
      <c r="Z118" s="3"/>
    </row>
    <row r="119" spans="1:26" ht="15.75" hidden="1" customHeight="1" outlineLevel="1" x14ac:dyDescent="0.3">
      <c r="A119" s="3"/>
      <c r="B119" s="10" t="s">
        <v>1565</v>
      </c>
      <c r="C119" s="62"/>
      <c r="D119" s="62"/>
      <c r="E119" s="12">
        <v>0</v>
      </c>
      <c r="F119" s="12">
        <v>0</v>
      </c>
      <c r="G119" s="89"/>
      <c r="H119" s="65"/>
      <c r="I119" s="156"/>
      <c r="J119" s="65"/>
      <c r="K119" s="37"/>
      <c r="L119" s="37"/>
      <c r="M119" s="37"/>
      <c r="N119" s="37"/>
      <c r="O119" s="37"/>
      <c r="P119" s="37"/>
      <c r="Q119" s="37"/>
      <c r="R119" s="37"/>
      <c r="S119" s="37"/>
      <c r="T119" s="37"/>
      <c r="U119" s="3"/>
      <c r="W119" s="3"/>
      <c r="X119" s="3"/>
      <c r="Y119" s="3"/>
      <c r="Z119" s="3"/>
    </row>
    <row r="120" spans="1:26" ht="15.75" hidden="1" customHeight="1" outlineLevel="1" x14ac:dyDescent="0.3">
      <c r="A120" s="3"/>
      <c r="B120" s="10" t="s">
        <v>1565</v>
      </c>
      <c r="C120" s="62"/>
      <c r="D120" s="62"/>
      <c r="E120" s="12">
        <v>0</v>
      </c>
      <c r="F120" s="12">
        <v>0</v>
      </c>
      <c r="G120" s="65"/>
      <c r="H120" s="65"/>
      <c r="I120" s="156"/>
      <c r="J120" s="65"/>
      <c r="K120" s="37"/>
      <c r="L120" s="37"/>
      <c r="M120" s="37"/>
      <c r="N120" s="37"/>
      <c r="O120" s="37"/>
      <c r="P120" s="37"/>
      <c r="Q120" s="37"/>
      <c r="R120" s="37"/>
      <c r="S120" s="37"/>
      <c r="T120" s="37"/>
      <c r="U120" s="3"/>
      <c r="W120" s="3"/>
      <c r="X120" s="3"/>
      <c r="Y120" s="3"/>
      <c r="Z120" s="3"/>
    </row>
    <row r="121" spans="1:26" ht="15.75" hidden="1" customHeight="1" outlineLevel="1" x14ac:dyDescent="0.3">
      <c r="A121" s="3"/>
      <c r="B121" s="10" t="s">
        <v>1565</v>
      </c>
      <c r="C121" s="62"/>
      <c r="D121" s="62"/>
      <c r="E121" s="12">
        <v>0</v>
      </c>
      <c r="F121" s="12">
        <v>0</v>
      </c>
      <c r="G121" s="65"/>
      <c r="H121" s="65"/>
      <c r="I121" s="156"/>
      <c r="J121" s="65"/>
      <c r="K121" s="37"/>
      <c r="L121" s="37"/>
      <c r="M121" s="37"/>
      <c r="N121" s="37"/>
      <c r="O121" s="37"/>
      <c r="P121" s="37"/>
      <c r="Q121" s="37"/>
      <c r="R121" s="37"/>
      <c r="S121" s="37"/>
      <c r="T121" s="37"/>
      <c r="U121" s="3"/>
      <c r="W121" s="3"/>
      <c r="X121" s="3"/>
      <c r="Y121" s="3"/>
      <c r="Z121" s="3"/>
    </row>
    <row r="122" spans="1:26" ht="15.75" hidden="1" customHeight="1" outlineLevel="1" x14ac:dyDescent="0.3">
      <c r="A122" s="3"/>
      <c r="B122" s="91" t="s">
        <v>632</v>
      </c>
      <c r="C122" s="92"/>
      <c r="D122" s="92"/>
      <c r="E122" s="93">
        <f>SUM(E123:E140)</f>
        <v>0</v>
      </c>
      <c r="F122" s="93">
        <f>SUMIF(D123:D140,"OK",F123:F140)</f>
        <v>0</v>
      </c>
      <c r="G122" s="94"/>
      <c r="H122" s="94"/>
      <c r="I122" s="95"/>
      <c r="J122" s="94"/>
      <c r="K122" s="37"/>
      <c r="L122" s="37"/>
      <c r="M122" s="37"/>
      <c r="N122" s="37"/>
      <c r="O122" s="37"/>
      <c r="P122" s="37"/>
      <c r="Q122" s="37"/>
      <c r="R122" s="37"/>
      <c r="S122" s="37"/>
      <c r="T122" s="37"/>
      <c r="U122" s="3"/>
      <c r="W122" s="3"/>
      <c r="X122" s="3"/>
      <c r="Y122" s="3"/>
      <c r="Z122" s="3"/>
    </row>
    <row r="123" spans="1:26" ht="15.75" hidden="1" customHeight="1" outlineLevel="1" x14ac:dyDescent="0.3">
      <c r="A123" s="3"/>
      <c r="B123" s="10" t="s">
        <v>1566</v>
      </c>
      <c r="C123" s="62"/>
      <c r="D123" s="62"/>
      <c r="E123" s="12">
        <v>0</v>
      </c>
      <c r="F123" s="12">
        <v>0</v>
      </c>
      <c r="G123" s="65"/>
      <c r="H123" s="65"/>
      <c r="I123" s="156"/>
      <c r="J123" s="65"/>
      <c r="K123" s="37"/>
      <c r="L123" s="37"/>
      <c r="M123" s="37"/>
      <c r="N123" s="37"/>
      <c r="O123" s="37"/>
      <c r="P123" s="37"/>
      <c r="Q123" s="37"/>
      <c r="R123" s="37"/>
      <c r="S123" s="37"/>
      <c r="T123" s="37"/>
      <c r="U123" s="3"/>
      <c r="W123" s="3"/>
      <c r="X123" s="3"/>
      <c r="Y123" s="3"/>
      <c r="Z123" s="3"/>
    </row>
    <row r="124" spans="1:26" ht="15.75" hidden="1" customHeight="1" outlineLevel="1" x14ac:dyDescent="0.3">
      <c r="A124" s="3"/>
      <c r="B124" s="10" t="s">
        <v>1566</v>
      </c>
      <c r="C124" s="62"/>
      <c r="D124" s="62"/>
      <c r="E124" s="12">
        <v>0</v>
      </c>
      <c r="F124" s="12">
        <v>0</v>
      </c>
      <c r="G124" s="89"/>
      <c r="H124" s="65"/>
      <c r="I124" s="156"/>
      <c r="J124" s="65"/>
      <c r="K124" s="37"/>
      <c r="L124" s="37"/>
      <c r="M124" s="37"/>
      <c r="N124" s="37"/>
      <c r="O124" s="37"/>
      <c r="P124" s="37"/>
      <c r="Q124" s="37"/>
      <c r="R124" s="37"/>
      <c r="S124" s="37"/>
      <c r="T124" s="37"/>
      <c r="U124" s="3"/>
      <c r="W124" s="3"/>
      <c r="X124" s="3"/>
      <c r="Y124" s="3"/>
      <c r="Z124" s="3"/>
    </row>
    <row r="125" spans="1:26" ht="15.75" hidden="1" customHeight="1" outlineLevel="1" x14ac:dyDescent="0.3">
      <c r="A125" s="3"/>
      <c r="B125" s="10" t="s">
        <v>1566</v>
      </c>
      <c r="C125" s="62"/>
      <c r="D125" s="62"/>
      <c r="E125" s="12">
        <v>0</v>
      </c>
      <c r="F125" s="12">
        <v>0</v>
      </c>
      <c r="G125" s="89"/>
      <c r="H125" s="65"/>
      <c r="I125" s="156"/>
      <c r="J125" s="65"/>
      <c r="K125" s="37"/>
      <c r="L125" s="37"/>
      <c r="M125" s="37"/>
      <c r="N125" s="37"/>
      <c r="O125" s="37"/>
      <c r="P125" s="37"/>
      <c r="Q125" s="37"/>
      <c r="R125" s="37"/>
      <c r="S125" s="37"/>
      <c r="T125" s="37"/>
      <c r="U125" s="3"/>
      <c r="W125" s="3"/>
      <c r="X125" s="3"/>
      <c r="Y125" s="3"/>
      <c r="Z125" s="3"/>
    </row>
    <row r="126" spans="1:26" ht="15.75" hidden="1" customHeight="1" outlineLevel="1" x14ac:dyDescent="0.3">
      <c r="A126" s="3"/>
      <c r="B126" s="10" t="s">
        <v>1566</v>
      </c>
      <c r="C126" s="62"/>
      <c r="D126" s="62"/>
      <c r="E126" s="12">
        <v>0</v>
      </c>
      <c r="F126" s="12">
        <v>0</v>
      </c>
      <c r="G126" s="65"/>
      <c r="H126" s="65"/>
      <c r="I126" s="156"/>
      <c r="J126" s="65"/>
      <c r="K126" s="37"/>
      <c r="L126" s="37"/>
      <c r="M126" s="37"/>
      <c r="N126" s="37"/>
      <c r="O126" s="37"/>
      <c r="P126" s="37"/>
      <c r="Q126" s="37"/>
      <c r="R126" s="37"/>
      <c r="S126" s="37"/>
      <c r="T126" s="37"/>
      <c r="U126" s="3"/>
      <c r="W126" s="3"/>
      <c r="X126" s="3"/>
      <c r="Y126" s="3"/>
      <c r="Z126" s="3"/>
    </row>
    <row r="127" spans="1:26" ht="15.75" hidden="1" customHeight="1" outlineLevel="1" x14ac:dyDescent="0.3">
      <c r="A127" s="3"/>
      <c r="B127" s="10" t="s">
        <v>1566</v>
      </c>
      <c r="C127" s="62"/>
      <c r="D127" s="62"/>
      <c r="E127" s="12">
        <v>0</v>
      </c>
      <c r="F127" s="12">
        <v>0</v>
      </c>
      <c r="G127" s="65"/>
      <c r="H127" s="65"/>
      <c r="I127" s="156"/>
      <c r="J127" s="65"/>
      <c r="K127" s="37"/>
      <c r="L127" s="37"/>
      <c r="M127" s="37"/>
      <c r="N127" s="37"/>
      <c r="O127" s="37"/>
      <c r="P127" s="37"/>
      <c r="Q127" s="37"/>
      <c r="R127" s="37"/>
      <c r="S127" s="37"/>
      <c r="T127" s="37"/>
      <c r="U127" s="3"/>
      <c r="W127" s="3"/>
      <c r="X127" s="3"/>
      <c r="Y127" s="3"/>
      <c r="Z127" s="3"/>
    </row>
    <row r="128" spans="1:26" ht="15.75" hidden="1" customHeight="1" outlineLevel="1" x14ac:dyDescent="0.3">
      <c r="A128" s="3"/>
      <c r="B128" s="10" t="s">
        <v>1566</v>
      </c>
      <c r="C128" s="62"/>
      <c r="D128" s="62"/>
      <c r="E128" s="12">
        <v>0</v>
      </c>
      <c r="F128" s="12">
        <v>0</v>
      </c>
      <c r="G128" s="65"/>
      <c r="H128" s="65"/>
      <c r="I128" s="156"/>
      <c r="J128" s="65"/>
      <c r="K128" s="37"/>
      <c r="L128" s="37"/>
      <c r="M128" s="37"/>
      <c r="N128" s="37"/>
      <c r="O128" s="37"/>
      <c r="P128" s="37"/>
      <c r="Q128" s="37"/>
      <c r="R128" s="37"/>
      <c r="S128" s="37"/>
      <c r="T128" s="37"/>
      <c r="U128" s="3"/>
      <c r="W128" s="3"/>
      <c r="X128" s="3"/>
      <c r="Y128" s="3"/>
      <c r="Z128" s="3"/>
    </row>
    <row r="129" spans="1:26" ht="15.75" hidden="1" customHeight="1" outlineLevel="1" x14ac:dyDescent="0.3">
      <c r="A129" s="3"/>
      <c r="B129" s="10" t="s">
        <v>1566</v>
      </c>
      <c r="C129" s="62"/>
      <c r="D129" s="62"/>
      <c r="E129" s="12">
        <v>0</v>
      </c>
      <c r="F129" s="12">
        <v>0</v>
      </c>
      <c r="G129" s="65"/>
      <c r="H129" s="65"/>
      <c r="I129" s="156"/>
      <c r="J129" s="65"/>
      <c r="K129" s="37"/>
      <c r="L129" s="37"/>
      <c r="M129" s="37"/>
      <c r="N129" s="37"/>
      <c r="O129" s="37"/>
      <c r="P129" s="37"/>
      <c r="Q129" s="37"/>
      <c r="R129" s="37"/>
      <c r="S129" s="37"/>
      <c r="T129" s="37"/>
      <c r="U129" s="3"/>
      <c r="W129" s="3"/>
      <c r="X129" s="3"/>
      <c r="Y129" s="3"/>
      <c r="Z129" s="3"/>
    </row>
    <row r="130" spans="1:26" ht="15.75" hidden="1" customHeight="1" outlineLevel="1" x14ac:dyDescent="0.3">
      <c r="A130" s="3"/>
      <c r="B130" s="10" t="s">
        <v>50</v>
      </c>
      <c r="C130" s="62"/>
      <c r="D130" s="62"/>
      <c r="E130" s="12">
        <v>0</v>
      </c>
      <c r="F130" s="12">
        <v>0</v>
      </c>
      <c r="G130" s="65"/>
      <c r="H130" s="65"/>
      <c r="I130" s="157"/>
      <c r="J130" s="65"/>
      <c r="K130" s="37"/>
      <c r="L130" s="37"/>
      <c r="M130" s="37"/>
      <c r="N130" s="37"/>
      <c r="O130" s="37"/>
      <c r="P130" s="37"/>
      <c r="Q130" s="37"/>
      <c r="R130" s="37"/>
      <c r="S130" s="37"/>
      <c r="T130" s="37"/>
      <c r="U130" s="3"/>
      <c r="W130" s="3"/>
      <c r="X130" s="3"/>
      <c r="Y130" s="3"/>
      <c r="Z130" s="3"/>
    </row>
    <row r="131" spans="1:26" ht="15.75" hidden="1" customHeight="1" outlineLevel="1" x14ac:dyDescent="0.3">
      <c r="A131" s="3"/>
      <c r="B131" s="10" t="s">
        <v>50</v>
      </c>
      <c r="C131" s="62"/>
      <c r="D131" s="62"/>
      <c r="E131" s="12">
        <v>0</v>
      </c>
      <c r="F131" s="12">
        <v>0</v>
      </c>
      <c r="G131" s="65"/>
      <c r="H131" s="65"/>
      <c r="I131" s="157"/>
      <c r="J131" s="65"/>
      <c r="K131" s="37"/>
      <c r="L131" s="37"/>
      <c r="M131" s="37"/>
      <c r="N131" s="37"/>
      <c r="O131" s="37"/>
      <c r="P131" s="37"/>
      <c r="Q131" s="37"/>
      <c r="R131" s="37"/>
      <c r="S131" s="37"/>
      <c r="T131" s="37"/>
      <c r="U131" s="3"/>
      <c r="W131" s="3"/>
      <c r="X131" s="3"/>
      <c r="Y131" s="3"/>
      <c r="Z131" s="3"/>
    </row>
    <row r="132" spans="1:26" ht="15.75" hidden="1" customHeight="1" outlineLevel="1" x14ac:dyDescent="0.3">
      <c r="A132" s="3"/>
      <c r="B132" s="10" t="s">
        <v>50</v>
      </c>
      <c r="C132" s="62"/>
      <c r="D132" s="62"/>
      <c r="E132" s="12">
        <v>0</v>
      </c>
      <c r="F132" s="12">
        <v>0</v>
      </c>
      <c r="G132" s="65"/>
      <c r="H132" s="65"/>
      <c r="I132" s="157"/>
      <c r="J132" s="65"/>
      <c r="K132" s="37"/>
      <c r="L132" s="37"/>
      <c r="M132" s="37"/>
      <c r="N132" s="37"/>
      <c r="O132" s="37"/>
      <c r="P132" s="37"/>
      <c r="Q132" s="37"/>
      <c r="R132" s="37"/>
      <c r="S132" s="37"/>
      <c r="T132" s="37"/>
      <c r="U132" s="3"/>
      <c r="W132" s="3"/>
      <c r="X132" s="3"/>
      <c r="Y132" s="3"/>
      <c r="Z132" s="3"/>
    </row>
    <row r="133" spans="1:26" ht="15.75" hidden="1" customHeight="1" outlineLevel="1" x14ac:dyDescent="0.3">
      <c r="A133" s="3"/>
      <c r="B133" s="10" t="s">
        <v>50</v>
      </c>
      <c r="C133" s="62"/>
      <c r="D133" s="62"/>
      <c r="E133" s="12">
        <v>0</v>
      </c>
      <c r="F133" s="12">
        <v>0</v>
      </c>
      <c r="G133" s="65"/>
      <c r="H133" s="65"/>
      <c r="I133" s="158"/>
      <c r="J133" s="65"/>
      <c r="K133" s="37"/>
      <c r="L133" s="37"/>
      <c r="M133" s="37"/>
      <c r="N133" s="37"/>
      <c r="O133" s="37"/>
      <c r="P133" s="37"/>
      <c r="Q133" s="37"/>
      <c r="R133" s="37"/>
      <c r="S133" s="37"/>
      <c r="T133" s="37"/>
      <c r="U133" s="3"/>
      <c r="W133" s="3"/>
      <c r="X133" s="3"/>
      <c r="Y133" s="3"/>
      <c r="Z133" s="3"/>
    </row>
    <row r="134" spans="1:26" ht="15.75" hidden="1" customHeight="1" outlineLevel="1" x14ac:dyDescent="0.3">
      <c r="A134" s="3"/>
      <c r="B134" s="10" t="s">
        <v>50</v>
      </c>
      <c r="C134" s="62"/>
      <c r="D134" s="62"/>
      <c r="E134" s="12">
        <v>0</v>
      </c>
      <c r="F134" s="12">
        <v>0</v>
      </c>
      <c r="G134" s="65"/>
      <c r="H134" s="65"/>
      <c r="I134" s="157"/>
      <c r="J134" s="65"/>
      <c r="K134" s="37"/>
      <c r="L134" s="37"/>
      <c r="M134" s="37"/>
      <c r="N134" s="37"/>
      <c r="O134" s="37"/>
      <c r="P134" s="37"/>
      <c r="Q134" s="37"/>
      <c r="R134" s="37"/>
      <c r="S134" s="37"/>
      <c r="T134" s="37"/>
      <c r="U134" s="3"/>
      <c r="W134" s="3"/>
      <c r="X134" s="3"/>
      <c r="Y134" s="3"/>
      <c r="Z134" s="3"/>
    </row>
    <row r="135" spans="1:26" ht="15.75" hidden="1" customHeight="1" outlineLevel="1" x14ac:dyDescent="0.3">
      <c r="A135" s="3"/>
      <c r="B135" s="10" t="s">
        <v>50</v>
      </c>
      <c r="C135" s="62"/>
      <c r="D135" s="62"/>
      <c r="E135" s="12">
        <v>0</v>
      </c>
      <c r="F135" s="12">
        <v>0</v>
      </c>
      <c r="G135" s="65"/>
      <c r="H135" s="65"/>
      <c r="I135" s="157"/>
      <c r="J135" s="65"/>
      <c r="K135" s="37"/>
      <c r="L135" s="37"/>
      <c r="M135" s="37"/>
      <c r="N135" s="37"/>
      <c r="O135" s="37"/>
      <c r="P135" s="37"/>
      <c r="Q135" s="37"/>
      <c r="R135" s="37"/>
      <c r="S135" s="37"/>
      <c r="T135" s="37"/>
      <c r="U135" s="3"/>
      <c r="W135" s="3"/>
      <c r="X135" s="3"/>
      <c r="Y135" s="3"/>
      <c r="Z135" s="3"/>
    </row>
    <row r="136" spans="1:26" ht="15.75" hidden="1" customHeight="1" outlineLevel="1" x14ac:dyDescent="0.3">
      <c r="A136" s="3"/>
      <c r="B136" s="10" t="s">
        <v>50</v>
      </c>
      <c r="C136" s="62"/>
      <c r="D136" s="62"/>
      <c r="E136" s="12">
        <v>0</v>
      </c>
      <c r="F136" s="12">
        <v>0</v>
      </c>
      <c r="G136" s="65"/>
      <c r="H136" s="65"/>
      <c r="I136" s="157"/>
      <c r="J136" s="65"/>
      <c r="K136" s="37"/>
      <c r="L136" s="37"/>
      <c r="M136" s="37"/>
      <c r="N136" s="37"/>
      <c r="O136" s="37"/>
      <c r="P136" s="37"/>
      <c r="Q136" s="37"/>
      <c r="R136" s="37"/>
      <c r="S136" s="37"/>
      <c r="T136" s="37"/>
      <c r="U136" s="3"/>
      <c r="W136" s="3"/>
      <c r="X136" s="3"/>
      <c r="Y136" s="3"/>
      <c r="Z136" s="3"/>
    </row>
    <row r="137" spans="1:26" ht="15.75" hidden="1" customHeight="1" outlineLevel="1" x14ac:dyDescent="0.3">
      <c r="A137" s="3"/>
      <c r="B137" s="10" t="s">
        <v>50</v>
      </c>
      <c r="C137" s="62"/>
      <c r="D137" s="62"/>
      <c r="E137" s="12">
        <v>0</v>
      </c>
      <c r="F137" s="12">
        <v>0</v>
      </c>
      <c r="G137" s="65"/>
      <c r="H137" s="65"/>
      <c r="I137" s="157"/>
      <c r="J137" s="65"/>
      <c r="K137" s="37"/>
      <c r="L137" s="37"/>
      <c r="M137" s="37"/>
      <c r="N137" s="37"/>
      <c r="O137" s="37"/>
      <c r="P137" s="37"/>
      <c r="Q137" s="37"/>
      <c r="R137" s="37"/>
      <c r="S137" s="37"/>
      <c r="T137" s="37"/>
      <c r="U137" s="3"/>
      <c r="W137" s="3"/>
      <c r="X137" s="3"/>
      <c r="Y137" s="3"/>
      <c r="Z137" s="3"/>
    </row>
    <row r="138" spans="1:26" ht="15.75" hidden="1" customHeight="1" outlineLevel="1" x14ac:dyDescent="0.3">
      <c r="A138" s="3"/>
      <c r="B138" s="10" t="s">
        <v>50</v>
      </c>
      <c r="C138" s="62"/>
      <c r="D138" s="62"/>
      <c r="E138" s="12">
        <v>0</v>
      </c>
      <c r="F138" s="12">
        <v>0</v>
      </c>
      <c r="G138" s="65"/>
      <c r="H138" s="65"/>
      <c r="I138" s="157"/>
      <c r="J138" s="65"/>
      <c r="K138" s="37"/>
      <c r="L138" s="37"/>
      <c r="M138" s="37"/>
      <c r="N138" s="37"/>
      <c r="O138" s="37"/>
      <c r="P138" s="37"/>
      <c r="Q138" s="37"/>
      <c r="R138" s="37"/>
      <c r="S138" s="37"/>
      <c r="T138" s="37"/>
      <c r="U138" s="3"/>
      <c r="W138" s="3"/>
      <c r="X138" s="3"/>
      <c r="Y138" s="3"/>
      <c r="Z138" s="3"/>
    </row>
    <row r="139" spans="1:26" ht="15.75" hidden="1" customHeight="1" outlineLevel="1" x14ac:dyDescent="0.3">
      <c r="A139" s="3"/>
      <c r="B139" s="10" t="s">
        <v>50</v>
      </c>
      <c r="C139" s="62"/>
      <c r="D139" s="62"/>
      <c r="E139" s="12">
        <v>0</v>
      </c>
      <c r="F139" s="12">
        <v>0</v>
      </c>
      <c r="G139" s="65"/>
      <c r="H139" s="65"/>
      <c r="I139" s="157"/>
      <c r="J139" s="65"/>
      <c r="K139" s="37"/>
      <c r="L139" s="37"/>
      <c r="M139" s="37"/>
      <c r="N139" s="37"/>
      <c r="O139" s="37"/>
      <c r="P139" s="37"/>
      <c r="Q139" s="37"/>
      <c r="R139" s="37"/>
      <c r="S139" s="37"/>
      <c r="T139" s="37"/>
      <c r="U139" s="3"/>
      <c r="W139" s="3"/>
      <c r="X139" s="3"/>
      <c r="Y139" s="3"/>
      <c r="Z139" s="3"/>
    </row>
    <row r="140" spans="1:26" ht="15.75" hidden="1" customHeight="1" outlineLevel="1" x14ac:dyDescent="0.3">
      <c r="A140" s="3"/>
      <c r="B140" s="10" t="s">
        <v>50</v>
      </c>
      <c r="C140" s="62"/>
      <c r="D140" s="62"/>
      <c r="E140" s="12">
        <v>0</v>
      </c>
      <c r="F140" s="12">
        <v>0</v>
      </c>
      <c r="G140" s="65"/>
      <c r="H140" s="65"/>
      <c r="I140" s="157"/>
      <c r="J140" s="65"/>
      <c r="K140" s="37"/>
      <c r="L140" s="37"/>
      <c r="M140" s="37"/>
      <c r="N140" s="37"/>
      <c r="O140" s="37"/>
      <c r="P140" s="37"/>
      <c r="Q140" s="37"/>
      <c r="R140" s="37"/>
      <c r="S140" s="37"/>
      <c r="T140" s="37"/>
      <c r="U140" s="3"/>
      <c r="W140" s="3"/>
      <c r="X140" s="3"/>
      <c r="Y140" s="3"/>
      <c r="Z140" s="3"/>
    </row>
    <row r="141" spans="1:26" ht="15.75" customHeight="1" collapsed="1" x14ac:dyDescent="0.3">
      <c r="A141" s="3"/>
      <c r="B141" s="84" t="s">
        <v>87</v>
      </c>
      <c r="C141" s="85" t="s">
        <v>43</v>
      </c>
      <c r="D141" s="85" t="s">
        <v>43</v>
      </c>
      <c r="E141" s="86">
        <f>SUM(E142:E150)</f>
        <v>0</v>
      </c>
      <c r="F141" s="86">
        <f>SUMIF(D142:D150,"OK",F142:F150)</f>
        <v>0</v>
      </c>
      <c r="G141" s="87"/>
      <c r="H141" s="87"/>
      <c r="I141" s="88"/>
      <c r="J141" s="87"/>
      <c r="K141" s="37"/>
      <c r="L141" s="37"/>
      <c r="M141" s="37"/>
      <c r="N141" s="37"/>
      <c r="O141" s="37"/>
      <c r="P141" s="37"/>
      <c r="Q141" s="37"/>
      <c r="R141" s="37"/>
      <c r="S141" s="37"/>
      <c r="T141" s="37"/>
      <c r="U141" s="3"/>
      <c r="W141" s="3"/>
      <c r="X141" s="3"/>
      <c r="Y141" s="3"/>
      <c r="Z141" s="3"/>
    </row>
    <row r="142" spans="1:26" ht="15.75" hidden="1" customHeight="1" outlineLevel="1" x14ac:dyDescent="0.3">
      <c r="A142" s="3"/>
      <c r="B142" s="10" t="s">
        <v>353</v>
      </c>
      <c r="C142" s="80"/>
      <c r="D142" s="62"/>
      <c r="E142" s="12">
        <v>0</v>
      </c>
      <c r="F142" s="12">
        <v>0</v>
      </c>
      <c r="G142" s="89"/>
      <c r="H142" s="65"/>
      <c r="I142" s="157"/>
      <c r="J142" s="89"/>
      <c r="K142" s="37"/>
      <c r="L142" s="37"/>
      <c r="M142" s="37"/>
      <c r="N142" s="37"/>
      <c r="O142" s="37"/>
      <c r="P142" s="37"/>
      <c r="Q142" s="37"/>
      <c r="R142" s="37"/>
      <c r="S142" s="37"/>
      <c r="T142" s="37"/>
      <c r="U142" s="3"/>
      <c r="W142" s="3"/>
      <c r="X142" s="3"/>
      <c r="Y142" s="3"/>
      <c r="Z142" s="3"/>
    </row>
    <row r="143" spans="1:26" ht="15.75" hidden="1" customHeight="1" outlineLevel="1" x14ac:dyDescent="0.3">
      <c r="A143" s="3"/>
      <c r="B143" s="10" t="s">
        <v>354</v>
      </c>
      <c r="C143" s="62"/>
      <c r="D143" s="62"/>
      <c r="E143" s="12">
        <v>0</v>
      </c>
      <c r="F143" s="12">
        <v>0</v>
      </c>
      <c r="G143" s="89"/>
      <c r="H143" s="65"/>
      <c r="I143" s="157"/>
      <c r="J143" s="65"/>
      <c r="K143" s="37"/>
      <c r="L143" s="37"/>
      <c r="M143" s="37"/>
      <c r="N143" s="37"/>
      <c r="O143" s="37"/>
      <c r="P143" s="37"/>
      <c r="Q143" s="37"/>
      <c r="R143" s="37"/>
      <c r="S143" s="37"/>
      <c r="T143" s="37"/>
      <c r="U143" s="3"/>
      <c r="W143" s="3"/>
      <c r="X143" s="3"/>
      <c r="Y143" s="3"/>
      <c r="Z143" s="3"/>
    </row>
    <row r="144" spans="1:26" ht="15.75" hidden="1" customHeight="1" outlineLevel="1" x14ac:dyDescent="0.3">
      <c r="A144" s="3"/>
      <c r="B144" s="10" t="s">
        <v>355</v>
      </c>
      <c r="C144" s="62"/>
      <c r="D144" s="62"/>
      <c r="E144" s="12">
        <v>0</v>
      </c>
      <c r="F144" s="12">
        <v>0</v>
      </c>
      <c r="G144" s="65"/>
      <c r="H144" s="65"/>
      <c r="I144" s="89"/>
      <c r="J144" s="65"/>
      <c r="K144" s="37"/>
      <c r="L144" s="37"/>
      <c r="M144" s="37"/>
      <c r="N144" s="37"/>
      <c r="O144" s="37"/>
      <c r="P144" s="37"/>
      <c r="Q144" s="37"/>
      <c r="R144" s="37"/>
      <c r="S144" s="37"/>
      <c r="T144" s="37"/>
      <c r="U144" s="3"/>
      <c r="W144" s="3"/>
      <c r="X144" s="3"/>
      <c r="Y144" s="3"/>
      <c r="Z144" s="3"/>
    </row>
    <row r="145" spans="1:26" ht="15.75" hidden="1" customHeight="1" outlineLevel="1" x14ac:dyDescent="0.3">
      <c r="A145" s="3"/>
      <c r="B145" s="10" t="s">
        <v>369</v>
      </c>
      <c r="C145" s="62"/>
      <c r="D145" s="62"/>
      <c r="E145" s="12">
        <v>0</v>
      </c>
      <c r="F145" s="12">
        <v>0</v>
      </c>
      <c r="G145" s="65"/>
      <c r="H145" s="65"/>
      <c r="I145" s="89"/>
      <c r="J145" s="65"/>
      <c r="K145" s="37"/>
      <c r="L145" s="37"/>
      <c r="M145" s="37"/>
      <c r="N145" s="37"/>
      <c r="O145" s="37"/>
      <c r="P145" s="37"/>
      <c r="Q145" s="37"/>
      <c r="R145" s="37"/>
      <c r="S145" s="37"/>
      <c r="T145" s="37"/>
      <c r="U145" s="3"/>
      <c r="W145" s="3"/>
      <c r="X145" s="3"/>
      <c r="Y145" s="3"/>
      <c r="Z145" s="3"/>
    </row>
    <row r="146" spans="1:26" ht="15.75" hidden="1" customHeight="1" outlineLevel="1" x14ac:dyDescent="0.3">
      <c r="A146" s="3"/>
      <c r="B146" s="10" t="s">
        <v>327</v>
      </c>
      <c r="C146" s="62"/>
      <c r="D146" s="62"/>
      <c r="E146" s="12">
        <v>0</v>
      </c>
      <c r="F146" s="12">
        <v>0</v>
      </c>
      <c r="G146" s="65"/>
      <c r="H146" s="65"/>
      <c r="I146" s="89"/>
      <c r="J146" s="65"/>
      <c r="K146" s="37"/>
      <c r="L146" s="37"/>
      <c r="M146" s="37"/>
      <c r="N146" s="37"/>
      <c r="O146" s="37"/>
      <c r="P146" s="37"/>
      <c r="Q146" s="37"/>
      <c r="R146" s="37"/>
      <c r="S146" s="37"/>
      <c r="T146" s="37"/>
      <c r="U146" s="3"/>
      <c r="W146" s="3"/>
      <c r="X146" s="3"/>
      <c r="Y146" s="3"/>
      <c r="Z146" s="3"/>
    </row>
    <row r="147" spans="1:26" ht="15.75" hidden="1" customHeight="1" outlineLevel="1" x14ac:dyDescent="0.3">
      <c r="A147" s="3"/>
      <c r="B147" s="10" t="s">
        <v>328</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5.75" hidden="1" customHeight="1" outlineLevel="1" x14ac:dyDescent="0.3">
      <c r="A148" s="3"/>
      <c r="B148" s="10" t="s">
        <v>370</v>
      </c>
      <c r="C148" s="62"/>
      <c r="D148" s="62"/>
      <c r="E148" s="12">
        <v>0</v>
      </c>
      <c r="F148" s="12">
        <v>0</v>
      </c>
      <c r="G148" s="65"/>
      <c r="H148" s="65"/>
      <c r="I148" s="89"/>
      <c r="J148" s="65"/>
      <c r="K148" s="37"/>
      <c r="L148" s="37"/>
      <c r="M148" s="37"/>
      <c r="N148" s="37"/>
      <c r="O148" s="37"/>
      <c r="P148" s="37"/>
      <c r="Q148" s="37"/>
      <c r="R148" s="37"/>
      <c r="S148" s="37"/>
      <c r="T148" s="37"/>
      <c r="U148" s="3"/>
      <c r="W148" s="3"/>
      <c r="X148" s="3"/>
      <c r="Y148" s="3"/>
      <c r="Z148" s="3"/>
    </row>
    <row r="149" spans="1:26" ht="15.75" hidden="1" customHeight="1" outlineLevel="1" x14ac:dyDescent="0.3">
      <c r="A149" s="3"/>
      <c r="B149" s="10" t="s">
        <v>371</v>
      </c>
      <c r="C149" s="62"/>
      <c r="D149" s="62"/>
      <c r="E149" s="12">
        <v>0</v>
      </c>
      <c r="F149" s="12">
        <v>0</v>
      </c>
      <c r="G149" s="65"/>
      <c r="H149" s="65"/>
      <c r="I149" s="89"/>
      <c r="J149" s="65"/>
      <c r="K149" s="37"/>
      <c r="L149" s="37"/>
      <c r="M149" s="37"/>
      <c r="N149" s="37"/>
      <c r="O149" s="37"/>
      <c r="P149" s="37"/>
      <c r="Q149" s="37"/>
      <c r="R149" s="37"/>
      <c r="S149" s="37"/>
      <c r="T149" s="37"/>
      <c r="U149" s="3"/>
      <c r="W149" s="3"/>
      <c r="X149" s="3"/>
      <c r="Y149" s="3"/>
      <c r="Z149" s="3"/>
    </row>
    <row r="150" spans="1:26" ht="15.75" hidden="1" customHeight="1" outlineLevel="1" x14ac:dyDescent="0.3">
      <c r="A150" s="3"/>
      <c r="B150" s="10" t="s">
        <v>372</v>
      </c>
      <c r="C150" s="62"/>
      <c r="D150" s="62"/>
      <c r="E150" s="12">
        <v>0</v>
      </c>
      <c r="F150" s="12">
        <v>0</v>
      </c>
      <c r="G150" s="65"/>
      <c r="H150" s="65"/>
      <c r="I150" s="89"/>
      <c r="J150" s="65"/>
      <c r="K150" s="37"/>
      <c r="L150" s="37"/>
      <c r="M150" s="37"/>
      <c r="N150" s="37"/>
      <c r="O150" s="37"/>
      <c r="P150" s="37"/>
      <c r="Q150" s="37"/>
      <c r="R150" s="37"/>
      <c r="S150" s="37"/>
      <c r="T150" s="37"/>
      <c r="U150" s="3"/>
      <c r="W150" s="3"/>
      <c r="X150" s="3"/>
      <c r="Y150" s="3"/>
      <c r="Z150" s="3"/>
    </row>
    <row r="151" spans="1:26" ht="15.75" customHeight="1" collapsed="1" x14ac:dyDescent="0.3">
      <c r="A151" s="3"/>
      <c r="B151" s="84" t="s">
        <v>88</v>
      </c>
      <c r="C151" s="85" t="s">
        <v>43</v>
      </c>
      <c r="D151" s="85" t="s">
        <v>43</v>
      </c>
      <c r="E151" s="86">
        <f t="shared" ref="E151:F151" si="2">SUM(E152,E158,E164,E170)</f>
        <v>0</v>
      </c>
      <c r="F151" s="86">
        <f t="shared" si="2"/>
        <v>0</v>
      </c>
      <c r="G151" s="87"/>
      <c r="H151" s="87"/>
      <c r="I151" s="88"/>
      <c r="J151" s="87"/>
      <c r="K151" s="37"/>
      <c r="L151" s="37"/>
      <c r="M151" s="37"/>
      <c r="N151" s="37"/>
      <c r="O151" s="37"/>
      <c r="P151" s="37"/>
      <c r="Q151" s="37"/>
      <c r="R151" s="37"/>
      <c r="S151" s="37"/>
      <c r="T151" s="37"/>
      <c r="U151" s="3"/>
      <c r="W151" s="3"/>
      <c r="X151" s="3"/>
      <c r="Y151" s="3"/>
      <c r="Z151" s="3"/>
    </row>
    <row r="152" spans="1:26" ht="15.75" hidden="1" customHeight="1" outlineLevel="1" x14ac:dyDescent="0.3">
      <c r="A152" s="3"/>
      <c r="B152" s="91" t="s">
        <v>380</v>
      </c>
      <c r="C152" s="92"/>
      <c r="D152" s="92"/>
      <c r="E152" s="93">
        <f>SUM(E153:E157)</f>
        <v>0</v>
      </c>
      <c r="F152" s="93">
        <f>SUMIF(D153:D157,"OK",F153:F157)</f>
        <v>0</v>
      </c>
      <c r="G152" s="94"/>
      <c r="H152" s="94"/>
      <c r="I152" s="95"/>
      <c r="J152" s="94"/>
      <c r="K152" s="37"/>
      <c r="L152" s="37"/>
      <c r="M152" s="37"/>
      <c r="N152" s="37"/>
      <c r="O152" s="37"/>
      <c r="P152" s="37"/>
      <c r="Q152" s="37"/>
      <c r="R152" s="37"/>
      <c r="S152" s="37"/>
      <c r="T152" s="37"/>
      <c r="U152" s="3"/>
      <c r="W152" s="3"/>
      <c r="X152" s="3"/>
      <c r="Y152" s="3"/>
      <c r="Z152" s="3"/>
    </row>
    <row r="153" spans="1:26" ht="15.75" hidden="1" customHeight="1" outlineLevel="1" x14ac:dyDescent="0.3">
      <c r="A153" s="3"/>
      <c r="B153" s="10" t="s">
        <v>1567</v>
      </c>
      <c r="C153" s="62"/>
      <c r="D153" s="62"/>
      <c r="E153" s="12">
        <v>0</v>
      </c>
      <c r="F153" s="12">
        <v>0</v>
      </c>
      <c r="G153" s="65"/>
      <c r="H153" s="65"/>
      <c r="I153" s="156"/>
      <c r="J153" s="65"/>
      <c r="K153" s="37"/>
      <c r="L153" s="37"/>
      <c r="M153" s="37"/>
      <c r="N153" s="37"/>
      <c r="O153" s="37"/>
      <c r="P153" s="37"/>
      <c r="Q153" s="37"/>
      <c r="R153" s="37"/>
      <c r="S153" s="37"/>
      <c r="T153" s="37"/>
      <c r="U153" s="3"/>
      <c r="W153" s="3"/>
      <c r="X153" s="3"/>
      <c r="Y153" s="3"/>
      <c r="Z153" s="3"/>
    </row>
    <row r="154" spans="1:26" ht="15.75" hidden="1" customHeight="1" outlineLevel="1" x14ac:dyDescent="0.3">
      <c r="A154" s="3"/>
      <c r="B154" s="10" t="s">
        <v>640</v>
      </c>
      <c r="C154" s="62"/>
      <c r="D154" s="62"/>
      <c r="E154" s="12">
        <v>0</v>
      </c>
      <c r="F154" s="12">
        <v>0</v>
      </c>
      <c r="G154" s="65"/>
      <c r="H154" s="65"/>
      <c r="I154" s="156"/>
      <c r="J154" s="65"/>
      <c r="K154" s="37"/>
      <c r="L154" s="37"/>
      <c r="M154" s="37"/>
      <c r="N154" s="37"/>
      <c r="O154" s="37"/>
      <c r="P154" s="37"/>
      <c r="Q154" s="37"/>
      <c r="R154" s="37"/>
      <c r="S154" s="37"/>
      <c r="T154" s="37"/>
      <c r="U154" s="3"/>
      <c r="W154" s="3"/>
      <c r="X154" s="3"/>
      <c r="Y154" s="3"/>
      <c r="Z154" s="3"/>
    </row>
    <row r="155" spans="1:26" ht="15.75" hidden="1" customHeight="1" outlineLevel="1" x14ac:dyDescent="0.3">
      <c r="A155" s="3"/>
      <c r="B155" s="10" t="s">
        <v>50</v>
      </c>
      <c r="C155" s="62"/>
      <c r="D155" s="62"/>
      <c r="E155" s="12">
        <v>0</v>
      </c>
      <c r="F155" s="12">
        <v>0</v>
      </c>
      <c r="G155" s="65"/>
      <c r="H155" s="65"/>
      <c r="I155" s="157"/>
      <c r="J155" s="65"/>
      <c r="K155" s="37"/>
      <c r="L155" s="37"/>
      <c r="M155" s="37"/>
      <c r="N155" s="37"/>
      <c r="O155" s="37"/>
      <c r="P155" s="37"/>
      <c r="Q155" s="37"/>
      <c r="R155" s="37"/>
      <c r="S155" s="37"/>
      <c r="T155" s="37"/>
      <c r="U155" s="3"/>
      <c r="W155" s="3"/>
      <c r="X155" s="3"/>
      <c r="Y155" s="3"/>
      <c r="Z155" s="3"/>
    </row>
    <row r="156" spans="1:26" ht="15.75" hidden="1" customHeight="1" outlineLevel="1" x14ac:dyDescent="0.3">
      <c r="A156" s="3"/>
      <c r="B156" s="10" t="s">
        <v>369</v>
      </c>
      <c r="C156" s="62"/>
      <c r="D156" s="62"/>
      <c r="E156" s="12">
        <v>0</v>
      </c>
      <c r="F156" s="12">
        <v>0</v>
      </c>
      <c r="G156" s="89"/>
      <c r="H156" s="65"/>
      <c r="I156" s="157"/>
      <c r="J156" s="65"/>
      <c r="K156" s="37"/>
      <c r="L156" s="37"/>
      <c r="M156" s="37"/>
      <c r="N156" s="37"/>
      <c r="O156" s="37"/>
      <c r="P156" s="37"/>
      <c r="Q156" s="37"/>
      <c r="R156" s="37"/>
      <c r="S156" s="37"/>
      <c r="T156" s="37"/>
      <c r="U156" s="3"/>
      <c r="W156" s="3"/>
      <c r="X156" s="3"/>
      <c r="Y156" s="3"/>
      <c r="Z156" s="3"/>
    </row>
    <row r="157" spans="1:26" ht="15.75" hidden="1" customHeight="1" outlineLevel="1" x14ac:dyDescent="0.3">
      <c r="A157" s="3"/>
      <c r="B157" s="10" t="s">
        <v>327</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5.75" hidden="1" customHeight="1" outlineLevel="1" x14ac:dyDescent="0.3">
      <c r="A158" s="3"/>
      <c r="B158" s="91" t="s">
        <v>643</v>
      </c>
      <c r="C158" s="92"/>
      <c r="D158" s="92"/>
      <c r="E158" s="93">
        <f>SUM(E159:E163)</f>
        <v>0</v>
      </c>
      <c r="F158" s="93">
        <f>SUMIF(D159:D163,"OK",F159:F163)</f>
        <v>0</v>
      </c>
      <c r="G158" s="94"/>
      <c r="H158" s="94"/>
      <c r="I158" s="95"/>
      <c r="J158" s="94"/>
      <c r="K158" s="37"/>
      <c r="L158" s="37"/>
      <c r="M158" s="37"/>
      <c r="N158" s="37"/>
      <c r="O158" s="37"/>
      <c r="P158" s="37"/>
      <c r="Q158" s="37"/>
      <c r="R158" s="37"/>
      <c r="S158" s="37"/>
      <c r="T158" s="37"/>
      <c r="U158" s="3"/>
      <c r="W158" s="3"/>
      <c r="X158" s="3"/>
      <c r="Y158" s="3"/>
      <c r="Z158" s="3"/>
    </row>
    <row r="159" spans="1:26" ht="15.75" hidden="1" customHeight="1" outlineLevel="1" x14ac:dyDescent="0.3">
      <c r="A159" s="3"/>
      <c r="B159" s="10" t="s">
        <v>353</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5.75" hidden="1" customHeight="1" outlineLevel="1" x14ac:dyDescent="0.3">
      <c r="A160" s="3"/>
      <c r="B160" s="10" t="s">
        <v>354</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5.75" hidden="1" customHeight="1" outlineLevel="1" x14ac:dyDescent="0.3">
      <c r="A161" s="3"/>
      <c r="B161" s="10" t="s">
        <v>355</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t="15.75" hidden="1" customHeight="1" outlineLevel="1" x14ac:dyDescent="0.3">
      <c r="A162" s="3"/>
      <c r="B162" s="10" t="s">
        <v>369</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5.75" hidden="1" customHeight="1" outlineLevel="1" x14ac:dyDescent="0.3">
      <c r="A163" s="3"/>
      <c r="B163" s="10" t="s">
        <v>327</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5.75" hidden="1" customHeight="1" outlineLevel="1" x14ac:dyDescent="0.3">
      <c r="A164" s="3"/>
      <c r="B164" s="91" t="s">
        <v>381</v>
      </c>
      <c r="C164" s="92"/>
      <c r="D164" s="92"/>
      <c r="E164" s="93">
        <f>SUM(E165:E169)</f>
        <v>0</v>
      </c>
      <c r="F164" s="93">
        <f>SUMIF(D165:D169,"OK",F165:F169)</f>
        <v>0</v>
      </c>
      <c r="G164" s="94"/>
      <c r="H164" s="94"/>
      <c r="I164" s="95"/>
      <c r="J164" s="94"/>
      <c r="K164" s="37"/>
      <c r="L164" s="37"/>
      <c r="M164" s="37"/>
      <c r="N164" s="37"/>
      <c r="O164" s="37"/>
      <c r="P164" s="37"/>
      <c r="Q164" s="37"/>
      <c r="R164" s="37"/>
      <c r="S164" s="37"/>
      <c r="T164" s="37"/>
      <c r="U164" s="3"/>
      <c r="W164" s="3"/>
      <c r="X164" s="3"/>
      <c r="Y164" s="3"/>
      <c r="Z164" s="3"/>
    </row>
    <row r="165" spans="1:26" ht="15.75" hidden="1" customHeight="1" outlineLevel="1" x14ac:dyDescent="0.3">
      <c r="A165" s="3"/>
      <c r="B165" s="10" t="s">
        <v>353</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5.75" hidden="1" customHeight="1" outlineLevel="1" x14ac:dyDescent="0.3">
      <c r="A166" s="3"/>
      <c r="B166" s="10" t="s">
        <v>354</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5.75" hidden="1" customHeight="1" outlineLevel="1" x14ac:dyDescent="0.3">
      <c r="A167" s="3"/>
      <c r="B167" s="10" t="s">
        <v>355</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t="15.75" hidden="1" customHeight="1" outlineLevel="1" x14ac:dyDescent="0.3">
      <c r="A168" s="3"/>
      <c r="B168" s="10" t="s">
        <v>369</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5.75" hidden="1" customHeight="1" outlineLevel="1" x14ac:dyDescent="0.3">
      <c r="A169" s="3"/>
      <c r="B169" s="10" t="s">
        <v>327</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5.75" hidden="1" customHeight="1" outlineLevel="1" x14ac:dyDescent="0.3">
      <c r="A170" s="3"/>
      <c r="B170" s="91" t="s">
        <v>382</v>
      </c>
      <c r="C170" s="92"/>
      <c r="D170" s="92"/>
      <c r="E170" s="93">
        <f>SUM(E171:E175)</f>
        <v>0</v>
      </c>
      <c r="F170" s="93">
        <f>SUMIF(D171:D175,"OK",F171:F175)</f>
        <v>0</v>
      </c>
      <c r="G170" s="94"/>
      <c r="H170" s="94"/>
      <c r="I170" s="95"/>
      <c r="J170" s="94"/>
      <c r="K170" s="37"/>
      <c r="L170" s="37"/>
      <c r="M170" s="37"/>
      <c r="N170" s="37"/>
      <c r="O170" s="37"/>
      <c r="P170" s="37"/>
      <c r="Q170" s="37"/>
      <c r="R170" s="37"/>
      <c r="S170" s="37"/>
      <c r="T170" s="37"/>
      <c r="U170" s="3"/>
      <c r="W170" s="3"/>
      <c r="X170" s="3"/>
      <c r="Y170" s="3"/>
      <c r="Z170" s="3"/>
    </row>
    <row r="171" spans="1:26" ht="15.75" hidden="1" customHeight="1" outlineLevel="1" x14ac:dyDescent="0.3">
      <c r="A171" s="3"/>
      <c r="B171" s="10" t="s">
        <v>353</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5.75" hidden="1" customHeight="1" outlineLevel="1" x14ac:dyDescent="0.3">
      <c r="A172" s="3"/>
      <c r="B172" s="10" t="s">
        <v>354</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5.75" hidden="1" customHeight="1" outlineLevel="1" x14ac:dyDescent="0.3">
      <c r="A173" s="3"/>
      <c r="B173" s="10" t="s">
        <v>355</v>
      </c>
      <c r="C173" s="62"/>
      <c r="D173" s="62"/>
      <c r="E173" s="12">
        <v>0</v>
      </c>
      <c r="F173" s="12">
        <v>0</v>
      </c>
      <c r="G173" s="65"/>
      <c r="H173" s="65"/>
      <c r="I173" s="89"/>
      <c r="J173" s="65"/>
      <c r="K173" s="37"/>
      <c r="L173" s="37"/>
      <c r="M173" s="37"/>
      <c r="N173" s="37"/>
      <c r="O173" s="37"/>
      <c r="P173" s="37"/>
      <c r="Q173" s="37"/>
      <c r="R173" s="37"/>
      <c r="S173" s="37"/>
      <c r="T173" s="37"/>
      <c r="U173" s="3"/>
      <c r="W173" s="3"/>
      <c r="X173" s="3"/>
      <c r="Y173" s="3"/>
      <c r="Z173" s="3"/>
    </row>
    <row r="174" spans="1:26" ht="15.75" hidden="1" customHeight="1" outlineLevel="1" x14ac:dyDescent="0.3">
      <c r="A174" s="3"/>
      <c r="B174" s="10" t="s">
        <v>369</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15.75" hidden="1" customHeight="1" outlineLevel="1" x14ac:dyDescent="0.3">
      <c r="A175" s="3"/>
      <c r="B175" s="10" t="s">
        <v>327</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5.75" customHeight="1" collapsed="1" x14ac:dyDescent="0.3">
      <c r="A176" s="3"/>
      <c r="B176" s="84" t="s">
        <v>383</v>
      </c>
      <c r="C176" s="85" t="s">
        <v>43</v>
      </c>
      <c r="D176" s="85" t="s">
        <v>43</v>
      </c>
      <c r="E176" s="86">
        <f>SUM(E177:E181)</f>
        <v>0</v>
      </c>
      <c r="F176" s="86">
        <f>SUMIF(D177:D181,"OK",F177:F181)</f>
        <v>0</v>
      </c>
      <c r="G176" s="87"/>
      <c r="H176" s="87"/>
      <c r="I176" s="88"/>
      <c r="J176" s="87"/>
      <c r="K176" s="37"/>
      <c r="L176" s="37"/>
      <c r="M176" s="37"/>
      <c r="N176" s="37"/>
      <c r="O176" s="37"/>
      <c r="P176" s="37"/>
      <c r="Q176" s="37"/>
      <c r="R176" s="37"/>
      <c r="S176" s="37"/>
      <c r="T176" s="37"/>
      <c r="U176" s="3"/>
      <c r="W176" s="3"/>
      <c r="X176" s="3"/>
      <c r="Y176" s="3"/>
      <c r="Z176" s="3"/>
    </row>
    <row r="177" spans="1:26" ht="15.75" hidden="1" customHeight="1" outlineLevel="1" x14ac:dyDescent="0.3">
      <c r="A177" s="3"/>
      <c r="B177" s="10" t="s">
        <v>353</v>
      </c>
      <c r="C177" s="62"/>
      <c r="D177" s="62"/>
      <c r="E177" s="12">
        <v>0</v>
      </c>
      <c r="F177" s="12">
        <v>0</v>
      </c>
      <c r="G177" s="65"/>
      <c r="H177" s="65"/>
      <c r="I177" s="157"/>
      <c r="J177" s="65"/>
      <c r="K177" s="37"/>
      <c r="L177" s="37"/>
      <c r="M177" s="37"/>
      <c r="N177" s="37"/>
      <c r="O177" s="37"/>
      <c r="P177" s="37"/>
      <c r="Q177" s="37"/>
      <c r="R177" s="37"/>
      <c r="S177" s="37"/>
      <c r="T177" s="37"/>
      <c r="U177" s="3"/>
      <c r="W177" s="3"/>
      <c r="X177" s="3"/>
      <c r="Y177" s="3"/>
      <c r="Z177" s="3"/>
    </row>
    <row r="178" spans="1:26" ht="15.75" hidden="1" customHeight="1" outlineLevel="1" x14ac:dyDescent="0.3">
      <c r="A178" s="3"/>
      <c r="B178" s="10" t="s">
        <v>354</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5.75" hidden="1" customHeight="1" outlineLevel="1" x14ac:dyDescent="0.3">
      <c r="A179" s="3"/>
      <c r="B179" s="10" t="s">
        <v>355</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15.75" hidden="1" customHeight="1" outlineLevel="1" x14ac:dyDescent="0.3">
      <c r="A180" s="3"/>
      <c r="B180" s="10" t="s">
        <v>369</v>
      </c>
      <c r="C180" s="62"/>
      <c r="D180" s="62"/>
      <c r="E180" s="12">
        <v>0</v>
      </c>
      <c r="F180" s="12">
        <v>0</v>
      </c>
      <c r="G180" s="65"/>
      <c r="H180" s="65"/>
      <c r="I180" s="89"/>
      <c r="J180" s="65"/>
      <c r="K180" s="37"/>
      <c r="L180" s="37"/>
      <c r="M180" s="37"/>
      <c r="N180" s="37"/>
      <c r="O180" s="37"/>
      <c r="P180" s="37"/>
      <c r="Q180" s="37"/>
      <c r="R180" s="37"/>
      <c r="S180" s="37"/>
      <c r="T180" s="37"/>
      <c r="U180" s="3"/>
      <c r="W180" s="3"/>
      <c r="X180" s="3"/>
      <c r="Y180" s="3"/>
      <c r="Z180" s="3"/>
    </row>
    <row r="181" spans="1:26" ht="15.75" hidden="1" customHeight="1" outlineLevel="1" x14ac:dyDescent="0.3">
      <c r="A181" s="3"/>
      <c r="B181" s="10" t="s">
        <v>327</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5.75" customHeight="1" collapsed="1" x14ac:dyDescent="0.3">
      <c r="A182" s="3"/>
      <c r="B182" s="84" t="s">
        <v>384</v>
      </c>
      <c r="C182" s="85" t="s">
        <v>43</v>
      </c>
      <c r="D182" s="85" t="s">
        <v>43</v>
      </c>
      <c r="E182" s="86">
        <f>SUM(E183:E210)</f>
        <v>0</v>
      </c>
      <c r="F182" s="86">
        <f>SUMIF(D183:D210,"OK",F183:F210)</f>
        <v>0</v>
      </c>
      <c r="G182" s="87"/>
      <c r="H182" s="87"/>
      <c r="I182" s="88"/>
      <c r="J182" s="87"/>
      <c r="K182" s="37"/>
      <c r="L182" s="37"/>
      <c r="M182" s="37"/>
      <c r="N182" s="37"/>
      <c r="O182" s="37"/>
      <c r="P182" s="37"/>
      <c r="Q182" s="37"/>
      <c r="R182" s="37"/>
      <c r="S182" s="37"/>
      <c r="T182" s="37"/>
      <c r="U182" s="3"/>
      <c r="W182" s="3"/>
      <c r="X182" s="3"/>
      <c r="Y182" s="3"/>
      <c r="Z182" s="3"/>
    </row>
    <row r="183" spans="1:26" ht="15.75" hidden="1" customHeight="1" outlineLevel="1" x14ac:dyDescent="0.3">
      <c r="A183" s="3"/>
      <c r="B183" s="10" t="s">
        <v>1568</v>
      </c>
      <c r="C183" s="80"/>
      <c r="D183" s="62"/>
      <c r="E183" s="12">
        <v>0</v>
      </c>
      <c r="F183" s="12">
        <v>0</v>
      </c>
      <c r="G183" s="89"/>
      <c r="H183" s="65"/>
      <c r="I183" s="156"/>
      <c r="J183" s="65"/>
      <c r="K183" s="37"/>
      <c r="L183" s="37"/>
      <c r="M183" s="37"/>
      <c r="N183" s="37"/>
      <c r="O183" s="37"/>
      <c r="P183" s="37"/>
      <c r="Q183" s="37"/>
      <c r="R183" s="37"/>
      <c r="S183" s="37"/>
      <c r="T183" s="37"/>
      <c r="U183" s="3"/>
      <c r="W183" s="3"/>
      <c r="X183" s="3"/>
      <c r="Y183" s="3"/>
      <c r="Z183" s="3"/>
    </row>
    <row r="184" spans="1:26" ht="15.75" hidden="1" customHeight="1" outlineLevel="1" x14ac:dyDescent="0.3">
      <c r="A184" s="3"/>
      <c r="B184" s="10" t="s">
        <v>50</v>
      </c>
      <c r="C184" s="62"/>
      <c r="D184" s="62"/>
      <c r="E184" s="12">
        <v>0</v>
      </c>
      <c r="F184" s="12">
        <v>0</v>
      </c>
      <c r="G184" s="89"/>
      <c r="H184" s="65"/>
      <c r="I184" s="157"/>
      <c r="J184" s="89"/>
      <c r="K184" s="37"/>
      <c r="L184" s="37"/>
      <c r="M184" s="37"/>
      <c r="N184" s="37"/>
      <c r="O184" s="37"/>
      <c r="P184" s="37"/>
      <c r="Q184" s="37"/>
      <c r="R184" s="37"/>
      <c r="S184" s="37"/>
      <c r="T184" s="37"/>
      <c r="U184" s="3"/>
      <c r="W184" s="3"/>
      <c r="X184" s="3"/>
      <c r="Y184" s="3"/>
      <c r="Z184" s="3"/>
    </row>
    <row r="185" spans="1:26" ht="15.75" hidden="1" customHeight="1" outlineLevel="1" x14ac:dyDescent="0.3">
      <c r="A185" s="3"/>
      <c r="B185" s="10" t="s">
        <v>50</v>
      </c>
      <c r="C185" s="62"/>
      <c r="D185" s="62"/>
      <c r="E185" s="12">
        <v>0</v>
      </c>
      <c r="F185" s="12">
        <v>0</v>
      </c>
      <c r="G185" s="65"/>
      <c r="H185" s="65"/>
      <c r="I185" s="157"/>
      <c r="J185" s="65"/>
      <c r="K185" s="37"/>
      <c r="L185" s="37"/>
      <c r="M185" s="37"/>
      <c r="N185" s="37"/>
      <c r="O185" s="37"/>
      <c r="P185" s="37"/>
      <c r="Q185" s="37"/>
      <c r="R185" s="37"/>
      <c r="S185" s="37"/>
      <c r="T185" s="37"/>
      <c r="U185" s="3"/>
      <c r="W185" s="3"/>
      <c r="X185" s="3"/>
      <c r="Y185" s="3"/>
      <c r="Z185" s="3"/>
    </row>
    <row r="186" spans="1:26" ht="15.75" hidden="1" customHeight="1" outlineLevel="1" x14ac:dyDescent="0.3">
      <c r="A186" s="3"/>
      <c r="B186" s="10" t="s">
        <v>50</v>
      </c>
      <c r="C186" s="62"/>
      <c r="D186" s="62"/>
      <c r="E186" s="12">
        <v>0</v>
      </c>
      <c r="F186" s="12">
        <v>0</v>
      </c>
      <c r="G186" s="89"/>
      <c r="H186" s="65"/>
      <c r="I186" s="157"/>
      <c r="J186" s="65"/>
      <c r="K186" s="37"/>
      <c r="L186" s="37"/>
      <c r="M186" s="37"/>
      <c r="N186" s="37"/>
      <c r="O186" s="37"/>
      <c r="P186" s="37"/>
      <c r="Q186" s="37"/>
      <c r="R186" s="37"/>
      <c r="S186" s="37"/>
      <c r="T186" s="37"/>
      <c r="U186" s="3"/>
      <c r="W186" s="3"/>
      <c r="X186" s="3"/>
      <c r="Y186" s="3"/>
      <c r="Z186" s="3"/>
    </row>
    <row r="187" spans="1:26" ht="15.75" hidden="1" customHeight="1" outlineLevel="1" x14ac:dyDescent="0.3">
      <c r="A187" s="3"/>
      <c r="B187" s="10" t="s">
        <v>50</v>
      </c>
      <c r="C187" s="62"/>
      <c r="D187" s="62"/>
      <c r="E187" s="12">
        <v>0</v>
      </c>
      <c r="F187" s="12">
        <v>0</v>
      </c>
      <c r="G187" s="65"/>
      <c r="H187" s="65"/>
      <c r="I187" s="157"/>
      <c r="J187" s="65"/>
      <c r="K187" s="37"/>
      <c r="L187" s="37"/>
      <c r="M187" s="37"/>
      <c r="N187" s="37"/>
      <c r="O187" s="37"/>
      <c r="P187" s="37"/>
      <c r="Q187" s="37"/>
      <c r="R187" s="37"/>
      <c r="S187" s="37"/>
      <c r="T187" s="37"/>
      <c r="U187" s="3"/>
      <c r="W187" s="3"/>
      <c r="X187" s="3"/>
      <c r="Y187" s="3"/>
      <c r="Z187" s="3"/>
    </row>
    <row r="188" spans="1:26" ht="15.75" hidden="1" customHeight="1" outlineLevel="1" x14ac:dyDescent="0.3">
      <c r="A188" s="3"/>
      <c r="B188" s="10" t="s">
        <v>50</v>
      </c>
      <c r="C188" s="62"/>
      <c r="D188" s="62"/>
      <c r="E188" s="12">
        <v>0</v>
      </c>
      <c r="F188" s="12">
        <v>0</v>
      </c>
      <c r="G188" s="65"/>
      <c r="H188" s="65"/>
      <c r="I188" s="157"/>
      <c r="J188" s="65"/>
      <c r="K188" s="37"/>
      <c r="L188" s="37"/>
      <c r="M188" s="37"/>
      <c r="N188" s="37"/>
      <c r="O188" s="37"/>
      <c r="P188" s="37"/>
      <c r="Q188" s="37"/>
      <c r="R188" s="37"/>
      <c r="S188" s="37"/>
      <c r="T188" s="37"/>
      <c r="U188" s="3"/>
      <c r="W188" s="3"/>
      <c r="X188" s="3"/>
      <c r="Y188" s="3"/>
      <c r="Z188" s="3"/>
    </row>
    <row r="189" spans="1:26" ht="15.75" hidden="1" customHeight="1" outlineLevel="1" x14ac:dyDescent="0.3">
      <c r="A189" s="3"/>
      <c r="B189" s="10" t="s">
        <v>50</v>
      </c>
      <c r="C189" s="62"/>
      <c r="D189" s="62"/>
      <c r="E189" s="12">
        <v>0</v>
      </c>
      <c r="F189" s="12">
        <v>0</v>
      </c>
      <c r="G189" s="89"/>
      <c r="H189" s="65"/>
      <c r="I189" s="128"/>
      <c r="J189" s="65"/>
      <c r="K189" s="37"/>
      <c r="L189" s="37"/>
      <c r="M189" s="37"/>
      <c r="N189" s="37"/>
      <c r="O189" s="37"/>
      <c r="P189" s="37"/>
      <c r="Q189" s="37"/>
      <c r="R189" s="37"/>
      <c r="S189" s="37"/>
      <c r="T189" s="37"/>
      <c r="U189" s="3"/>
      <c r="W189" s="3"/>
      <c r="X189" s="3"/>
      <c r="Y189" s="3"/>
      <c r="Z189" s="3"/>
    </row>
    <row r="190" spans="1:26" ht="15.75" hidden="1" customHeight="1" outlineLevel="1" x14ac:dyDescent="0.3">
      <c r="A190" s="3"/>
      <c r="B190" s="10" t="s">
        <v>50</v>
      </c>
      <c r="C190" s="62"/>
      <c r="D190" s="62"/>
      <c r="E190" s="12">
        <v>0</v>
      </c>
      <c r="F190" s="12">
        <v>0</v>
      </c>
      <c r="G190" s="65"/>
      <c r="H190" s="65"/>
      <c r="I190" s="157"/>
      <c r="J190" s="65"/>
      <c r="K190" s="37"/>
      <c r="L190" s="37"/>
      <c r="M190" s="37"/>
      <c r="N190" s="37"/>
      <c r="O190" s="37"/>
      <c r="P190" s="37"/>
      <c r="Q190" s="37"/>
      <c r="R190" s="37"/>
      <c r="S190" s="37"/>
      <c r="T190" s="37"/>
      <c r="U190" s="3"/>
      <c r="W190" s="3"/>
      <c r="X190" s="3"/>
      <c r="Y190" s="3"/>
      <c r="Z190" s="3"/>
    </row>
    <row r="191" spans="1:26" ht="15.75" hidden="1" customHeight="1" outlineLevel="1" x14ac:dyDescent="0.3">
      <c r="A191" s="3"/>
      <c r="B191" s="10" t="s">
        <v>50</v>
      </c>
      <c r="C191" s="62"/>
      <c r="D191" s="62"/>
      <c r="E191" s="12">
        <v>0</v>
      </c>
      <c r="F191" s="12">
        <v>0</v>
      </c>
      <c r="G191" s="65"/>
      <c r="H191" s="65"/>
      <c r="I191" s="157"/>
      <c r="J191" s="65"/>
      <c r="K191" s="37"/>
      <c r="L191" s="37"/>
      <c r="M191" s="37"/>
      <c r="N191" s="37"/>
      <c r="O191" s="37"/>
      <c r="P191" s="37"/>
      <c r="Q191" s="37"/>
      <c r="R191" s="37"/>
      <c r="S191" s="37"/>
      <c r="T191" s="37"/>
      <c r="U191" s="3"/>
      <c r="W191" s="3"/>
      <c r="X191" s="3"/>
      <c r="Y191" s="3"/>
      <c r="Z191" s="3"/>
    </row>
    <row r="192" spans="1:26" ht="15.75" hidden="1" customHeight="1" outlineLevel="1" x14ac:dyDescent="0.3">
      <c r="A192" s="3"/>
      <c r="B192" s="10" t="s">
        <v>50</v>
      </c>
      <c r="C192" s="62"/>
      <c r="D192" s="62"/>
      <c r="E192" s="12">
        <v>0</v>
      </c>
      <c r="F192" s="12">
        <v>0</v>
      </c>
      <c r="G192" s="65"/>
      <c r="H192" s="65"/>
      <c r="I192" s="157"/>
      <c r="J192" s="65"/>
      <c r="K192" s="37"/>
      <c r="L192" s="37"/>
      <c r="M192" s="37"/>
      <c r="N192" s="37"/>
      <c r="O192" s="37"/>
      <c r="P192" s="37"/>
      <c r="Q192" s="37"/>
      <c r="R192" s="37"/>
      <c r="S192" s="37"/>
      <c r="T192" s="37"/>
      <c r="U192" s="3"/>
      <c r="W192" s="3"/>
      <c r="X192" s="3"/>
      <c r="Y192" s="3"/>
      <c r="Z192" s="3"/>
    </row>
    <row r="193" spans="1:26" ht="15.75" hidden="1" customHeight="1" outlineLevel="1" x14ac:dyDescent="0.3">
      <c r="A193" s="3"/>
      <c r="B193" s="10" t="s">
        <v>50</v>
      </c>
      <c r="C193" s="62"/>
      <c r="D193" s="62"/>
      <c r="E193" s="12">
        <v>0</v>
      </c>
      <c r="F193" s="12">
        <v>0</v>
      </c>
      <c r="G193" s="65"/>
      <c r="H193" s="65"/>
      <c r="I193" s="157"/>
      <c r="J193" s="65"/>
      <c r="K193" s="37"/>
      <c r="L193" s="37"/>
      <c r="M193" s="37"/>
      <c r="N193" s="37"/>
      <c r="O193" s="37"/>
      <c r="P193" s="37"/>
      <c r="Q193" s="37"/>
      <c r="R193" s="37"/>
      <c r="S193" s="37"/>
      <c r="T193" s="37"/>
      <c r="U193" s="3"/>
      <c r="W193" s="3"/>
      <c r="X193" s="3"/>
      <c r="Y193" s="3"/>
      <c r="Z193" s="3"/>
    </row>
    <row r="194" spans="1:26" ht="15.75" hidden="1" customHeight="1" outlineLevel="1" x14ac:dyDescent="0.3">
      <c r="A194" s="3"/>
      <c r="B194" s="10" t="s">
        <v>50</v>
      </c>
      <c r="C194" s="62"/>
      <c r="D194" s="62"/>
      <c r="E194" s="12">
        <v>0</v>
      </c>
      <c r="F194" s="12">
        <v>0</v>
      </c>
      <c r="G194" s="65"/>
      <c r="H194" s="65"/>
      <c r="I194" s="157"/>
      <c r="J194" s="65"/>
      <c r="K194" s="37"/>
      <c r="L194" s="37"/>
      <c r="M194" s="37"/>
      <c r="N194" s="37"/>
      <c r="O194" s="37"/>
      <c r="P194" s="37"/>
      <c r="Q194" s="37"/>
      <c r="R194" s="37"/>
      <c r="S194" s="37"/>
      <c r="T194" s="37"/>
      <c r="U194" s="3"/>
      <c r="W194" s="3"/>
      <c r="X194" s="3"/>
      <c r="Y194" s="3"/>
      <c r="Z194" s="3"/>
    </row>
    <row r="195" spans="1:26" ht="15.75" hidden="1" customHeight="1" outlineLevel="1" x14ac:dyDescent="0.3">
      <c r="A195" s="3"/>
      <c r="B195" s="10" t="s">
        <v>50</v>
      </c>
      <c r="C195" s="62"/>
      <c r="D195" s="62"/>
      <c r="E195" s="12">
        <v>0</v>
      </c>
      <c r="F195" s="12">
        <v>0</v>
      </c>
      <c r="G195" s="65"/>
      <c r="H195" s="65"/>
      <c r="I195" s="128"/>
      <c r="J195" s="65"/>
      <c r="K195" s="37"/>
      <c r="L195" s="37"/>
      <c r="M195" s="37"/>
      <c r="N195" s="37"/>
      <c r="O195" s="37"/>
      <c r="P195" s="37"/>
      <c r="Q195" s="37"/>
      <c r="R195" s="37"/>
      <c r="S195" s="37"/>
      <c r="T195" s="37"/>
      <c r="U195" s="3"/>
      <c r="W195" s="3"/>
      <c r="X195" s="3"/>
      <c r="Y195" s="3"/>
      <c r="Z195" s="3"/>
    </row>
    <row r="196" spans="1:26" ht="15.75" hidden="1" customHeight="1" outlineLevel="1" x14ac:dyDescent="0.3">
      <c r="A196" s="3"/>
      <c r="B196" s="10" t="s">
        <v>50</v>
      </c>
      <c r="C196" s="62"/>
      <c r="D196" s="62"/>
      <c r="E196" s="12">
        <v>0</v>
      </c>
      <c r="F196" s="12">
        <v>0</v>
      </c>
      <c r="G196" s="65"/>
      <c r="H196" s="65"/>
      <c r="I196" s="128"/>
      <c r="J196" s="65"/>
      <c r="K196" s="37"/>
      <c r="L196" s="37"/>
      <c r="M196" s="37"/>
      <c r="N196" s="37"/>
      <c r="O196" s="37"/>
      <c r="P196" s="37"/>
      <c r="Q196" s="37"/>
      <c r="R196" s="37"/>
      <c r="S196" s="37"/>
      <c r="T196" s="37"/>
      <c r="U196" s="3"/>
      <c r="W196" s="3"/>
      <c r="X196" s="3"/>
      <c r="Y196" s="3"/>
      <c r="Z196" s="3"/>
    </row>
    <row r="197" spans="1:26" ht="15.75" hidden="1" customHeight="1" outlineLevel="1" x14ac:dyDescent="0.3">
      <c r="A197" s="3"/>
      <c r="B197" s="10" t="s">
        <v>50</v>
      </c>
      <c r="C197" s="62"/>
      <c r="D197" s="62"/>
      <c r="E197" s="12">
        <v>0</v>
      </c>
      <c r="F197" s="12">
        <v>0</v>
      </c>
      <c r="G197" s="65"/>
      <c r="H197" s="65"/>
      <c r="I197" s="157"/>
      <c r="J197" s="65"/>
      <c r="K197" s="37"/>
      <c r="L197" s="37"/>
      <c r="M197" s="37"/>
      <c r="N197" s="37"/>
      <c r="O197" s="37"/>
      <c r="P197" s="37"/>
      <c r="Q197" s="37"/>
      <c r="R197" s="37"/>
      <c r="S197" s="37"/>
      <c r="T197" s="37"/>
      <c r="U197" s="3"/>
      <c r="W197" s="3"/>
      <c r="X197" s="3"/>
      <c r="Y197" s="3"/>
      <c r="Z197" s="3"/>
    </row>
    <row r="198" spans="1:26" ht="15.75" hidden="1" customHeight="1" outlineLevel="1" x14ac:dyDescent="0.3">
      <c r="A198" s="3"/>
      <c r="B198" s="10" t="s">
        <v>50</v>
      </c>
      <c r="C198" s="62"/>
      <c r="D198" s="62"/>
      <c r="E198" s="12">
        <v>0</v>
      </c>
      <c r="F198" s="12">
        <v>0</v>
      </c>
      <c r="G198" s="65"/>
      <c r="H198" s="65"/>
      <c r="I198" s="157"/>
      <c r="J198" s="65"/>
      <c r="K198" s="37"/>
      <c r="L198" s="37"/>
      <c r="M198" s="37"/>
      <c r="N198" s="37"/>
      <c r="O198" s="37"/>
      <c r="P198" s="37"/>
      <c r="Q198" s="37"/>
      <c r="R198" s="37"/>
      <c r="S198" s="37"/>
      <c r="T198" s="37"/>
      <c r="U198" s="3"/>
      <c r="W198" s="3"/>
      <c r="X198" s="3"/>
      <c r="Y198" s="3"/>
      <c r="Z198" s="3"/>
    </row>
    <row r="199" spans="1:26" ht="15.75" hidden="1" customHeight="1" outlineLevel="1" x14ac:dyDescent="0.3">
      <c r="A199" s="3"/>
      <c r="B199" s="10" t="s">
        <v>50</v>
      </c>
      <c r="C199" s="62"/>
      <c r="D199" s="62"/>
      <c r="E199" s="12">
        <v>0</v>
      </c>
      <c r="F199" s="12">
        <v>0</v>
      </c>
      <c r="G199" s="65"/>
      <c r="H199" s="65"/>
      <c r="I199" s="157"/>
      <c r="J199" s="65"/>
      <c r="K199" s="37"/>
      <c r="L199" s="37"/>
      <c r="M199" s="37"/>
      <c r="N199" s="37"/>
      <c r="O199" s="37"/>
      <c r="P199" s="37"/>
      <c r="Q199" s="37"/>
      <c r="R199" s="37"/>
      <c r="S199" s="37"/>
      <c r="T199" s="37"/>
      <c r="U199" s="3"/>
      <c r="W199" s="3"/>
      <c r="X199" s="3"/>
      <c r="Y199" s="3"/>
      <c r="Z199" s="3"/>
    </row>
    <row r="200" spans="1:26" ht="15.75" hidden="1" customHeight="1" outlineLevel="1" x14ac:dyDescent="0.3">
      <c r="A200" s="3"/>
      <c r="B200" s="10" t="s">
        <v>50</v>
      </c>
      <c r="C200" s="62"/>
      <c r="D200" s="62"/>
      <c r="E200" s="12">
        <v>0</v>
      </c>
      <c r="F200" s="12">
        <v>0</v>
      </c>
      <c r="G200" s="65"/>
      <c r="H200" s="65"/>
      <c r="I200" s="157"/>
      <c r="J200" s="65"/>
      <c r="K200" s="37"/>
      <c r="L200" s="37"/>
      <c r="M200" s="37"/>
      <c r="N200" s="37"/>
      <c r="O200" s="37"/>
      <c r="P200" s="37"/>
      <c r="Q200" s="37"/>
      <c r="R200" s="37"/>
      <c r="S200" s="37"/>
      <c r="T200" s="37"/>
      <c r="U200" s="3"/>
      <c r="W200" s="3"/>
      <c r="X200" s="3"/>
      <c r="Y200" s="3"/>
      <c r="Z200" s="3"/>
    </row>
    <row r="201" spans="1:26" ht="15.75" hidden="1" customHeight="1" outlineLevel="1" x14ac:dyDescent="0.3">
      <c r="A201" s="3"/>
      <c r="B201" s="10" t="s">
        <v>50</v>
      </c>
      <c r="C201" s="62"/>
      <c r="D201" s="62"/>
      <c r="E201" s="12">
        <v>0</v>
      </c>
      <c r="F201" s="12">
        <v>0</v>
      </c>
      <c r="G201" s="65"/>
      <c r="H201" s="65"/>
      <c r="I201" s="157"/>
      <c r="J201" s="65"/>
      <c r="K201" s="37"/>
      <c r="L201" s="37"/>
      <c r="M201" s="37"/>
      <c r="N201" s="37"/>
      <c r="O201" s="37"/>
      <c r="P201" s="37"/>
      <c r="Q201" s="37"/>
      <c r="R201" s="37"/>
      <c r="S201" s="37"/>
      <c r="T201" s="37"/>
      <c r="U201" s="3"/>
      <c r="W201" s="3"/>
      <c r="X201" s="3"/>
      <c r="Y201" s="3"/>
      <c r="Z201" s="3"/>
    </row>
    <row r="202" spans="1:26" ht="15.75" hidden="1" customHeight="1" outlineLevel="1" x14ac:dyDescent="0.3">
      <c r="A202" s="3"/>
      <c r="B202" s="10" t="s">
        <v>50</v>
      </c>
      <c r="C202" s="62"/>
      <c r="D202" s="62"/>
      <c r="E202" s="12">
        <v>0</v>
      </c>
      <c r="F202" s="12">
        <v>0</v>
      </c>
      <c r="G202" s="65"/>
      <c r="H202" s="65"/>
      <c r="I202" s="128"/>
      <c r="J202" s="65"/>
      <c r="K202" s="37"/>
      <c r="L202" s="37"/>
      <c r="M202" s="37"/>
      <c r="N202" s="37"/>
      <c r="O202" s="37"/>
      <c r="P202" s="37"/>
      <c r="Q202" s="37"/>
      <c r="R202" s="37"/>
      <c r="S202" s="37"/>
      <c r="T202" s="37"/>
      <c r="U202" s="3"/>
      <c r="W202" s="3"/>
      <c r="X202" s="3"/>
      <c r="Y202" s="3"/>
      <c r="Z202" s="3"/>
    </row>
    <row r="203" spans="1:26" ht="15.75" hidden="1" customHeight="1" outlineLevel="1" x14ac:dyDescent="0.3">
      <c r="A203" s="3"/>
      <c r="B203" s="10" t="s">
        <v>50</v>
      </c>
      <c r="C203" s="62"/>
      <c r="D203" s="62"/>
      <c r="E203" s="12">
        <v>0</v>
      </c>
      <c r="F203" s="12">
        <v>0</v>
      </c>
      <c r="G203" s="65"/>
      <c r="H203" s="65"/>
      <c r="I203" s="157"/>
      <c r="J203" s="65"/>
      <c r="K203" s="37"/>
      <c r="L203" s="37"/>
      <c r="M203" s="37"/>
      <c r="N203" s="37"/>
      <c r="O203" s="37"/>
      <c r="P203" s="37"/>
      <c r="Q203" s="37"/>
      <c r="R203" s="37"/>
      <c r="S203" s="37"/>
      <c r="T203" s="37"/>
      <c r="U203" s="3"/>
      <c r="W203" s="3"/>
      <c r="X203" s="3"/>
      <c r="Y203" s="3"/>
      <c r="Z203" s="3"/>
    </row>
    <row r="204" spans="1:26" ht="15.75" hidden="1" customHeight="1" outlineLevel="1" x14ac:dyDescent="0.3">
      <c r="A204" s="3"/>
      <c r="B204" s="10" t="s">
        <v>50</v>
      </c>
      <c r="C204" s="62"/>
      <c r="D204" s="62"/>
      <c r="E204" s="12">
        <v>0</v>
      </c>
      <c r="F204" s="12">
        <v>0</v>
      </c>
      <c r="G204" s="65"/>
      <c r="H204" s="65"/>
      <c r="I204" s="128"/>
      <c r="J204" s="65"/>
      <c r="K204" s="37"/>
      <c r="L204" s="37"/>
      <c r="M204" s="37"/>
      <c r="N204" s="37"/>
      <c r="O204" s="37"/>
      <c r="P204" s="37"/>
      <c r="Q204" s="37"/>
      <c r="R204" s="37"/>
      <c r="S204" s="37"/>
      <c r="T204" s="37"/>
      <c r="U204" s="3"/>
      <c r="W204" s="3"/>
      <c r="X204" s="3"/>
      <c r="Y204" s="3"/>
      <c r="Z204" s="3"/>
    </row>
    <row r="205" spans="1:26" ht="15.75" hidden="1" customHeight="1" outlineLevel="1" x14ac:dyDescent="0.3">
      <c r="A205" s="3"/>
      <c r="B205" s="10" t="s">
        <v>50</v>
      </c>
      <c r="C205" s="62"/>
      <c r="D205" s="62"/>
      <c r="E205" s="12">
        <v>0</v>
      </c>
      <c r="F205" s="12">
        <v>0</v>
      </c>
      <c r="G205" s="65"/>
      <c r="H205" s="65"/>
      <c r="I205" s="128"/>
      <c r="J205" s="65"/>
      <c r="K205" s="37"/>
      <c r="L205" s="37"/>
      <c r="M205" s="37"/>
      <c r="N205" s="37"/>
      <c r="O205" s="37"/>
      <c r="P205" s="37"/>
      <c r="Q205" s="37"/>
      <c r="R205" s="37"/>
      <c r="S205" s="37"/>
      <c r="T205" s="37"/>
      <c r="U205" s="3"/>
      <c r="W205" s="3"/>
      <c r="X205" s="3"/>
      <c r="Y205" s="3"/>
      <c r="Z205" s="3"/>
    </row>
    <row r="206" spans="1:26" ht="15.75" hidden="1" customHeight="1" outlineLevel="1" x14ac:dyDescent="0.3">
      <c r="A206" s="3"/>
      <c r="B206" s="10" t="s">
        <v>50</v>
      </c>
      <c r="C206" s="62"/>
      <c r="D206" s="62"/>
      <c r="E206" s="12">
        <v>0</v>
      </c>
      <c r="F206" s="12">
        <v>0</v>
      </c>
      <c r="G206" s="65"/>
      <c r="H206" s="65"/>
      <c r="I206" s="89"/>
      <c r="J206" s="65"/>
      <c r="K206" s="37"/>
      <c r="L206" s="37"/>
      <c r="M206" s="37"/>
      <c r="N206" s="37"/>
      <c r="O206" s="37"/>
      <c r="P206" s="37"/>
      <c r="Q206" s="37"/>
      <c r="R206" s="37"/>
      <c r="S206" s="37"/>
      <c r="T206" s="37"/>
      <c r="U206" s="3"/>
      <c r="W206" s="3"/>
      <c r="X206" s="3"/>
      <c r="Y206" s="3"/>
      <c r="Z206" s="3"/>
    </row>
    <row r="207" spans="1:26" ht="15.75" hidden="1" customHeight="1" outlineLevel="1" x14ac:dyDescent="0.3">
      <c r="A207" s="3"/>
      <c r="B207" s="10" t="s">
        <v>50</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5.75" hidden="1" customHeight="1" outlineLevel="1" x14ac:dyDescent="0.3">
      <c r="A208" s="3"/>
      <c r="B208" s="10" t="s">
        <v>50</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5.75" hidden="1" customHeight="1" outlineLevel="1" x14ac:dyDescent="0.3">
      <c r="A209" s="3"/>
      <c r="B209" s="10" t="s">
        <v>50</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5.75" hidden="1" customHeight="1" outlineLevel="1" x14ac:dyDescent="0.3">
      <c r="A210" s="3"/>
      <c r="B210" s="10" t="s">
        <v>50</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5.75" customHeight="1" collapsed="1" x14ac:dyDescent="0.3">
      <c r="A211" s="3"/>
      <c r="B211" s="84" t="s">
        <v>394</v>
      </c>
      <c r="C211" s="85" t="s">
        <v>43</v>
      </c>
      <c r="D211" s="85" t="s">
        <v>43</v>
      </c>
      <c r="E211" s="86">
        <f>SUM(E212:E220)</f>
        <v>0</v>
      </c>
      <c r="F211" s="86">
        <f>SUMIF(D212:D220,"OK",F212:F220)</f>
        <v>0</v>
      </c>
      <c r="G211" s="87"/>
      <c r="H211" s="87"/>
      <c r="I211" s="88"/>
      <c r="J211" s="87"/>
      <c r="K211" s="37"/>
      <c r="L211" s="37"/>
      <c r="M211" s="37"/>
      <c r="N211" s="37"/>
      <c r="O211" s="37"/>
      <c r="P211" s="37"/>
      <c r="Q211" s="37"/>
      <c r="R211" s="37"/>
      <c r="S211" s="37"/>
      <c r="T211" s="37"/>
      <c r="U211" s="3"/>
      <c r="W211" s="3"/>
      <c r="X211" s="3"/>
      <c r="Y211" s="3"/>
      <c r="Z211" s="3"/>
    </row>
    <row r="212" spans="1:26" ht="15.75" hidden="1" customHeight="1" outlineLevel="1" x14ac:dyDescent="0.3">
      <c r="A212" s="3"/>
      <c r="B212" s="10" t="s">
        <v>1569</v>
      </c>
      <c r="C212" s="62"/>
      <c r="D212" s="62"/>
      <c r="E212" s="12">
        <v>0</v>
      </c>
      <c r="F212" s="12">
        <v>0</v>
      </c>
      <c r="G212" s="89"/>
      <c r="H212" s="65"/>
      <c r="I212" s="156"/>
      <c r="J212" s="65"/>
      <c r="K212" s="37"/>
      <c r="L212" s="37"/>
      <c r="M212" s="37"/>
      <c r="N212" s="37"/>
      <c r="O212" s="37"/>
      <c r="P212" s="37"/>
      <c r="Q212" s="37"/>
      <c r="R212" s="37"/>
      <c r="S212" s="37"/>
      <c r="T212" s="37"/>
      <c r="U212" s="3"/>
      <c r="W212" s="3"/>
      <c r="X212" s="3"/>
      <c r="Y212" s="3"/>
      <c r="Z212" s="3"/>
    </row>
    <row r="213" spans="1:26" ht="15.75" hidden="1" customHeight="1" outlineLevel="1" x14ac:dyDescent="0.3">
      <c r="A213" s="3"/>
      <c r="B213" s="10" t="s">
        <v>1570</v>
      </c>
      <c r="C213" s="62"/>
      <c r="D213" s="62"/>
      <c r="E213" s="12">
        <v>0</v>
      </c>
      <c r="F213" s="12">
        <v>0</v>
      </c>
      <c r="G213" s="65"/>
      <c r="H213" s="65"/>
      <c r="I213" s="156"/>
      <c r="J213" s="65"/>
      <c r="K213" s="37"/>
      <c r="L213" s="37"/>
      <c r="M213" s="37"/>
      <c r="N213" s="37"/>
      <c r="O213" s="37"/>
      <c r="P213" s="37"/>
      <c r="Q213" s="37"/>
      <c r="R213" s="37"/>
      <c r="S213" s="37"/>
      <c r="T213" s="37"/>
      <c r="U213" s="3"/>
      <c r="W213" s="3"/>
      <c r="X213" s="3"/>
      <c r="Y213" s="3"/>
      <c r="Z213" s="3"/>
    </row>
    <row r="214" spans="1:26" ht="15.75" hidden="1" customHeight="1" outlineLevel="1" x14ac:dyDescent="0.3">
      <c r="A214" s="3"/>
      <c r="B214" s="10" t="s">
        <v>1571</v>
      </c>
      <c r="C214" s="62"/>
      <c r="D214" s="62"/>
      <c r="E214" s="12">
        <v>0</v>
      </c>
      <c r="F214" s="12">
        <v>0</v>
      </c>
      <c r="G214" s="65"/>
      <c r="H214" s="65"/>
      <c r="I214" s="156"/>
      <c r="J214" s="65"/>
      <c r="K214" s="37"/>
      <c r="L214" s="37"/>
      <c r="M214" s="37"/>
      <c r="N214" s="37"/>
      <c r="O214" s="37"/>
      <c r="P214" s="37"/>
      <c r="Q214" s="37"/>
      <c r="R214" s="37"/>
      <c r="S214" s="37"/>
      <c r="T214" s="37"/>
      <c r="U214" s="3"/>
      <c r="W214" s="3"/>
      <c r="X214" s="3"/>
      <c r="Y214" s="3"/>
      <c r="Z214" s="3"/>
    </row>
    <row r="215" spans="1:26" ht="15.75" hidden="1" customHeight="1" outlineLevel="1" x14ac:dyDescent="0.3">
      <c r="A215" s="3"/>
      <c r="B215" s="10" t="s">
        <v>1571</v>
      </c>
      <c r="C215" s="62"/>
      <c r="D215" s="62"/>
      <c r="E215" s="12">
        <v>0</v>
      </c>
      <c r="F215" s="12">
        <v>0</v>
      </c>
      <c r="G215" s="65"/>
      <c r="H215" s="65"/>
      <c r="I215" s="156"/>
      <c r="J215" s="65"/>
      <c r="K215" s="37"/>
      <c r="L215" s="37"/>
      <c r="M215" s="37"/>
      <c r="N215" s="37"/>
      <c r="O215" s="37"/>
      <c r="P215" s="37"/>
      <c r="Q215" s="37"/>
      <c r="R215" s="37"/>
      <c r="S215" s="37"/>
      <c r="T215" s="37"/>
      <c r="U215" s="3"/>
      <c r="W215" s="3"/>
      <c r="X215" s="3"/>
      <c r="Y215" s="3"/>
      <c r="Z215" s="3"/>
    </row>
    <row r="216" spans="1:26" ht="15.75" hidden="1" customHeight="1" outlineLevel="1" x14ac:dyDescent="0.3">
      <c r="A216" s="3"/>
      <c r="B216" s="10" t="s">
        <v>1572</v>
      </c>
      <c r="C216" s="62"/>
      <c r="D216" s="62"/>
      <c r="E216" s="12">
        <v>0</v>
      </c>
      <c r="F216" s="12">
        <v>0</v>
      </c>
      <c r="G216" s="65"/>
      <c r="H216" s="65"/>
      <c r="I216" s="156"/>
      <c r="J216" s="65"/>
      <c r="K216" s="37"/>
      <c r="L216" s="37"/>
      <c r="M216" s="37"/>
      <c r="N216" s="37"/>
      <c r="O216" s="37"/>
      <c r="P216" s="37"/>
      <c r="Q216" s="37"/>
      <c r="R216" s="37"/>
      <c r="S216" s="37"/>
      <c r="T216" s="37"/>
      <c r="U216" s="3"/>
      <c r="W216" s="3"/>
      <c r="X216" s="3"/>
      <c r="Y216" s="3"/>
      <c r="Z216" s="3"/>
    </row>
    <row r="217" spans="1:26" ht="15.75" hidden="1" customHeight="1" outlineLevel="1" x14ac:dyDescent="0.3">
      <c r="A217" s="3"/>
      <c r="B217" s="10" t="s">
        <v>1570</v>
      </c>
      <c r="C217" s="62"/>
      <c r="D217" s="62"/>
      <c r="E217" s="12">
        <v>0</v>
      </c>
      <c r="F217" s="12">
        <v>0</v>
      </c>
      <c r="G217" s="65"/>
      <c r="H217" s="65"/>
      <c r="I217" s="156"/>
      <c r="J217" s="65"/>
      <c r="K217" s="37"/>
      <c r="L217" s="37"/>
      <c r="M217" s="37"/>
      <c r="N217" s="37"/>
      <c r="O217" s="37"/>
      <c r="P217" s="37"/>
      <c r="Q217" s="37"/>
      <c r="R217" s="37"/>
      <c r="S217" s="37"/>
      <c r="T217" s="37"/>
      <c r="U217" s="3"/>
      <c r="W217" s="3"/>
      <c r="X217" s="3"/>
      <c r="Y217" s="3"/>
      <c r="Z217" s="3"/>
    </row>
    <row r="218" spans="1:26" ht="15.75" hidden="1" customHeight="1" outlineLevel="1" x14ac:dyDescent="0.3">
      <c r="A218" s="3"/>
      <c r="B218" s="10" t="s">
        <v>1570</v>
      </c>
      <c r="C218" s="62"/>
      <c r="D218" s="62"/>
      <c r="E218" s="12">
        <v>0</v>
      </c>
      <c r="F218" s="12">
        <v>0</v>
      </c>
      <c r="G218" s="65"/>
      <c r="H218" s="65"/>
      <c r="I218" s="156"/>
      <c r="J218" s="65"/>
      <c r="K218" s="37"/>
      <c r="L218" s="37"/>
      <c r="M218" s="37"/>
      <c r="N218" s="37"/>
      <c r="O218" s="37"/>
      <c r="P218" s="37"/>
      <c r="Q218" s="37"/>
      <c r="R218" s="37"/>
      <c r="S218" s="37"/>
      <c r="T218" s="37"/>
      <c r="U218" s="3"/>
      <c r="W218" s="3"/>
      <c r="X218" s="3"/>
      <c r="Y218" s="3"/>
      <c r="Z218" s="3"/>
    </row>
    <row r="219" spans="1:26" ht="15.75" hidden="1" customHeight="1" outlineLevel="1" x14ac:dyDescent="0.3">
      <c r="A219" s="3"/>
      <c r="B219" s="10" t="s">
        <v>371</v>
      </c>
      <c r="C219" s="62"/>
      <c r="D219" s="62"/>
      <c r="E219" s="12">
        <v>0</v>
      </c>
      <c r="F219" s="12">
        <v>0</v>
      </c>
      <c r="G219" s="65"/>
      <c r="H219" s="65"/>
      <c r="I219" s="89"/>
      <c r="J219" s="65"/>
      <c r="K219" s="37"/>
      <c r="L219" s="37"/>
      <c r="M219" s="37"/>
      <c r="N219" s="37"/>
      <c r="O219" s="37"/>
      <c r="P219" s="37"/>
      <c r="Q219" s="37"/>
      <c r="R219" s="37"/>
      <c r="S219" s="37"/>
      <c r="T219" s="37"/>
      <c r="U219" s="3"/>
      <c r="W219" s="3"/>
      <c r="X219" s="3"/>
      <c r="Y219" s="3"/>
      <c r="Z219" s="3"/>
    </row>
    <row r="220" spans="1:26" ht="15.75" hidden="1" customHeight="1" outlineLevel="1" x14ac:dyDescent="0.3">
      <c r="A220" s="3"/>
      <c r="B220" s="10" t="s">
        <v>372</v>
      </c>
      <c r="C220" s="62"/>
      <c r="D220" s="62"/>
      <c r="E220" s="12">
        <v>0</v>
      </c>
      <c r="F220" s="12">
        <v>0</v>
      </c>
      <c r="G220" s="65"/>
      <c r="H220" s="65"/>
      <c r="I220" s="89"/>
      <c r="J220" s="65"/>
      <c r="K220" s="37"/>
      <c r="L220" s="37"/>
      <c r="M220" s="37"/>
      <c r="N220" s="37"/>
      <c r="O220" s="37"/>
      <c r="P220" s="37"/>
      <c r="Q220" s="37"/>
      <c r="R220" s="37"/>
      <c r="S220" s="37"/>
      <c r="T220" s="37"/>
      <c r="U220" s="3"/>
      <c r="W220" s="3"/>
      <c r="X220" s="3"/>
      <c r="Y220" s="3"/>
      <c r="Z220" s="3"/>
    </row>
    <row r="221" spans="1:26" ht="15.75" customHeight="1" collapsed="1" x14ac:dyDescent="0.3">
      <c r="A221" s="3"/>
      <c r="B221" s="84" t="s">
        <v>401</v>
      </c>
      <c r="C221" s="85" t="s">
        <v>43</v>
      </c>
      <c r="D221" s="85" t="s">
        <v>43</v>
      </c>
      <c r="E221" s="86">
        <f>SUM(E222:E230)</f>
        <v>0</v>
      </c>
      <c r="F221" s="86">
        <f>SUMIF(D222:D230,"OK",F222:F230)</f>
        <v>0</v>
      </c>
      <c r="G221" s="87"/>
      <c r="H221" s="87"/>
      <c r="I221" s="88"/>
      <c r="J221" s="87"/>
      <c r="K221" s="37"/>
      <c r="L221" s="37"/>
      <c r="M221" s="37"/>
      <c r="N221" s="37"/>
      <c r="O221" s="37"/>
      <c r="P221" s="37"/>
      <c r="Q221" s="37"/>
      <c r="R221" s="37"/>
      <c r="S221" s="37"/>
      <c r="T221" s="37"/>
      <c r="U221" s="3"/>
      <c r="W221" s="3"/>
      <c r="X221" s="3"/>
      <c r="Y221" s="3"/>
      <c r="Z221" s="3"/>
    </row>
    <row r="222" spans="1:26" ht="15.75" hidden="1" customHeight="1" outlineLevel="1" x14ac:dyDescent="0.3">
      <c r="A222" s="3"/>
      <c r="B222" s="10" t="s">
        <v>1573</v>
      </c>
      <c r="C222" s="62"/>
      <c r="D222" s="62"/>
      <c r="E222" s="12">
        <v>0</v>
      </c>
      <c r="F222" s="12">
        <v>0</v>
      </c>
      <c r="G222" s="65"/>
      <c r="H222" s="65"/>
      <c r="I222" s="156"/>
      <c r="J222" s="65"/>
      <c r="K222" s="37"/>
      <c r="L222" s="37"/>
      <c r="M222" s="37"/>
      <c r="N222" s="37"/>
      <c r="O222" s="37"/>
      <c r="P222" s="37"/>
      <c r="Q222" s="37"/>
      <c r="R222" s="37"/>
      <c r="S222" s="37"/>
      <c r="T222" s="37"/>
      <c r="U222" s="3"/>
      <c r="W222" s="3"/>
      <c r="X222" s="3"/>
      <c r="Y222" s="3"/>
      <c r="Z222" s="3"/>
    </row>
    <row r="223" spans="1:26" ht="15.75" hidden="1" customHeight="1" outlineLevel="1" x14ac:dyDescent="0.3">
      <c r="A223" s="3"/>
      <c r="B223" s="10" t="s">
        <v>1574</v>
      </c>
      <c r="C223" s="62"/>
      <c r="D223" s="62"/>
      <c r="E223" s="12">
        <v>0</v>
      </c>
      <c r="F223" s="12">
        <v>0</v>
      </c>
      <c r="G223" s="65"/>
      <c r="H223" s="65"/>
      <c r="I223" s="156"/>
      <c r="J223" s="65"/>
      <c r="K223" s="37"/>
      <c r="L223" s="37"/>
      <c r="M223" s="37"/>
      <c r="N223" s="37"/>
      <c r="O223" s="37"/>
      <c r="P223" s="37"/>
      <c r="Q223" s="37"/>
      <c r="R223" s="37"/>
      <c r="S223" s="37"/>
      <c r="T223" s="37"/>
      <c r="U223" s="3"/>
      <c r="W223" s="3"/>
      <c r="X223" s="3"/>
      <c r="Y223" s="3"/>
      <c r="Z223" s="3"/>
    </row>
    <row r="224" spans="1:26" ht="15.75" hidden="1" customHeight="1" outlineLevel="1" x14ac:dyDescent="0.3">
      <c r="A224" s="3"/>
      <c r="B224" s="10" t="s">
        <v>1575</v>
      </c>
      <c r="C224" s="62"/>
      <c r="D224" s="62"/>
      <c r="E224" s="12">
        <v>0</v>
      </c>
      <c r="F224" s="12">
        <v>0</v>
      </c>
      <c r="G224" s="65"/>
      <c r="H224" s="65"/>
      <c r="I224" s="156"/>
      <c r="J224" s="65"/>
      <c r="K224" s="37"/>
      <c r="L224" s="37"/>
      <c r="M224" s="37"/>
      <c r="N224" s="37"/>
      <c r="O224" s="37"/>
      <c r="P224" s="37"/>
      <c r="Q224" s="37"/>
      <c r="R224" s="37"/>
      <c r="S224" s="37"/>
      <c r="T224" s="37"/>
      <c r="U224" s="3"/>
      <c r="W224" s="3"/>
      <c r="X224" s="3"/>
      <c r="Y224" s="3"/>
      <c r="Z224" s="3"/>
    </row>
    <row r="225" spans="1:26" ht="15.75" hidden="1" customHeight="1" outlineLevel="1" x14ac:dyDescent="0.3">
      <c r="A225" s="3"/>
      <c r="B225" s="10" t="s">
        <v>1575</v>
      </c>
      <c r="C225" s="62"/>
      <c r="D225" s="62"/>
      <c r="E225" s="12">
        <v>0</v>
      </c>
      <c r="F225" s="12">
        <v>0</v>
      </c>
      <c r="G225" s="65"/>
      <c r="H225" s="65"/>
      <c r="I225" s="156"/>
      <c r="J225" s="65"/>
      <c r="K225" s="37"/>
      <c r="L225" s="37"/>
      <c r="M225" s="37"/>
      <c r="N225" s="37"/>
      <c r="O225" s="37"/>
      <c r="P225" s="37"/>
      <c r="Q225" s="37"/>
      <c r="R225" s="37"/>
      <c r="S225" s="37"/>
      <c r="T225" s="37"/>
      <c r="U225" s="3"/>
      <c r="W225" s="3"/>
      <c r="X225" s="3"/>
      <c r="Y225" s="3"/>
      <c r="Z225" s="3"/>
    </row>
    <row r="226" spans="1:26" ht="15.75" hidden="1" customHeight="1" outlineLevel="1" x14ac:dyDescent="0.3">
      <c r="A226" s="3"/>
      <c r="B226" s="10" t="s">
        <v>327</v>
      </c>
      <c r="C226" s="62"/>
      <c r="D226" s="62"/>
      <c r="E226" s="12">
        <v>0</v>
      </c>
      <c r="F226" s="12">
        <v>0</v>
      </c>
      <c r="G226" s="65"/>
      <c r="H226" s="65"/>
      <c r="I226" s="157"/>
      <c r="J226" s="65"/>
      <c r="K226" s="37"/>
      <c r="L226" s="37"/>
      <c r="M226" s="37"/>
      <c r="N226" s="37"/>
      <c r="O226" s="37"/>
      <c r="P226" s="37"/>
      <c r="Q226" s="37"/>
      <c r="R226" s="37"/>
      <c r="S226" s="37"/>
      <c r="T226" s="37"/>
      <c r="U226" s="3"/>
      <c r="W226" s="3"/>
      <c r="X226" s="3"/>
      <c r="Y226" s="3"/>
      <c r="Z226" s="3"/>
    </row>
    <row r="227" spans="1:26" ht="15.75" hidden="1" customHeight="1" outlineLevel="1" x14ac:dyDescent="0.3">
      <c r="A227" s="3"/>
      <c r="B227" s="10" t="s">
        <v>328</v>
      </c>
      <c r="C227" s="62"/>
      <c r="D227" s="62"/>
      <c r="E227" s="12">
        <v>0</v>
      </c>
      <c r="F227" s="12">
        <v>0</v>
      </c>
      <c r="G227" s="65"/>
      <c r="H227" s="65"/>
      <c r="I227" s="157"/>
      <c r="J227" s="65"/>
      <c r="K227" s="37"/>
      <c r="L227" s="37"/>
      <c r="M227" s="37"/>
      <c r="N227" s="37"/>
      <c r="O227" s="37"/>
      <c r="P227" s="37"/>
      <c r="Q227" s="37"/>
      <c r="R227" s="37"/>
      <c r="S227" s="37"/>
      <c r="T227" s="37"/>
      <c r="U227" s="3"/>
      <c r="W227" s="3"/>
      <c r="X227" s="3"/>
      <c r="Y227" s="3"/>
      <c r="Z227" s="3"/>
    </row>
    <row r="228" spans="1:26" ht="15.75" hidden="1" customHeight="1" outlineLevel="1" x14ac:dyDescent="0.3">
      <c r="A228" s="3"/>
      <c r="B228" s="10" t="s">
        <v>370</v>
      </c>
      <c r="C228" s="62"/>
      <c r="D228" s="62"/>
      <c r="E228" s="12">
        <v>0</v>
      </c>
      <c r="F228" s="12">
        <v>0</v>
      </c>
      <c r="G228" s="65"/>
      <c r="H228" s="65"/>
      <c r="I228" s="157"/>
      <c r="J228" s="65"/>
      <c r="K228" s="37"/>
      <c r="L228" s="37"/>
      <c r="M228" s="37"/>
      <c r="N228" s="37"/>
      <c r="O228" s="37"/>
      <c r="P228" s="37"/>
      <c r="Q228" s="37"/>
      <c r="R228" s="37"/>
      <c r="S228" s="37"/>
      <c r="T228" s="37"/>
      <c r="U228" s="3"/>
      <c r="W228" s="3"/>
      <c r="X228" s="3"/>
      <c r="Y228" s="3"/>
      <c r="Z228" s="3"/>
    </row>
    <row r="229" spans="1:26" ht="15.75" hidden="1" customHeight="1" outlineLevel="1" x14ac:dyDescent="0.3">
      <c r="A229" s="3"/>
      <c r="B229" s="10" t="s">
        <v>371</v>
      </c>
      <c r="C229" s="62"/>
      <c r="D229" s="62"/>
      <c r="E229" s="12">
        <v>0</v>
      </c>
      <c r="F229" s="12">
        <v>0</v>
      </c>
      <c r="G229" s="89"/>
      <c r="H229" s="65"/>
      <c r="I229" s="157"/>
      <c r="J229" s="65"/>
      <c r="K229" s="37"/>
      <c r="L229" s="37"/>
      <c r="M229" s="37"/>
      <c r="N229" s="37"/>
      <c r="O229" s="37"/>
      <c r="P229" s="37"/>
      <c r="Q229" s="37"/>
      <c r="R229" s="37"/>
      <c r="S229" s="37"/>
      <c r="T229" s="37"/>
      <c r="U229" s="3"/>
      <c r="W229" s="3"/>
      <c r="X229" s="3"/>
      <c r="Y229" s="3"/>
      <c r="Z229" s="3"/>
    </row>
    <row r="230" spans="1:26" ht="15.75" hidden="1" customHeight="1" outlineLevel="1" x14ac:dyDescent="0.3">
      <c r="A230" s="3"/>
      <c r="B230" s="10" t="s">
        <v>372</v>
      </c>
      <c r="C230" s="62"/>
      <c r="D230" s="62"/>
      <c r="E230" s="12">
        <v>0</v>
      </c>
      <c r="F230" s="12">
        <v>0</v>
      </c>
      <c r="G230" s="89"/>
      <c r="H230" s="65"/>
      <c r="I230" s="157"/>
      <c r="J230" s="65"/>
      <c r="K230" s="37"/>
      <c r="L230" s="37"/>
      <c r="M230" s="37"/>
      <c r="N230" s="37"/>
      <c r="O230" s="37"/>
      <c r="P230" s="37"/>
      <c r="Q230" s="37"/>
      <c r="R230" s="37"/>
      <c r="S230" s="37"/>
      <c r="T230" s="37"/>
      <c r="U230" s="3"/>
      <c r="W230" s="3"/>
      <c r="X230" s="3"/>
      <c r="Y230" s="3"/>
      <c r="Z230" s="3"/>
    </row>
    <row r="231" spans="1:26" ht="15.75" customHeight="1" collapsed="1" x14ac:dyDescent="0.3">
      <c r="A231" s="3"/>
      <c r="B231" s="84" t="s">
        <v>402</v>
      </c>
      <c r="C231" s="85" t="s">
        <v>43</v>
      </c>
      <c r="D231" s="85" t="s">
        <v>43</v>
      </c>
      <c r="E231" s="86">
        <f>SUM(E232:E240)</f>
        <v>0</v>
      </c>
      <c r="F231" s="86">
        <f>SUMIF(D232:D240,"OK",F232:F240)</f>
        <v>0</v>
      </c>
      <c r="G231" s="87"/>
      <c r="H231" s="87"/>
      <c r="I231" s="88"/>
      <c r="J231" s="87"/>
      <c r="K231" s="37"/>
      <c r="L231" s="37"/>
      <c r="M231" s="37"/>
      <c r="N231" s="37"/>
      <c r="O231" s="37"/>
      <c r="P231" s="37"/>
      <c r="Q231" s="37"/>
      <c r="R231" s="37"/>
      <c r="S231" s="37"/>
      <c r="T231" s="37"/>
      <c r="U231" s="3"/>
      <c r="W231" s="3"/>
      <c r="X231" s="3"/>
      <c r="Y231" s="3"/>
      <c r="Z231" s="3"/>
    </row>
    <row r="232" spans="1:26" ht="15.75" hidden="1" customHeight="1" outlineLevel="1" x14ac:dyDescent="0.3">
      <c r="A232" s="3"/>
      <c r="B232" s="10" t="s">
        <v>353</v>
      </c>
      <c r="C232" s="62"/>
      <c r="D232" s="62"/>
      <c r="E232" s="12">
        <v>0</v>
      </c>
      <c r="F232" s="12">
        <v>0</v>
      </c>
      <c r="G232" s="65"/>
      <c r="H232" s="65"/>
      <c r="I232" s="157"/>
      <c r="J232" s="65"/>
      <c r="K232" s="37"/>
      <c r="L232" s="37"/>
      <c r="M232" s="37"/>
      <c r="N232" s="37"/>
      <c r="O232" s="37"/>
      <c r="P232" s="37"/>
      <c r="Q232" s="37"/>
      <c r="R232" s="37"/>
      <c r="S232" s="37"/>
      <c r="T232" s="37"/>
      <c r="U232" s="3"/>
      <c r="W232" s="3"/>
      <c r="X232" s="3"/>
      <c r="Y232" s="3"/>
      <c r="Z232" s="3"/>
    </row>
    <row r="233" spans="1:26" ht="15.75" hidden="1" customHeight="1" outlineLevel="1" x14ac:dyDescent="0.3">
      <c r="A233" s="3"/>
      <c r="B233" s="10" t="s">
        <v>354</v>
      </c>
      <c r="C233" s="62"/>
      <c r="D233" s="62"/>
      <c r="E233" s="12">
        <v>0</v>
      </c>
      <c r="F233" s="12">
        <v>0</v>
      </c>
      <c r="G233" s="65"/>
      <c r="H233" s="65"/>
      <c r="I233" s="157"/>
      <c r="J233" s="65"/>
      <c r="K233" s="37"/>
      <c r="L233" s="37"/>
      <c r="M233" s="37"/>
      <c r="N233" s="37"/>
      <c r="O233" s="37"/>
      <c r="P233" s="37"/>
      <c r="Q233" s="37"/>
      <c r="R233" s="37"/>
      <c r="S233" s="37"/>
      <c r="T233" s="37"/>
      <c r="U233" s="3"/>
      <c r="W233" s="3"/>
      <c r="X233" s="3"/>
      <c r="Y233" s="3"/>
      <c r="Z233" s="3"/>
    </row>
    <row r="234" spans="1:26" ht="15.75" hidden="1" customHeight="1" outlineLevel="1" x14ac:dyDescent="0.3">
      <c r="A234" s="3"/>
      <c r="B234" s="10" t="s">
        <v>355</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15.75" hidden="1" customHeight="1" outlineLevel="1" x14ac:dyDescent="0.3">
      <c r="A235" s="3"/>
      <c r="B235" s="10" t="s">
        <v>369</v>
      </c>
      <c r="C235" s="62"/>
      <c r="D235" s="62"/>
      <c r="E235" s="12">
        <v>0</v>
      </c>
      <c r="F235" s="12">
        <v>0</v>
      </c>
      <c r="G235" s="65"/>
      <c r="H235" s="65"/>
      <c r="I235" s="89"/>
      <c r="J235" s="65"/>
      <c r="K235" s="37"/>
      <c r="L235" s="37"/>
      <c r="M235" s="37"/>
      <c r="N235" s="37"/>
      <c r="O235" s="37"/>
      <c r="P235" s="37"/>
      <c r="Q235" s="37"/>
      <c r="R235" s="37"/>
      <c r="S235" s="37"/>
      <c r="T235" s="37"/>
      <c r="U235" s="3"/>
      <c r="W235" s="3"/>
      <c r="X235" s="3"/>
      <c r="Y235" s="3"/>
      <c r="Z235" s="3"/>
    </row>
    <row r="236" spans="1:26" ht="15.75" hidden="1" customHeight="1" outlineLevel="1" x14ac:dyDescent="0.3">
      <c r="A236" s="3"/>
      <c r="B236" s="10" t="s">
        <v>327</v>
      </c>
      <c r="C236" s="62"/>
      <c r="D236" s="62"/>
      <c r="E236" s="12">
        <v>0</v>
      </c>
      <c r="F236" s="12">
        <v>0</v>
      </c>
      <c r="G236" s="65"/>
      <c r="H236" s="65"/>
      <c r="I236" s="89"/>
      <c r="J236" s="65"/>
      <c r="K236" s="37"/>
      <c r="L236" s="37"/>
      <c r="M236" s="37"/>
      <c r="N236" s="37"/>
      <c r="O236" s="37"/>
      <c r="P236" s="37"/>
      <c r="Q236" s="37"/>
      <c r="R236" s="37"/>
      <c r="S236" s="37"/>
      <c r="T236" s="37"/>
      <c r="U236" s="3"/>
      <c r="W236" s="3"/>
      <c r="X236" s="3"/>
      <c r="Y236" s="3"/>
      <c r="Z236" s="3"/>
    </row>
    <row r="237" spans="1:26" ht="15.75" hidden="1" customHeight="1" outlineLevel="1" x14ac:dyDescent="0.3">
      <c r="A237" s="3"/>
      <c r="B237" s="10" t="s">
        <v>328</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5.75" hidden="1" customHeight="1" outlineLevel="1" x14ac:dyDescent="0.3">
      <c r="A238" s="3"/>
      <c r="B238" s="10" t="s">
        <v>370</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5.75" hidden="1" customHeight="1" outlineLevel="1" x14ac:dyDescent="0.3">
      <c r="A239" s="3"/>
      <c r="B239" s="10" t="s">
        <v>371</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5.75" hidden="1" customHeight="1" outlineLevel="1" x14ac:dyDescent="0.3">
      <c r="A240" s="3"/>
      <c r="B240" s="10" t="s">
        <v>372</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5.75" customHeight="1" collapsed="1" x14ac:dyDescent="0.3">
      <c r="A241" s="3"/>
      <c r="B241" s="84" t="s">
        <v>403</v>
      </c>
      <c r="C241" s="85" t="s">
        <v>43</v>
      </c>
      <c r="D241" s="85" t="s">
        <v>43</v>
      </c>
      <c r="E241" s="86">
        <f>SUM(E242:E250)</f>
        <v>0</v>
      </c>
      <c r="F241" s="86">
        <f>SUMIF(D242:D250,"OK",F242:F250)</f>
        <v>0</v>
      </c>
      <c r="G241" s="87"/>
      <c r="H241" s="87"/>
      <c r="I241" s="88"/>
      <c r="J241" s="87"/>
      <c r="K241" s="37"/>
      <c r="L241" s="37"/>
      <c r="M241" s="37"/>
      <c r="N241" s="37"/>
      <c r="O241" s="37"/>
      <c r="P241" s="37"/>
      <c r="Q241" s="37"/>
      <c r="R241" s="37"/>
      <c r="S241" s="37"/>
      <c r="T241" s="37"/>
      <c r="U241" s="3"/>
      <c r="W241" s="3"/>
      <c r="X241" s="3"/>
      <c r="Y241" s="3"/>
      <c r="Z241" s="3"/>
    </row>
    <row r="242" spans="1:26" ht="15.75" hidden="1" customHeight="1" outlineLevel="1" x14ac:dyDescent="0.3">
      <c r="A242" s="3"/>
      <c r="B242" s="10" t="s">
        <v>1506</v>
      </c>
      <c r="C242" s="62"/>
      <c r="D242" s="62"/>
      <c r="E242" s="12">
        <v>0</v>
      </c>
      <c r="F242" s="12">
        <v>0</v>
      </c>
      <c r="G242" s="89"/>
      <c r="H242" s="65"/>
      <c r="I242" s="156"/>
      <c r="J242" s="65"/>
      <c r="K242" s="37"/>
      <c r="L242" s="37"/>
      <c r="M242" s="37"/>
      <c r="N242" s="37"/>
      <c r="O242" s="37"/>
      <c r="P242" s="37"/>
      <c r="Q242" s="37"/>
      <c r="R242" s="37"/>
      <c r="S242" s="37"/>
      <c r="T242" s="37"/>
      <c r="U242" s="3"/>
      <c r="W242" s="3"/>
      <c r="X242" s="3"/>
      <c r="Y242" s="3"/>
      <c r="Z242" s="3"/>
    </row>
    <row r="243" spans="1:26" ht="15.75" hidden="1" customHeight="1" outlineLevel="1" x14ac:dyDescent="0.3">
      <c r="A243" s="3"/>
      <c r="B243" s="10" t="s">
        <v>354</v>
      </c>
      <c r="C243" s="62"/>
      <c r="D243" s="62"/>
      <c r="E243" s="12">
        <v>0</v>
      </c>
      <c r="F243" s="12">
        <v>0</v>
      </c>
      <c r="G243" s="65"/>
      <c r="H243" s="65"/>
      <c r="I243" s="157"/>
      <c r="J243" s="65"/>
      <c r="K243" s="37"/>
      <c r="L243" s="37"/>
      <c r="M243" s="37"/>
      <c r="N243" s="37"/>
      <c r="O243" s="37"/>
      <c r="P243" s="37"/>
      <c r="Q243" s="37"/>
      <c r="R243" s="37"/>
      <c r="S243" s="37"/>
      <c r="T243" s="37"/>
      <c r="U243" s="3"/>
      <c r="W243" s="3"/>
      <c r="X243" s="3"/>
      <c r="Y243" s="3"/>
      <c r="Z243" s="3"/>
    </row>
    <row r="244" spans="1:26" ht="15.75" hidden="1" customHeight="1" outlineLevel="1" x14ac:dyDescent="0.3">
      <c r="A244" s="3"/>
      <c r="B244" s="10" t="s">
        <v>355</v>
      </c>
      <c r="C244" s="62"/>
      <c r="D244" s="62"/>
      <c r="E244" s="12">
        <v>0</v>
      </c>
      <c r="F244" s="12">
        <v>0</v>
      </c>
      <c r="G244" s="65"/>
      <c r="H244" s="65"/>
      <c r="I244" s="89"/>
      <c r="J244" s="65"/>
      <c r="K244" s="37"/>
      <c r="L244" s="37"/>
      <c r="M244" s="37"/>
      <c r="N244" s="37"/>
      <c r="O244" s="37"/>
      <c r="P244" s="37"/>
      <c r="Q244" s="37"/>
      <c r="R244" s="37"/>
      <c r="S244" s="37"/>
      <c r="T244" s="37"/>
      <c r="U244" s="3"/>
      <c r="W244" s="3"/>
      <c r="X244" s="3"/>
      <c r="Y244" s="3"/>
      <c r="Z244" s="3"/>
    </row>
    <row r="245" spans="1:26" ht="15.75" hidden="1" customHeight="1" outlineLevel="1" x14ac:dyDescent="0.3">
      <c r="A245" s="3"/>
      <c r="B245" s="10" t="s">
        <v>369</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t="15.75" hidden="1" customHeight="1" outlineLevel="1" x14ac:dyDescent="0.3">
      <c r="A246" s="3"/>
      <c r="B246" s="10" t="s">
        <v>327</v>
      </c>
      <c r="C246" s="62"/>
      <c r="D246" s="62"/>
      <c r="E246" s="12">
        <v>0</v>
      </c>
      <c r="F246" s="12">
        <v>0</v>
      </c>
      <c r="G246" s="65"/>
      <c r="H246" s="65"/>
      <c r="I246" s="89"/>
      <c r="J246" s="65"/>
      <c r="K246" s="37"/>
      <c r="L246" s="37"/>
      <c r="M246" s="37"/>
      <c r="N246" s="37"/>
      <c r="O246" s="37"/>
      <c r="P246" s="37"/>
      <c r="Q246" s="37"/>
      <c r="R246" s="37"/>
      <c r="S246" s="37"/>
      <c r="T246" s="37"/>
      <c r="U246" s="3"/>
      <c r="W246" s="3"/>
      <c r="X246" s="3"/>
      <c r="Y246" s="3"/>
      <c r="Z246" s="3"/>
    </row>
    <row r="247" spans="1:26" ht="15.75" hidden="1" customHeight="1" outlineLevel="1" x14ac:dyDescent="0.3">
      <c r="A247" s="3"/>
      <c r="B247" s="10" t="s">
        <v>328</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15.75" hidden="1" customHeight="1" outlineLevel="1" x14ac:dyDescent="0.3">
      <c r="A248" s="3"/>
      <c r="B248" s="10" t="s">
        <v>370</v>
      </c>
      <c r="C248" s="62"/>
      <c r="D248" s="62"/>
      <c r="E248" s="12">
        <v>0</v>
      </c>
      <c r="F248" s="12">
        <v>0</v>
      </c>
      <c r="G248" s="65"/>
      <c r="H248" s="65"/>
      <c r="I248" s="89"/>
      <c r="J248" s="65"/>
      <c r="K248" s="37"/>
      <c r="L248" s="37"/>
      <c r="M248" s="37"/>
      <c r="N248" s="37"/>
      <c r="O248" s="37"/>
      <c r="P248" s="37"/>
      <c r="Q248" s="37"/>
      <c r="R248" s="37"/>
      <c r="S248" s="37"/>
      <c r="T248" s="37"/>
      <c r="U248" s="3"/>
      <c r="W248" s="3"/>
      <c r="X248" s="3"/>
      <c r="Y248" s="3"/>
      <c r="Z248" s="3"/>
    </row>
    <row r="249" spans="1:26" ht="15.75" hidden="1" customHeight="1" outlineLevel="1" x14ac:dyDescent="0.3">
      <c r="A249" s="3"/>
      <c r="B249" s="10" t="s">
        <v>371</v>
      </c>
      <c r="C249" s="62"/>
      <c r="D249" s="62"/>
      <c r="E249" s="12">
        <v>0</v>
      </c>
      <c r="F249" s="12">
        <v>0</v>
      </c>
      <c r="G249" s="65"/>
      <c r="H249" s="65"/>
      <c r="I249" s="89"/>
      <c r="J249" s="65"/>
      <c r="K249" s="37"/>
      <c r="L249" s="37"/>
      <c r="M249" s="37"/>
      <c r="N249" s="37"/>
      <c r="O249" s="37"/>
      <c r="P249" s="37"/>
      <c r="Q249" s="37"/>
      <c r="R249" s="37"/>
      <c r="S249" s="37"/>
      <c r="T249" s="37"/>
      <c r="U249" s="3"/>
      <c r="W249" s="3"/>
      <c r="X249" s="3"/>
      <c r="Y249" s="3"/>
      <c r="Z249" s="3"/>
    </row>
    <row r="250" spans="1:26" ht="15.75" hidden="1" customHeight="1" outlineLevel="1" x14ac:dyDescent="0.3">
      <c r="A250" s="3"/>
      <c r="B250" s="10" t="s">
        <v>372</v>
      </c>
      <c r="C250" s="62"/>
      <c r="D250" s="62"/>
      <c r="E250" s="12">
        <v>0</v>
      </c>
      <c r="F250" s="12">
        <v>0</v>
      </c>
      <c r="G250" s="65"/>
      <c r="H250" s="65"/>
      <c r="I250" s="89"/>
      <c r="J250" s="65"/>
      <c r="K250" s="37"/>
      <c r="L250" s="37"/>
      <c r="M250" s="37"/>
      <c r="N250" s="37"/>
      <c r="O250" s="37"/>
      <c r="P250" s="37"/>
      <c r="Q250" s="37"/>
      <c r="R250" s="37"/>
      <c r="S250" s="37"/>
      <c r="T250" s="37"/>
      <c r="U250" s="3"/>
      <c r="W250" s="3"/>
      <c r="X250" s="3"/>
      <c r="Y250" s="3"/>
      <c r="Z250" s="3"/>
    </row>
    <row r="251" spans="1:26" ht="15.75" customHeight="1" collapsed="1" x14ac:dyDescent="0.3">
      <c r="A251" s="3"/>
      <c r="B251" s="84" t="s">
        <v>405</v>
      </c>
      <c r="C251" s="85" t="s">
        <v>43</v>
      </c>
      <c r="D251" s="85" t="s">
        <v>43</v>
      </c>
      <c r="E251" s="86">
        <f>SUM(E252:E260)</f>
        <v>0</v>
      </c>
      <c r="F251" s="86">
        <f>SUMIF(D252:D260,"OK",F252:F260)</f>
        <v>0</v>
      </c>
      <c r="G251" s="87"/>
      <c r="H251" s="87"/>
      <c r="I251" s="88"/>
      <c r="J251" s="87"/>
      <c r="K251" s="37"/>
      <c r="L251" s="37"/>
      <c r="M251" s="37"/>
      <c r="N251" s="37"/>
      <c r="O251" s="37"/>
      <c r="P251" s="37"/>
      <c r="Q251" s="37"/>
      <c r="R251" s="37"/>
      <c r="S251" s="37"/>
      <c r="T251" s="37"/>
      <c r="U251" s="3"/>
      <c r="W251" s="3"/>
      <c r="X251" s="3"/>
      <c r="Y251" s="3"/>
      <c r="Z251" s="3"/>
    </row>
    <row r="252" spans="1:26" ht="15.75" hidden="1" customHeight="1" outlineLevel="1" x14ac:dyDescent="0.3">
      <c r="A252" s="3"/>
      <c r="B252" s="10" t="s">
        <v>353</v>
      </c>
      <c r="C252" s="62"/>
      <c r="D252" s="62"/>
      <c r="E252" s="12">
        <v>0</v>
      </c>
      <c r="F252" s="12">
        <v>0</v>
      </c>
      <c r="G252" s="65"/>
      <c r="H252" s="65"/>
      <c r="I252" s="157"/>
      <c r="J252" s="65"/>
      <c r="K252" s="37"/>
      <c r="L252" s="37"/>
      <c r="M252" s="37"/>
      <c r="N252" s="37"/>
      <c r="O252" s="37"/>
      <c r="P252" s="37"/>
      <c r="Q252" s="37"/>
      <c r="R252" s="37"/>
      <c r="S252" s="37"/>
      <c r="T252" s="37"/>
      <c r="U252" s="3"/>
      <c r="W252" s="3"/>
      <c r="X252" s="3"/>
      <c r="Y252" s="3"/>
      <c r="Z252" s="3"/>
    </row>
    <row r="253" spans="1:26" ht="15.75" hidden="1" customHeight="1" outlineLevel="1" x14ac:dyDescent="0.3">
      <c r="A253" s="3"/>
      <c r="B253" s="10" t="s">
        <v>354</v>
      </c>
      <c r="C253" s="62"/>
      <c r="D253" s="62"/>
      <c r="E253" s="12">
        <v>0</v>
      </c>
      <c r="F253" s="12">
        <v>0</v>
      </c>
      <c r="G253" s="65"/>
      <c r="H253" s="65"/>
      <c r="I253" s="89"/>
      <c r="J253" s="65"/>
      <c r="K253" s="37"/>
      <c r="L253" s="37"/>
      <c r="M253" s="37"/>
      <c r="N253" s="37"/>
      <c r="O253" s="37"/>
      <c r="P253" s="37"/>
      <c r="Q253" s="37"/>
      <c r="R253" s="37"/>
      <c r="S253" s="37"/>
      <c r="T253" s="37"/>
      <c r="U253" s="3"/>
      <c r="W253" s="3"/>
      <c r="X253" s="3"/>
      <c r="Y253" s="3"/>
      <c r="Z253" s="3"/>
    </row>
    <row r="254" spans="1:26" ht="15.75" hidden="1" customHeight="1" outlineLevel="1" x14ac:dyDescent="0.3">
      <c r="A254" s="3"/>
      <c r="B254" s="10" t="s">
        <v>355</v>
      </c>
      <c r="C254" s="62"/>
      <c r="D254" s="62"/>
      <c r="E254" s="12">
        <v>0</v>
      </c>
      <c r="F254" s="12">
        <v>0</v>
      </c>
      <c r="G254" s="65"/>
      <c r="H254" s="65"/>
      <c r="I254" s="89"/>
      <c r="J254" s="65"/>
      <c r="K254" s="37"/>
      <c r="L254" s="37"/>
      <c r="M254" s="37"/>
      <c r="N254" s="37"/>
      <c r="O254" s="37"/>
      <c r="P254" s="37"/>
      <c r="Q254" s="37"/>
      <c r="R254" s="37"/>
      <c r="S254" s="37"/>
      <c r="T254" s="37"/>
      <c r="U254" s="3"/>
      <c r="W254" s="3"/>
      <c r="X254" s="3"/>
      <c r="Y254" s="3"/>
      <c r="Z254" s="3"/>
    </row>
    <row r="255" spans="1:26" ht="15.75" hidden="1" customHeight="1" outlineLevel="1" x14ac:dyDescent="0.3">
      <c r="A255" s="3"/>
      <c r="B255" s="10" t="s">
        <v>369</v>
      </c>
      <c r="C255" s="62"/>
      <c r="D255" s="62"/>
      <c r="E255" s="12">
        <v>0</v>
      </c>
      <c r="F255" s="12">
        <v>0</v>
      </c>
      <c r="G255" s="65"/>
      <c r="H255" s="65"/>
      <c r="I255" s="89"/>
      <c r="J255" s="65"/>
      <c r="K255" s="37"/>
      <c r="L255" s="37"/>
      <c r="M255" s="37"/>
      <c r="N255" s="37"/>
      <c r="O255" s="37"/>
      <c r="P255" s="37"/>
      <c r="Q255" s="37"/>
      <c r="R255" s="37"/>
      <c r="S255" s="37"/>
      <c r="T255" s="37"/>
      <c r="U255" s="3"/>
      <c r="W255" s="3"/>
      <c r="X255" s="3"/>
      <c r="Y255" s="3"/>
      <c r="Z255" s="3"/>
    </row>
    <row r="256" spans="1:26" ht="15.75" hidden="1" customHeight="1" outlineLevel="1" x14ac:dyDescent="0.3">
      <c r="A256" s="3"/>
      <c r="B256" s="10" t="s">
        <v>327</v>
      </c>
      <c r="C256" s="62"/>
      <c r="D256" s="62"/>
      <c r="E256" s="12">
        <v>0</v>
      </c>
      <c r="F256" s="12">
        <v>0</v>
      </c>
      <c r="G256" s="65"/>
      <c r="H256" s="65"/>
      <c r="I256" s="89"/>
      <c r="J256" s="65"/>
      <c r="K256" s="37"/>
      <c r="L256" s="37"/>
      <c r="M256" s="37"/>
      <c r="N256" s="37"/>
      <c r="O256" s="37"/>
      <c r="P256" s="37"/>
      <c r="Q256" s="37"/>
      <c r="R256" s="37"/>
      <c r="S256" s="37"/>
      <c r="T256" s="37"/>
      <c r="U256" s="3"/>
      <c r="W256" s="3"/>
      <c r="X256" s="3"/>
      <c r="Y256" s="3"/>
      <c r="Z256" s="3"/>
    </row>
    <row r="257" spans="1:26" ht="15.75" hidden="1" customHeight="1" outlineLevel="1" x14ac:dyDescent="0.3">
      <c r="A257" s="3"/>
      <c r="B257" s="10" t="s">
        <v>328</v>
      </c>
      <c r="C257" s="62"/>
      <c r="D257" s="62"/>
      <c r="E257" s="12">
        <v>0</v>
      </c>
      <c r="F257" s="12">
        <v>0</v>
      </c>
      <c r="G257" s="65"/>
      <c r="H257" s="65"/>
      <c r="I257" s="89"/>
      <c r="J257" s="65"/>
      <c r="K257" s="37"/>
      <c r="L257" s="37"/>
      <c r="M257" s="37"/>
      <c r="N257" s="37"/>
      <c r="O257" s="37"/>
      <c r="P257" s="37"/>
      <c r="Q257" s="37"/>
      <c r="R257" s="37"/>
      <c r="S257" s="37"/>
      <c r="T257" s="37"/>
      <c r="U257" s="3"/>
      <c r="W257" s="3"/>
      <c r="X257" s="3"/>
      <c r="Y257" s="3"/>
      <c r="Z257" s="3"/>
    </row>
    <row r="258" spans="1:26" ht="15.75" hidden="1" customHeight="1" outlineLevel="1" x14ac:dyDescent="0.3">
      <c r="A258" s="3"/>
      <c r="B258" s="10" t="s">
        <v>370</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15.75" hidden="1" customHeight="1" outlineLevel="1" x14ac:dyDescent="0.3">
      <c r="A259" s="3"/>
      <c r="B259" s="10" t="s">
        <v>371</v>
      </c>
      <c r="C259" s="62"/>
      <c r="D259" s="62"/>
      <c r="E259" s="12">
        <v>0</v>
      </c>
      <c r="F259" s="12">
        <v>0</v>
      </c>
      <c r="G259" s="65"/>
      <c r="H259" s="65"/>
      <c r="I259" s="89"/>
      <c r="J259" s="65"/>
      <c r="K259" s="37"/>
      <c r="L259" s="37"/>
      <c r="M259" s="37"/>
      <c r="N259" s="37"/>
      <c r="O259" s="37"/>
      <c r="P259" s="37"/>
      <c r="Q259" s="37"/>
      <c r="R259" s="37"/>
      <c r="S259" s="37"/>
      <c r="T259" s="37"/>
      <c r="U259" s="3"/>
      <c r="W259" s="3"/>
      <c r="X259" s="3"/>
      <c r="Y259" s="3"/>
      <c r="Z259" s="3"/>
    </row>
    <row r="260" spans="1:26" ht="15.75" hidden="1" customHeight="1" outlineLevel="1" x14ac:dyDescent="0.3">
      <c r="A260" s="3"/>
      <c r="B260" s="10" t="s">
        <v>372</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5.75" customHeight="1" collapsed="1" x14ac:dyDescent="0.3">
      <c r="A261" s="3"/>
      <c r="B261" s="84" t="s">
        <v>408</v>
      </c>
      <c r="C261" s="85" t="s">
        <v>43</v>
      </c>
      <c r="D261" s="85" t="s">
        <v>43</v>
      </c>
      <c r="E261" s="86">
        <f>SUM(E262,E272,E282,E292)</f>
        <v>0</v>
      </c>
      <c r="F261" s="86">
        <f>SUM(F262,F272,F282,F292,F314)</f>
        <v>0</v>
      </c>
      <c r="G261" s="87"/>
      <c r="H261" s="87"/>
      <c r="I261" s="88"/>
      <c r="J261" s="87"/>
      <c r="K261" s="37"/>
      <c r="L261" s="37"/>
      <c r="M261" s="37"/>
      <c r="N261" s="37"/>
      <c r="O261" s="37"/>
      <c r="P261" s="37"/>
      <c r="Q261" s="37"/>
      <c r="R261" s="37"/>
      <c r="S261" s="37"/>
      <c r="T261" s="37"/>
      <c r="U261" s="3"/>
      <c r="W261" s="3"/>
      <c r="X261" s="3"/>
      <c r="Y261" s="3"/>
      <c r="Z261" s="3"/>
    </row>
    <row r="262" spans="1:26" ht="15.75" hidden="1" customHeight="1" outlineLevel="1" x14ac:dyDescent="0.3">
      <c r="A262" s="3"/>
      <c r="B262" s="91" t="s">
        <v>232</v>
      </c>
      <c r="C262" s="92"/>
      <c r="D262" s="92"/>
      <c r="E262" s="93">
        <f>SUM(E263:E271)</f>
        <v>0</v>
      </c>
      <c r="F262" s="93">
        <f>SUMIF(D263:D271,"OK",F263:F271)</f>
        <v>0</v>
      </c>
      <c r="G262" s="94"/>
      <c r="H262" s="94"/>
      <c r="I262" s="95"/>
      <c r="J262" s="94"/>
      <c r="K262" s="37"/>
      <c r="L262" s="37"/>
      <c r="M262" s="37"/>
      <c r="N262" s="37"/>
      <c r="O262" s="37"/>
      <c r="P262" s="37"/>
      <c r="Q262" s="37"/>
      <c r="R262" s="37"/>
      <c r="S262" s="37"/>
      <c r="T262" s="37"/>
      <c r="U262" s="3"/>
      <c r="W262" s="3"/>
      <c r="X262" s="3"/>
      <c r="Y262" s="3"/>
      <c r="Z262" s="3"/>
    </row>
    <row r="263" spans="1:26" ht="15.75" hidden="1" customHeight="1" outlineLevel="1" x14ac:dyDescent="0.3">
      <c r="A263" s="3"/>
      <c r="B263" s="10" t="s">
        <v>353</v>
      </c>
      <c r="C263" s="62"/>
      <c r="D263" s="62"/>
      <c r="E263" s="12">
        <v>0</v>
      </c>
      <c r="F263" s="12">
        <v>0</v>
      </c>
      <c r="G263" s="65"/>
      <c r="H263" s="65"/>
      <c r="I263" s="159"/>
      <c r="J263" s="65"/>
      <c r="K263" s="37"/>
      <c r="L263" s="37"/>
      <c r="M263" s="37"/>
      <c r="N263" s="37"/>
      <c r="O263" s="37"/>
      <c r="P263" s="37"/>
      <c r="Q263" s="37"/>
      <c r="R263" s="37"/>
      <c r="S263" s="37"/>
      <c r="T263" s="37"/>
      <c r="U263" s="3"/>
      <c r="W263" s="3"/>
      <c r="X263" s="3"/>
      <c r="Y263" s="3"/>
      <c r="Z263" s="3"/>
    </row>
    <row r="264" spans="1:26" ht="15.75" hidden="1" customHeight="1" outlineLevel="1" x14ac:dyDescent="0.3">
      <c r="A264" s="3"/>
      <c r="B264" s="10" t="s">
        <v>354</v>
      </c>
      <c r="C264" s="62"/>
      <c r="D264" s="62"/>
      <c r="E264" s="12">
        <v>0</v>
      </c>
      <c r="F264" s="12">
        <v>0</v>
      </c>
      <c r="G264" s="65"/>
      <c r="H264" s="65"/>
      <c r="I264" s="159"/>
      <c r="J264" s="65"/>
      <c r="K264" s="37"/>
      <c r="L264" s="37"/>
      <c r="M264" s="37"/>
      <c r="N264" s="37"/>
      <c r="O264" s="37"/>
      <c r="P264" s="37"/>
      <c r="Q264" s="37"/>
      <c r="R264" s="37"/>
      <c r="S264" s="37"/>
      <c r="T264" s="37"/>
      <c r="U264" s="3"/>
      <c r="W264" s="3"/>
      <c r="X264" s="3"/>
      <c r="Y264" s="3"/>
      <c r="Z264" s="3"/>
    </row>
    <row r="265" spans="1:26" ht="15.75" hidden="1" customHeight="1" outlineLevel="1" x14ac:dyDescent="0.3">
      <c r="A265" s="3"/>
      <c r="B265" s="10" t="s">
        <v>355</v>
      </c>
      <c r="C265" s="62"/>
      <c r="D265" s="62"/>
      <c r="E265" s="12">
        <v>0</v>
      </c>
      <c r="F265" s="12">
        <v>0</v>
      </c>
      <c r="G265" s="65"/>
      <c r="H265" s="65"/>
      <c r="I265" s="159"/>
      <c r="J265" s="65"/>
      <c r="K265" s="37"/>
      <c r="L265" s="37"/>
      <c r="M265" s="37"/>
      <c r="N265" s="37"/>
      <c r="O265" s="37"/>
      <c r="P265" s="37"/>
      <c r="Q265" s="37"/>
      <c r="R265" s="37"/>
      <c r="S265" s="37"/>
      <c r="T265" s="37"/>
      <c r="U265" s="3"/>
      <c r="W265" s="3"/>
      <c r="X265" s="3"/>
      <c r="Y265" s="3"/>
      <c r="Z265" s="3"/>
    </row>
    <row r="266" spans="1:26" ht="15.75" hidden="1" customHeight="1" outlineLevel="1" x14ac:dyDescent="0.3">
      <c r="A266" s="3"/>
      <c r="B266" s="10" t="s">
        <v>369</v>
      </c>
      <c r="C266" s="62"/>
      <c r="D266" s="62"/>
      <c r="E266" s="12">
        <v>0</v>
      </c>
      <c r="F266" s="12">
        <v>0</v>
      </c>
      <c r="G266" s="65"/>
      <c r="H266" s="65"/>
      <c r="I266" s="157"/>
      <c r="J266" s="65"/>
      <c r="K266" s="37"/>
      <c r="L266" s="37"/>
      <c r="M266" s="37"/>
      <c r="N266" s="37"/>
      <c r="O266" s="37"/>
      <c r="P266" s="37"/>
      <c r="Q266" s="37"/>
      <c r="R266" s="37"/>
      <c r="S266" s="37"/>
      <c r="T266" s="37"/>
      <c r="U266" s="3"/>
      <c r="W266" s="3"/>
      <c r="X266" s="3"/>
      <c r="Y266" s="3"/>
      <c r="Z266" s="3"/>
    </row>
    <row r="267" spans="1:26" ht="15.75" hidden="1" customHeight="1" outlineLevel="1" x14ac:dyDescent="0.3">
      <c r="A267" s="3"/>
      <c r="B267" s="10" t="s">
        <v>327</v>
      </c>
      <c r="C267" s="62"/>
      <c r="D267" s="62"/>
      <c r="E267" s="12">
        <v>0</v>
      </c>
      <c r="F267" s="12">
        <v>0</v>
      </c>
      <c r="G267" s="65"/>
      <c r="H267" s="65"/>
      <c r="I267" s="157"/>
      <c r="J267" s="65"/>
      <c r="K267" s="37"/>
      <c r="L267" s="37"/>
      <c r="M267" s="37"/>
      <c r="N267" s="37"/>
      <c r="O267" s="37"/>
      <c r="P267" s="37"/>
      <c r="Q267" s="37"/>
      <c r="R267" s="37"/>
      <c r="S267" s="37"/>
      <c r="T267" s="37"/>
      <c r="U267" s="3"/>
      <c r="W267" s="3"/>
      <c r="X267" s="3"/>
      <c r="Y267" s="3"/>
      <c r="Z267" s="3"/>
    </row>
    <row r="268" spans="1:26" ht="15.75" hidden="1" customHeight="1" outlineLevel="1" x14ac:dyDescent="0.3">
      <c r="A268" s="3"/>
      <c r="B268" s="10" t="s">
        <v>328</v>
      </c>
      <c r="C268" s="62"/>
      <c r="D268" s="62"/>
      <c r="E268" s="12">
        <v>0</v>
      </c>
      <c r="F268" s="12">
        <v>0</v>
      </c>
      <c r="G268" s="65"/>
      <c r="H268" s="65"/>
      <c r="I268" s="89"/>
      <c r="J268" s="65"/>
      <c r="K268" s="37"/>
      <c r="L268" s="37"/>
      <c r="M268" s="37"/>
      <c r="N268" s="37"/>
      <c r="O268" s="37"/>
      <c r="P268" s="37"/>
      <c r="Q268" s="37"/>
      <c r="R268" s="37"/>
      <c r="S268" s="37"/>
      <c r="T268" s="37"/>
      <c r="U268" s="3"/>
      <c r="W268" s="3"/>
      <c r="X268" s="3"/>
      <c r="Y268" s="3"/>
      <c r="Z268" s="3"/>
    </row>
    <row r="269" spans="1:26" ht="15.75" hidden="1" customHeight="1" outlineLevel="1" x14ac:dyDescent="0.3">
      <c r="A269" s="3"/>
      <c r="B269" s="10" t="s">
        <v>370</v>
      </c>
      <c r="C269" s="62"/>
      <c r="D269" s="62"/>
      <c r="E269" s="12">
        <v>0</v>
      </c>
      <c r="F269" s="12">
        <v>0</v>
      </c>
      <c r="G269" s="65"/>
      <c r="H269" s="65"/>
      <c r="I269" s="89"/>
      <c r="J269" s="65"/>
      <c r="K269" s="37"/>
      <c r="L269" s="37"/>
      <c r="M269" s="37"/>
      <c r="N269" s="37"/>
      <c r="O269" s="37"/>
      <c r="P269" s="37"/>
      <c r="Q269" s="37"/>
      <c r="R269" s="37"/>
      <c r="S269" s="37"/>
      <c r="T269" s="37"/>
      <c r="U269" s="3"/>
      <c r="W269" s="3"/>
      <c r="X269" s="3"/>
      <c r="Y269" s="3"/>
      <c r="Z269" s="3"/>
    </row>
    <row r="270" spans="1:26" ht="15.75" hidden="1" customHeight="1" outlineLevel="1" x14ac:dyDescent="0.3">
      <c r="A270" s="3"/>
      <c r="B270" s="10" t="s">
        <v>371</v>
      </c>
      <c r="C270" s="62"/>
      <c r="D270" s="62"/>
      <c r="E270" s="12">
        <v>0</v>
      </c>
      <c r="F270" s="12">
        <v>0</v>
      </c>
      <c r="G270" s="65"/>
      <c r="H270" s="65"/>
      <c r="I270" s="89"/>
      <c r="J270" s="65"/>
      <c r="K270" s="37"/>
      <c r="L270" s="37"/>
      <c r="M270" s="37"/>
      <c r="N270" s="37"/>
      <c r="O270" s="37"/>
      <c r="P270" s="37"/>
      <c r="Q270" s="37"/>
      <c r="R270" s="37"/>
      <c r="S270" s="37"/>
      <c r="T270" s="37"/>
      <c r="U270" s="3"/>
      <c r="W270" s="3"/>
      <c r="X270" s="3"/>
      <c r="Y270" s="3"/>
      <c r="Z270" s="3"/>
    </row>
    <row r="271" spans="1:26" ht="15.75" hidden="1" customHeight="1" outlineLevel="1" x14ac:dyDescent="0.3">
      <c r="A271" s="3"/>
      <c r="B271" s="10" t="s">
        <v>372</v>
      </c>
      <c r="C271" s="62"/>
      <c r="D271" s="62"/>
      <c r="E271" s="12">
        <v>0</v>
      </c>
      <c r="F271" s="12">
        <v>0</v>
      </c>
      <c r="G271" s="65"/>
      <c r="H271" s="65"/>
      <c r="I271" s="89"/>
      <c r="J271" s="65"/>
      <c r="K271" s="37"/>
      <c r="L271" s="37"/>
      <c r="M271" s="37"/>
      <c r="N271" s="37"/>
      <c r="O271" s="37"/>
      <c r="P271" s="37"/>
      <c r="Q271" s="37"/>
      <c r="R271" s="37"/>
      <c r="S271" s="37"/>
      <c r="T271" s="37"/>
      <c r="U271" s="3"/>
      <c r="W271" s="3"/>
      <c r="X271" s="3"/>
      <c r="Y271" s="3"/>
      <c r="Z271" s="3"/>
    </row>
    <row r="272" spans="1:26" ht="15.75" hidden="1" customHeight="1" outlineLevel="1" x14ac:dyDescent="0.3">
      <c r="A272" s="3"/>
      <c r="B272" s="91" t="s">
        <v>651</v>
      </c>
      <c r="C272" s="92"/>
      <c r="D272" s="92"/>
      <c r="E272" s="93">
        <f>SUM(E273:E281)</f>
        <v>0</v>
      </c>
      <c r="F272" s="93">
        <f>SUMIF(D273:D281,"OK",F273:F281)</f>
        <v>0</v>
      </c>
      <c r="G272" s="94"/>
      <c r="H272" s="94"/>
      <c r="I272" s="95"/>
      <c r="J272" s="94"/>
      <c r="K272" s="37"/>
      <c r="L272" s="37"/>
      <c r="M272" s="37"/>
      <c r="N272" s="37"/>
      <c r="O272" s="37"/>
      <c r="P272" s="37"/>
      <c r="Q272" s="37"/>
      <c r="R272" s="37"/>
      <c r="S272" s="37"/>
      <c r="T272" s="37"/>
      <c r="U272" s="3"/>
      <c r="W272" s="3"/>
      <c r="X272" s="3"/>
      <c r="Y272" s="3"/>
      <c r="Z272" s="3"/>
    </row>
    <row r="273" spans="1:26" ht="15.75" hidden="1" customHeight="1" outlineLevel="1" x14ac:dyDescent="0.3">
      <c r="A273" s="3"/>
      <c r="B273" s="10" t="s">
        <v>353</v>
      </c>
      <c r="C273" s="62"/>
      <c r="D273" s="62"/>
      <c r="E273" s="12">
        <v>0</v>
      </c>
      <c r="F273" s="12">
        <v>0</v>
      </c>
      <c r="G273" s="65"/>
      <c r="H273" s="65"/>
      <c r="I273" s="157"/>
      <c r="J273" s="65"/>
      <c r="K273" s="37"/>
      <c r="L273" s="37"/>
      <c r="M273" s="37"/>
      <c r="N273" s="37"/>
      <c r="O273" s="37"/>
      <c r="P273" s="37"/>
      <c r="Q273" s="37"/>
      <c r="R273" s="37"/>
      <c r="S273" s="37"/>
      <c r="T273" s="37"/>
      <c r="U273" s="3"/>
      <c r="W273" s="3"/>
      <c r="X273" s="3"/>
      <c r="Y273" s="3"/>
      <c r="Z273" s="3"/>
    </row>
    <row r="274" spans="1:26" ht="15.75" hidden="1" customHeight="1" outlineLevel="1" x14ac:dyDescent="0.3">
      <c r="A274" s="3"/>
      <c r="B274" s="10" t="s">
        <v>354</v>
      </c>
      <c r="C274" s="62"/>
      <c r="D274" s="62"/>
      <c r="E274" s="12">
        <v>0</v>
      </c>
      <c r="F274" s="12">
        <v>0</v>
      </c>
      <c r="G274" s="65"/>
      <c r="H274" s="65"/>
      <c r="I274" s="157"/>
      <c r="J274" s="65"/>
      <c r="K274" s="37"/>
      <c r="L274" s="37"/>
      <c r="M274" s="37"/>
      <c r="N274" s="37"/>
      <c r="O274" s="37"/>
      <c r="P274" s="37"/>
      <c r="Q274" s="37"/>
      <c r="R274" s="37"/>
      <c r="S274" s="37"/>
      <c r="T274" s="37"/>
      <c r="U274" s="3"/>
      <c r="W274" s="3"/>
      <c r="X274" s="3"/>
      <c r="Y274" s="3"/>
      <c r="Z274" s="3"/>
    </row>
    <row r="275" spans="1:26" ht="15.75" hidden="1" customHeight="1" outlineLevel="1" x14ac:dyDescent="0.3">
      <c r="A275" s="3"/>
      <c r="B275" s="10" t="s">
        <v>355</v>
      </c>
      <c r="C275" s="62"/>
      <c r="D275" s="62"/>
      <c r="E275" s="12">
        <v>0</v>
      </c>
      <c r="F275" s="12">
        <v>0</v>
      </c>
      <c r="G275" s="65"/>
      <c r="H275" s="65"/>
      <c r="I275" s="157"/>
      <c r="J275" s="65"/>
      <c r="K275" s="37"/>
      <c r="L275" s="37"/>
      <c r="M275" s="37"/>
      <c r="N275" s="37"/>
      <c r="O275" s="37"/>
      <c r="P275" s="37"/>
      <c r="Q275" s="37"/>
      <c r="R275" s="37"/>
      <c r="S275" s="37"/>
      <c r="T275" s="37"/>
      <c r="U275" s="3"/>
      <c r="W275" s="3"/>
      <c r="X275" s="3"/>
      <c r="Y275" s="3"/>
      <c r="Z275" s="3"/>
    </row>
    <row r="276" spans="1:26" ht="15.75" hidden="1" customHeight="1" outlineLevel="1" x14ac:dyDescent="0.3">
      <c r="A276" s="3"/>
      <c r="B276" s="10" t="s">
        <v>369</v>
      </c>
      <c r="C276" s="62"/>
      <c r="D276" s="62"/>
      <c r="E276" s="12">
        <v>0</v>
      </c>
      <c r="F276" s="12">
        <v>0</v>
      </c>
      <c r="G276" s="65"/>
      <c r="H276" s="65"/>
      <c r="I276" s="157"/>
      <c r="J276" s="65"/>
      <c r="K276" s="37"/>
      <c r="L276" s="37"/>
      <c r="M276" s="37"/>
      <c r="N276" s="37"/>
      <c r="O276" s="37"/>
      <c r="P276" s="37"/>
      <c r="Q276" s="37"/>
      <c r="R276" s="37"/>
      <c r="S276" s="37"/>
      <c r="T276" s="37"/>
      <c r="U276" s="3"/>
      <c r="W276" s="3"/>
      <c r="X276" s="3"/>
      <c r="Y276" s="3"/>
      <c r="Z276" s="3"/>
    </row>
    <row r="277" spans="1:26" ht="15.75" hidden="1" customHeight="1" outlineLevel="1" x14ac:dyDescent="0.3">
      <c r="A277" s="3"/>
      <c r="B277" s="10" t="s">
        <v>327</v>
      </c>
      <c r="C277" s="62"/>
      <c r="D277" s="62"/>
      <c r="E277" s="12">
        <v>0</v>
      </c>
      <c r="F277" s="12">
        <v>0</v>
      </c>
      <c r="G277" s="65"/>
      <c r="H277" s="65"/>
      <c r="I277" s="157"/>
      <c r="J277" s="65"/>
      <c r="K277" s="37"/>
      <c r="L277" s="37"/>
      <c r="M277" s="37"/>
      <c r="N277" s="37"/>
      <c r="O277" s="37"/>
      <c r="P277" s="37"/>
      <c r="Q277" s="37"/>
      <c r="R277" s="37"/>
      <c r="S277" s="37"/>
      <c r="T277" s="37"/>
      <c r="U277" s="3"/>
      <c r="W277" s="3"/>
      <c r="X277" s="3"/>
      <c r="Y277" s="3"/>
      <c r="Z277" s="3"/>
    </row>
    <row r="278" spans="1:26" ht="15.75" hidden="1" customHeight="1" outlineLevel="1" x14ac:dyDescent="0.3">
      <c r="A278" s="3"/>
      <c r="B278" s="10" t="s">
        <v>328</v>
      </c>
      <c r="C278" s="62"/>
      <c r="D278" s="62"/>
      <c r="E278" s="12">
        <v>0</v>
      </c>
      <c r="F278" s="12">
        <v>0</v>
      </c>
      <c r="G278" s="65"/>
      <c r="H278" s="65"/>
      <c r="I278" s="157"/>
      <c r="J278" s="65"/>
      <c r="K278" s="37"/>
      <c r="L278" s="37"/>
      <c r="M278" s="37"/>
      <c r="N278" s="37"/>
      <c r="O278" s="37"/>
      <c r="P278" s="37"/>
      <c r="Q278" s="37"/>
      <c r="R278" s="37"/>
      <c r="S278" s="37"/>
      <c r="T278" s="37"/>
      <c r="U278" s="3"/>
      <c r="W278" s="3"/>
      <c r="X278" s="3"/>
      <c r="Y278" s="3"/>
      <c r="Z278" s="3"/>
    </row>
    <row r="279" spans="1:26" ht="15.75" hidden="1" customHeight="1" outlineLevel="1" x14ac:dyDescent="0.3">
      <c r="A279" s="3"/>
      <c r="B279" s="10" t="s">
        <v>370</v>
      </c>
      <c r="C279" s="62"/>
      <c r="D279" s="62"/>
      <c r="E279" s="12">
        <v>0</v>
      </c>
      <c r="F279" s="12">
        <v>0</v>
      </c>
      <c r="G279" s="65"/>
      <c r="H279" s="65"/>
      <c r="I279" s="157"/>
      <c r="J279" s="65"/>
      <c r="K279" s="37"/>
      <c r="L279" s="37"/>
      <c r="M279" s="37"/>
      <c r="N279" s="37"/>
      <c r="O279" s="37"/>
      <c r="P279" s="37"/>
      <c r="Q279" s="37"/>
      <c r="R279" s="37"/>
      <c r="S279" s="37"/>
      <c r="T279" s="37"/>
      <c r="U279" s="3"/>
      <c r="W279" s="3"/>
      <c r="X279" s="3"/>
      <c r="Y279" s="3"/>
      <c r="Z279" s="3"/>
    </row>
    <row r="280" spans="1:26" ht="15.75" hidden="1" customHeight="1" outlineLevel="1" x14ac:dyDescent="0.3">
      <c r="A280" s="3"/>
      <c r="B280" s="10" t="s">
        <v>371</v>
      </c>
      <c r="C280" s="62"/>
      <c r="D280" s="62"/>
      <c r="E280" s="12">
        <v>0</v>
      </c>
      <c r="F280" s="12">
        <v>0</v>
      </c>
      <c r="G280" s="65"/>
      <c r="H280" s="65"/>
      <c r="I280" s="157"/>
      <c r="J280" s="65"/>
      <c r="K280" s="37"/>
      <c r="L280" s="37"/>
      <c r="M280" s="37"/>
      <c r="N280" s="37"/>
      <c r="O280" s="37"/>
      <c r="P280" s="37"/>
      <c r="Q280" s="37"/>
      <c r="R280" s="37"/>
      <c r="S280" s="37"/>
      <c r="T280" s="37"/>
      <c r="U280" s="3"/>
      <c r="W280" s="3"/>
      <c r="X280" s="3"/>
      <c r="Y280" s="3"/>
      <c r="Z280" s="3"/>
    </row>
    <row r="281" spans="1:26" ht="15.75" hidden="1" customHeight="1" outlineLevel="1" x14ac:dyDescent="0.3">
      <c r="A281" s="3"/>
      <c r="B281" s="10" t="s">
        <v>372</v>
      </c>
      <c r="C281" s="62"/>
      <c r="D281" s="62"/>
      <c r="E281" s="12">
        <v>0</v>
      </c>
      <c r="F281" s="12">
        <v>0</v>
      </c>
      <c r="G281" s="65"/>
      <c r="H281" s="65"/>
      <c r="I281" s="89"/>
      <c r="J281" s="65"/>
      <c r="K281" s="37"/>
      <c r="L281" s="37"/>
      <c r="M281" s="37"/>
      <c r="N281" s="37"/>
      <c r="O281" s="37"/>
      <c r="P281" s="37"/>
      <c r="Q281" s="37"/>
      <c r="R281" s="37"/>
      <c r="S281" s="37"/>
      <c r="T281" s="37"/>
      <c r="U281" s="3"/>
      <c r="W281" s="3"/>
      <c r="X281" s="3"/>
      <c r="Y281" s="3"/>
      <c r="Z281" s="3"/>
    </row>
    <row r="282" spans="1:26" ht="15.75" hidden="1" customHeight="1" outlineLevel="1" x14ac:dyDescent="0.3">
      <c r="A282" s="3"/>
      <c r="B282" s="91" t="s">
        <v>1024</v>
      </c>
      <c r="C282" s="92"/>
      <c r="D282" s="92"/>
      <c r="E282" s="93">
        <f>SUM(E283:E291)</f>
        <v>0</v>
      </c>
      <c r="F282" s="93">
        <f>SUMIF(D283:D291,"OK",F283:F291)</f>
        <v>0</v>
      </c>
      <c r="G282" s="94"/>
      <c r="H282" s="94"/>
      <c r="I282" s="95"/>
      <c r="J282" s="94"/>
      <c r="K282" s="37"/>
      <c r="L282" s="37"/>
      <c r="M282" s="37"/>
      <c r="N282" s="37"/>
      <c r="O282" s="37"/>
      <c r="P282" s="37"/>
      <c r="Q282" s="37"/>
      <c r="R282" s="37"/>
      <c r="S282" s="37"/>
      <c r="T282" s="37"/>
      <c r="U282" s="3"/>
      <c r="W282" s="3"/>
      <c r="X282" s="3"/>
      <c r="Y282" s="3"/>
      <c r="Z282" s="3"/>
    </row>
    <row r="283" spans="1:26" ht="15.75" hidden="1" customHeight="1" outlineLevel="1" x14ac:dyDescent="0.3">
      <c r="A283" s="3"/>
      <c r="B283" s="10" t="s">
        <v>353</v>
      </c>
      <c r="C283" s="62"/>
      <c r="D283" s="62"/>
      <c r="E283" s="12">
        <v>0</v>
      </c>
      <c r="F283" s="12">
        <v>0</v>
      </c>
      <c r="G283" s="65"/>
      <c r="H283" s="65"/>
      <c r="I283" s="89"/>
      <c r="J283" s="65"/>
      <c r="K283" s="37"/>
      <c r="L283" s="37"/>
      <c r="M283" s="37"/>
      <c r="N283" s="37"/>
      <c r="O283" s="37"/>
      <c r="P283" s="37"/>
      <c r="Q283" s="37"/>
      <c r="R283" s="37"/>
      <c r="S283" s="37"/>
      <c r="T283" s="37"/>
      <c r="U283" s="3"/>
      <c r="W283" s="3"/>
      <c r="X283" s="3"/>
      <c r="Y283" s="3"/>
      <c r="Z283" s="3"/>
    </row>
    <row r="284" spans="1:26" ht="15.75" hidden="1" customHeight="1" outlineLevel="1" x14ac:dyDescent="0.3">
      <c r="A284" s="3"/>
      <c r="B284" s="10" t="s">
        <v>354</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5.75" hidden="1" customHeight="1" outlineLevel="1" x14ac:dyDescent="0.3">
      <c r="A285" s="3"/>
      <c r="B285" s="10" t="s">
        <v>355</v>
      </c>
      <c r="C285" s="62"/>
      <c r="D285" s="62"/>
      <c r="E285" s="12">
        <v>0</v>
      </c>
      <c r="F285" s="12">
        <v>0</v>
      </c>
      <c r="G285" s="65"/>
      <c r="H285" s="65"/>
      <c r="I285" s="89"/>
      <c r="J285" s="65"/>
      <c r="K285" s="37"/>
      <c r="L285" s="37"/>
      <c r="M285" s="37"/>
      <c r="N285" s="37"/>
      <c r="O285" s="37"/>
      <c r="P285" s="37"/>
      <c r="Q285" s="37"/>
      <c r="R285" s="37"/>
      <c r="S285" s="37"/>
      <c r="T285" s="37"/>
      <c r="U285" s="3"/>
      <c r="W285" s="3"/>
      <c r="X285" s="3"/>
      <c r="Y285" s="3"/>
      <c r="Z285" s="3"/>
    </row>
    <row r="286" spans="1:26" ht="15.75" hidden="1" customHeight="1" outlineLevel="1" x14ac:dyDescent="0.3">
      <c r="A286" s="3"/>
      <c r="B286" s="10" t="s">
        <v>369</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5.75" hidden="1" customHeight="1" outlineLevel="1" x14ac:dyDescent="0.3">
      <c r="A287" s="3"/>
      <c r="B287" s="10" t="s">
        <v>327</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5.75" hidden="1" customHeight="1" outlineLevel="1" x14ac:dyDescent="0.3">
      <c r="A288" s="3"/>
      <c r="B288" s="10" t="s">
        <v>328</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5.75" hidden="1" customHeight="1" outlineLevel="1" x14ac:dyDescent="0.3">
      <c r="A289" s="3"/>
      <c r="B289" s="10" t="s">
        <v>370</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t="15.75" hidden="1" customHeight="1" outlineLevel="1" x14ac:dyDescent="0.3">
      <c r="A290" s="3"/>
      <c r="B290" s="10" t="s">
        <v>371</v>
      </c>
      <c r="C290" s="62"/>
      <c r="D290" s="62"/>
      <c r="E290" s="12">
        <v>0</v>
      </c>
      <c r="F290" s="12">
        <v>0</v>
      </c>
      <c r="G290" s="65"/>
      <c r="H290" s="65"/>
      <c r="I290" s="89"/>
      <c r="J290" s="65"/>
      <c r="K290" s="37"/>
      <c r="L290" s="37"/>
      <c r="M290" s="37"/>
      <c r="N290" s="37"/>
      <c r="O290" s="37"/>
      <c r="P290" s="37"/>
      <c r="Q290" s="37"/>
      <c r="R290" s="37"/>
      <c r="S290" s="37"/>
      <c r="T290" s="37"/>
      <c r="U290" s="3"/>
      <c r="W290" s="3"/>
      <c r="X290" s="3"/>
      <c r="Y290" s="3"/>
      <c r="Z290" s="3"/>
    </row>
    <row r="291" spans="1:26" ht="15.75" hidden="1" customHeight="1" outlineLevel="1" x14ac:dyDescent="0.3">
      <c r="A291" s="3"/>
      <c r="B291" s="10" t="s">
        <v>372</v>
      </c>
      <c r="C291" s="62"/>
      <c r="D291" s="62"/>
      <c r="E291" s="12">
        <v>0</v>
      </c>
      <c r="F291" s="12">
        <v>0</v>
      </c>
      <c r="G291" s="65"/>
      <c r="H291" s="65"/>
      <c r="I291" s="89"/>
      <c r="J291" s="65"/>
      <c r="K291" s="37"/>
      <c r="L291" s="37"/>
      <c r="M291" s="37"/>
      <c r="N291" s="37"/>
      <c r="O291" s="37"/>
      <c r="P291" s="37"/>
      <c r="Q291" s="37"/>
      <c r="R291" s="37"/>
      <c r="S291" s="37"/>
      <c r="T291" s="37"/>
      <c r="U291" s="3"/>
      <c r="W291" s="3"/>
      <c r="X291" s="3"/>
      <c r="Y291" s="3"/>
      <c r="Z291" s="3"/>
    </row>
    <row r="292" spans="1:26" ht="15.75" hidden="1" customHeight="1" outlineLevel="1" x14ac:dyDescent="0.3">
      <c r="A292" s="3"/>
      <c r="B292" s="91" t="s">
        <v>64</v>
      </c>
      <c r="C292" s="92"/>
      <c r="D292" s="92"/>
      <c r="E292" s="93">
        <f>SUM(E293:E313)</f>
        <v>0</v>
      </c>
      <c r="F292" s="93">
        <f>SUMIF(D293:D313,"OK",F293:F313)</f>
        <v>0</v>
      </c>
      <c r="G292" s="94"/>
      <c r="H292" s="94"/>
      <c r="I292" s="95"/>
      <c r="J292" s="94"/>
      <c r="K292" s="37"/>
      <c r="L292" s="37"/>
      <c r="M292" s="37"/>
      <c r="N292" s="37"/>
      <c r="O292" s="37"/>
      <c r="P292" s="37"/>
      <c r="Q292" s="37"/>
      <c r="R292" s="37"/>
      <c r="S292" s="37"/>
      <c r="T292" s="37"/>
      <c r="U292" s="3"/>
      <c r="W292" s="3"/>
      <c r="X292" s="3"/>
      <c r="Y292" s="3"/>
      <c r="Z292" s="3"/>
    </row>
    <row r="293" spans="1:26" ht="15.75" hidden="1" customHeight="1" outlineLevel="1" x14ac:dyDescent="0.3">
      <c r="A293" s="3"/>
      <c r="B293" s="10" t="s">
        <v>353</v>
      </c>
      <c r="C293" s="62"/>
      <c r="D293" s="62"/>
      <c r="E293" s="12">
        <v>0</v>
      </c>
      <c r="F293" s="12">
        <v>0</v>
      </c>
      <c r="G293" s="65"/>
      <c r="H293" s="65"/>
      <c r="I293" s="157"/>
      <c r="J293" s="65"/>
      <c r="K293" s="37"/>
      <c r="L293" s="37"/>
      <c r="M293" s="37"/>
      <c r="N293" s="37"/>
      <c r="O293" s="37"/>
      <c r="P293" s="37"/>
      <c r="Q293" s="37"/>
      <c r="R293" s="37"/>
      <c r="S293" s="37"/>
      <c r="T293" s="37"/>
      <c r="U293" s="3"/>
      <c r="W293" s="3"/>
      <c r="X293" s="3"/>
      <c r="Y293" s="3"/>
      <c r="Z293" s="3"/>
    </row>
    <row r="294" spans="1:26" ht="15.75" hidden="1" customHeight="1" outlineLevel="1" x14ac:dyDescent="0.3">
      <c r="A294" s="3"/>
      <c r="B294" s="10" t="s">
        <v>354</v>
      </c>
      <c r="C294" s="62"/>
      <c r="D294" s="62"/>
      <c r="E294" s="12">
        <v>0</v>
      </c>
      <c r="F294" s="12">
        <v>0</v>
      </c>
      <c r="G294" s="65"/>
      <c r="H294" s="65"/>
      <c r="I294" s="157"/>
      <c r="J294" s="65"/>
      <c r="K294" s="37"/>
      <c r="L294" s="37"/>
      <c r="M294" s="37"/>
      <c r="N294" s="37"/>
      <c r="O294" s="37"/>
      <c r="P294" s="37"/>
      <c r="Q294" s="37"/>
      <c r="R294" s="37"/>
      <c r="S294" s="37"/>
      <c r="T294" s="37"/>
      <c r="U294" s="3"/>
      <c r="W294" s="3"/>
      <c r="X294" s="3"/>
      <c r="Y294" s="3"/>
      <c r="Z294" s="3"/>
    </row>
    <row r="295" spans="1:26" ht="15.75" hidden="1" customHeight="1" outlineLevel="1" x14ac:dyDescent="0.3">
      <c r="A295" s="3"/>
      <c r="B295" s="10" t="s">
        <v>355</v>
      </c>
      <c r="C295" s="62"/>
      <c r="D295" s="62"/>
      <c r="E295" s="12">
        <v>0</v>
      </c>
      <c r="F295" s="12">
        <v>0</v>
      </c>
      <c r="G295" s="65"/>
      <c r="H295" s="65"/>
      <c r="I295" s="157"/>
      <c r="J295" s="65"/>
      <c r="K295" s="37"/>
      <c r="L295" s="37"/>
      <c r="M295" s="37"/>
      <c r="N295" s="37"/>
      <c r="O295" s="37"/>
      <c r="P295" s="37"/>
      <c r="Q295" s="37"/>
      <c r="R295" s="37"/>
      <c r="S295" s="37"/>
      <c r="T295" s="37"/>
      <c r="U295" s="3"/>
      <c r="W295" s="3"/>
      <c r="X295" s="3"/>
      <c r="Y295" s="3"/>
      <c r="Z295" s="3"/>
    </row>
    <row r="296" spans="1:26" ht="15.75" hidden="1" customHeight="1" outlineLevel="1" x14ac:dyDescent="0.3">
      <c r="A296" s="3"/>
      <c r="B296" s="10" t="s">
        <v>369</v>
      </c>
      <c r="C296" s="62"/>
      <c r="D296" s="62"/>
      <c r="E296" s="12">
        <v>0</v>
      </c>
      <c r="F296" s="12">
        <v>0</v>
      </c>
      <c r="G296" s="65"/>
      <c r="H296" s="65"/>
      <c r="I296" s="157"/>
      <c r="J296" s="65"/>
      <c r="K296" s="37"/>
      <c r="L296" s="37"/>
      <c r="M296" s="37"/>
      <c r="N296" s="37"/>
      <c r="O296" s="37"/>
      <c r="P296" s="37"/>
      <c r="Q296" s="37"/>
      <c r="R296" s="37"/>
      <c r="S296" s="37"/>
      <c r="T296" s="37"/>
      <c r="U296" s="3"/>
      <c r="W296" s="3"/>
      <c r="X296" s="3"/>
      <c r="Y296" s="3"/>
      <c r="Z296" s="3"/>
    </row>
    <row r="297" spans="1:26" ht="15.75" hidden="1" customHeight="1" outlineLevel="1" x14ac:dyDescent="0.3">
      <c r="A297" s="3"/>
      <c r="B297" s="10" t="s">
        <v>327</v>
      </c>
      <c r="C297" s="62"/>
      <c r="D297" s="62"/>
      <c r="E297" s="12">
        <v>0</v>
      </c>
      <c r="F297" s="12">
        <v>0</v>
      </c>
      <c r="G297" s="89"/>
      <c r="H297" s="65"/>
      <c r="I297" s="157"/>
      <c r="J297" s="65"/>
      <c r="K297" s="37"/>
      <c r="L297" s="37"/>
      <c r="M297" s="37"/>
      <c r="N297" s="37"/>
      <c r="O297" s="37"/>
      <c r="P297" s="37"/>
      <c r="Q297" s="37"/>
      <c r="R297" s="37"/>
      <c r="S297" s="37"/>
      <c r="T297" s="37"/>
      <c r="U297" s="3"/>
      <c r="W297" s="3"/>
      <c r="X297" s="3"/>
      <c r="Y297" s="3"/>
      <c r="Z297" s="3"/>
    </row>
    <row r="298" spans="1:26" ht="15.75" hidden="1" customHeight="1" outlineLevel="1" x14ac:dyDescent="0.3">
      <c r="A298" s="3"/>
      <c r="B298" s="10" t="s">
        <v>328</v>
      </c>
      <c r="C298" s="62"/>
      <c r="D298" s="62"/>
      <c r="E298" s="12">
        <v>0</v>
      </c>
      <c r="F298" s="12">
        <v>0</v>
      </c>
      <c r="G298" s="65"/>
      <c r="H298" s="65"/>
      <c r="I298" s="157"/>
      <c r="J298" s="65"/>
      <c r="K298" s="37"/>
      <c r="L298" s="37"/>
      <c r="M298" s="37"/>
      <c r="N298" s="37"/>
      <c r="O298" s="37"/>
      <c r="P298" s="37"/>
      <c r="Q298" s="37"/>
      <c r="R298" s="37"/>
      <c r="S298" s="37"/>
      <c r="T298" s="37"/>
      <c r="U298" s="3"/>
      <c r="W298" s="3"/>
      <c r="X298" s="3"/>
      <c r="Y298" s="3"/>
      <c r="Z298" s="3"/>
    </row>
    <row r="299" spans="1:26" ht="15.75" hidden="1" customHeight="1" outlineLevel="1" x14ac:dyDescent="0.3">
      <c r="A299" s="3"/>
      <c r="B299" s="10" t="s">
        <v>370</v>
      </c>
      <c r="C299" s="62"/>
      <c r="D299" s="62"/>
      <c r="E299" s="12">
        <v>0</v>
      </c>
      <c r="F299" s="12">
        <v>0</v>
      </c>
      <c r="G299" s="65"/>
      <c r="H299" s="65"/>
      <c r="I299" s="157"/>
      <c r="J299" s="65"/>
      <c r="K299" s="37"/>
      <c r="L299" s="37"/>
      <c r="M299" s="37"/>
      <c r="N299" s="37"/>
      <c r="O299" s="37"/>
      <c r="P299" s="37"/>
      <c r="Q299" s="37"/>
      <c r="R299" s="37"/>
      <c r="S299" s="37"/>
      <c r="T299" s="37"/>
      <c r="U299" s="3"/>
      <c r="W299" s="3"/>
      <c r="X299" s="3"/>
      <c r="Y299" s="3"/>
      <c r="Z299" s="3"/>
    </row>
    <row r="300" spans="1:26" ht="15.75" hidden="1" customHeight="1" outlineLevel="1" x14ac:dyDescent="0.3">
      <c r="A300" s="3"/>
      <c r="B300" s="10" t="s">
        <v>371</v>
      </c>
      <c r="C300" s="62"/>
      <c r="D300" s="62"/>
      <c r="E300" s="12">
        <v>0</v>
      </c>
      <c r="F300" s="12">
        <v>0</v>
      </c>
      <c r="G300" s="65"/>
      <c r="H300" s="65"/>
      <c r="I300" s="157"/>
      <c r="J300" s="65"/>
      <c r="K300" s="37"/>
      <c r="L300" s="37"/>
      <c r="M300" s="37"/>
      <c r="N300" s="37"/>
      <c r="O300" s="37"/>
      <c r="P300" s="37"/>
      <c r="Q300" s="37"/>
      <c r="R300" s="37"/>
      <c r="S300" s="37"/>
      <c r="T300" s="37"/>
      <c r="U300" s="3"/>
      <c r="W300" s="3"/>
      <c r="X300" s="3"/>
      <c r="Y300" s="3"/>
      <c r="Z300" s="3"/>
    </row>
    <row r="301" spans="1:26" ht="15.75" hidden="1" customHeight="1" outlineLevel="1" x14ac:dyDescent="0.3">
      <c r="A301" s="3"/>
      <c r="B301" s="10" t="s">
        <v>372</v>
      </c>
      <c r="C301" s="62"/>
      <c r="D301" s="62"/>
      <c r="E301" s="12">
        <v>0</v>
      </c>
      <c r="F301" s="12">
        <v>0</v>
      </c>
      <c r="G301" s="65"/>
      <c r="H301" s="65"/>
      <c r="I301" s="157"/>
      <c r="J301" s="65"/>
      <c r="K301" s="37"/>
      <c r="L301" s="37"/>
      <c r="M301" s="37"/>
      <c r="N301" s="37"/>
      <c r="O301" s="37"/>
      <c r="P301" s="37"/>
      <c r="Q301" s="37"/>
      <c r="R301" s="37"/>
      <c r="S301" s="37"/>
      <c r="T301" s="37"/>
      <c r="U301" s="3"/>
      <c r="W301" s="3"/>
      <c r="X301" s="3"/>
      <c r="Y301" s="3"/>
      <c r="Z301" s="3"/>
    </row>
    <row r="302" spans="1:26" ht="15.75" hidden="1" customHeight="1" outlineLevel="1" x14ac:dyDescent="0.3">
      <c r="A302" s="3"/>
      <c r="B302" s="10" t="s">
        <v>1547</v>
      </c>
      <c r="C302" s="62"/>
      <c r="D302" s="62"/>
      <c r="E302" s="12">
        <v>0</v>
      </c>
      <c r="F302" s="12">
        <v>0</v>
      </c>
      <c r="G302" s="65"/>
      <c r="H302" s="65"/>
      <c r="I302" s="157"/>
      <c r="J302" s="65"/>
      <c r="K302" s="37"/>
      <c r="L302" s="37"/>
      <c r="M302" s="37"/>
      <c r="N302" s="37"/>
      <c r="O302" s="37"/>
      <c r="P302" s="37"/>
      <c r="Q302" s="37"/>
      <c r="R302" s="37"/>
      <c r="S302" s="37"/>
      <c r="T302" s="37"/>
      <c r="U302" s="3"/>
      <c r="W302" s="3"/>
      <c r="X302" s="3"/>
      <c r="Y302" s="3"/>
      <c r="Z302" s="3"/>
    </row>
    <row r="303" spans="1:26" ht="15.75" hidden="1" customHeight="1" outlineLevel="1" x14ac:dyDescent="0.3">
      <c r="A303" s="3"/>
      <c r="B303" s="10" t="s">
        <v>1548</v>
      </c>
      <c r="C303" s="62"/>
      <c r="D303" s="62"/>
      <c r="E303" s="12">
        <v>0</v>
      </c>
      <c r="F303" s="12">
        <v>0</v>
      </c>
      <c r="G303" s="65"/>
      <c r="H303" s="65"/>
      <c r="I303" s="157"/>
      <c r="J303" s="65"/>
      <c r="K303" s="37"/>
      <c r="L303" s="37"/>
      <c r="M303" s="37"/>
      <c r="N303" s="37"/>
      <c r="O303" s="37"/>
      <c r="P303" s="37"/>
      <c r="Q303" s="37"/>
      <c r="R303" s="37"/>
      <c r="S303" s="37"/>
      <c r="T303" s="37"/>
      <c r="U303" s="3"/>
      <c r="W303" s="3"/>
      <c r="X303" s="3"/>
      <c r="Y303" s="3"/>
      <c r="Z303" s="3"/>
    </row>
    <row r="304" spans="1:26" ht="15.75" hidden="1" customHeight="1" outlineLevel="1" x14ac:dyDescent="0.3">
      <c r="A304" s="3"/>
      <c r="B304" s="10" t="s">
        <v>1549</v>
      </c>
      <c r="C304" s="62"/>
      <c r="D304" s="62"/>
      <c r="E304" s="12">
        <v>0</v>
      </c>
      <c r="F304" s="12">
        <v>0</v>
      </c>
      <c r="G304" s="65"/>
      <c r="H304" s="65"/>
      <c r="I304" s="157"/>
      <c r="J304" s="65"/>
      <c r="K304" s="37"/>
      <c r="L304" s="37"/>
      <c r="M304" s="37"/>
      <c r="N304" s="37"/>
      <c r="O304" s="37"/>
      <c r="P304" s="37"/>
      <c r="Q304" s="37"/>
      <c r="R304" s="37"/>
      <c r="S304" s="37"/>
      <c r="T304" s="37"/>
      <c r="U304" s="3"/>
      <c r="W304" s="3"/>
      <c r="X304" s="3"/>
      <c r="Y304" s="3"/>
      <c r="Z304" s="3"/>
    </row>
    <row r="305" spans="1:26" ht="15.75" hidden="1" customHeight="1" outlineLevel="1" x14ac:dyDescent="0.3">
      <c r="A305" s="3"/>
      <c r="B305" s="10" t="s">
        <v>1550</v>
      </c>
      <c r="C305" s="62"/>
      <c r="D305" s="62"/>
      <c r="E305" s="12">
        <v>0</v>
      </c>
      <c r="F305" s="12">
        <v>0</v>
      </c>
      <c r="G305" s="65"/>
      <c r="H305" s="65"/>
      <c r="I305" s="157"/>
      <c r="J305" s="65"/>
      <c r="K305" s="37"/>
      <c r="L305" s="37"/>
      <c r="M305" s="37"/>
      <c r="N305" s="37"/>
      <c r="O305" s="37"/>
      <c r="P305" s="37"/>
      <c r="Q305" s="37"/>
      <c r="R305" s="37"/>
      <c r="S305" s="37"/>
      <c r="T305" s="37"/>
      <c r="U305" s="3"/>
      <c r="W305" s="3"/>
      <c r="X305" s="3"/>
      <c r="Y305" s="3"/>
      <c r="Z305" s="3"/>
    </row>
    <row r="306" spans="1:26" ht="15.75" hidden="1" customHeight="1" outlineLevel="1" x14ac:dyDescent="0.3">
      <c r="A306" s="3"/>
      <c r="B306" s="10" t="s">
        <v>1551</v>
      </c>
      <c r="C306" s="62"/>
      <c r="D306" s="62"/>
      <c r="E306" s="12">
        <v>0</v>
      </c>
      <c r="F306" s="12">
        <v>0</v>
      </c>
      <c r="G306" s="65"/>
      <c r="H306" s="65"/>
      <c r="I306" s="157"/>
      <c r="J306" s="65"/>
      <c r="K306" s="37"/>
      <c r="L306" s="37"/>
      <c r="M306" s="37"/>
      <c r="N306" s="37"/>
      <c r="O306" s="37"/>
      <c r="P306" s="37"/>
      <c r="Q306" s="37"/>
      <c r="R306" s="37"/>
      <c r="S306" s="37"/>
      <c r="T306" s="37"/>
      <c r="U306" s="3"/>
      <c r="W306" s="3"/>
      <c r="X306" s="3"/>
      <c r="Y306" s="3"/>
      <c r="Z306" s="3"/>
    </row>
    <row r="307" spans="1:26" ht="15.75" hidden="1" customHeight="1" outlineLevel="1" x14ac:dyDescent="0.3">
      <c r="A307" s="3"/>
      <c r="B307" s="10" t="s">
        <v>1552</v>
      </c>
      <c r="C307" s="62"/>
      <c r="D307" s="62"/>
      <c r="E307" s="12">
        <v>0</v>
      </c>
      <c r="F307" s="12">
        <v>0</v>
      </c>
      <c r="G307" s="65"/>
      <c r="H307" s="65"/>
      <c r="I307" s="157"/>
      <c r="J307" s="65"/>
      <c r="K307" s="37"/>
      <c r="L307" s="37"/>
      <c r="M307" s="37"/>
      <c r="N307" s="37"/>
      <c r="O307" s="37"/>
      <c r="P307" s="37"/>
      <c r="Q307" s="37"/>
      <c r="R307" s="37"/>
      <c r="S307" s="37"/>
      <c r="T307" s="37"/>
      <c r="U307" s="3"/>
      <c r="W307" s="3"/>
      <c r="X307" s="3"/>
      <c r="Y307" s="3"/>
      <c r="Z307" s="3"/>
    </row>
    <row r="308" spans="1:26" ht="15.75" hidden="1" customHeight="1" outlineLevel="1" x14ac:dyDescent="0.3">
      <c r="A308" s="3"/>
      <c r="B308" s="10" t="s">
        <v>1553</v>
      </c>
      <c r="C308" s="62"/>
      <c r="D308" s="62"/>
      <c r="E308" s="12">
        <v>0</v>
      </c>
      <c r="F308" s="12">
        <v>0</v>
      </c>
      <c r="G308" s="65"/>
      <c r="H308" s="65"/>
      <c r="I308" s="157"/>
      <c r="J308" s="65"/>
      <c r="K308" s="37"/>
      <c r="L308" s="37"/>
      <c r="M308" s="37"/>
      <c r="N308" s="37"/>
      <c r="O308" s="37"/>
      <c r="P308" s="37"/>
      <c r="Q308" s="37"/>
      <c r="R308" s="37"/>
      <c r="S308" s="37"/>
      <c r="T308" s="37"/>
      <c r="U308" s="3"/>
      <c r="W308" s="3"/>
      <c r="X308" s="3"/>
      <c r="Y308" s="3"/>
      <c r="Z308" s="3"/>
    </row>
    <row r="309" spans="1:26" ht="15.75" hidden="1" customHeight="1" outlineLevel="1" x14ac:dyDescent="0.3">
      <c r="A309" s="3"/>
      <c r="B309" s="10" t="s">
        <v>1554</v>
      </c>
      <c r="C309" s="62"/>
      <c r="D309" s="62"/>
      <c r="E309" s="12">
        <v>0</v>
      </c>
      <c r="F309" s="12">
        <v>0</v>
      </c>
      <c r="G309" s="65"/>
      <c r="H309" s="65"/>
      <c r="I309" s="157"/>
      <c r="J309" s="65"/>
      <c r="K309" s="37"/>
      <c r="L309" s="37"/>
      <c r="M309" s="37"/>
      <c r="N309" s="37"/>
      <c r="O309" s="37"/>
      <c r="P309" s="37"/>
      <c r="Q309" s="37"/>
      <c r="R309" s="37"/>
      <c r="S309" s="37"/>
      <c r="T309" s="37"/>
      <c r="U309" s="3"/>
      <c r="W309" s="3"/>
      <c r="X309" s="3"/>
      <c r="Y309" s="3"/>
      <c r="Z309" s="3"/>
    </row>
    <row r="310" spans="1:26" ht="15.75" hidden="1" customHeight="1" outlineLevel="1" x14ac:dyDescent="0.3">
      <c r="A310" s="3"/>
      <c r="B310" s="10" t="s">
        <v>1555</v>
      </c>
      <c r="C310" s="62"/>
      <c r="D310" s="62"/>
      <c r="E310" s="12">
        <v>0</v>
      </c>
      <c r="F310" s="12">
        <v>0</v>
      </c>
      <c r="G310" s="65"/>
      <c r="H310" s="65"/>
      <c r="I310" s="157"/>
      <c r="J310" s="65"/>
      <c r="K310" s="37"/>
      <c r="L310" s="37"/>
      <c r="M310" s="37"/>
      <c r="N310" s="37"/>
      <c r="O310" s="37"/>
      <c r="P310" s="37"/>
      <c r="Q310" s="37"/>
      <c r="R310" s="37"/>
      <c r="S310" s="37"/>
      <c r="T310" s="37"/>
      <c r="U310" s="3"/>
      <c r="W310" s="3"/>
      <c r="X310" s="3"/>
      <c r="Y310" s="3"/>
      <c r="Z310" s="3"/>
    </row>
    <row r="311" spans="1:26" ht="15.75" hidden="1" customHeight="1" outlineLevel="1" x14ac:dyDescent="0.3">
      <c r="A311" s="3"/>
      <c r="B311" s="10" t="s">
        <v>1556</v>
      </c>
      <c r="C311" s="62"/>
      <c r="D311" s="62"/>
      <c r="E311" s="12">
        <v>0</v>
      </c>
      <c r="F311" s="12">
        <v>0</v>
      </c>
      <c r="G311" s="65"/>
      <c r="H311" s="65"/>
      <c r="I311" s="157"/>
      <c r="J311" s="65"/>
      <c r="K311" s="37"/>
      <c r="L311" s="37"/>
      <c r="M311" s="37"/>
      <c r="N311" s="37"/>
      <c r="O311" s="37"/>
      <c r="P311" s="37"/>
      <c r="Q311" s="37"/>
      <c r="R311" s="37"/>
      <c r="S311" s="37"/>
      <c r="T311" s="37"/>
      <c r="U311" s="3"/>
      <c r="W311" s="3"/>
      <c r="X311" s="3"/>
      <c r="Y311" s="3"/>
      <c r="Z311" s="3"/>
    </row>
    <row r="312" spans="1:26" ht="15.75" hidden="1" customHeight="1" outlineLevel="1" x14ac:dyDescent="0.3">
      <c r="A312" s="3"/>
      <c r="B312" s="10" t="s">
        <v>1557</v>
      </c>
      <c r="C312" s="62"/>
      <c r="D312" s="62"/>
      <c r="E312" s="12">
        <v>0</v>
      </c>
      <c r="F312" s="12">
        <v>0</v>
      </c>
      <c r="G312" s="65"/>
      <c r="H312" s="65"/>
      <c r="I312" s="157"/>
      <c r="J312" s="65"/>
      <c r="K312" s="37"/>
      <c r="L312" s="37"/>
      <c r="M312" s="37"/>
      <c r="N312" s="37"/>
      <c r="O312" s="37"/>
      <c r="P312" s="37"/>
      <c r="Q312" s="37"/>
      <c r="R312" s="37"/>
      <c r="S312" s="37"/>
      <c r="T312" s="37"/>
      <c r="U312" s="3"/>
      <c r="W312" s="3"/>
      <c r="X312" s="3"/>
      <c r="Y312" s="3"/>
      <c r="Z312" s="3"/>
    </row>
    <row r="313" spans="1:26" ht="15.75" hidden="1" customHeight="1" outlineLevel="1" x14ac:dyDescent="0.3">
      <c r="A313" s="3"/>
      <c r="B313" s="10" t="s">
        <v>1558</v>
      </c>
      <c r="C313" s="62"/>
      <c r="D313" s="62"/>
      <c r="E313" s="12">
        <v>0</v>
      </c>
      <c r="F313" s="12">
        <v>0</v>
      </c>
      <c r="G313" s="65"/>
      <c r="H313" s="65"/>
      <c r="I313" s="89"/>
      <c r="J313" s="65"/>
      <c r="K313" s="37"/>
      <c r="L313" s="37"/>
      <c r="M313" s="37"/>
      <c r="N313" s="37"/>
      <c r="O313" s="37"/>
      <c r="P313" s="37"/>
      <c r="Q313" s="37"/>
      <c r="R313" s="37"/>
      <c r="S313" s="37"/>
      <c r="T313" s="37"/>
      <c r="U313" s="3"/>
      <c r="W313" s="3"/>
      <c r="X313" s="3"/>
      <c r="Y313" s="3"/>
      <c r="Z313" s="3"/>
    </row>
    <row r="314" spans="1:26" ht="15.75" hidden="1" customHeight="1" outlineLevel="1" x14ac:dyDescent="0.3">
      <c r="A314" s="3"/>
      <c r="B314" s="91" t="s">
        <v>689</v>
      </c>
      <c r="C314" s="92"/>
      <c r="D314" s="92"/>
      <c r="E314" s="93">
        <f>SUM(E315:E323)</f>
        <v>0</v>
      </c>
      <c r="F314" s="93">
        <f>SUMIF(D315:D323,"OK",F315:F323)</f>
        <v>0</v>
      </c>
      <c r="G314" s="94"/>
      <c r="H314" s="94"/>
      <c r="I314" s="95"/>
      <c r="J314" s="94"/>
      <c r="K314" s="37"/>
      <c r="L314" s="37"/>
      <c r="M314" s="37"/>
      <c r="N314" s="37"/>
      <c r="O314" s="37"/>
      <c r="P314" s="37"/>
      <c r="Q314" s="37"/>
      <c r="R314" s="37"/>
      <c r="S314" s="37"/>
      <c r="T314" s="37"/>
      <c r="U314" s="3"/>
      <c r="W314" s="3"/>
      <c r="X314" s="3"/>
      <c r="Y314" s="3"/>
      <c r="Z314" s="3"/>
    </row>
    <row r="315" spans="1:26" ht="15.75" hidden="1" customHeight="1" outlineLevel="1" x14ac:dyDescent="0.3">
      <c r="A315" s="3"/>
      <c r="B315" s="10" t="s">
        <v>353</v>
      </c>
      <c r="C315" s="62"/>
      <c r="D315" s="62"/>
      <c r="E315" s="12">
        <v>0</v>
      </c>
      <c r="F315" s="12">
        <v>0</v>
      </c>
      <c r="G315" s="65"/>
      <c r="H315" s="65"/>
      <c r="I315" s="157"/>
      <c r="J315" s="65"/>
      <c r="K315" s="37"/>
      <c r="L315" s="37"/>
      <c r="M315" s="37"/>
      <c r="N315" s="37"/>
      <c r="O315" s="37"/>
      <c r="P315" s="37"/>
      <c r="Q315" s="37"/>
      <c r="R315" s="37"/>
      <c r="S315" s="37"/>
      <c r="T315" s="37"/>
      <c r="U315" s="3"/>
      <c r="W315" s="3"/>
      <c r="X315" s="3"/>
      <c r="Y315" s="3"/>
      <c r="Z315" s="3"/>
    </row>
    <row r="316" spans="1:26" ht="15.75" hidden="1" customHeight="1" outlineLevel="1" x14ac:dyDescent="0.3">
      <c r="A316" s="3"/>
      <c r="B316" s="10" t="s">
        <v>354</v>
      </c>
      <c r="C316" s="62"/>
      <c r="D316" s="62"/>
      <c r="E316" s="12">
        <v>0</v>
      </c>
      <c r="F316" s="12">
        <v>0</v>
      </c>
      <c r="G316" s="65"/>
      <c r="H316" s="65"/>
      <c r="I316" s="157"/>
      <c r="J316" s="65"/>
      <c r="K316" s="37"/>
      <c r="L316" s="37"/>
      <c r="M316" s="37"/>
      <c r="N316" s="37"/>
      <c r="O316" s="37"/>
      <c r="P316" s="37"/>
      <c r="Q316" s="37"/>
      <c r="R316" s="37"/>
      <c r="S316" s="37"/>
      <c r="T316" s="37"/>
      <c r="U316" s="3"/>
      <c r="W316" s="3"/>
      <c r="X316" s="3"/>
      <c r="Y316" s="3"/>
      <c r="Z316" s="3"/>
    </row>
    <row r="317" spans="1:26" ht="15.75" hidden="1" customHeight="1" outlineLevel="1" x14ac:dyDescent="0.3">
      <c r="A317" s="3"/>
      <c r="B317" s="10" t="s">
        <v>355</v>
      </c>
      <c r="C317" s="62"/>
      <c r="D317" s="62"/>
      <c r="E317" s="12">
        <v>0</v>
      </c>
      <c r="F317" s="12">
        <v>0</v>
      </c>
      <c r="G317" s="65"/>
      <c r="H317" s="65"/>
      <c r="I317" s="89"/>
      <c r="J317" s="65"/>
      <c r="K317" s="37"/>
      <c r="L317" s="37"/>
      <c r="M317" s="37"/>
      <c r="N317" s="37"/>
      <c r="O317" s="37"/>
      <c r="P317" s="37"/>
      <c r="Q317" s="37"/>
      <c r="R317" s="37"/>
      <c r="S317" s="37"/>
      <c r="T317" s="37"/>
      <c r="U317" s="3"/>
      <c r="W317" s="3"/>
      <c r="X317" s="3"/>
      <c r="Y317" s="3"/>
      <c r="Z317" s="3"/>
    </row>
    <row r="318" spans="1:26" ht="15.75" hidden="1" customHeight="1" outlineLevel="1" x14ac:dyDescent="0.3">
      <c r="A318" s="3"/>
      <c r="B318" s="10" t="s">
        <v>369</v>
      </c>
      <c r="C318" s="62"/>
      <c r="D318" s="62"/>
      <c r="E318" s="12">
        <v>0</v>
      </c>
      <c r="F318" s="12">
        <v>0</v>
      </c>
      <c r="G318" s="65"/>
      <c r="H318" s="65"/>
      <c r="I318" s="89"/>
      <c r="J318" s="65"/>
      <c r="K318" s="37"/>
      <c r="L318" s="37"/>
      <c r="M318" s="37"/>
      <c r="N318" s="37"/>
      <c r="O318" s="37"/>
      <c r="P318" s="37"/>
      <c r="Q318" s="37"/>
      <c r="R318" s="37"/>
      <c r="S318" s="37"/>
      <c r="T318" s="37"/>
      <c r="U318" s="3"/>
      <c r="W318" s="3"/>
      <c r="X318" s="3"/>
      <c r="Y318" s="3"/>
      <c r="Z318" s="3"/>
    </row>
    <row r="319" spans="1:26" ht="15.75" hidden="1" customHeight="1" outlineLevel="1" x14ac:dyDescent="0.3">
      <c r="A319" s="3"/>
      <c r="B319" s="10" t="s">
        <v>327</v>
      </c>
      <c r="C319" s="62"/>
      <c r="D319" s="62"/>
      <c r="E319" s="12">
        <v>0</v>
      </c>
      <c r="F319" s="12">
        <v>0</v>
      </c>
      <c r="G319" s="65"/>
      <c r="H319" s="65"/>
      <c r="I319" s="89"/>
      <c r="J319" s="65"/>
      <c r="K319" s="37"/>
      <c r="L319" s="37"/>
      <c r="M319" s="37"/>
      <c r="N319" s="37"/>
      <c r="O319" s="37"/>
      <c r="P319" s="37"/>
      <c r="Q319" s="37"/>
      <c r="R319" s="37"/>
      <c r="S319" s="37"/>
      <c r="T319" s="37"/>
      <c r="U319" s="3"/>
      <c r="W319" s="3"/>
      <c r="X319" s="3"/>
      <c r="Y319" s="3"/>
      <c r="Z319" s="3"/>
    </row>
    <row r="320" spans="1:26" ht="15.75" hidden="1" customHeight="1" outlineLevel="1" x14ac:dyDescent="0.3">
      <c r="A320" s="3"/>
      <c r="B320" s="10" t="s">
        <v>328</v>
      </c>
      <c r="C320" s="62"/>
      <c r="D320" s="62"/>
      <c r="E320" s="12">
        <v>0</v>
      </c>
      <c r="F320" s="12">
        <v>0</v>
      </c>
      <c r="G320" s="65"/>
      <c r="H320" s="65"/>
      <c r="I320" s="89"/>
      <c r="J320" s="65"/>
      <c r="K320" s="37"/>
      <c r="L320" s="37"/>
      <c r="M320" s="37"/>
      <c r="N320" s="37"/>
      <c r="O320" s="37"/>
      <c r="P320" s="37"/>
      <c r="Q320" s="37"/>
      <c r="R320" s="37"/>
      <c r="S320" s="37"/>
      <c r="T320" s="37"/>
      <c r="U320" s="3"/>
      <c r="W320" s="3"/>
      <c r="X320" s="3"/>
      <c r="Y320" s="3"/>
      <c r="Z320" s="3"/>
    </row>
    <row r="321" spans="1:26" ht="15.75" hidden="1" customHeight="1" outlineLevel="1" x14ac:dyDescent="0.3">
      <c r="A321" s="3"/>
      <c r="B321" s="10" t="s">
        <v>370</v>
      </c>
      <c r="C321" s="62"/>
      <c r="D321" s="62"/>
      <c r="E321" s="12">
        <v>0</v>
      </c>
      <c r="F321" s="12">
        <v>0</v>
      </c>
      <c r="G321" s="65"/>
      <c r="H321" s="65"/>
      <c r="I321" s="89"/>
      <c r="J321" s="65"/>
      <c r="K321" s="37"/>
      <c r="L321" s="37"/>
      <c r="M321" s="37"/>
      <c r="N321" s="37"/>
      <c r="O321" s="37"/>
      <c r="P321" s="37"/>
      <c r="Q321" s="37"/>
      <c r="R321" s="37"/>
      <c r="S321" s="37"/>
      <c r="T321" s="37"/>
      <c r="U321" s="3"/>
      <c r="W321" s="3"/>
      <c r="X321" s="3"/>
      <c r="Y321" s="3"/>
      <c r="Z321" s="3"/>
    </row>
    <row r="322" spans="1:26" ht="15.75" hidden="1" customHeight="1" outlineLevel="1" x14ac:dyDescent="0.3">
      <c r="A322" s="3"/>
      <c r="B322" s="10" t="s">
        <v>371</v>
      </c>
      <c r="C322" s="62"/>
      <c r="D322" s="62"/>
      <c r="E322" s="12">
        <v>0</v>
      </c>
      <c r="F322" s="12">
        <v>0</v>
      </c>
      <c r="G322" s="65"/>
      <c r="H322" s="65"/>
      <c r="I322" s="89"/>
      <c r="J322" s="65"/>
      <c r="K322" s="37"/>
      <c r="L322" s="37"/>
      <c r="M322" s="37"/>
      <c r="N322" s="37"/>
      <c r="O322" s="37"/>
      <c r="P322" s="37"/>
      <c r="Q322" s="37"/>
      <c r="R322" s="37"/>
      <c r="S322" s="37"/>
      <c r="T322" s="37"/>
      <c r="U322" s="3"/>
      <c r="W322" s="3"/>
      <c r="X322" s="3"/>
      <c r="Y322" s="3"/>
      <c r="Z322" s="3"/>
    </row>
    <row r="323" spans="1:26" ht="15.75" hidden="1" customHeight="1" outlineLevel="1" x14ac:dyDescent="0.3">
      <c r="A323" s="3"/>
      <c r="B323" s="10" t="s">
        <v>372</v>
      </c>
      <c r="C323" s="62"/>
      <c r="D323" s="62"/>
      <c r="E323" s="12">
        <v>0</v>
      </c>
      <c r="F323" s="12">
        <v>0</v>
      </c>
      <c r="G323" s="65"/>
      <c r="H323" s="65"/>
      <c r="I323" s="89"/>
      <c r="J323" s="65"/>
      <c r="K323" s="37"/>
      <c r="L323" s="37"/>
      <c r="M323" s="37"/>
      <c r="N323" s="37"/>
      <c r="O323" s="37"/>
      <c r="P323" s="37"/>
      <c r="Q323" s="37"/>
      <c r="R323" s="37"/>
      <c r="S323" s="37"/>
      <c r="T323" s="37"/>
      <c r="U323" s="3"/>
      <c r="W323" s="3"/>
      <c r="X323" s="3"/>
      <c r="Y323" s="3"/>
      <c r="Z323" s="3"/>
    </row>
    <row r="324" spans="1:26" ht="15.75" customHeight="1" collapsed="1" x14ac:dyDescent="0.3">
      <c r="A324" s="3"/>
      <c r="B324" s="84" t="s">
        <v>411</v>
      </c>
      <c r="C324" s="85" t="s">
        <v>43</v>
      </c>
      <c r="D324" s="85" t="s">
        <v>43</v>
      </c>
      <c r="E324" s="86">
        <f>SUM(E325:E345)</f>
        <v>0</v>
      </c>
      <c r="F324" s="86">
        <f>SUMIF(D325:D345,"OK",F325:F345)</f>
        <v>0</v>
      </c>
      <c r="G324" s="87"/>
      <c r="H324" s="87"/>
      <c r="I324" s="88"/>
      <c r="J324" s="87"/>
      <c r="K324" s="37"/>
      <c r="L324" s="37"/>
      <c r="M324" s="37"/>
      <c r="N324" s="37"/>
      <c r="O324" s="37"/>
      <c r="P324" s="37"/>
      <c r="Q324" s="37"/>
      <c r="R324" s="37"/>
      <c r="S324" s="37"/>
      <c r="T324" s="37"/>
      <c r="U324" s="3"/>
      <c r="W324" s="3"/>
      <c r="X324" s="3"/>
      <c r="Y324" s="3"/>
      <c r="Z324" s="3"/>
    </row>
    <row r="325" spans="1:26" ht="14.25" hidden="1" customHeight="1" outlineLevel="1" x14ac:dyDescent="0.3">
      <c r="A325" s="3"/>
      <c r="B325" s="10" t="s">
        <v>412</v>
      </c>
      <c r="C325" s="62"/>
      <c r="D325" s="62"/>
      <c r="E325" s="12">
        <v>0</v>
      </c>
      <c r="F325" s="12">
        <v>0</v>
      </c>
      <c r="G325" s="65"/>
      <c r="H325" s="65"/>
      <c r="I325" s="89"/>
      <c r="J325" s="65"/>
      <c r="K325" s="37"/>
      <c r="L325" s="37"/>
      <c r="M325" s="37"/>
      <c r="N325" s="37"/>
      <c r="O325" s="37"/>
      <c r="P325" s="37"/>
      <c r="Q325" s="37"/>
      <c r="R325" s="37"/>
      <c r="S325" s="37"/>
      <c r="T325" s="37"/>
      <c r="U325" s="3"/>
      <c r="W325" s="3"/>
      <c r="X325" s="3"/>
      <c r="Y325" s="3"/>
      <c r="Z325" s="3"/>
    </row>
    <row r="326" spans="1:26" ht="14.25" hidden="1" customHeight="1" outlineLevel="1" x14ac:dyDescent="0.3">
      <c r="A326" s="3"/>
      <c r="B326" s="10" t="s">
        <v>413</v>
      </c>
      <c r="C326" s="62"/>
      <c r="D326" s="62"/>
      <c r="E326" s="12">
        <v>0</v>
      </c>
      <c r="F326" s="12">
        <v>0</v>
      </c>
      <c r="G326" s="89"/>
      <c r="H326" s="65"/>
      <c r="I326" s="157"/>
      <c r="J326" s="65"/>
      <c r="K326" s="37"/>
      <c r="L326" s="37"/>
      <c r="M326" s="37"/>
      <c r="N326" s="37"/>
      <c r="O326" s="37"/>
      <c r="P326" s="37"/>
      <c r="Q326" s="37"/>
      <c r="R326" s="37"/>
      <c r="S326" s="37"/>
      <c r="T326" s="37"/>
      <c r="U326" s="3"/>
      <c r="W326" s="3"/>
      <c r="X326" s="3"/>
      <c r="Y326" s="3"/>
      <c r="Z326" s="3"/>
    </row>
    <row r="327" spans="1:26" ht="14.25" hidden="1" customHeight="1" outlineLevel="1" x14ac:dyDescent="0.3">
      <c r="A327" s="3"/>
      <c r="B327" s="10" t="s">
        <v>413</v>
      </c>
      <c r="C327" s="62"/>
      <c r="D327" s="62"/>
      <c r="E327" s="12">
        <v>0</v>
      </c>
      <c r="F327" s="12">
        <v>0</v>
      </c>
      <c r="G327" s="65"/>
      <c r="H327" s="65"/>
      <c r="I327" s="157"/>
      <c r="J327" s="65"/>
      <c r="K327" s="37"/>
      <c r="L327" s="37"/>
      <c r="M327" s="37"/>
      <c r="N327" s="37"/>
      <c r="O327" s="37"/>
      <c r="P327" s="37"/>
      <c r="Q327" s="37"/>
      <c r="R327" s="37"/>
      <c r="S327" s="37"/>
      <c r="T327" s="37"/>
      <c r="U327" s="3"/>
      <c r="W327" s="3"/>
      <c r="X327" s="3"/>
      <c r="Y327" s="3"/>
      <c r="Z327" s="3"/>
    </row>
    <row r="328" spans="1:26" ht="14.25" hidden="1" customHeight="1" outlineLevel="1" x14ac:dyDescent="0.3">
      <c r="A328" s="3"/>
      <c r="B328" s="10" t="s">
        <v>414</v>
      </c>
      <c r="C328" s="62"/>
      <c r="D328" s="62"/>
      <c r="E328" s="12">
        <v>0</v>
      </c>
      <c r="F328" s="12">
        <v>0</v>
      </c>
      <c r="G328" s="65"/>
      <c r="H328" s="65"/>
      <c r="I328" s="89"/>
      <c r="J328" s="65"/>
      <c r="K328" s="37"/>
      <c r="L328" s="37"/>
      <c r="M328" s="37"/>
      <c r="N328" s="37"/>
      <c r="O328" s="37"/>
      <c r="P328" s="37"/>
      <c r="Q328" s="37"/>
      <c r="R328" s="37"/>
      <c r="S328" s="37"/>
      <c r="T328" s="37"/>
      <c r="U328" s="3"/>
      <c r="W328" s="3"/>
      <c r="X328" s="3"/>
      <c r="Y328" s="3"/>
      <c r="Z328" s="3"/>
    </row>
    <row r="329" spans="1:26" ht="14.25" hidden="1" customHeight="1" outlineLevel="1" x14ac:dyDescent="0.3">
      <c r="A329" s="3"/>
      <c r="B329" s="10" t="s">
        <v>414</v>
      </c>
      <c r="C329" s="62"/>
      <c r="D329" s="62"/>
      <c r="E329" s="12">
        <v>0</v>
      </c>
      <c r="F329" s="12">
        <v>0</v>
      </c>
      <c r="G329" s="65"/>
      <c r="H329" s="65"/>
      <c r="I329" s="89"/>
      <c r="J329" s="65"/>
      <c r="K329" s="37"/>
      <c r="L329" s="37"/>
      <c r="M329" s="37"/>
      <c r="N329" s="37"/>
      <c r="O329" s="37"/>
      <c r="P329" s="37"/>
      <c r="Q329" s="37"/>
      <c r="R329" s="37"/>
      <c r="S329" s="37"/>
      <c r="T329" s="37"/>
      <c r="U329" s="3"/>
      <c r="W329" s="3"/>
      <c r="X329" s="3"/>
      <c r="Y329" s="3"/>
      <c r="Z329" s="3"/>
    </row>
    <row r="330" spans="1:26" ht="14.25" hidden="1" customHeight="1" outlineLevel="1" x14ac:dyDescent="0.3">
      <c r="A330" s="3"/>
      <c r="B330" s="10" t="s">
        <v>414</v>
      </c>
      <c r="C330" s="62"/>
      <c r="D330" s="62"/>
      <c r="E330" s="12">
        <v>0</v>
      </c>
      <c r="F330" s="12">
        <v>0</v>
      </c>
      <c r="G330" s="65"/>
      <c r="H330" s="65"/>
      <c r="I330" s="89"/>
      <c r="J330" s="65"/>
      <c r="K330" s="37"/>
      <c r="L330" s="37"/>
      <c r="M330" s="37"/>
      <c r="N330" s="37"/>
      <c r="O330" s="37"/>
      <c r="P330" s="37"/>
      <c r="Q330" s="37"/>
      <c r="R330" s="37"/>
      <c r="S330" s="37"/>
      <c r="T330" s="37"/>
      <c r="U330" s="3"/>
      <c r="W330" s="3"/>
      <c r="X330" s="3"/>
      <c r="Y330" s="3"/>
      <c r="Z330" s="3"/>
    </row>
    <row r="331" spans="1:26" ht="14.25" hidden="1" customHeight="1" outlineLevel="1" x14ac:dyDescent="0.3">
      <c r="A331" s="3"/>
      <c r="B331" s="10" t="s">
        <v>415</v>
      </c>
      <c r="C331" s="62"/>
      <c r="D331" s="62"/>
      <c r="E331" s="12">
        <v>0</v>
      </c>
      <c r="F331" s="12">
        <v>0</v>
      </c>
      <c r="G331" s="65"/>
      <c r="H331" s="65"/>
      <c r="I331" s="157"/>
      <c r="J331" s="65"/>
      <c r="K331" s="37"/>
      <c r="L331" s="37"/>
      <c r="M331" s="37"/>
      <c r="N331" s="37"/>
      <c r="O331" s="37"/>
      <c r="P331" s="37"/>
      <c r="Q331" s="37"/>
      <c r="R331" s="37"/>
      <c r="S331" s="37"/>
      <c r="T331" s="37"/>
      <c r="U331" s="3"/>
      <c r="W331" s="3"/>
      <c r="X331" s="3"/>
      <c r="Y331" s="3"/>
      <c r="Z331" s="3"/>
    </row>
    <row r="332" spans="1:26" ht="14.25" hidden="1" customHeight="1" outlineLevel="1" x14ac:dyDescent="0.3">
      <c r="A332" s="3"/>
      <c r="B332" s="10" t="s">
        <v>415</v>
      </c>
      <c r="C332" s="62"/>
      <c r="D332" s="62"/>
      <c r="E332" s="12">
        <v>0</v>
      </c>
      <c r="F332" s="12">
        <v>0</v>
      </c>
      <c r="G332" s="65"/>
      <c r="H332" s="65"/>
      <c r="I332" s="157"/>
      <c r="J332" s="65"/>
      <c r="K332" s="37"/>
      <c r="L332" s="37"/>
      <c r="M332" s="37"/>
      <c r="N332" s="37"/>
      <c r="O332" s="37"/>
      <c r="P332" s="37"/>
      <c r="Q332" s="37"/>
      <c r="R332" s="37"/>
      <c r="S332" s="37"/>
      <c r="T332" s="37"/>
      <c r="U332" s="3"/>
      <c r="W332" s="3"/>
      <c r="X332" s="3"/>
      <c r="Y332" s="3"/>
      <c r="Z332" s="3"/>
    </row>
    <row r="333" spans="1:26" ht="14.25" hidden="1" customHeight="1" outlineLevel="1" x14ac:dyDescent="0.3">
      <c r="A333" s="3"/>
      <c r="B333" s="10" t="s">
        <v>415</v>
      </c>
      <c r="C333" s="62"/>
      <c r="D333" s="62"/>
      <c r="E333" s="12">
        <v>0</v>
      </c>
      <c r="F333" s="12">
        <v>0</v>
      </c>
      <c r="G333" s="65"/>
      <c r="H333" s="65"/>
      <c r="I333" s="157"/>
      <c r="J333" s="65"/>
      <c r="K333" s="37"/>
      <c r="L333" s="37"/>
      <c r="M333" s="37"/>
      <c r="N333" s="37"/>
      <c r="O333" s="37"/>
      <c r="P333" s="37"/>
      <c r="Q333" s="37"/>
      <c r="R333" s="37"/>
      <c r="S333" s="37"/>
      <c r="T333" s="37"/>
      <c r="U333" s="3"/>
      <c r="W333" s="3"/>
      <c r="X333" s="3"/>
      <c r="Y333" s="3"/>
      <c r="Z333" s="3"/>
    </row>
    <row r="334" spans="1:26" ht="14.25" hidden="1" customHeight="1" outlineLevel="1" x14ac:dyDescent="0.3">
      <c r="A334" s="3"/>
      <c r="B334" s="10" t="s">
        <v>416</v>
      </c>
      <c r="C334" s="62"/>
      <c r="D334" s="62"/>
      <c r="E334" s="12">
        <v>0</v>
      </c>
      <c r="F334" s="12">
        <v>0</v>
      </c>
      <c r="G334" s="65"/>
      <c r="H334" s="65"/>
      <c r="I334" s="157"/>
      <c r="J334" s="65"/>
      <c r="K334" s="37"/>
      <c r="L334" s="37"/>
      <c r="M334" s="37"/>
      <c r="N334" s="37"/>
      <c r="O334" s="37"/>
      <c r="P334" s="37"/>
      <c r="Q334" s="37"/>
      <c r="R334" s="37"/>
      <c r="S334" s="37"/>
      <c r="T334" s="37"/>
      <c r="U334" s="3"/>
      <c r="W334" s="3"/>
      <c r="X334" s="3"/>
      <c r="Y334" s="3"/>
      <c r="Z334" s="3"/>
    </row>
    <row r="335" spans="1:26" ht="14.25" hidden="1" customHeight="1" outlineLevel="1" x14ac:dyDescent="0.3">
      <c r="A335" s="3"/>
      <c r="B335" s="10" t="s">
        <v>416</v>
      </c>
      <c r="C335" s="62"/>
      <c r="D335" s="62"/>
      <c r="E335" s="12">
        <v>0</v>
      </c>
      <c r="F335" s="12">
        <v>0</v>
      </c>
      <c r="G335" s="65"/>
      <c r="H335" s="65"/>
      <c r="I335" s="157"/>
      <c r="J335" s="65"/>
      <c r="K335" s="37"/>
      <c r="L335" s="37"/>
      <c r="M335" s="37"/>
      <c r="N335" s="37"/>
      <c r="O335" s="37"/>
      <c r="P335" s="37"/>
      <c r="Q335" s="37"/>
      <c r="R335" s="37"/>
      <c r="S335" s="37"/>
      <c r="T335" s="37"/>
      <c r="U335" s="3"/>
      <c r="W335" s="3"/>
      <c r="X335" s="3"/>
      <c r="Y335" s="3"/>
      <c r="Z335" s="3"/>
    </row>
    <row r="336" spans="1:26" ht="14.25" hidden="1" customHeight="1" outlineLevel="1" x14ac:dyDescent="0.3">
      <c r="A336" s="3"/>
      <c r="B336" s="10" t="s">
        <v>416</v>
      </c>
      <c r="C336" s="62"/>
      <c r="D336" s="62"/>
      <c r="E336" s="12">
        <v>0</v>
      </c>
      <c r="F336" s="12">
        <v>0</v>
      </c>
      <c r="G336" s="65"/>
      <c r="H336" s="65"/>
      <c r="I336" s="157"/>
      <c r="J336" s="65"/>
      <c r="K336" s="37"/>
      <c r="L336" s="37"/>
      <c r="M336" s="37"/>
      <c r="N336" s="37"/>
      <c r="O336" s="37"/>
      <c r="P336" s="37"/>
      <c r="Q336" s="37"/>
      <c r="R336" s="37"/>
      <c r="S336" s="37"/>
      <c r="T336" s="37"/>
      <c r="U336" s="3"/>
      <c r="W336" s="3"/>
      <c r="X336" s="3"/>
      <c r="Y336" s="3"/>
      <c r="Z336" s="3"/>
    </row>
    <row r="337" spans="1:26" ht="14.25" hidden="1" customHeight="1" outlineLevel="1" x14ac:dyDescent="0.3">
      <c r="A337" s="3"/>
      <c r="B337" s="10" t="s">
        <v>416</v>
      </c>
      <c r="C337" s="62"/>
      <c r="D337" s="62"/>
      <c r="E337" s="12">
        <v>0</v>
      </c>
      <c r="F337" s="12">
        <v>0</v>
      </c>
      <c r="G337" s="65"/>
      <c r="H337" s="65"/>
      <c r="I337" s="157"/>
      <c r="J337" s="65"/>
      <c r="K337" s="37"/>
      <c r="L337" s="37"/>
      <c r="M337" s="37"/>
      <c r="N337" s="37"/>
      <c r="O337" s="37"/>
      <c r="P337" s="37"/>
      <c r="Q337" s="37"/>
      <c r="R337" s="37"/>
      <c r="S337" s="37"/>
      <c r="T337" s="37"/>
      <c r="U337" s="3"/>
      <c r="W337" s="3"/>
      <c r="X337" s="3"/>
      <c r="Y337" s="3"/>
      <c r="Z337" s="3"/>
    </row>
    <row r="338" spans="1:26" ht="14.25" hidden="1" customHeight="1" outlineLevel="1" x14ac:dyDescent="0.3">
      <c r="A338" s="3"/>
      <c r="B338" s="10" t="s">
        <v>417</v>
      </c>
      <c r="C338" s="62"/>
      <c r="D338" s="62"/>
      <c r="E338" s="12">
        <v>0</v>
      </c>
      <c r="F338" s="12">
        <v>0</v>
      </c>
      <c r="G338" s="65"/>
      <c r="H338" s="65"/>
      <c r="I338" s="157"/>
      <c r="J338" s="65"/>
      <c r="K338" s="37"/>
      <c r="L338" s="37"/>
      <c r="M338" s="37"/>
      <c r="N338" s="37"/>
      <c r="O338" s="37"/>
      <c r="P338" s="37"/>
      <c r="Q338" s="37"/>
      <c r="R338" s="37"/>
      <c r="S338" s="37"/>
      <c r="T338" s="37"/>
      <c r="U338" s="3"/>
      <c r="W338" s="3"/>
      <c r="X338" s="3"/>
      <c r="Y338" s="3"/>
      <c r="Z338" s="3"/>
    </row>
    <row r="339" spans="1:26" ht="14.25" hidden="1" customHeight="1" outlineLevel="1" x14ac:dyDescent="0.3">
      <c r="A339" s="3"/>
      <c r="B339" s="10" t="s">
        <v>417</v>
      </c>
      <c r="C339" s="62"/>
      <c r="D339" s="62"/>
      <c r="E339" s="12">
        <v>0</v>
      </c>
      <c r="F339" s="12">
        <v>0</v>
      </c>
      <c r="G339" s="65"/>
      <c r="H339" s="65"/>
      <c r="I339" s="157"/>
      <c r="J339" s="65"/>
      <c r="K339" s="37"/>
      <c r="L339" s="37"/>
      <c r="M339" s="37"/>
      <c r="N339" s="37"/>
      <c r="O339" s="37"/>
      <c r="P339" s="37"/>
      <c r="Q339" s="37"/>
      <c r="R339" s="37"/>
      <c r="S339" s="37"/>
      <c r="T339" s="37"/>
      <c r="U339" s="3"/>
      <c r="W339" s="3"/>
      <c r="X339" s="3"/>
      <c r="Y339" s="3"/>
      <c r="Z339" s="3"/>
    </row>
    <row r="340" spans="1:26" ht="14.25" hidden="1" customHeight="1" outlineLevel="1" x14ac:dyDescent="0.3">
      <c r="A340" s="3"/>
      <c r="B340" s="10" t="s">
        <v>417</v>
      </c>
      <c r="C340" s="62"/>
      <c r="D340" s="62"/>
      <c r="E340" s="12">
        <v>0</v>
      </c>
      <c r="F340" s="12">
        <v>0</v>
      </c>
      <c r="G340" s="65"/>
      <c r="H340" s="65"/>
      <c r="I340" s="157"/>
      <c r="J340" s="65"/>
      <c r="K340" s="37"/>
      <c r="L340" s="37"/>
      <c r="M340" s="37"/>
      <c r="N340" s="37"/>
      <c r="O340" s="37"/>
      <c r="P340" s="37"/>
      <c r="Q340" s="37"/>
      <c r="R340" s="37"/>
      <c r="S340" s="37"/>
      <c r="T340" s="37"/>
      <c r="U340" s="3"/>
      <c r="W340" s="3"/>
      <c r="X340" s="3"/>
      <c r="Y340" s="3"/>
      <c r="Z340" s="3"/>
    </row>
    <row r="341" spans="1:26" ht="14.25" hidden="1" customHeight="1" outlineLevel="1" x14ac:dyDescent="0.3">
      <c r="A341" s="3"/>
      <c r="B341" s="10" t="s">
        <v>417</v>
      </c>
      <c r="C341" s="62"/>
      <c r="D341" s="62"/>
      <c r="E341" s="12">
        <v>0</v>
      </c>
      <c r="F341" s="12">
        <v>0</v>
      </c>
      <c r="G341" s="65"/>
      <c r="H341" s="65"/>
      <c r="I341" s="157"/>
      <c r="J341" s="65"/>
      <c r="K341" s="37"/>
      <c r="L341" s="37"/>
      <c r="M341" s="37"/>
      <c r="N341" s="37"/>
      <c r="O341" s="37"/>
      <c r="P341" s="37"/>
      <c r="Q341" s="37"/>
      <c r="R341" s="37"/>
      <c r="S341" s="37"/>
      <c r="T341" s="37"/>
      <c r="U341" s="3"/>
      <c r="W341" s="3"/>
      <c r="X341" s="3"/>
      <c r="Y341" s="3"/>
      <c r="Z341" s="3"/>
    </row>
    <row r="342" spans="1:26" ht="14.25" hidden="1" customHeight="1" outlineLevel="1" x14ac:dyDescent="0.3">
      <c r="A342" s="3"/>
      <c r="B342" s="10" t="s">
        <v>418</v>
      </c>
      <c r="C342" s="62"/>
      <c r="D342" s="62"/>
      <c r="E342" s="12">
        <v>0</v>
      </c>
      <c r="F342" s="12">
        <v>0</v>
      </c>
      <c r="G342" s="65"/>
      <c r="H342" s="65"/>
      <c r="I342" s="156"/>
      <c r="J342" s="65"/>
      <c r="K342" s="37"/>
      <c r="L342" s="37"/>
      <c r="M342" s="37"/>
      <c r="N342" s="37"/>
      <c r="O342" s="37"/>
      <c r="P342" s="37"/>
      <c r="Q342" s="37"/>
      <c r="R342" s="37"/>
      <c r="S342" s="37"/>
      <c r="T342" s="37"/>
      <c r="U342" s="3"/>
      <c r="W342" s="3"/>
      <c r="X342" s="3"/>
      <c r="Y342" s="3"/>
      <c r="Z342" s="3"/>
    </row>
    <row r="343" spans="1:26" ht="14.25" hidden="1" customHeight="1" outlineLevel="1" x14ac:dyDescent="0.3">
      <c r="A343" s="3"/>
      <c r="B343" s="10" t="s">
        <v>419</v>
      </c>
      <c r="C343" s="62"/>
      <c r="D343" s="62"/>
      <c r="E343" s="12">
        <v>0</v>
      </c>
      <c r="F343" s="12">
        <v>0</v>
      </c>
      <c r="G343" s="65"/>
      <c r="H343" s="65"/>
      <c r="I343" s="89"/>
      <c r="J343" s="65"/>
      <c r="K343" s="37"/>
      <c r="L343" s="37"/>
      <c r="M343" s="37"/>
      <c r="N343" s="37"/>
      <c r="O343" s="37"/>
      <c r="P343" s="37"/>
      <c r="Q343" s="37"/>
      <c r="R343" s="37"/>
      <c r="S343" s="37"/>
      <c r="T343" s="37"/>
      <c r="U343" s="3"/>
      <c r="W343" s="3"/>
      <c r="X343" s="3"/>
      <c r="Y343" s="3"/>
      <c r="Z343" s="3"/>
    </row>
    <row r="344" spans="1:26" ht="14.25" hidden="1" customHeight="1" outlineLevel="1" x14ac:dyDescent="0.3">
      <c r="A344" s="3"/>
      <c r="B344" s="10" t="s">
        <v>420</v>
      </c>
      <c r="C344" s="62"/>
      <c r="D344" s="62"/>
      <c r="E344" s="12">
        <v>0</v>
      </c>
      <c r="F344" s="12">
        <v>0</v>
      </c>
      <c r="G344" s="65"/>
      <c r="H344" s="65"/>
      <c r="I344" s="89"/>
      <c r="J344" s="65"/>
      <c r="K344" s="37"/>
      <c r="L344" s="37"/>
      <c r="M344" s="37"/>
      <c r="N344" s="37"/>
      <c r="O344" s="37"/>
      <c r="P344" s="37"/>
      <c r="Q344" s="37"/>
      <c r="R344" s="37"/>
      <c r="S344" s="37"/>
      <c r="T344" s="37"/>
      <c r="U344" s="3"/>
      <c r="W344" s="3"/>
      <c r="X344" s="3"/>
      <c r="Y344" s="3"/>
      <c r="Z344" s="3"/>
    </row>
    <row r="345" spans="1:26" ht="14.25" hidden="1" customHeight="1" outlineLevel="1" x14ac:dyDescent="0.3">
      <c r="A345" s="3"/>
      <c r="B345" s="10" t="s">
        <v>65</v>
      </c>
      <c r="C345" s="62"/>
      <c r="D345" s="62"/>
      <c r="E345" s="12">
        <v>0</v>
      </c>
      <c r="F345" s="12">
        <v>0</v>
      </c>
      <c r="G345" s="65"/>
      <c r="H345" s="65"/>
      <c r="I345" s="89"/>
      <c r="J345" s="65"/>
      <c r="K345" s="37"/>
      <c r="L345" s="37"/>
      <c r="M345" s="37"/>
      <c r="N345" s="37"/>
      <c r="O345" s="37"/>
      <c r="P345" s="37"/>
      <c r="Q345" s="37"/>
      <c r="R345" s="37"/>
      <c r="S345" s="37"/>
      <c r="T345" s="37"/>
      <c r="U345" s="3"/>
      <c r="W345" s="3"/>
      <c r="X345" s="3"/>
      <c r="Y345" s="3"/>
      <c r="Z345" s="3"/>
    </row>
    <row r="346" spans="1:26" ht="14.25" customHeight="1" collapsed="1" x14ac:dyDescent="0.3">
      <c r="A346" s="3"/>
      <c r="B346" s="3"/>
      <c r="C346" s="37"/>
      <c r="D346" s="37"/>
      <c r="E346" s="37"/>
      <c r="F346" s="37"/>
      <c r="G346" s="98"/>
      <c r="H346" s="98"/>
      <c r="I346" s="99"/>
      <c r="J346" s="98"/>
      <c r="K346" s="37"/>
      <c r="L346" s="37"/>
      <c r="M346" s="37"/>
      <c r="N346" s="37"/>
      <c r="O346" s="37"/>
      <c r="P346" s="37"/>
      <c r="Q346" s="37"/>
      <c r="R346" s="37"/>
      <c r="S346" s="37"/>
      <c r="T346" s="37"/>
      <c r="U346" s="3"/>
    </row>
    <row r="347" spans="1:26" ht="14.2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6" ht="14.25" customHeight="1" x14ac:dyDescent="0.3">
      <c r="A348" s="3"/>
      <c r="B348" s="17" t="s">
        <v>1576</v>
      </c>
      <c r="C348" s="37"/>
      <c r="D348" s="37"/>
      <c r="E348" s="37"/>
      <c r="F348" s="37"/>
      <c r="G348" s="98"/>
      <c r="H348" s="98"/>
      <c r="I348" s="99"/>
      <c r="J348" s="98"/>
      <c r="K348" s="37"/>
      <c r="L348" s="37"/>
      <c r="M348" s="37"/>
      <c r="N348" s="37"/>
      <c r="O348" s="37"/>
      <c r="P348" s="37"/>
      <c r="Q348" s="37"/>
      <c r="R348" s="37"/>
      <c r="S348" s="37"/>
      <c r="T348" s="37"/>
      <c r="U348" s="3"/>
    </row>
    <row r="349" spans="1:26" ht="14.25" customHeight="1" x14ac:dyDescent="0.3">
      <c r="A349" s="3"/>
      <c r="B349" s="3"/>
      <c r="C349" s="37"/>
      <c r="D349" s="37"/>
      <c r="E349" s="37"/>
      <c r="F349" s="37"/>
      <c r="G349" s="98"/>
      <c r="H349" s="98"/>
      <c r="I349" s="99"/>
      <c r="J349" s="98"/>
      <c r="K349" s="37"/>
      <c r="L349" s="37"/>
      <c r="M349" s="37"/>
      <c r="N349" s="37"/>
      <c r="O349" s="37"/>
      <c r="P349" s="37"/>
      <c r="Q349" s="37"/>
      <c r="R349" s="37"/>
      <c r="S349" s="37"/>
      <c r="T349" s="37"/>
      <c r="U349" s="3"/>
    </row>
    <row r="350" spans="1:26" ht="14.2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6" ht="14.2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6" ht="14.2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4.2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4.2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4.2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4.2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4.2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4.2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4.2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4.2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4.2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4.2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4.2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4.2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4.2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4.2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4.2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4.2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4.2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4.2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4.2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4.2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4.2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4.2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4.2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4.2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4.2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4.2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4.2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4.2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4.2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4.2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4.2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4.2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4.2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4.2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4.2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4.2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4.2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4.2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4.2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4.2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4.2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4.2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4.2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4.2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4.2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4.2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4.2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4.2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4.2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4.2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4.2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4.2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4.2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4.2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4.2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4.2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4.2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4.2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4.2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4.2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4.2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4.2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4.2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4.2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4.2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4.2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4.2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4.2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4.2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4.2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4.2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4.2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4.2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4.2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4.2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4.2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4.2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4.2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4.2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4.2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4.2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4.2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4.2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4.2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4.2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4.2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4.2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4.2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4.2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4.2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4.2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4.2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4.2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4.2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4.2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4.2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4.2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4.2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4.2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4.2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4.2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4.2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4.2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4.2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4.2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4.2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4.2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4.2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4.2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4.2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4.2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4.2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4.2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4.2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4.2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4.2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4.2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4.2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4.2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4.2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4.2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4.2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4.2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4.2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4.2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4.2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4.2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4.2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4.2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4.2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4.2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4.2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4.2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4.2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4.2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4.2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4.2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4.2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4.2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4.2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4.2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4.2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4.2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4.2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4.2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4.2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4.2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4.2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4.2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4.2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4.2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4.2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4.2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4.2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4.2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4.2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4.2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4.2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4.2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4.2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4.2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4.2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4.2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4.2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4.2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4.2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4.2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4.2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4.25" customHeight="1" x14ac:dyDescent="0.3">
      <c r="A521" s="3"/>
      <c r="B521" s="3"/>
      <c r="C521" s="37"/>
      <c r="D521" s="37"/>
      <c r="E521" s="37"/>
      <c r="F521" s="37"/>
      <c r="G521" s="98"/>
      <c r="H521" s="98"/>
      <c r="I521" s="99"/>
      <c r="J521" s="98"/>
      <c r="K521" s="37"/>
      <c r="L521" s="37"/>
      <c r="M521" s="37"/>
      <c r="N521" s="37"/>
      <c r="O521" s="37"/>
      <c r="P521" s="37"/>
      <c r="Q521" s="37"/>
      <c r="R521" s="37"/>
      <c r="S521" s="37"/>
      <c r="T521" s="37"/>
      <c r="U521" s="3"/>
    </row>
    <row r="522" spans="1:21" ht="14.25" customHeight="1" x14ac:dyDescent="0.3">
      <c r="A522" s="3"/>
      <c r="B522" s="3"/>
      <c r="C522" s="37"/>
      <c r="D522" s="37"/>
      <c r="E522" s="37"/>
      <c r="F522" s="37"/>
      <c r="G522" s="98"/>
      <c r="H522" s="98"/>
      <c r="I522" s="99"/>
      <c r="J522" s="98"/>
      <c r="K522" s="37"/>
      <c r="L522" s="37"/>
      <c r="M522" s="37"/>
      <c r="N522" s="37"/>
      <c r="O522" s="37"/>
      <c r="P522" s="37"/>
      <c r="Q522" s="37"/>
      <c r="R522" s="37"/>
      <c r="S522" s="37"/>
      <c r="T522" s="37"/>
      <c r="U522" s="3"/>
    </row>
    <row r="523" spans="1:21" ht="14.25" customHeight="1" x14ac:dyDescent="0.3">
      <c r="A523" s="3"/>
      <c r="B523" s="3"/>
      <c r="C523" s="37"/>
      <c r="D523" s="37"/>
      <c r="E523" s="37"/>
      <c r="F523" s="37"/>
      <c r="G523" s="98"/>
      <c r="H523" s="98"/>
      <c r="I523" s="99"/>
      <c r="J523" s="98"/>
      <c r="K523" s="37"/>
      <c r="L523" s="37"/>
      <c r="M523" s="37"/>
      <c r="N523" s="37"/>
      <c r="O523" s="37"/>
      <c r="P523" s="37"/>
      <c r="Q523" s="37"/>
      <c r="R523" s="37"/>
      <c r="S523" s="37"/>
      <c r="T523" s="37"/>
      <c r="U523" s="3"/>
    </row>
    <row r="524" spans="1:21" ht="14.25" customHeight="1" x14ac:dyDescent="0.3">
      <c r="A524" s="3"/>
      <c r="B524" s="3"/>
      <c r="C524" s="37"/>
      <c r="D524" s="37"/>
      <c r="E524" s="37"/>
      <c r="F524" s="37"/>
      <c r="G524" s="98"/>
      <c r="H524" s="98"/>
      <c r="I524" s="99"/>
      <c r="J524" s="98"/>
      <c r="K524" s="37"/>
      <c r="L524" s="37"/>
      <c r="M524" s="37"/>
      <c r="N524" s="37"/>
      <c r="O524" s="37"/>
      <c r="P524" s="37"/>
      <c r="Q524" s="37"/>
      <c r="R524" s="37"/>
      <c r="S524" s="37"/>
      <c r="T524" s="37"/>
      <c r="U524" s="3"/>
    </row>
    <row r="525" spans="1:21" ht="14.25" customHeight="1" x14ac:dyDescent="0.3">
      <c r="A525" s="3"/>
      <c r="B525" s="3"/>
      <c r="C525" s="37"/>
      <c r="D525" s="37"/>
      <c r="E525" s="37"/>
      <c r="F525" s="37"/>
      <c r="G525" s="98"/>
      <c r="H525" s="98"/>
      <c r="I525" s="99"/>
      <c r="J525" s="98"/>
      <c r="K525" s="37"/>
      <c r="L525" s="37"/>
      <c r="M525" s="37"/>
      <c r="N525" s="37"/>
      <c r="O525" s="37"/>
      <c r="P525" s="37"/>
      <c r="Q525" s="37"/>
      <c r="R525" s="37"/>
      <c r="S525" s="37"/>
      <c r="T525" s="37"/>
      <c r="U525" s="3"/>
    </row>
    <row r="526" spans="1:21" ht="14.25" customHeight="1" x14ac:dyDescent="0.3">
      <c r="A526" s="3"/>
      <c r="B526" s="3"/>
      <c r="C526" s="37"/>
      <c r="D526" s="37"/>
      <c r="E526" s="37"/>
      <c r="F526" s="37"/>
      <c r="G526" s="98"/>
      <c r="H526" s="98"/>
      <c r="I526" s="99"/>
      <c r="J526" s="98"/>
      <c r="K526" s="37"/>
      <c r="L526" s="37"/>
      <c r="M526" s="37"/>
      <c r="N526" s="37"/>
      <c r="O526" s="37"/>
      <c r="P526" s="37"/>
      <c r="Q526" s="37"/>
      <c r="R526" s="37"/>
      <c r="S526" s="37"/>
      <c r="T526" s="37"/>
      <c r="U526" s="3"/>
    </row>
    <row r="527" spans="1:21" ht="14.25" customHeight="1" x14ac:dyDescent="0.3">
      <c r="A527" s="3"/>
      <c r="B527" s="3"/>
      <c r="C527" s="37"/>
      <c r="D527" s="37"/>
      <c r="E527" s="37"/>
      <c r="F527" s="37"/>
      <c r="G527" s="98"/>
      <c r="H527" s="98"/>
      <c r="I527" s="99"/>
      <c r="J527" s="98"/>
      <c r="K527" s="37"/>
      <c r="L527" s="37"/>
      <c r="M527" s="37"/>
      <c r="N527" s="37"/>
      <c r="O527" s="37"/>
      <c r="P527" s="37"/>
      <c r="Q527" s="37"/>
      <c r="R527" s="37"/>
      <c r="S527" s="37"/>
      <c r="T527" s="37"/>
      <c r="U527" s="3"/>
    </row>
    <row r="528" spans="1:21" ht="14.25" customHeight="1" x14ac:dyDescent="0.3">
      <c r="A528" s="3"/>
      <c r="B528" s="3"/>
      <c r="C528" s="37"/>
      <c r="D528" s="37"/>
      <c r="E528" s="37"/>
      <c r="F528" s="37"/>
      <c r="G528" s="98"/>
      <c r="H528" s="98"/>
      <c r="I528" s="99"/>
      <c r="J528" s="98"/>
      <c r="K528" s="37"/>
      <c r="L528" s="37"/>
      <c r="M528" s="37"/>
      <c r="N528" s="37"/>
      <c r="O528" s="37"/>
      <c r="P528" s="37"/>
      <c r="Q528" s="37"/>
      <c r="R528" s="37"/>
      <c r="S528" s="37"/>
      <c r="T528" s="37"/>
      <c r="U528" s="3"/>
    </row>
    <row r="529" spans="1:21" ht="14.25" customHeight="1" x14ac:dyDescent="0.3">
      <c r="A529" s="3"/>
      <c r="B529" s="3"/>
      <c r="C529" s="37"/>
      <c r="D529" s="37"/>
      <c r="E529" s="37"/>
      <c r="F529" s="37"/>
      <c r="G529" s="98"/>
      <c r="H529" s="98"/>
      <c r="I529" s="99"/>
      <c r="J529" s="98"/>
      <c r="K529" s="37"/>
      <c r="L529" s="37"/>
      <c r="M529" s="37"/>
      <c r="N529" s="37"/>
      <c r="O529" s="37"/>
      <c r="P529" s="37"/>
      <c r="Q529" s="37"/>
      <c r="R529" s="37"/>
      <c r="S529" s="37"/>
      <c r="T529" s="37"/>
      <c r="U529" s="3"/>
    </row>
    <row r="530" spans="1:21" ht="14.25" customHeight="1" x14ac:dyDescent="0.3">
      <c r="A530" s="3"/>
      <c r="B530" s="3"/>
      <c r="C530" s="37"/>
      <c r="D530" s="37"/>
      <c r="E530" s="37"/>
      <c r="F530" s="37"/>
      <c r="G530" s="98"/>
      <c r="H530" s="98"/>
      <c r="I530" s="99"/>
      <c r="J530" s="98"/>
      <c r="K530" s="37"/>
      <c r="L530" s="37"/>
      <c r="M530" s="37"/>
      <c r="N530" s="37"/>
      <c r="O530" s="37"/>
      <c r="P530" s="37"/>
      <c r="Q530" s="37"/>
      <c r="R530" s="37"/>
      <c r="S530" s="37"/>
      <c r="T530" s="37"/>
      <c r="U530" s="3"/>
    </row>
    <row r="531" spans="1:21" ht="14.25" customHeight="1" x14ac:dyDescent="0.3">
      <c r="A531" s="3"/>
      <c r="B531" s="3"/>
      <c r="C531" s="37"/>
      <c r="D531" s="37"/>
      <c r="E531" s="37"/>
      <c r="F531" s="37"/>
      <c r="G531" s="98"/>
      <c r="H531" s="98"/>
      <c r="I531" s="99"/>
      <c r="J531" s="98"/>
      <c r="K531" s="37"/>
      <c r="L531" s="37"/>
      <c r="M531" s="37"/>
      <c r="N531" s="37"/>
      <c r="O531" s="37"/>
      <c r="P531" s="37"/>
      <c r="Q531" s="37"/>
      <c r="R531" s="37"/>
      <c r="S531" s="37"/>
      <c r="T531" s="37"/>
      <c r="U531" s="3"/>
    </row>
    <row r="532" spans="1:21" ht="14.25" customHeight="1" x14ac:dyDescent="0.3">
      <c r="A532" s="3"/>
      <c r="B532" s="3"/>
      <c r="C532" s="37"/>
      <c r="D532" s="37"/>
      <c r="E532" s="37"/>
      <c r="F532" s="37"/>
      <c r="G532" s="98"/>
      <c r="H532" s="98"/>
      <c r="I532" s="99"/>
      <c r="J532" s="98"/>
      <c r="K532" s="37"/>
      <c r="L532" s="37"/>
      <c r="M532" s="37"/>
      <c r="N532" s="37"/>
      <c r="O532" s="37"/>
      <c r="P532" s="37"/>
      <c r="Q532" s="37"/>
      <c r="R532" s="37"/>
      <c r="S532" s="37"/>
      <c r="T532" s="37"/>
      <c r="U532" s="3"/>
    </row>
    <row r="533" spans="1:21" ht="14.25" customHeight="1" x14ac:dyDescent="0.3">
      <c r="A533" s="3"/>
      <c r="B533" s="3"/>
      <c r="C533" s="37"/>
      <c r="D533" s="37"/>
      <c r="E533" s="37"/>
      <c r="F533" s="37"/>
      <c r="G533" s="98"/>
      <c r="H533" s="98"/>
      <c r="I533" s="99"/>
      <c r="J533" s="98"/>
      <c r="K533" s="37"/>
      <c r="L533" s="37"/>
      <c r="M533" s="37"/>
      <c r="N533" s="37"/>
      <c r="O533" s="37"/>
      <c r="P533" s="37"/>
      <c r="Q533" s="37"/>
      <c r="R533" s="37"/>
      <c r="S533" s="37"/>
      <c r="T533" s="37"/>
      <c r="U533" s="3"/>
    </row>
    <row r="534" spans="1:21" ht="14.25" customHeight="1" x14ac:dyDescent="0.3">
      <c r="A534" s="3"/>
      <c r="B534" s="3"/>
      <c r="C534" s="37"/>
      <c r="D534" s="37"/>
      <c r="E534" s="37"/>
      <c r="F534" s="37"/>
      <c r="G534" s="98"/>
      <c r="H534" s="98"/>
      <c r="I534" s="99"/>
      <c r="J534" s="98"/>
      <c r="K534" s="37"/>
      <c r="L534" s="37"/>
      <c r="M534" s="37"/>
      <c r="N534" s="37"/>
      <c r="O534" s="37"/>
      <c r="P534" s="37"/>
      <c r="Q534" s="37"/>
      <c r="R534" s="37"/>
      <c r="S534" s="37"/>
      <c r="T534" s="37"/>
      <c r="U534" s="3"/>
    </row>
    <row r="535" spans="1:21" ht="14.25" customHeight="1" x14ac:dyDescent="0.3">
      <c r="A535" s="3"/>
      <c r="B535" s="3"/>
      <c r="C535" s="37"/>
      <c r="D535" s="37"/>
      <c r="E535" s="37"/>
      <c r="F535" s="37"/>
      <c r="G535" s="98"/>
      <c r="H535" s="98"/>
      <c r="I535" s="99"/>
      <c r="J535" s="98"/>
      <c r="K535" s="37"/>
      <c r="L535" s="37"/>
      <c r="M535" s="37"/>
      <c r="N535" s="37"/>
      <c r="O535" s="37"/>
      <c r="P535" s="37"/>
      <c r="Q535" s="37"/>
      <c r="R535" s="37"/>
      <c r="S535" s="37"/>
      <c r="T535" s="37"/>
      <c r="U535" s="3"/>
    </row>
    <row r="536" spans="1:21" ht="14.25" customHeight="1" x14ac:dyDescent="0.3">
      <c r="A536" s="3"/>
      <c r="B536" s="3"/>
      <c r="C536" s="37"/>
      <c r="D536" s="37"/>
      <c r="E536" s="37"/>
      <c r="F536" s="37"/>
      <c r="G536" s="98"/>
      <c r="H536" s="98"/>
      <c r="I536" s="99"/>
      <c r="J536" s="98"/>
      <c r="K536" s="37"/>
      <c r="L536" s="37"/>
      <c r="M536" s="37"/>
      <c r="N536" s="37"/>
      <c r="O536" s="37"/>
      <c r="P536" s="37"/>
      <c r="Q536" s="37"/>
      <c r="R536" s="37"/>
      <c r="S536" s="37"/>
      <c r="T536" s="37"/>
      <c r="U536" s="3"/>
    </row>
    <row r="537" spans="1:21" ht="14.25" customHeight="1" x14ac:dyDescent="0.3">
      <c r="A537" s="3"/>
      <c r="B537" s="3"/>
      <c r="C537" s="37"/>
      <c r="D537" s="37"/>
      <c r="E537" s="37"/>
      <c r="F537" s="37"/>
      <c r="G537" s="98"/>
      <c r="H537" s="98"/>
      <c r="I537" s="99"/>
      <c r="J537" s="98"/>
      <c r="K537" s="37"/>
      <c r="L537" s="37"/>
      <c r="M537" s="37"/>
      <c r="N537" s="37"/>
      <c r="O537" s="37"/>
      <c r="P537" s="37"/>
      <c r="Q537" s="37"/>
      <c r="R537" s="37"/>
      <c r="S537" s="37"/>
      <c r="T537" s="37"/>
      <c r="U537" s="3"/>
    </row>
    <row r="538" spans="1:21" ht="14.25" customHeight="1" x14ac:dyDescent="0.3">
      <c r="A538" s="3"/>
      <c r="B538" s="3"/>
      <c r="C538" s="37"/>
      <c r="D538" s="37"/>
      <c r="E538" s="37"/>
      <c r="F538" s="37"/>
      <c r="G538" s="98"/>
      <c r="H538" s="98"/>
      <c r="I538" s="99"/>
      <c r="J538" s="98"/>
      <c r="K538" s="37"/>
      <c r="L538" s="37"/>
      <c r="M538" s="37"/>
      <c r="N538" s="37"/>
      <c r="O538" s="37"/>
      <c r="P538" s="37"/>
      <c r="Q538" s="37"/>
      <c r="R538" s="37"/>
      <c r="S538" s="37"/>
      <c r="T538" s="37"/>
      <c r="U538" s="3"/>
    </row>
    <row r="539" spans="1:21" ht="14.25" customHeight="1" x14ac:dyDescent="0.3">
      <c r="A539" s="3"/>
      <c r="B539" s="3"/>
      <c r="C539" s="37"/>
      <c r="D539" s="37"/>
      <c r="E539" s="37"/>
      <c r="F539" s="37"/>
      <c r="G539" s="98"/>
      <c r="H539" s="98"/>
      <c r="I539" s="99"/>
      <c r="J539" s="98"/>
      <c r="K539" s="37"/>
      <c r="L539" s="37"/>
      <c r="M539" s="37"/>
      <c r="N539" s="37"/>
      <c r="O539" s="37"/>
      <c r="P539" s="37"/>
      <c r="Q539" s="37"/>
      <c r="R539" s="37"/>
      <c r="S539" s="37"/>
      <c r="T539" s="37"/>
      <c r="U539" s="3"/>
    </row>
    <row r="540" spans="1:21" ht="14.25" customHeight="1" x14ac:dyDescent="0.3">
      <c r="A540" s="3"/>
      <c r="B540" s="3"/>
      <c r="C540" s="37"/>
      <c r="D540" s="37"/>
      <c r="E540" s="37"/>
      <c r="F540" s="37"/>
      <c r="G540" s="98"/>
      <c r="H540" s="98"/>
      <c r="I540" s="99"/>
      <c r="J540" s="98"/>
      <c r="K540" s="37"/>
      <c r="L540" s="37"/>
      <c r="M540" s="37"/>
      <c r="N540" s="37"/>
      <c r="O540" s="37"/>
      <c r="P540" s="37"/>
      <c r="Q540" s="37"/>
      <c r="R540" s="37"/>
      <c r="S540" s="37"/>
      <c r="T540" s="37"/>
      <c r="U540" s="3"/>
    </row>
    <row r="541" spans="1:21" ht="14.25" customHeight="1" x14ac:dyDescent="0.3">
      <c r="A541" s="3"/>
      <c r="B541" s="3"/>
      <c r="C541" s="37"/>
      <c r="D541" s="37"/>
      <c r="E541" s="37"/>
      <c r="F541" s="37"/>
      <c r="G541" s="98"/>
      <c r="H541" s="98"/>
      <c r="I541" s="99"/>
      <c r="J541" s="98"/>
      <c r="K541" s="37"/>
      <c r="L541" s="37"/>
      <c r="M541" s="37"/>
      <c r="N541" s="37"/>
      <c r="O541" s="37"/>
      <c r="P541" s="37"/>
      <c r="Q541" s="37"/>
      <c r="R541" s="37"/>
      <c r="S541" s="37"/>
      <c r="T541" s="37"/>
      <c r="U541" s="3"/>
    </row>
    <row r="542" spans="1:21" ht="14.25" customHeight="1" x14ac:dyDescent="0.3">
      <c r="A542" s="3"/>
      <c r="B542" s="3"/>
      <c r="C542" s="37"/>
      <c r="D542" s="37"/>
      <c r="E542" s="37"/>
      <c r="F542" s="37"/>
      <c r="G542" s="98"/>
      <c r="H542" s="98"/>
      <c r="I542" s="99"/>
      <c r="J542" s="98"/>
      <c r="K542" s="37"/>
      <c r="L542" s="37"/>
      <c r="M542" s="37"/>
      <c r="N542" s="37"/>
      <c r="O542" s="37"/>
      <c r="P542" s="37"/>
      <c r="Q542" s="37"/>
      <c r="R542" s="37"/>
      <c r="S542" s="37"/>
      <c r="T542" s="37"/>
      <c r="U542" s="3"/>
    </row>
    <row r="543" spans="1:21" ht="14.25" customHeight="1" x14ac:dyDescent="0.3">
      <c r="A543" s="3"/>
      <c r="B543" s="3"/>
      <c r="C543" s="37"/>
      <c r="D543" s="37"/>
      <c r="E543" s="37"/>
      <c r="F543" s="37"/>
      <c r="G543" s="98"/>
      <c r="H543" s="98"/>
      <c r="I543" s="99"/>
      <c r="J543" s="98"/>
      <c r="K543" s="37"/>
      <c r="L543" s="37"/>
      <c r="M543" s="37"/>
      <c r="N543" s="37"/>
      <c r="O543" s="37"/>
      <c r="P543" s="37"/>
      <c r="Q543" s="37"/>
      <c r="R543" s="37"/>
      <c r="S543" s="37"/>
      <c r="T543" s="37"/>
      <c r="U543" s="3"/>
    </row>
    <row r="544" spans="1:21" ht="14.25" customHeight="1" x14ac:dyDescent="0.3">
      <c r="A544" s="3"/>
      <c r="B544" s="3"/>
      <c r="C544" s="37"/>
      <c r="D544" s="37"/>
      <c r="E544" s="37"/>
      <c r="F544" s="37"/>
      <c r="G544" s="98"/>
      <c r="H544" s="98"/>
      <c r="I544" s="99"/>
      <c r="J544" s="98"/>
      <c r="K544" s="37"/>
      <c r="L544" s="37"/>
      <c r="M544" s="37"/>
      <c r="N544" s="37"/>
      <c r="O544" s="37"/>
      <c r="P544" s="37"/>
      <c r="Q544" s="37"/>
      <c r="R544" s="37"/>
      <c r="S544" s="37"/>
      <c r="T544" s="37"/>
      <c r="U544" s="3"/>
    </row>
    <row r="545" spans="1:21" ht="14.25" customHeight="1" x14ac:dyDescent="0.3">
      <c r="A545" s="3"/>
      <c r="B545" s="3"/>
      <c r="C545" s="37"/>
      <c r="D545" s="37"/>
      <c r="E545" s="37"/>
      <c r="F545" s="37"/>
      <c r="G545" s="98"/>
      <c r="H545" s="98"/>
      <c r="I545" s="99"/>
      <c r="J545" s="98"/>
      <c r="K545" s="37"/>
      <c r="L545" s="37"/>
      <c r="M545" s="37"/>
      <c r="N545" s="37"/>
      <c r="O545" s="37"/>
      <c r="P545" s="37"/>
      <c r="Q545" s="37"/>
      <c r="R545" s="37"/>
      <c r="S545" s="37"/>
      <c r="T545" s="37"/>
      <c r="U545" s="3"/>
    </row>
    <row r="546" spans="1:21" ht="15.75" customHeight="1" x14ac:dyDescent="0.3"/>
    <row r="547" spans="1:21" ht="15.75" customHeight="1" x14ac:dyDescent="0.3"/>
    <row r="548" spans="1:21" ht="15.75" customHeight="1" x14ac:dyDescent="0.3"/>
    <row r="549" spans="1:21" ht="15.75" customHeight="1" x14ac:dyDescent="0.3"/>
    <row r="550" spans="1:21" ht="15.75" customHeight="1" x14ac:dyDescent="0.3"/>
    <row r="551" spans="1:21" ht="15.75" customHeight="1" x14ac:dyDescent="0.3"/>
    <row r="552" spans="1:21" ht="15.75" customHeight="1" x14ac:dyDescent="0.3"/>
    <row r="553" spans="1:21" ht="15.7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345" xr:uid="{00000000-0009-0000-0000-000019000000}"/>
  <mergeCells count="10">
    <mergeCell ref="J4:J5"/>
    <mergeCell ref="I17:I20"/>
    <mergeCell ref="G17:G20"/>
    <mergeCell ref="G21:G27"/>
    <mergeCell ref="I21:I27"/>
    <mergeCell ref="B2:B3"/>
    <mergeCell ref="C2:F3"/>
    <mergeCell ref="B4:B5"/>
    <mergeCell ref="H4:H5"/>
    <mergeCell ref="I4:I5"/>
  </mergeCells>
  <dataValidations count="1">
    <dataValidation type="list" allowBlank="1" showErrorMessage="1" sqref="D7:D36 D38:D61 D63:D140 D142:D150 D153:D157 D159:D163 D165:D169 D171:D175 D177:D181 D183:D260 D263:D271 D273:D281 D283:D291 D293:D313 D315:D323 D325:D345" xr:uid="{00000000-0002-0000-1900-000001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900-000000000000}">
          <x14:formula1>
            <xm:f>Caixa!$B$5:$B$8</xm:f>
          </x14:formula1>
          <xm:sqref>H7:H15 H17:H32 H34:H36 H38:H61 H63:H88 H91:H105 H107:H110 H112:H114 H117:H121 H123:H140 H142:H150 H153:H157 H159:H163 H165:H169 H171:H175 H177:H181 H183:H210 H212:H220 H222:H230 H232:H240 H242:H250 H252:H260 H263:H271 H273:H281 H283:H291 H293:H313 H315:H323 H325:H345</xm:sqref>
        </x14:dataValidation>
        <x14:dataValidation type="list" allowBlank="1" showErrorMessage="1" xr:uid="{00000000-0002-0000-1900-000002000000}">
          <x14:formula1>
            <xm:f>'Plano de contas DG'!$C$43:$C$145</xm:f>
          </x14:formula1>
          <xm:sqref>J243</xm:sqref>
        </x14:dataValidation>
        <x14:dataValidation type="list" allowBlank="1" showErrorMessage="1" xr:uid="{00000000-0002-0000-1900-000003000000}">
          <x14:formula1>
            <xm:f>'Plano de contas DG'!$C$5:$C$145</xm:f>
          </x14:formula1>
          <xm:sqref>J6:J242 J244:J345</xm:sqref>
        </x14:dataValidation>
        <x14:dataValidation type="list" allowBlank="1" showErrorMessage="1" xr:uid="{00000000-0002-0000-1900-000004000000}">
          <x14:formula1>
            <xm:f>Caixa!$B$5:$B$7</xm:f>
          </x14:formula1>
          <xm:sqref>H16 H33 H89:H90 H106 H111 H115:H116 H122 H211 H221 H231 H241 H251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SUM(E6,E126,E154,E184,E188)</f>
        <v>0</v>
      </c>
      <c r="F4" s="26">
        <f t="shared" si="0"/>
        <v>0</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SUM(E7:E125)</f>
        <v>0</v>
      </c>
      <c r="F6" s="57">
        <f>SUMIF(D7:D125,"OK",F7:F125)+SUMIF(D7:D125,"Parcial",F7:F125)</f>
        <v>0</v>
      </c>
      <c r="G6" s="118" t="s">
        <v>43</v>
      </c>
      <c r="H6" s="59"/>
      <c r="I6" s="59"/>
      <c r="J6" s="60">
        <f>(COUNTIF(D7:D125,"Pendente")+COUNTIF(D7:D125,"Parcial"))/COUNTA(B7:B125)</f>
        <v>0</v>
      </c>
      <c r="K6" s="60" t="str">
        <f>IFERROR(-(X6/E6),"Pendente info")</f>
        <v>Pendente info</v>
      </c>
      <c r="L6" s="100">
        <f>SUM(L7:L104)/COUNTA(B7:B104)</f>
        <v>0</v>
      </c>
      <c r="M6" s="57">
        <f t="shared" ref="M6:U6" si="1">SUMIF($D$7:$D$125,"OK",M7:M125)+SUMIF($D$7:$D$125,"Parcial",M7:M125)</f>
        <v>0</v>
      </c>
      <c r="N6" s="57">
        <f t="shared" si="1"/>
        <v>0</v>
      </c>
      <c r="O6" s="57">
        <f t="shared" si="1"/>
        <v>0</v>
      </c>
      <c r="P6" s="57">
        <f t="shared" si="1"/>
        <v>0</v>
      </c>
      <c r="Q6" s="57">
        <f t="shared" si="1"/>
        <v>0</v>
      </c>
      <c r="R6" s="57">
        <f t="shared" si="1"/>
        <v>0</v>
      </c>
      <c r="S6" s="57">
        <f t="shared" si="1"/>
        <v>0</v>
      </c>
      <c r="T6" s="57">
        <f t="shared" si="1"/>
        <v>0</v>
      </c>
      <c r="U6" s="57">
        <f t="shared" si="1"/>
        <v>0</v>
      </c>
      <c r="V6" s="56" t="s">
        <v>43</v>
      </c>
      <c r="W6" s="44" t="str">
        <f t="shared" ref="W6:W125" si="2">IF(F6=SUM(M6:U6),"OK","Diferente")</f>
        <v>OK</v>
      </c>
      <c r="X6" s="47">
        <f>SUM(X7:X125)</f>
        <v>0</v>
      </c>
      <c r="Y6" s="18">
        <f>SUM(M6:U6)-F6</f>
        <v>0</v>
      </c>
      <c r="Z6" s="3"/>
    </row>
    <row r="7" spans="1:26" ht="14.4" hidden="1" outlineLevel="1" x14ac:dyDescent="0.3">
      <c r="A7" s="3"/>
      <c r="B7" s="150" t="s">
        <v>422</v>
      </c>
      <c r="C7" s="62"/>
      <c r="D7" s="62"/>
      <c r="E7" s="12"/>
      <c r="F7" s="101"/>
      <c r="G7" s="250"/>
      <c r="H7" s="103"/>
      <c r="I7" s="63"/>
      <c r="J7" s="64"/>
      <c r="K7" s="62"/>
      <c r="L7" s="62" t="str">
        <f t="shared" ref="L7:L125" si="3">IF(C7&gt;=13,1,"")</f>
        <v/>
      </c>
      <c r="M7" s="12"/>
      <c r="N7" s="12"/>
      <c r="O7" s="12"/>
      <c r="P7" s="12"/>
      <c r="Q7" s="12"/>
      <c r="R7" s="12"/>
      <c r="S7" s="12"/>
      <c r="T7" s="12"/>
      <c r="U7" s="12"/>
      <c r="V7" s="65"/>
      <c r="W7" s="44" t="str">
        <f t="shared" si="2"/>
        <v>OK</v>
      </c>
      <c r="X7" s="47" t="str">
        <f t="shared" ref="X7:X125" si="4">IF(W7="Diferente",F7-SUM(M7:U7),"")</f>
        <v/>
      </c>
      <c r="Y7" s="3"/>
      <c r="Z7" s="127"/>
    </row>
    <row r="8" spans="1:26" ht="14.4" hidden="1" outlineLevel="1" x14ac:dyDescent="0.3">
      <c r="A8" s="3"/>
      <c r="B8" s="150" t="s">
        <v>424</v>
      </c>
      <c r="C8" s="62"/>
      <c r="D8" s="62"/>
      <c r="E8" s="12"/>
      <c r="F8" s="101"/>
      <c r="G8" s="251"/>
      <c r="H8" s="103"/>
      <c r="I8" s="63"/>
      <c r="J8" s="64"/>
      <c r="K8" s="62"/>
      <c r="L8" s="62" t="str">
        <f t="shared" si="3"/>
        <v/>
      </c>
      <c r="M8" s="12"/>
      <c r="N8" s="12"/>
      <c r="O8" s="12"/>
      <c r="P8" s="12"/>
      <c r="Q8" s="12"/>
      <c r="R8" s="12"/>
      <c r="S8" s="12"/>
      <c r="T8" s="12"/>
      <c r="U8" s="12"/>
      <c r="V8" s="65"/>
      <c r="W8" s="44" t="str">
        <f t="shared" si="2"/>
        <v>OK</v>
      </c>
      <c r="X8" s="47" t="str">
        <f t="shared" si="4"/>
        <v/>
      </c>
      <c r="Y8" s="3"/>
      <c r="Z8" s="127"/>
    </row>
    <row r="9" spans="1:26" ht="14.4" hidden="1" outlineLevel="1" x14ac:dyDescent="0.3">
      <c r="A9" s="3"/>
      <c r="B9" s="150" t="s">
        <v>425</v>
      </c>
      <c r="C9" s="62"/>
      <c r="D9" s="62"/>
      <c r="E9" s="12"/>
      <c r="F9" s="101"/>
      <c r="G9" s="251"/>
      <c r="H9" s="103"/>
      <c r="I9" s="63"/>
      <c r="J9" s="64"/>
      <c r="K9" s="62"/>
      <c r="L9" s="62" t="str">
        <f t="shared" si="3"/>
        <v/>
      </c>
      <c r="M9" s="12"/>
      <c r="N9" s="12"/>
      <c r="O9" s="12"/>
      <c r="P9" s="12"/>
      <c r="Q9" s="12"/>
      <c r="R9" s="12"/>
      <c r="S9" s="12"/>
      <c r="T9" s="12"/>
      <c r="U9" s="12"/>
      <c r="V9" s="65"/>
      <c r="W9" s="44" t="str">
        <f t="shared" si="2"/>
        <v>OK</v>
      </c>
      <c r="X9" s="47" t="str">
        <f t="shared" si="4"/>
        <v/>
      </c>
      <c r="Y9" s="3"/>
      <c r="Z9" s="127"/>
    </row>
    <row r="10" spans="1:26" ht="14.4" hidden="1" outlineLevel="1" x14ac:dyDescent="0.3">
      <c r="A10" s="3"/>
      <c r="B10" s="150" t="s">
        <v>426</v>
      </c>
      <c r="C10" s="62"/>
      <c r="D10" s="62"/>
      <c r="E10" s="12"/>
      <c r="F10" s="101"/>
      <c r="G10" s="252"/>
      <c r="H10" s="103"/>
      <c r="I10" s="63"/>
      <c r="J10" s="64"/>
      <c r="K10" s="62"/>
      <c r="L10" s="62" t="str">
        <f t="shared" si="3"/>
        <v/>
      </c>
      <c r="M10" s="12"/>
      <c r="N10" s="12"/>
      <c r="O10" s="12"/>
      <c r="P10" s="12"/>
      <c r="Q10" s="12"/>
      <c r="R10" s="12"/>
      <c r="S10" s="12"/>
      <c r="T10" s="12"/>
      <c r="U10" s="12"/>
      <c r="V10" s="65"/>
      <c r="W10" s="44" t="str">
        <f t="shared" si="2"/>
        <v>OK</v>
      </c>
      <c r="X10" s="47" t="str">
        <f t="shared" si="4"/>
        <v/>
      </c>
      <c r="Y10" s="3"/>
      <c r="Z10" s="127"/>
    </row>
    <row r="11" spans="1:26" ht="14.4" hidden="1" outlineLevel="1" x14ac:dyDescent="0.3">
      <c r="A11" s="3"/>
      <c r="B11" s="109" t="s">
        <v>427</v>
      </c>
      <c r="C11" s="62"/>
      <c r="D11" s="62"/>
      <c r="E11" s="12"/>
      <c r="F11" s="101"/>
      <c r="G11" s="250"/>
      <c r="H11" s="103"/>
      <c r="I11" s="63"/>
      <c r="J11" s="64"/>
      <c r="K11" s="62"/>
      <c r="L11" s="62" t="str">
        <f t="shared" si="3"/>
        <v/>
      </c>
      <c r="M11" s="12"/>
      <c r="N11" s="12"/>
      <c r="O11" s="12"/>
      <c r="P11" s="12"/>
      <c r="Q11" s="12"/>
      <c r="R11" s="12"/>
      <c r="S11" s="12"/>
      <c r="T11" s="12"/>
      <c r="U11" s="12"/>
      <c r="V11" s="65"/>
      <c r="W11" s="44" t="str">
        <f t="shared" si="2"/>
        <v>OK</v>
      </c>
      <c r="X11" s="47" t="str">
        <f t="shared" si="4"/>
        <v/>
      </c>
      <c r="Y11" s="3"/>
      <c r="Z11" s="127"/>
    </row>
    <row r="12" spans="1:26" ht="14.4" hidden="1" outlineLevel="1" x14ac:dyDescent="0.3">
      <c r="A12" s="3"/>
      <c r="B12" s="109" t="s">
        <v>428</v>
      </c>
      <c r="C12" s="62"/>
      <c r="D12" s="62"/>
      <c r="E12" s="12"/>
      <c r="F12" s="101"/>
      <c r="G12" s="252"/>
      <c r="H12" s="103"/>
      <c r="I12" s="63"/>
      <c r="J12" s="64"/>
      <c r="K12" s="62"/>
      <c r="L12" s="62" t="str">
        <f t="shared" si="3"/>
        <v/>
      </c>
      <c r="M12" s="12"/>
      <c r="N12" s="12"/>
      <c r="O12" s="12"/>
      <c r="P12" s="12"/>
      <c r="Q12" s="12"/>
      <c r="R12" s="12"/>
      <c r="S12" s="12"/>
      <c r="T12" s="12"/>
      <c r="U12" s="12"/>
      <c r="V12" s="65"/>
      <c r="W12" s="44" t="str">
        <f t="shared" si="2"/>
        <v>OK</v>
      </c>
      <c r="X12" s="47" t="str">
        <f t="shared" si="4"/>
        <v/>
      </c>
      <c r="Y12" s="3"/>
      <c r="Z12" s="127"/>
    </row>
    <row r="13" spans="1:26" ht="14.4" hidden="1" outlineLevel="1" x14ac:dyDescent="0.3">
      <c r="A13" s="3"/>
      <c r="B13" s="150" t="s">
        <v>429</v>
      </c>
      <c r="C13" s="62"/>
      <c r="D13" s="62"/>
      <c r="E13" s="12"/>
      <c r="F13" s="101"/>
      <c r="G13" s="253"/>
      <c r="H13" s="103"/>
      <c r="I13" s="63"/>
      <c r="J13" s="64"/>
      <c r="K13" s="62"/>
      <c r="L13" s="62" t="str">
        <f t="shared" si="3"/>
        <v/>
      </c>
      <c r="M13" s="12"/>
      <c r="N13" s="12"/>
      <c r="O13" s="12"/>
      <c r="P13" s="12"/>
      <c r="Q13" s="12"/>
      <c r="R13" s="12"/>
      <c r="S13" s="12"/>
      <c r="T13" s="12"/>
      <c r="U13" s="12"/>
      <c r="V13" s="65"/>
      <c r="W13" s="44" t="str">
        <f t="shared" si="2"/>
        <v>OK</v>
      </c>
      <c r="X13" s="47" t="str">
        <f t="shared" si="4"/>
        <v/>
      </c>
      <c r="Y13" s="3"/>
      <c r="Z13" s="127"/>
    </row>
    <row r="14" spans="1:26" ht="14.4" hidden="1" outlineLevel="1" x14ac:dyDescent="0.3">
      <c r="A14" s="3"/>
      <c r="B14" s="150" t="s">
        <v>431</v>
      </c>
      <c r="C14" s="62"/>
      <c r="D14" s="62"/>
      <c r="E14" s="12"/>
      <c r="F14" s="101"/>
      <c r="G14" s="252"/>
      <c r="H14" s="103"/>
      <c r="I14" s="63"/>
      <c r="J14" s="64"/>
      <c r="K14" s="62"/>
      <c r="L14" s="62" t="str">
        <f t="shared" si="3"/>
        <v/>
      </c>
      <c r="M14" s="12"/>
      <c r="N14" s="12"/>
      <c r="O14" s="12"/>
      <c r="P14" s="12"/>
      <c r="Q14" s="12"/>
      <c r="R14" s="12"/>
      <c r="S14" s="12"/>
      <c r="T14" s="12"/>
      <c r="U14" s="12"/>
      <c r="V14" s="65"/>
      <c r="W14" s="44" t="str">
        <f t="shared" si="2"/>
        <v>OK</v>
      </c>
      <c r="X14" s="47" t="str">
        <f t="shared" si="4"/>
        <v/>
      </c>
      <c r="Y14" s="3"/>
      <c r="Z14" s="127"/>
    </row>
    <row r="15" spans="1:26" ht="18" hidden="1" customHeight="1" outlineLevel="1" x14ac:dyDescent="0.3">
      <c r="A15" s="3"/>
      <c r="B15" s="109" t="s">
        <v>432</v>
      </c>
      <c r="C15" s="62"/>
      <c r="D15" s="62"/>
      <c r="E15" s="12"/>
      <c r="F15" s="101"/>
      <c r="G15" s="253"/>
      <c r="H15" s="103"/>
      <c r="I15" s="63"/>
      <c r="J15" s="64"/>
      <c r="K15" s="62"/>
      <c r="L15" s="62" t="str">
        <f t="shared" si="3"/>
        <v/>
      </c>
      <c r="M15" s="12"/>
      <c r="N15" s="12"/>
      <c r="O15" s="12"/>
      <c r="P15" s="12"/>
      <c r="Q15" s="12"/>
      <c r="R15" s="12"/>
      <c r="S15" s="12"/>
      <c r="T15" s="12"/>
      <c r="U15" s="12"/>
      <c r="V15" s="65"/>
      <c r="W15" s="44" t="str">
        <f t="shared" si="2"/>
        <v>OK</v>
      </c>
      <c r="X15" s="47" t="str">
        <f t="shared" si="4"/>
        <v/>
      </c>
      <c r="Y15" s="3"/>
      <c r="Z15" s="127"/>
    </row>
    <row r="16" spans="1:26" ht="18" hidden="1" customHeight="1" outlineLevel="1" x14ac:dyDescent="0.3">
      <c r="A16" s="3"/>
      <c r="B16" s="109" t="s">
        <v>433</v>
      </c>
      <c r="C16" s="62"/>
      <c r="D16" s="62"/>
      <c r="E16" s="12"/>
      <c r="F16" s="101"/>
      <c r="G16" s="252"/>
      <c r="H16" s="103"/>
      <c r="I16" s="63"/>
      <c r="J16" s="64"/>
      <c r="K16" s="62"/>
      <c r="L16" s="62" t="str">
        <f t="shared" si="3"/>
        <v/>
      </c>
      <c r="M16" s="12"/>
      <c r="N16" s="12"/>
      <c r="O16" s="12"/>
      <c r="P16" s="12"/>
      <c r="Q16" s="12"/>
      <c r="R16" s="12"/>
      <c r="S16" s="12"/>
      <c r="T16" s="12"/>
      <c r="U16" s="12"/>
      <c r="V16" s="65"/>
      <c r="W16" s="44" t="str">
        <f t="shared" si="2"/>
        <v>OK</v>
      </c>
      <c r="X16" s="47" t="str">
        <f t="shared" si="4"/>
        <v/>
      </c>
      <c r="Y16" s="3"/>
      <c r="Z16" s="127"/>
    </row>
    <row r="17" spans="1:26" ht="14.4" hidden="1" outlineLevel="1" x14ac:dyDescent="0.3">
      <c r="A17" s="3"/>
      <c r="B17" s="150" t="s">
        <v>434</v>
      </c>
      <c r="C17" s="62"/>
      <c r="D17" s="62"/>
      <c r="E17" s="12"/>
      <c r="F17" s="101"/>
      <c r="G17" s="250"/>
      <c r="H17" s="103"/>
      <c r="I17" s="63"/>
      <c r="J17" s="64"/>
      <c r="K17" s="62"/>
      <c r="L17" s="62" t="str">
        <f t="shared" si="3"/>
        <v/>
      </c>
      <c r="M17" s="12"/>
      <c r="N17" s="12"/>
      <c r="O17" s="12"/>
      <c r="P17" s="12"/>
      <c r="Q17" s="12"/>
      <c r="R17" s="12"/>
      <c r="S17" s="12"/>
      <c r="T17" s="12"/>
      <c r="U17" s="12"/>
      <c r="V17" s="65"/>
      <c r="W17" s="44" t="str">
        <f t="shared" si="2"/>
        <v>OK</v>
      </c>
      <c r="X17" s="47" t="str">
        <f t="shared" si="4"/>
        <v/>
      </c>
      <c r="Y17" s="3"/>
      <c r="Z17" s="127"/>
    </row>
    <row r="18" spans="1:26" ht="14.4" hidden="1" outlineLevel="1" x14ac:dyDescent="0.3">
      <c r="A18" s="3"/>
      <c r="B18" s="150" t="s">
        <v>435</v>
      </c>
      <c r="C18" s="62"/>
      <c r="D18" s="62"/>
      <c r="E18" s="12"/>
      <c r="F18" s="101"/>
      <c r="G18" s="252"/>
      <c r="H18" s="103"/>
      <c r="I18" s="63"/>
      <c r="J18" s="64"/>
      <c r="K18" s="62"/>
      <c r="L18" s="62" t="str">
        <f t="shared" si="3"/>
        <v/>
      </c>
      <c r="M18" s="12"/>
      <c r="N18" s="12"/>
      <c r="O18" s="12"/>
      <c r="P18" s="12"/>
      <c r="Q18" s="12"/>
      <c r="R18" s="12"/>
      <c r="S18" s="12"/>
      <c r="T18" s="12"/>
      <c r="U18" s="12"/>
      <c r="V18" s="65"/>
      <c r="W18" s="44" t="str">
        <f t="shared" si="2"/>
        <v>OK</v>
      </c>
      <c r="X18" s="47" t="str">
        <f t="shared" si="4"/>
        <v/>
      </c>
      <c r="Y18" s="3"/>
      <c r="Z18" s="127"/>
    </row>
    <row r="19" spans="1:26" ht="14.4" hidden="1" outlineLevel="1" x14ac:dyDescent="0.3">
      <c r="A19" s="3"/>
      <c r="B19" s="109" t="s">
        <v>436</v>
      </c>
      <c r="C19" s="62"/>
      <c r="D19" s="62"/>
      <c r="E19" s="12"/>
      <c r="F19" s="101"/>
      <c r="G19" s="250"/>
      <c r="H19" s="103"/>
      <c r="I19" s="63"/>
      <c r="J19" s="64"/>
      <c r="K19" s="62"/>
      <c r="L19" s="62" t="str">
        <f t="shared" si="3"/>
        <v/>
      </c>
      <c r="M19" s="12"/>
      <c r="N19" s="12"/>
      <c r="O19" s="12"/>
      <c r="P19" s="12"/>
      <c r="Q19" s="12"/>
      <c r="R19" s="12"/>
      <c r="S19" s="12"/>
      <c r="T19" s="12"/>
      <c r="U19" s="12"/>
      <c r="V19" s="65"/>
      <c r="W19" s="44" t="str">
        <f t="shared" si="2"/>
        <v>OK</v>
      </c>
      <c r="X19" s="47" t="str">
        <f t="shared" si="4"/>
        <v/>
      </c>
      <c r="Y19" s="3"/>
      <c r="Z19" s="127"/>
    </row>
    <row r="20" spans="1:26" ht="14.4" hidden="1" outlineLevel="1" x14ac:dyDescent="0.3">
      <c r="A20" s="3"/>
      <c r="B20" s="109" t="s">
        <v>437</v>
      </c>
      <c r="C20" s="62"/>
      <c r="D20" s="62"/>
      <c r="E20" s="12"/>
      <c r="F20" s="101"/>
      <c r="G20" s="252"/>
      <c r="H20" s="103"/>
      <c r="I20" s="63"/>
      <c r="J20" s="64"/>
      <c r="K20" s="62"/>
      <c r="L20" s="62" t="str">
        <f t="shared" si="3"/>
        <v/>
      </c>
      <c r="M20" s="12"/>
      <c r="N20" s="12"/>
      <c r="O20" s="12"/>
      <c r="P20" s="12"/>
      <c r="Q20" s="12"/>
      <c r="R20" s="12"/>
      <c r="S20" s="12"/>
      <c r="T20" s="12"/>
      <c r="U20" s="12"/>
      <c r="V20" s="65"/>
      <c r="W20" s="44" t="str">
        <f t="shared" si="2"/>
        <v>OK</v>
      </c>
      <c r="X20" s="47" t="str">
        <f t="shared" si="4"/>
        <v/>
      </c>
      <c r="Y20" s="3"/>
      <c r="Z20" s="127"/>
    </row>
    <row r="21" spans="1:26" ht="15.75" hidden="1" customHeight="1" outlineLevel="1" x14ac:dyDescent="0.3">
      <c r="A21" s="3"/>
      <c r="B21" s="150" t="s">
        <v>438</v>
      </c>
      <c r="C21" s="62"/>
      <c r="D21" s="62"/>
      <c r="E21" s="12"/>
      <c r="F21" s="101"/>
      <c r="G21" s="253"/>
      <c r="H21" s="103"/>
      <c r="I21" s="63"/>
      <c r="J21" s="64"/>
      <c r="K21" s="62"/>
      <c r="L21" s="62" t="str">
        <f t="shared" si="3"/>
        <v/>
      </c>
      <c r="M21" s="12"/>
      <c r="N21" s="12"/>
      <c r="O21" s="12"/>
      <c r="P21" s="12"/>
      <c r="Q21" s="12"/>
      <c r="R21" s="12"/>
      <c r="S21" s="12"/>
      <c r="T21" s="12"/>
      <c r="U21" s="12"/>
      <c r="V21" s="65"/>
      <c r="W21" s="44" t="str">
        <f t="shared" si="2"/>
        <v>OK</v>
      </c>
      <c r="X21" s="47" t="str">
        <f t="shared" si="4"/>
        <v/>
      </c>
      <c r="Y21" s="3"/>
      <c r="Z21" s="127"/>
    </row>
    <row r="22" spans="1:26" ht="15.75" hidden="1" customHeight="1" outlineLevel="1" x14ac:dyDescent="0.3">
      <c r="A22" s="3"/>
      <c r="B22" s="150" t="s">
        <v>439</v>
      </c>
      <c r="C22" s="62"/>
      <c r="D22" s="62"/>
      <c r="E22" s="12"/>
      <c r="F22" s="101"/>
      <c r="G22" s="252"/>
      <c r="H22" s="103"/>
      <c r="I22" s="63"/>
      <c r="J22" s="64"/>
      <c r="K22" s="62"/>
      <c r="L22" s="62" t="str">
        <f t="shared" si="3"/>
        <v/>
      </c>
      <c r="M22" s="12"/>
      <c r="N22" s="12"/>
      <c r="O22" s="12"/>
      <c r="P22" s="12"/>
      <c r="Q22" s="12"/>
      <c r="R22" s="12"/>
      <c r="S22" s="12"/>
      <c r="T22" s="12"/>
      <c r="U22" s="12"/>
      <c r="V22" s="65"/>
      <c r="W22" s="44" t="str">
        <f t="shared" si="2"/>
        <v>OK</v>
      </c>
      <c r="X22" s="47" t="str">
        <f t="shared" si="4"/>
        <v/>
      </c>
      <c r="Y22" s="3"/>
      <c r="Z22" s="127"/>
    </row>
    <row r="23" spans="1:26" ht="15.75" hidden="1" customHeight="1" outlineLevel="1" x14ac:dyDescent="0.3">
      <c r="A23" s="3"/>
      <c r="B23" s="109" t="s">
        <v>440</v>
      </c>
      <c r="C23" s="62"/>
      <c r="D23" s="62"/>
      <c r="E23" s="12"/>
      <c r="F23" s="101"/>
      <c r="G23" s="253"/>
      <c r="H23" s="103"/>
      <c r="I23" s="63"/>
      <c r="J23" s="64"/>
      <c r="K23" s="12"/>
      <c r="L23" s="62" t="str">
        <f t="shared" si="3"/>
        <v/>
      </c>
      <c r="M23" s="12"/>
      <c r="N23" s="12"/>
      <c r="O23" s="12"/>
      <c r="P23" s="12"/>
      <c r="Q23" s="12"/>
      <c r="R23" s="12"/>
      <c r="S23" s="12"/>
      <c r="T23" s="12"/>
      <c r="U23" s="12"/>
      <c r="V23" s="65"/>
      <c r="W23" s="44" t="str">
        <f t="shared" si="2"/>
        <v>OK</v>
      </c>
      <c r="X23" s="47" t="str">
        <f t="shared" si="4"/>
        <v/>
      </c>
      <c r="Y23" s="3"/>
      <c r="Z23" s="127"/>
    </row>
    <row r="24" spans="1:26" ht="15.75" hidden="1" customHeight="1" outlineLevel="1" x14ac:dyDescent="0.3">
      <c r="A24" s="3"/>
      <c r="B24" s="109" t="s">
        <v>441</v>
      </c>
      <c r="C24" s="62"/>
      <c r="D24" s="62"/>
      <c r="E24" s="12"/>
      <c r="F24" s="101"/>
      <c r="G24" s="252"/>
      <c r="H24" s="103"/>
      <c r="I24" s="63"/>
      <c r="J24" s="64"/>
      <c r="K24" s="12"/>
      <c r="L24" s="62" t="str">
        <f t="shared" si="3"/>
        <v/>
      </c>
      <c r="M24" s="12"/>
      <c r="N24" s="12"/>
      <c r="O24" s="12"/>
      <c r="P24" s="12"/>
      <c r="Q24" s="12"/>
      <c r="R24" s="12"/>
      <c r="S24" s="12"/>
      <c r="T24" s="12"/>
      <c r="U24" s="12"/>
      <c r="V24" s="65"/>
      <c r="W24" s="44" t="str">
        <f t="shared" si="2"/>
        <v>OK</v>
      </c>
      <c r="X24" s="47" t="str">
        <f t="shared" si="4"/>
        <v/>
      </c>
      <c r="Y24" s="3"/>
      <c r="Z24" s="127"/>
    </row>
    <row r="25" spans="1:26" ht="15.75" hidden="1" customHeight="1" outlineLevel="1" x14ac:dyDescent="0.3">
      <c r="A25" s="3"/>
      <c r="B25" s="150" t="s">
        <v>442</v>
      </c>
      <c r="C25" s="62"/>
      <c r="D25" s="62"/>
      <c r="E25" s="12"/>
      <c r="F25" s="101"/>
      <c r="G25" s="121"/>
      <c r="H25" s="103"/>
      <c r="I25" s="63"/>
      <c r="J25" s="64"/>
      <c r="K25" s="12"/>
      <c r="L25" s="62" t="str">
        <f t="shared" si="3"/>
        <v/>
      </c>
      <c r="M25" s="12"/>
      <c r="N25" s="12"/>
      <c r="O25" s="12"/>
      <c r="P25" s="12"/>
      <c r="Q25" s="12"/>
      <c r="R25" s="12"/>
      <c r="S25" s="12"/>
      <c r="T25" s="12"/>
      <c r="U25" s="12"/>
      <c r="V25" s="65"/>
      <c r="W25" s="44" t="str">
        <f t="shared" si="2"/>
        <v>OK</v>
      </c>
      <c r="X25" s="47" t="str">
        <f t="shared" si="4"/>
        <v/>
      </c>
      <c r="Y25" s="3"/>
      <c r="Z25" s="127"/>
    </row>
    <row r="26" spans="1:26" ht="15.75" hidden="1" customHeight="1" outlineLevel="1" x14ac:dyDescent="0.3">
      <c r="A26" s="3"/>
      <c r="B26" s="109" t="s">
        <v>443</v>
      </c>
      <c r="C26" s="62"/>
      <c r="D26" s="62"/>
      <c r="E26" s="12"/>
      <c r="F26" s="101"/>
      <c r="G26" s="119"/>
      <c r="H26" s="103"/>
      <c r="I26" s="63"/>
      <c r="J26" s="64"/>
      <c r="K26" s="12"/>
      <c r="L26" s="62" t="str">
        <f t="shared" si="3"/>
        <v/>
      </c>
      <c r="M26" s="12"/>
      <c r="N26" s="12"/>
      <c r="O26" s="12"/>
      <c r="P26" s="12"/>
      <c r="Q26" s="12"/>
      <c r="R26" s="12"/>
      <c r="S26" s="12"/>
      <c r="T26" s="12"/>
      <c r="U26" s="12"/>
      <c r="V26" s="65"/>
      <c r="W26" s="44" t="str">
        <f t="shared" si="2"/>
        <v>OK</v>
      </c>
      <c r="X26" s="47" t="str">
        <f t="shared" si="4"/>
        <v/>
      </c>
      <c r="Y26" s="3"/>
      <c r="Z26" s="127"/>
    </row>
    <row r="27" spans="1:26" ht="15.75" hidden="1" customHeight="1" outlineLevel="1" x14ac:dyDescent="0.3">
      <c r="A27" s="3"/>
      <c r="B27" s="150" t="s">
        <v>444</v>
      </c>
      <c r="C27" s="62"/>
      <c r="D27" s="62"/>
      <c r="E27" s="12"/>
      <c r="F27" s="101"/>
      <c r="G27" s="253"/>
      <c r="H27" s="103"/>
      <c r="I27" s="63"/>
      <c r="J27" s="64"/>
      <c r="K27" s="12"/>
      <c r="L27" s="62" t="str">
        <f t="shared" si="3"/>
        <v/>
      </c>
      <c r="M27" s="12"/>
      <c r="N27" s="12"/>
      <c r="O27" s="12"/>
      <c r="P27" s="12"/>
      <c r="Q27" s="12"/>
      <c r="R27" s="12"/>
      <c r="S27" s="12"/>
      <c r="T27" s="12"/>
      <c r="U27" s="12"/>
      <c r="V27" s="65"/>
      <c r="W27" s="44" t="str">
        <f t="shared" si="2"/>
        <v>OK</v>
      </c>
      <c r="X27" s="47" t="str">
        <f t="shared" si="4"/>
        <v/>
      </c>
      <c r="Y27" s="3"/>
      <c r="Z27" s="127"/>
    </row>
    <row r="28" spans="1:26" ht="15.75" hidden="1" customHeight="1" outlineLevel="1" x14ac:dyDescent="0.3">
      <c r="A28" s="3"/>
      <c r="B28" s="150" t="s">
        <v>446</v>
      </c>
      <c r="C28" s="62"/>
      <c r="D28" s="62"/>
      <c r="E28" s="12"/>
      <c r="F28" s="101"/>
      <c r="G28" s="252"/>
      <c r="H28" s="103"/>
      <c r="I28" s="63"/>
      <c r="J28" s="64"/>
      <c r="K28" s="12"/>
      <c r="L28" s="62" t="str">
        <f t="shared" si="3"/>
        <v/>
      </c>
      <c r="M28" s="12"/>
      <c r="N28" s="12"/>
      <c r="O28" s="12"/>
      <c r="P28" s="12"/>
      <c r="Q28" s="12"/>
      <c r="R28" s="12"/>
      <c r="S28" s="12"/>
      <c r="T28" s="12"/>
      <c r="U28" s="12"/>
      <c r="V28" s="65"/>
      <c r="W28" s="44" t="str">
        <f t="shared" si="2"/>
        <v>OK</v>
      </c>
      <c r="X28" s="47" t="str">
        <f t="shared" si="4"/>
        <v/>
      </c>
      <c r="Y28" s="3"/>
      <c r="Z28" s="127"/>
    </row>
    <row r="29" spans="1:26" ht="15.75" hidden="1" customHeight="1" outlineLevel="1" x14ac:dyDescent="0.3">
      <c r="A29" s="3"/>
      <c r="B29" s="109" t="s">
        <v>447</v>
      </c>
      <c r="C29" s="62"/>
      <c r="D29" s="62"/>
      <c r="E29" s="12"/>
      <c r="F29" s="101"/>
      <c r="G29" s="253"/>
      <c r="H29" s="103"/>
      <c r="I29" s="63"/>
      <c r="J29" s="64"/>
      <c r="K29" s="12"/>
      <c r="L29" s="62" t="str">
        <f t="shared" si="3"/>
        <v/>
      </c>
      <c r="M29" s="12"/>
      <c r="N29" s="12"/>
      <c r="O29" s="12"/>
      <c r="P29" s="12"/>
      <c r="Q29" s="12"/>
      <c r="R29" s="12"/>
      <c r="S29" s="12"/>
      <c r="T29" s="12"/>
      <c r="U29" s="12"/>
      <c r="V29" s="65"/>
      <c r="W29" s="44" t="str">
        <f t="shared" si="2"/>
        <v>OK</v>
      </c>
      <c r="X29" s="47" t="str">
        <f t="shared" si="4"/>
        <v/>
      </c>
      <c r="Y29" s="3"/>
      <c r="Z29" s="127"/>
    </row>
    <row r="30" spans="1:26" ht="15.75" hidden="1" customHeight="1" outlineLevel="1" x14ac:dyDescent="0.3">
      <c r="A30" s="3"/>
      <c r="B30" s="109" t="s">
        <v>448</v>
      </c>
      <c r="C30" s="62"/>
      <c r="D30" s="62"/>
      <c r="E30" s="12"/>
      <c r="F30" s="101"/>
      <c r="G30" s="252"/>
      <c r="H30" s="103"/>
      <c r="I30" s="63"/>
      <c r="J30" s="64"/>
      <c r="K30" s="12"/>
      <c r="L30" s="62" t="str">
        <f t="shared" si="3"/>
        <v/>
      </c>
      <c r="M30" s="12"/>
      <c r="N30" s="12"/>
      <c r="O30" s="12"/>
      <c r="P30" s="12"/>
      <c r="Q30" s="12"/>
      <c r="R30" s="12"/>
      <c r="S30" s="12"/>
      <c r="T30" s="12"/>
      <c r="U30" s="12"/>
      <c r="V30" s="65"/>
      <c r="W30" s="44" t="str">
        <f t="shared" si="2"/>
        <v>OK</v>
      </c>
      <c r="X30" s="47" t="str">
        <f t="shared" si="4"/>
        <v/>
      </c>
      <c r="Y30" s="3"/>
      <c r="Z30" s="127"/>
    </row>
    <row r="31" spans="1:26" ht="15.75" hidden="1" customHeight="1" outlineLevel="1" x14ac:dyDescent="0.3">
      <c r="A31" s="3"/>
      <c r="B31" s="150" t="s">
        <v>449</v>
      </c>
      <c r="C31" s="62"/>
      <c r="D31" s="62"/>
      <c r="E31" s="12"/>
      <c r="F31" s="101"/>
      <c r="G31" s="253"/>
      <c r="H31" s="103"/>
      <c r="I31" s="63"/>
      <c r="J31" s="64"/>
      <c r="K31" s="12"/>
      <c r="L31" s="62" t="str">
        <f t="shared" si="3"/>
        <v/>
      </c>
      <c r="M31" s="12"/>
      <c r="N31" s="12"/>
      <c r="O31" s="12"/>
      <c r="P31" s="12"/>
      <c r="Q31" s="12"/>
      <c r="R31" s="12"/>
      <c r="S31" s="12"/>
      <c r="T31" s="12"/>
      <c r="U31" s="12"/>
      <c r="V31" s="65"/>
      <c r="W31" s="44" t="str">
        <f t="shared" si="2"/>
        <v>OK</v>
      </c>
      <c r="X31" s="47" t="str">
        <f t="shared" si="4"/>
        <v/>
      </c>
      <c r="Y31" s="3"/>
      <c r="Z31" s="127"/>
    </row>
    <row r="32" spans="1:26" ht="15.75" hidden="1" customHeight="1" outlineLevel="1" x14ac:dyDescent="0.3">
      <c r="A32" s="3"/>
      <c r="B32" s="150" t="s">
        <v>450</v>
      </c>
      <c r="C32" s="62"/>
      <c r="D32" s="62"/>
      <c r="E32" s="12"/>
      <c r="F32" s="101"/>
      <c r="G32" s="252"/>
      <c r="H32" s="103"/>
      <c r="I32" s="63"/>
      <c r="J32" s="64"/>
      <c r="K32" s="12"/>
      <c r="L32" s="62" t="str">
        <f t="shared" si="3"/>
        <v/>
      </c>
      <c r="M32" s="12"/>
      <c r="N32" s="12"/>
      <c r="O32" s="12"/>
      <c r="P32" s="12"/>
      <c r="Q32" s="12"/>
      <c r="R32" s="12"/>
      <c r="S32" s="12"/>
      <c r="T32" s="12"/>
      <c r="U32" s="12"/>
      <c r="V32" s="65"/>
      <c r="W32" s="44" t="str">
        <f t="shared" si="2"/>
        <v>OK</v>
      </c>
      <c r="X32" s="47" t="str">
        <f t="shared" si="4"/>
        <v/>
      </c>
      <c r="Y32" s="3"/>
      <c r="Z32" s="127"/>
    </row>
    <row r="33" spans="1:26" ht="15.75" hidden="1" customHeight="1" outlineLevel="1" x14ac:dyDescent="0.3">
      <c r="A33" s="3"/>
      <c r="B33" s="109" t="s">
        <v>451</v>
      </c>
      <c r="C33" s="62"/>
      <c r="D33" s="62"/>
      <c r="E33" s="12"/>
      <c r="F33" s="101"/>
      <c r="G33" s="253"/>
      <c r="H33" s="103"/>
      <c r="I33" s="63"/>
      <c r="J33" s="64"/>
      <c r="K33" s="12"/>
      <c r="L33" s="62" t="str">
        <f t="shared" si="3"/>
        <v/>
      </c>
      <c r="M33" s="12"/>
      <c r="N33" s="12"/>
      <c r="O33" s="12"/>
      <c r="P33" s="12"/>
      <c r="Q33" s="12"/>
      <c r="R33" s="12"/>
      <c r="S33" s="12"/>
      <c r="T33" s="12"/>
      <c r="U33" s="12"/>
      <c r="V33" s="65"/>
      <c r="W33" s="44" t="str">
        <f t="shared" si="2"/>
        <v>OK</v>
      </c>
      <c r="X33" s="47" t="str">
        <f t="shared" si="4"/>
        <v/>
      </c>
      <c r="Y33" s="3"/>
      <c r="Z33" s="127"/>
    </row>
    <row r="34" spans="1:26" ht="15.75" hidden="1" customHeight="1" outlineLevel="1" x14ac:dyDescent="0.3">
      <c r="A34" s="3"/>
      <c r="B34" s="109" t="s">
        <v>452</v>
      </c>
      <c r="C34" s="62"/>
      <c r="D34" s="62"/>
      <c r="E34" s="12"/>
      <c r="F34" s="101"/>
      <c r="G34" s="252"/>
      <c r="H34" s="103"/>
      <c r="I34" s="63"/>
      <c r="J34" s="64"/>
      <c r="K34" s="12"/>
      <c r="L34" s="62" t="str">
        <f t="shared" si="3"/>
        <v/>
      </c>
      <c r="M34" s="12"/>
      <c r="N34" s="12"/>
      <c r="O34" s="12"/>
      <c r="P34" s="12"/>
      <c r="Q34" s="12"/>
      <c r="R34" s="12"/>
      <c r="S34" s="12"/>
      <c r="T34" s="12"/>
      <c r="U34" s="12"/>
      <c r="V34" s="65"/>
      <c r="W34" s="44" t="str">
        <f t="shared" si="2"/>
        <v>OK</v>
      </c>
      <c r="X34" s="47" t="str">
        <f t="shared" si="4"/>
        <v/>
      </c>
      <c r="Y34" s="3"/>
      <c r="Z34" s="127"/>
    </row>
    <row r="35" spans="1:26" ht="15.75" hidden="1" customHeight="1" outlineLevel="1" x14ac:dyDescent="0.3">
      <c r="A35" s="3"/>
      <c r="B35" s="150" t="s">
        <v>453</v>
      </c>
      <c r="C35" s="62"/>
      <c r="D35" s="62"/>
      <c r="E35" s="12"/>
      <c r="F35" s="101"/>
      <c r="G35" s="120"/>
      <c r="H35" s="103"/>
      <c r="I35" s="63"/>
      <c r="J35" s="64"/>
      <c r="K35" s="12"/>
      <c r="L35" s="62" t="str">
        <f t="shared" si="3"/>
        <v/>
      </c>
      <c r="M35" s="12"/>
      <c r="N35" s="12"/>
      <c r="O35" s="12"/>
      <c r="P35" s="12"/>
      <c r="Q35" s="12"/>
      <c r="R35" s="12"/>
      <c r="S35" s="12"/>
      <c r="T35" s="12"/>
      <c r="U35" s="12"/>
      <c r="V35" s="65"/>
      <c r="W35" s="44" t="str">
        <f t="shared" si="2"/>
        <v>OK</v>
      </c>
      <c r="X35" s="47" t="str">
        <f t="shared" si="4"/>
        <v/>
      </c>
      <c r="Y35" s="3"/>
      <c r="Z35" s="127"/>
    </row>
    <row r="36" spans="1:26" ht="15.75" hidden="1" customHeight="1" outlineLevel="1" x14ac:dyDescent="0.3">
      <c r="A36" s="3"/>
      <c r="B36" s="109" t="s">
        <v>454</v>
      </c>
      <c r="C36" s="62"/>
      <c r="D36" s="62"/>
      <c r="E36" s="12"/>
      <c r="F36" s="101"/>
      <c r="G36" s="119"/>
      <c r="H36" s="103"/>
      <c r="I36" s="63"/>
      <c r="J36" s="64"/>
      <c r="K36" s="12"/>
      <c r="L36" s="62" t="str">
        <f t="shared" si="3"/>
        <v/>
      </c>
      <c r="M36" s="12"/>
      <c r="N36" s="12"/>
      <c r="O36" s="12"/>
      <c r="P36" s="12"/>
      <c r="Q36" s="12"/>
      <c r="R36" s="12"/>
      <c r="S36" s="12"/>
      <c r="T36" s="12"/>
      <c r="U36" s="12"/>
      <c r="V36" s="65"/>
      <c r="W36" s="44" t="str">
        <f t="shared" si="2"/>
        <v>OK</v>
      </c>
      <c r="X36" s="47" t="str">
        <f t="shared" si="4"/>
        <v/>
      </c>
      <c r="Y36" s="3"/>
      <c r="Z36" s="127"/>
    </row>
    <row r="37" spans="1:26" ht="15.75" hidden="1" customHeight="1" outlineLevel="1" x14ac:dyDescent="0.3">
      <c r="A37" s="3"/>
      <c r="B37" s="150" t="s">
        <v>455</v>
      </c>
      <c r="C37" s="62"/>
      <c r="D37" s="62"/>
      <c r="E37" s="12"/>
      <c r="F37" s="101"/>
      <c r="G37" s="253"/>
      <c r="H37" s="103"/>
      <c r="I37" s="63"/>
      <c r="J37" s="64"/>
      <c r="K37" s="12"/>
      <c r="L37" s="62" t="str">
        <f t="shared" si="3"/>
        <v/>
      </c>
      <c r="M37" s="12"/>
      <c r="N37" s="12"/>
      <c r="O37" s="12"/>
      <c r="P37" s="12"/>
      <c r="Q37" s="12"/>
      <c r="R37" s="12"/>
      <c r="S37" s="12"/>
      <c r="T37" s="12"/>
      <c r="U37" s="12"/>
      <c r="V37" s="65"/>
      <c r="W37" s="44" t="str">
        <f t="shared" si="2"/>
        <v>OK</v>
      </c>
      <c r="X37" s="47" t="str">
        <f t="shared" si="4"/>
        <v/>
      </c>
      <c r="Y37" s="3"/>
      <c r="Z37" s="127"/>
    </row>
    <row r="38" spans="1:26" ht="15.75" hidden="1" customHeight="1" outlineLevel="1" x14ac:dyDescent="0.3">
      <c r="A38" s="3"/>
      <c r="B38" s="150" t="s">
        <v>456</v>
      </c>
      <c r="C38" s="62"/>
      <c r="D38" s="62"/>
      <c r="E38" s="12"/>
      <c r="F38" s="101"/>
      <c r="G38" s="252"/>
      <c r="H38" s="103"/>
      <c r="I38" s="63"/>
      <c r="J38" s="64"/>
      <c r="K38" s="12"/>
      <c r="L38" s="62" t="str">
        <f t="shared" si="3"/>
        <v/>
      </c>
      <c r="M38" s="12"/>
      <c r="N38" s="12"/>
      <c r="O38" s="12"/>
      <c r="P38" s="12"/>
      <c r="Q38" s="12"/>
      <c r="R38" s="12"/>
      <c r="S38" s="12"/>
      <c r="T38" s="12"/>
      <c r="U38" s="12"/>
      <c r="V38" s="65"/>
      <c r="W38" s="44" t="str">
        <f t="shared" si="2"/>
        <v>OK</v>
      </c>
      <c r="X38" s="47" t="str">
        <f t="shared" si="4"/>
        <v/>
      </c>
      <c r="Y38" s="3"/>
      <c r="Z38" s="127"/>
    </row>
    <row r="39" spans="1:26" ht="15.75" hidden="1" customHeight="1" outlineLevel="1" x14ac:dyDescent="0.3">
      <c r="A39" s="3"/>
      <c r="B39" s="109" t="s">
        <v>457</v>
      </c>
      <c r="C39" s="62"/>
      <c r="D39" s="62"/>
      <c r="E39" s="12"/>
      <c r="F39" s="101"/>
      <c r="G39" s="250"/>
      <c r="H39" s="63"/>
      <c r="I39" s="63"/>
      <c r="J39" s="64"/>
      <c r="K39" s="12"/>
      <c r="L39" s="62" t="str">
        <f t="shared" si="3"/>
        <v/>
      </c>
      <c r="M39" s="12"/>
      <c r="N39" s="12"/>
      <c r="O39" s="12"/>
      <c r="P39" s="12"/>
      <c r="Q39" s="12"/>
      <c r="R39" s="12"/>
      <c r="S39" s="12"/>
      <c r="T39" s="12"/>
      <c r="U39" s="12"/>
      <c r="V39" s="65"/>
      <c r="W39" s="44" t="str">
        <f t="shared" si="2"/>
        <v>OK</v>
      </c>
      <c r="X39" s="47" t="str">
        <f t="shared" si="4"/>
        <v/>
      </c>
      <c r="Y39" s="3"/>
      <c r="Z39" s="127"/>
    </row>
    <row r="40" spans="1:26" ht="15.75" hidden="1" customHeight="1" outlineLevel="1" x14ac:dyDescent="0.3">
      <c r="A40" s="3"/>
      <c r="B40" s="109" t="s">
        <v>458</v>
      </c>
      <c r="C40" s="62"/>
      <c r="D40" s="62"/>
      <c r="E40" s="12"/>
      <c r="F40" s="101"/>
      <c r="G40" s="251"/>
      <c r="H40" s="63"/>
      <c r="I40" s="63"/>
      <c r="J40" s="64"/>
      <c r="K40" s="12"/>
      <c r="L40" s="62" t="str">
        <f t="shared" si="3"/>
        <v/>
      </c>
      <c r="M40" s="12"/>
      <c r="N40" s="12"/>
      <c r="O40" s="12"/>
      <c r="P40" s="12"/>
      <c r="Q40" s="12"/>
      <c r="R40" s="12"/>
      <c r="S40" s="12"/>
      <c r="T40" s="12"/>
      <c r="U40" s="12"/>
      <c r="V40" s="65"/>
      <c r="W40" s="44" t="str">
        <f t="shared" si="2"/>
        <v>OK</v>
      </c>
      <c r="X40" s="47" t="str">
        <f t="shared" si="4"/>
        <v/>
      </c>
      <c r="Y40" s="3"/>
      <c r="Z40" s="127"/>
    </row>
    <row r="41" spans="1:26" ht="15.75" hidden="1" customHeight="1" outlineLevel="1" x14ac:dyDescent="0.3">
      <c r="A41" s="3"/>
      <c r="B41" s="109" t="s">
        <v>459</v>
      </c>
      <c r="C41" s="62"/>
      <c r="D41" s="62"/>
      <c r="E41" s="12"/>
      <c r="F41" s="101"/>
      <c r="G41" s="251"/>
      <c r="H41" s="63"/>
      <c r="I41" s="63"/>
      <c r="J41" s="64"/>
      <c r="K41" s="12"/>
      <c r="L41" s="62" t="str">
        <f t="shared" si="3"/>
        <v/>
      </c>
      <c r="M41" s="12"/>
      <c r="N41" s="12"/>
      <c r="O41" s="12"/>
      <c r="P41" s="12"/>
      <c r="Q41" s="12"/>
      <c r="R41" s="12"/>
      <c r="S41" s="12"/>
      <c r="T41" s="12"/>
      <c r="U41" s="12"/>
      <c r="V41" s="65"/>
      <c r="W41" s="44" t="str">
        <f t="shared" si="2"/>
        <v>OK</v>
      </c>
      <c r="X41" s="47" t="str">
        <f t="shared" si="4"/>
        <v/>
      </c>
      <c r="Y41" s="3"/>
      <c r="Z41" s="127"/>
    </row>
    <row r="42" spans="1:26" ht="15.75" hidden="1" customHeight="1" outlineLevel="1" x14ac:dyDescent="0.3">
      <c r="A42" s="3"/>
      <c r="B42" s="109" t="s">
        <v>460</v>
      </c>
      <c r="C42" s="62"/>
      <c r="D42" s="62"/>
      <c r="E42" s="12"/>
      <c r="F42" s="101"/>
      <c r="G42" s="252"/>
      <c r="H42" s="63"/>
      <c r="I42" s="63"/>
      <c r="J42" s="64"/>
      <c r="K42" s="12"/>
      <c r="L42" s="62" t="str">
        <f t="shared" si="3"/>
        <v/>
      </c>
      <c r="M42" s="12"/>
      <c r="N42" s="12"/>
      <c r="O42" s="12"/>
      <c r="P42" s="12"/>
      <c r="Q42" s="12"/>
      <c r="R42" s="12"/>
      <c r="S42" s="12"/>
      <c r="T42" s="12"/>
      <c r="U42" s="12"/>
      <c r="V42" s="65"/>
      <c r="W42" s="44" t="str">
        <f t="shared" si="2"/>
        <v>OK</v>
      </c>
      <c r="X42" s="47" t="str">
        <f t="shared" si="4"/>
        <v/>
      </c>
      <c r="Y42" s="3"/>
      <c r="Z42" s="127"/>
    </row>
    <row r="43" spans="1:26" ht="15.75" hidden="1" customHeight="1" outlineLevel="1" x14ac:dyDescent="0.3">
      <c r="A43" s="3"/>
      <c r="B43" s="150" t="s">
        <v>461</v>
      </c>
      <c r="C43" s="62"/>
      <c r="D43" s="62"/>
      <c r="E43" s="12"/>
      <c r="F43" s="101"/>
      <c r="G43" s="121"/>
      <c r="H43" s="63"/>
      <c r="I43" s="63"/>
      <c r="J43" s="64"/>
      <c r="K43" s="12"/>
      <c r="L43" s="62" t="str">
        <f t="shared" si="3"/>
        <v/>
      </c>
      <c r="M43" s="12"/>
      <c r="N43" s="12"/>
      <c r="O43" s="12"/>
      <c r="P43" s="12"/>
      <c r="Q43" s="12"/>
      <c r="R43" s="12"/>
      <c r="S43" s="12"/>
      <c r="T43" s="12"/>
      <c r="U43" s="12"/>
      <c r="V43" s="65"/>
      <c r="W43" s="44" t="str">
        <f t="shared" si="2"/>
        <v>OK</v>
      </c>
      <c r="X43" s="47" t="str">
        <f t="shared" si="4"/>
        <v/>
      </c>
      <c r="Y43" s="3"/>
      <c r="Z43" s="127"/>
    </row>
    <row r="44" spans="1:26" ht="15.75" hidden="1" customHeight="1" outlineLevel="1" x14ac:dyDescent="0.3">
      <c r="A44" s="3"/>
      <c r="B44" s="109" t="s">
        <v>462</v>
      </c>
      <c r="C44" s="62"/>
      <c r="D44" s="62"/>
      <c r="E44" s="12"/>
      <c r="F44" s="101"/>
      <c r="G44" s="250"/>
      <c r="H44" s="63"/>
      <c r="I44" s="63"/>
      <c r="J44" s="64"/>
      <c r="K44" s="12"/>
      <c r="L44" s="62" t="str">
        <f t="shared" si="3"/>
        <v/>
      </c>
      <c r="M44" s="12"/>
      <c r="N44" s="12"/>
      <c r="O44" s="12"/>
      <c r="P44" s="12"/>
      <c r="Q44" s="12"/>
      <c r="R44" s="12"/>
      <c r="S44" s="12"/>
      <c r="T44" s="12"/>
      <c r="U44" s="12"/>
      <c r="V44" s="65"/>
      <c r="W44" s="44" t="str">
        <f t="shared" si="2"/>
        <v>OK</v>
      </c>
      <c r="X44" s="47" t="str">
        <f t="shared" si="4"/>
        <v/>
      </c>
      <c r="Y44" s="3"/>
      <c r="Z44" s="127"/>
    </row>
    <row r="45" spans="1:26" ht="15.75" hidden="1" customHeight="1" outlineLevel="1" x14ac:dyDescent="0.3">
      <c r="A45" s="3"/>
      <c r="B45" s="109" t="s">
        <v>463</v>
      </c>
      <c r="C45" s="62"/>
      <c r="D45" s="62"/>
      <c r="E45" s="12"/>
      <c r="F45" s="101"/>
      <c r="G45" s="252"/>
      <c r="H45" s="63"/>
      <c r="I45" s="63"/>
      <c r="J45" s="64"/>
      <c r="K45" s="12"/>
      <c r="L45" s="62" t="str">
        <f t="shared" si="3"/>
        <v/>
      </c>
      <c r="M45" s="12"/>
      <c r="N45" s="12"/>
      <c r="O45" s="12"/>
      <c r="P45" s="12"/>
      <c r="Q45" s="12"/>
      <c r="R45" s="12"/>
      <c r="S45" s="12"/>
      <c r="T45" s="12"/>
      <c r="U45" s="12"/>
      <c r="V45" s="65"/>
      <c r="W45" s="44" t="str">
        <f t="shared" si="2"/>
        <v>OK</v>
      </c>
      <c r="X45" s="47" t="str">
        <f t="shared" si="4"/>
        <v/>
      </c>
      <c r="Y45" s="3"/>
      <c r="Z45" s="127"/>
    </row>
    <row r="46" spans="1:26" ht="15.75" hidden="1" customHeight="1" outlineLevel="1" x14ac:dyDescent="0.3">
      <c r="A46" s="3"/>
      <c r="B46" s="150" t="s">
        <v>464</v>
      </c>
      <c r="C46" s="62"/>
      <c r="D46" s="62"/>
      <c r="E46" s="12"/>
      <c r="F46" s="101"/>
      <c r="G46" s="232"/>
      <c r="H46" s="63"/>
      <c r="I46" s="63"/>
      <c r="J46" s="64"/>
      <c r="K46" s="12"/>
      <c r="L46" s="62" t="str">
        <f t="shared" si="3"/>
        <v/>
      </c>
      <c r="M46" s="12"/>
      <c r="N46" s="12"/>
      <c r="O46" s="12"/>
      <c r="P46" s="12"/>
      <c r="Q46" s="12"/>
      <c r="R46" s="12"/>
      <c r="S46" s="12"/>
      <c r="T46" s="12"/>
      <c r="U46" s="12"/>
      <c r="V46" s="65"/>
      <c r="W46" s="44" t="str">
        <f t="shared" si="2"/>
        <v>OK</v>
      </c>
      <c r="X46" s="47" t="str">
        <f t="shared" si="4"/>
        <v/>
      </c>
      <c r="Y46" s="3"/>
      <c r="Z46" s="127"/>
    </row>
    <row r="47" spans="1:26" ht="15.75" hidden="1" customHeight="1" outlineLevel="1" x14ac:dyDescent="0.3">
      <c r="A47" s="3"/>
      <c r="B47" s="150" t="s">
        <v>465</v>
      </c>
      <c r="C47" s="62"/>
      <c r="D47" s="62"/>
      <c r="E47" s="12"/>
      <c r="F47" s="101"/>
      <c r="G47" s="234"/>
      <c r="H47" s="63"/>
      <c r="I47" s="63"/>
      <c r="J47" s="64"/>
      <c r="K47" s="12"/>
      <c r="L47" s="62" t="str">
        <f t="shared" si="3"/>
        <v/>
      </c>
      <c r="M47" s="12"/>
      <c r="N47" s="12"/>
      <c r="O47" s="12"/>
      <c r="P47" s="12"/>
      <c r="Q47" s="12"/>
      <c r="R47" s="12"/>
      <c r="S47" s="12"/>
      <c r="T47" s="12"/>
      <c r="U47" s="12"/>
      <c r="V47" s="65"/>
      <c r="W47" s="44" t="str">
        <f t="shared" si="2"/>
        <v>OK</v>
      </c>
      <c r="X47" s="47" t="str">
        <f t="shared" si="4"/>
        <v/>
      </c>
      <c r="Y47" s="3"/>
      <c r="Z47" s="127"/>
    </row>
    <row r="48" spans="1:26" ht="15.75" hidden="1" customHeight="1" outlineLevel="1" x14ac:dyDescent="0.3">
      <c r="A48" s="3"/>
      <c r="B48" s="109" t="s">
        <v>466</v>
      </c>
      <c r="C48" s="62"/>
      <c r="D48" s="62"/>
      <c r="E48" s="12"/>
      <c r="F48" s="101"/>
      <c r="G48" s="232"/>
      <c r="H48" s="63"/>
      <c r="I48" s="63"/>
      <c r="J48" s="64"/>
      <c r="K48" s="12"/>
      <c r="L48" s="62" t="str">
        <f t="shared" si="3"/>
        <v/>
      </c>
      <c r="M48" s="12"/>
      <c r="N48" s="12"/>
      <c r="O48" s="12"/>
      <c r="P48" s="12"/>
      <c r="Q48" s="12"/>
      <c r="R48" s="12"/>
      <c r="S48" s="12"/>
      <c r="T48" s="12"/>
      <c r="U48" s="12"/>
      <c r="V48" s="65"/>
      <c r="W48" s="44" t="str">
        <f t="shared" si="2"/>
        <v>OK</v>
      </c>
      <c r="X48" s="47" t="str">
        <f t="shared" si="4"/>
        <v/>
      </c>
      <c r="Y48" s="3"/>
      <c r="Z48" s="127"/>
    </row>
    <row r="49" spans="1:26" ht="15.75" hidden="1" customHeight="1" outlineLevel="1" x14ac:dyDescent="0.3">
      <c r="A49" s="3"/>
      <c r="B49" s="109" t="s">
        <v>467</v>
      </c>
      <c r="C49" s="62"/>
      <c r="D49" s="62"/>
      <c r="E49" s="12"/>
      <c r="F49" s="101"/>
      <c r="G49" s="234"/>
      <c r="H49" s="63"/>
      <c r="I49" s="63"/>
      <c r="J49" s="64"/>
      <c r="K49" s="12"/>
      <c r="L49" s="62" t="str">
        <f t="shared" si="3"/>
        <v/>
      </c>
      <c r="M49" s="12"/>
      <c r="N49" s="12"/>
      <c r="O49" s="12"/>
      <c r="P49" s="12"/>
      <c r="Q49" s="12"/>
      <c r="R49" s="12"/>
      <c r="S49" s="12"/>
      <c r="T49" s="12"/>
      <c r="U49" s="12"/>
      <c r="V49" s="65"/>
      <c r="W49" s="44" t="str">
        <f t="shared" si="2"/>
        <v>OK</v>
      </c>
      <c r="X49" s="47" t="str">
        <f t="shared" si="4"/>
        <v/>
      </c>
      <c r="Y49" s="3"/>
      <c r="Z49" s="127"/>
    </row>
    <row r="50" spans="1:26" ht="15.75" hidden="1" customHeight="1" outlineLevel="1" x14ac:dyDescent="0.3">
      <c r="A50" s="3"/>
      <c r="B50" s="150" t="s">
        <v>468</v>
      </c>
      <c r="C50" s="62"/>
      <c r="D50" s="62"/>
      <c r="E50" s="12"/>
      <c r="F50" s="101"/>
      <c r="G50" s="232"/>
      <c r="H50" s="63"/>
      <c r="I50" s="63"/>
      <c r="J50" s="64"/>
      <c r="K50" s="12"/>
      <c r="L50" s="62" t="str">
        <f t="shared" si="3"/>
        <v/>
      </c>
      <c r="M50" s="12"/>
      <c r="N50" s="12"/>
      <c r="O50" s="12"/>
      <c r="P50" s="12"/>
      <c r="Q50" s="12"/>
      <c r="R50" s="12"/>
      <c r="S50" s="12"/>
      <c r="T50" s="12"/>
      <c r="U50" s="12"/>
      <c r="V50" s="65"/>
      <c r="W50" s="44" t="str">
        <f t="shared" si="2"/>
        <v>OK</v>
      </c>
      <c r="X50" s="47" t="str">
        <f t="shared" si="4"/>
        <v/>
      </c>
      <c r="Y50" s="3"/>
      <c r="Z50" s="127"/>
    </row>
    <row r="51" spans="1:26" ht="15.75" hidden="1" customHeight="1" outlineLevel="1" x14ac:dyDescent="0.3">
      <c r="A51" s="3"/>
      <c r="B51" s="150" t="s">
        <v>469</v>
      </c>
      <c r="C51" s="62"/>
      <c r="D51" s="62"/>
      <c r="E51" s="12"/>
      <c r="F51" s="101"/>
      <c r="G51" s="234"/>
      <c r="H51" s="63"/>
      <c r="I51" s="63"/>
      <c r="J51" s="64"/>
      <c r="K51" s="12"/>
      <c r="L51" s="62" t="str">
        <f t="shared" si="3"/>
        <v/>
      </c>
      <c r="M51" s="12"/>
      <c r="N51" s="12"/>
      <c r="O51" s="12"/>
      <c r="P51" s="12"/>
      <c r="Q51" s="12"/>
      <c r="R51" s="12"/>
      <c r="S51" s="12"/>
      <c r="T51" s="12"/>
      <c r="U51" s="12"/>
      <c r="V51" s="65"/>
      <c r="W51" s="44" t="str">
        <f t="shared" si="2"/>
        <v>OK</v>
      </c>
      <c r="X51" s="47" t="str">
        <f t="shared" si="4"/>
        <v/>
      </c>
      <c r="Y51" s="3"/>
      <c r="Z51" s="127"/>
    </row>
    <row r="52" spans="1:26" ht="15.75" hidden="1" customHeight="1" outlineLevel="1" x14ac:dyDescent="0.3">
      <c r="A52" s="3"/>
      <c r="B52" s="109" t="s">
        <v>470</v>
      </c>
      <c r="C52" s="62"/>
      <c r="D52" s="62"/>
      <c r="E52" s="12"/>
      <c r="F52" s="101"/>
      <c r="G52" s="253"/>
      <c r="H52" s="63"/>
      <c r="I52" s="63"/>
      <c r="J52" s="64"/>
      <c r="K52" s="12"/>
      <c r="L52" s="62" t="str">
        <f t="shared" si="3"/>
        <v/>
      </c>
      <c r="M52" s="12"/>
      <c r="N52" s="12"/>
      <c r="O52" s="12"/>
      <c r="P52" s="12"/>
      <c r="Q52" s="12"/>
      <c r="R52" s="12"/>
      <c r="S52" s="12"/>
      <c r="T52" s="12"/>
      <c r="U52" s="12"/>
      <c r="V52" s="89"/>
      <c r="W52" s="44" t="str">
        <f t="shared" si="2"/>
        <v>OK</v>
      </c>
      <c r="X52" s="47" t="str">
        <f t="shared" si="4"/>
        <v/>
      </c>
      <c r="Y52" s="3"/>
      <c r="Z52" s="127"/>
    </row>
    <row r="53" spans="1:26" ht="15.75" hidden="1" customHeight="1" outlineLevel="1" x14ac:dyDescent="0.3">
      <c r="A53" s="3"/>
      <c r="B53" s="109" t="s">
        <v>472</v>
      </c>
      <c r="C53" s="62"/>
      <c r="D53" s="62"/>
      <c r="E53" s="12"/>
      <c r="F53" s="101"/>
      <c r="G53" s="252"/>
      <c r="H53" s="63"/>
      <c r="I53" s="63"/>
      <c r="J53" s="64"/>
      <c r="K53" s="12"/>
      <c r="L53" s="62" t="str">
        <f t="shared" si="3"/>
        <v/>
      </c>
      <c r="M53" s="12"/>
      <c r="N53" s="12"/>
      <c r="O53" s="12"/>
      <c r="P53" s="12"/>
      <c r="Q53" s="12"/>
      <c r="R53" s="12"/>
      <c r="S53" s="12"/>
      <c r="T53" s="12"/>
      <c r="U53" s="12"/>
      <c r="V53" s="65"/>
      <c r="W53" s="44" t="str">
        <f t="shared" si="2"/>
        <v>OK</v>
      </c>
      <c r="X53" s="47" t="str">
        <f t="shared" si="4"/>
        <v/>
      </c>
      <c r="Y53" s="3"/>
      <c r="Z53" s="127"/>
    </row>
    <row r="54" spans="1:26" ht="15.75" hidden="1" customHeight="1" outlineLevel="1" x14ac:dyDescent="0.3">
      <c r="A54" s="3"/>
      <c r="B54" s="150" t="s">
        <v>473</v>
      </c>
      <c r="C54" s="62"/>
      <c r="D54" s="62"/>
      <c r="E54" s="12"/>
      <c r="F54" s="101"/>
      <c r="G54" s="67"/>
      <c r="H54" s="63"/>
      <c r="I54" s="63"/>
      <c r="J54" s="64"/>
      <c r="K54" s="12"/>
      <c r="L54" s="62" t="str">
        <f t="shared" si="3"/>
        <v/>
      </c>
      <c r="M54" s="12"/>
      <c r="N54" s="12"/>
      <c r="O54" s="12"/>
      <c r="P54" s="12"/>
      <c r="Q54" s="12"/>
      <c r="R54" s="12"/>
      <c r="S54" s="12"/>
      <c r="T54" s="12"/>
      <c r="U54" s="12"/>
      <c r="V54" s="65"/>
      <c r="W54" s="44" t="str">
        <f t="shared" si="2"/>
        <v>OK</v>
      </c>
      <c r="X54" s="47" t="str">
        <f t="shared" si="4"/>
        <v/>
      </c>
      <c r="Y54" s="3"/>
      <c r="Z54" s="127"/>
    </row>
    <row r="55" spans="1:26" ht="21" hidden="1" customHeight="1" outlineLevel="1" x14ac:dyDescent="0.3">
      <c r="A55" s="3"/>
      <c r="B55" s="109" t="s">
        <v>474</v>
      </c>
      <c r="C55" s="62"/>
      <c r="D55" s="62"/>
      <c r="E55" s="12"/>
      <c r="F55" s="101"/>
      <c r="G55" s="235"/>
      <c r="H55" s="63"/>
      <c r="I55" s="63"/>
      <c r="J55" s="64"/>
      <c r="K55" s="12"/>
      <c r="L55" s="62" t="str">
        <f t="shared" si="3"/>
        <v/>
      </c>
      <c r="M55" s="12"/>
      <c r="N55" s="12"/>
      <c r="O55" s="12"/>
      <c r="P55" s="12"/>
      <c r="Q55" s="12"/>
      <c r="R55" s="12"/>
      <c r="S55" s="12"/>
      <c r="T55" s="12"/>
      <c r="U55" s="12"/>
      <c r="V55" s="65"/>
      <c r="W55" s="44" t="str">
        <f t="shared" si="2"/>
        <v>OK</v>
      </c>
      <c r="X55" s="47" t="str">
        <f t="shared" si="4"/>
        <v/>
      </c>
      <c r="Y55" s="3"/>
      <c r="Z55" s="127"/>
    </row>
    <row r="56" spans="1:26" ht="21" hidden="1" customHeight="1" outlineLevel="1" x14ac:dyDescent="0.3">
      <c r="A56" s="3"/>
      <c r="B56" s="109" t="s">
        <v>476</v>
      </c>
      <c r="C56" s="62"/>
      <c r="D56" s="62"/>
      <c r="E56" s="12"/>
      <c r="F56" s="101"/>
      <c r="G56" s="234"/>
      <c r="H56" s="63"/>
      <c r="I56" s="63"/>
      <c r="J56" s="64"/>
      <c r="K56" s="12"/>
      <c r="L56" s="62" t="str">
        <f t="shared" si="3"/>
        <v/>
      </c>
      <c r="M56" s="12"/>
      <c r="N56" s="12"/>
      <c r="O56" s="12"/>
      <c r="P56" s="12"/>
      <c r="Q56" s="12"/>
      <c r="R56" s="12"/>
      <c r="S56" s="12"/>
      <c r="T56" s="12"/>
      <c r="U56" s="12"/>
      <c r="V56" s="65"/>
      <c r="W56" s="44" t="str">
        <f t="shared" si="2"/>
        <v>OK</v>
      </c>
      <c r="X56" s="47" t="str">
        <f t="shared" si="4"/>
        <v/>
      </c>
      <c r="Y56" s="3"/>
      <c r="Z56" s="127"/>
    </row>
    <row r="57" spans="1:26" ht="15.75" hidden="1" customHeight="1" outlineLevel="1" x14ac:dyDescent="0.3">
      <c r="A57" s="3"/>
      <c r="B57" s="150" t="s">
        <v>477</v>
      </c>
      <c r="C57" s="62"/>
      <c r="D57" s="62"/>
      <c r="E57" s="12"/>
      <c r="F57" s="101"/>
      <c r="G57" s="70"/>
      <c r="H57" s="63"/>
      <c r="I57" s="63"/>
      <c r="J57" s="64"/>
      <c r="K57" s="12"/>
      <c r="L57" s="62" t="str">
        <f t="shared" si="3"/>
        <v/>
      </c>
      <c r="M57" s="12"/>
      <c r="N57" s="12"/>
      <c r="O57" s="12"/>
      <c r="P57" s="12"/>
      <c r="Q57" s="12"/>
      <c r="R57" s="12"/>
      <c r="S57" s="12"/>
      <c r="T57" s="12"/>
      <c r="U57" s="12"/>
      <c r="V57" s="65"/>
      <c r="W57" s="44" t="str">
        <f t="shared" si="2"/>
        <v>OK</v>
      </c>
      <c r="X57" s="47" t="str">
        <f t="shared" si="4"/>
        <v/>
      </c>
      <c r="Y57" s="3"/>
      <c r="Z57" s="127"/>
    </row>
    <row r="58" spans="1:26" ht="15.75" hidden="1" customHeight="1" outlineLevel="1" x14ac:dyDescent="0.3">
      <c r="A58" s="3"/>
      <c r="B58" s="109" t="s">
        <v>478</v>
      </c>
      <c r="C58" s="62"/>
      <c r="D58" s="62"/>
      <c r="E58" s="12"/>
      <c r="F58" s="101"/>
      <c r="G58" s="232"/>
      <c r="H58" s="63"/>
      <c r="I58" s="63"/>
      <c r="J58" s="64"/>
      <c r="K58" s="12"/>
      <c r="L58" s="62" t="str">
        <f t="shared" si="3"/>
        <v/>
      </c>
      <c r="M58" s="12"/>
      <c r="N58" s="12"/>
      <c r="O58" s="12"/>
      <c r="P58" s="12"/>
      <c r="Q58" s="12"/>
      <c r="R58" s="12"/>
      <c r="S58" s="12"/>
      <c r="T58" s="12"/>
      <c r="U58" s="12"/>
      <c r="V58" s="65"/>
      <c r="W58" s="44" t="str">
        <f t="shared" si="2"/>
        <v>OK</v>
      </c>
      <c r="X58" s="47" t="str">
        <f t="shared" si="4"/>
        <v/>
      </c>
      <c r="Y58" s="3"/>
      <c r="Z58" s="127"/>
    </row>
    <row r="59" spans="1:26" ht="15.75" hidden="1" customHeight="1" outlineLevel="1" x14ac:dyDescent="0.3">
      <c r="A59" s="3"/>
      <c r="B59" s="109" t="s">
        <v>479</v>
      </c>
      <c r="C59" s="62"/>
      <c r="D59" s="62"/>
      <c r="E59" s="12"/>
      <c r="F59" s="101"/>
      <c r="G59" s="234"/>
      <c r="H59" s="63"/>
      <c r="I59" s="63"/>
      <c r="J59" s="64"/>
      <c r="K59" s="12"/>
      <c r="L59" s="62" t="str">
        <f t="shared" si="3"/>
        <v/>
      </c>
      <c r="M59" s="12"/>
      <c r="N59" s="12"/>
      <c r="O59" s="12"/>
      <c r="P59" s="12"/>
      <c r="Q59" s="12"/>
      <c r="R59" s="12"/>
      <c r="S59" s="12"/>
      <c r="T59" s="12"/>
      <c r="U59" s="12"/>
      <c r="V59" s="65"/>
      <c r="W59" s="44" t="str">
        <f t="shared" si="2"/>
        <v>OK</v>
      </c>
      <c r="X59" s="47" t="str">
        <f t="shared" si="4"/>
        <v/>
      </c>
      <c r="Y59" s="3"/>
      <c r="Z59" s="127"/>
    </row>
    <row r="60" spans="1:26" ht="15.75" hidden="1" customHeight="1" outlineLevel="1" x14ac:dyDescent="0.3">
      <c r="A60" s="3"/>
      <c r="B60" s="150" t="s">
        <v>480</v>
      </c>
      <c r="C60" s="62"/>
      <c r="D60" s="62"/>
      <c r="E60" s="12"/>
      <c r="F60" s="101"/>
      <c r="G60" s="67"/>
      <c r="H60" s="63"/>
      <c r="I60" s="63"/>
      <c r="J60" s="64"/>
      <c r="K60" s="12"/>
      <c r="L60" s="62" t="str">
        <f t="shared" si="3"/>
        <v/>
      </c>
      <c r="M60" s="12"/>
      <c r="N60" s="12"/>
      <c r="O60" s="12"/>
      <c r="P60" s="12"/>
      <c r="Q60" s="12"/>
      <c r="R60" s="12"/>
      <c r="S60" s="12"/>
      <c r="T60" s="12"/>
      <c r="U60" s="12"/>
      <c r="V60" s="65"/>
      <c r="W60" s="44" t="str">
        <f t="shared" si="2"/>
        <v>OK</v>
      </c>
      <c r="X60" s="47" t="str">
        <f t="shared" si="4"/>
        <v/>
      </c>
      <c r="Y60" s="3"/>
      <c r="Z60" s="127"/>
    </row>
    <row r="61" spans="1:26" ht="15.75" hidden="1" customHeight="1" outlineLevel="1" x14ac:dyDescent="0.3">
      <c r="A61" s="3"/>
      <c r="B61" s="109" t="s">
        <v>481</v>
      </c>
      <c r="C61" s="62"/>
      <c r="D61" s="62"/>
      <c r="E61" s="12"/>
      <c r="F61" s="101"/>
      <c r="G61" s="69"/>
      <c r="H61" s="63"/>
      <c r="I61" s="63"/>
      <c r="J61" s="64"/>
      <c r="K61" s="12"/>
      <c r="L61" s="62" t="str">
        <f t="shared" si="3"/>
        <v/>
      </c>
      <c r="M61" s="12"/>
      <c r="N61" s="12"/>
      <c r="O61" s="12"/>
      <c r="P61" s="12"/>
      <c r="Q61" s="12"/>
      <c r="R61" s="12"/>
      <c r="S61" s="12"/>
      <c r="T61" s="12"/>
      <c r="U61" s="12"/>
      <c r="V61" s="65"/>
      <c r="W61" s="44" t="str">
        <f t="shared" si="2"/>
        <v>OK</v>
      </c>
      <c r="X61" s="47" t="str">
        <f t="shared" si="4"/>
        <v/>
      </c>
      <c r="Y61" s="3"/>
      <c r="Z61" s="127"/>
    </row>
    <row r="62" spans="1:26" ht="15.75" hidden="1" customHeight="1" outlineLevel="1" x14ac:dyDescent="0.3">
      <c r="A62" s="3"/>
      <c r="B62" s="150" t="s">
        <v>482</v>
      </c>
      <c r="C62" s="62"/>
      <c r="D62" s="62"/>
      <c r="E62" s="12"/>
      <c r="F62" s="101"/>
      <c r="G62" s="235"/>
      <c r="H62" s="63"/>
      <c r="I62" s="63"/>
      <c r="J62" s="64"/>
      <c r="K62" s="12"/>
      <c r="L62" s="62" t="str">
        <f t="shared" si="3"/>
        <v/>
      </c>
      <c r="M62" s="12"/>
      <c r="N62" s="12"/>
      <c r="O62" s="12"/>
      <c r="P62" s="12"/>
      <c r="Q62" s="12"/>
      <c r="R62" s="12"/>
      <c r="S62" s="12"/>
      <c r="T62" s="12"/>
      <c r="U62" s="12"/>
      <c r="V62" s="65"/>
      <c r="W62" s="44" t="str">
        <f t="shared" si="2"/>
        <v>OK</v>
      </c>
      <c r="X62" s="47" t="str">
        <f t="shared" si="4"/>
        <v/>
      </c>
      <c r="Y62" s="3"/>
      <c r="Z62" s="127"/>
    </row>
    <row r="63" spans="1:26" ht="15.75" hidden="1" customHeight="1" outlineLevel="1" x14ac:dyDescent="0.3">
      <c r="A63" s="3"/>
      <c r="B63" s="150" t="s">
        <v>483</v>
      </c>
      <c r="C63" s="62"/>
      <c r="D63" s="62"/>
      <c r="E63" s="12"/>
      <c r="F63" s="101"/>
      <c r="G63" s="234"/>
      <c r="H63" s="63"/>
      <c r="I63" s="63"/>
      <c r="J63" s="64"/>
      <c r="K63" s="12"/>
      <c r="L63" s="62" t="str">
        <f t="shared" si="3"/>
        <v/>
      </c>
      <c r="M63" s="12"/>
      <c r="N63" s="12"/>
      <c r="O63" s="12"/>
      <c r="P63" s="12"/>
      <c r="Q63" s="12"/>
      <c r="R63" s="12"/>
      <c r="S63" s="12"/>
      <c r="T63" s="12"/>
      <c r="U63" s="12"/>
      <c r="V63" s="65"/>
      <c r="W63" s="44" t="str">
        <f t="shared" si="2"/>
        <v>OK</v>
      </c>
      <c r="X63" s="47" t="str">
        <f t="shared" si="4"/>
        <v/>
      </c>
      <c r="Y63" s="3"/>
      <c r="Z63" s="127"/>
    </row>
    <row r="64" spans="1:26" ht="15.75" hidden="1" customHeight="1" outlineLevel="1" x14ac:dyDescent="0.3">
      <c r="A64" s="3"/>
      <c r="B64" s="109" t="s">
        <v>484</v>
      </c>
      <c r="C64" s="62"/>
      <c r="D64" s="62"/>
      <c r="E64" s="12"/>
      <c r="F64" s="101"/>
      <c r="G64" s="69"/>
      <c r="H64" s="63"/>
      <c r="I64" s="63"/>
      <c r="J64" s="64"/>
      <c r="K64" s="12"/>
      <c r="L64" s="62" t="str">
        <f t="shared" si="3"/>
        <v/>
      </c>
      <c r="M64" s="12"/>
      <c r="N64" s="12"/>
      <c r="O64" s="12"/>
      <c r="P64" s="12"/>
      <c r="Q64" s="12"/>
      <c r="R64" s="12"/>
      <c r="S64" s="12"/>
      <c r="T64" s="12"/>
      <c r="U64" s="12"/>
      <c r="V64" s="65"/>
      <c r="W64" s="44" t="str">
        <f t="shared" si="2"/>
        <v>OK</v>
      </c>
      <c r="X64" s="47" t="str">
        <f t="shared" si="4"/>
        <v/>
      </c>
      <c r="Y64" s="3"/>
      <c r="Z64" s="127"/>
    </row>
    <row r="65" spans="1:26" ht="15.75" hidden="1" customHeight="1" outlineLevel="1" x14ac:dyDescent="0.3">
      <c r="A65" s="3"/>
      <c r="B65" s="150" t="s">
        <v>486</v>
      </c>
      <c r="C65" s="62"/>
      <c r="D65" s="62"/>
      <c r="E65" s="12"/>
      <c r="F65" s="101"/>
      <c r="G65" s="69"/>
      <c r="H65" s="63"/>
      <c r="I65" s="63"/>
      <c r="J65" s="64"/>
      <c r="K65" s="12"/>
      <c r="L65" s="62" t="str">
        <f t="shared" si="3"/>
        <v/>
      </c>
      <c r="M65" s="12"/>
      <c r="N65" s="12"/>
      <c r="O65" s="12"/>
      <c r="P65" s="12"/>
      <c r="Q65" s="12"/>
      <c r="R65" s="12"/>
      <c r="S65" s="12"/>
      <c r="T65" s="12"/>
      <c r="U65" s="12"/>
      <c r="V65" s="65"/>
      <c r="W65" s="44" t="str">
        <f t="shared" si="2"/>
        <v>OK</v>
      </c>
      <c r="X65" s="47" t="str">
        <f t="shared" si="4"/>
        <v/>
      </c>
      <c r="Y65" s="3"/>
      <c r="Z65" s="127"/>
    </row>
    <row r="66" spans="1:26" ht="28.5" hidden="1" customHeight="1" outlineLevel="1" x14ac:dyDescent="0.3">
      <c r="A66" s="3"/>
      <c r="B66" s="109" t="s">
        <v>1513</v>
      </c>
      <c r="C66" s="62"/>
      <c r="D66" s="62"/>
      <c r="E66" s="12"/>
      <c r="F66" s="101"/>
      <c r="G66" s="69"/>
      <c r="H66" s="63"/>
      <c r="I66" s="63"/>
      <c r="J66" s="64"/>
      <c r="K66" s="12"/>
      <c r="L66" s="62" t="str">
        <f t="shared" si="3"/>
        <v/>
      </c>
      <c r="M66" s="12"/>
      <c r="N66" s="12"/>
      <c r="O66" s="12"/>
      <c r="P66" s="12"/>
      <c r="Q66" s="12"/>
      <c r="R66" s="12"/>
      <c r="S66" s="12"/>
      <c r="T66" s="12"/>
      <c r="U66" s="12"/>
      <c r="V66" s="65"/>
      <c r="W66" s="44" t="str">
        <f t="shared" si="2"/>
        <v>OK</v>
      </c>
      <c r="X66" s="47" t="str">
        <f t="shared" si="4"/>
        <v/>
      </c>
      <c r="Y66" s="3"/>
      <c r="Z66" s="127"/>
    </row>
    <row r="67" spans="1:26" ht="15.75" hidden="1" customHeight="1" outlineLevel="1" x14ac:dyDescent="0.3">
      <c r="A67" s="3"/>
      <c r="B67" s="150" t="s">
        <v>488</v>
      </c>
      <c r="C67" s="62"/>
      <c r="D67" s="62"/>
      <c r="E67" s="12"/>
      <c r="F67" s="101"/>
      <c r="G67" s="69"/>
      <c r="H67" s="63"/>
      <c r="I67" s="63"/>
      <c r="J67" s="64"/>
      <c r="K67" s="12"/>
      <c r="L67" s="62" t="str">
        <f t="shared" si="3"/>
        <v/>
      </c>
      <c r="M67" s="12"/>
      <c r="N67" s="12"/>
      <c r="O67" s="12"/>
      <c r="P67" s="12"/>
      <c r="Q67" s="12"/>
      <c r="R67" s="12"/>
      <c r="S67" s="12"/>
      <c r="T67" s="12"/>
      <c r="U67" s="12"/>
      <c r="V67" s="65"/>
      <c r="W67" s="44" t="str">
        <f t="shared" si="2"/>
        <v>OK</v>
      </c>
      <c r="X67" s="47" t="str">
        <f t="shared" si="4"/>
        <v/>
      </c>
      <c r="Y67" s="3"/>
      <c r="Z67" s="127"/>
    </row>
    <row r="68" spans="1:26" ht="15.75" hidden="1" customHeight="1" outlineLevel="1" x14ac:dyDescent="0.3">
      <c r="A68" s="3"/>
      <c r="B68" s="109" t="s">
        <v>489</v>
      </c>
      <c r="C68" s="62"/>
      <c r="D68" s="62"/>
      <c r="E68" s="12"/>
      <c r="F68" s="101"/>
      <c r="G68" s="232"/>
      <c r="H68" s="63"/>
      <c r="I68" s="63"/>
      <c r="J68" s="64"/>
      <c r="K68" s="12"/>
      <c r="L68" s="62" t="str">
        <f t="shared" si="3"/>
        <v/>
      </c>
      <c r="M68" s="12"/>
      <c r="N68" s="12"/>
      <c r="O68" s="12"/>
      <c r="P68" s="12"/>
      <c r="Q68" s="12"/>
      <c r="R68" s="12"/>
      <c r="S68" s="12"/>
      <c r="T68" s="12"/>
      <c r="U68" s="12"/>
      <c r="V68" s="65"/>
      <c r="W68" s="44" t="str">
        <f t="shared" si="2"/>
        <v>OK</v>
      </c>
      <c r="X68" s="47" t="str">
        <f t="shared" si="4"/>
        <v/>
      </c>
      <c r="Y68" s="3"/>
      <c r="Z68" s="127"/>
    </row>
    <row r="69" spans="1:26" ht="15.75" hidden="1" customHeight="1" outlineLevel="1" x14ac:dyDescent="0.3">
      <c r="A69" s="3"/>
      <c r="B69" s="109" t="s">
        <v>490</v>
      </c>
      <c r="C69" s="62"/>
      <c r="D69" s="62"/>
      <c r="E69" s="12"/>
      <c r="F69" s="101"/>
      <c r="G69" s="234"/>
      <c r="H69" s="63"/>
      <c r="I69" s="63"/>
      <c r="J69" s="64"/>
      <c r="K69" s="12"/>
      <c r="L69" s="62" t="str">
        <f t="shared" si="3"/>
        <v/>
      </c>
      <c r="M69" s="12"/>
      <c r="N69" s="12"/>
      <c r="O69" s="12"/>
      <c r="P69" s="12"/>
      <c r="Q69" s="12"/>
      <c r="R69" s="12"/>
      <c r="S69" s="12"/>
      <c r="T69" s="12"/>
      <c r="U69" s="12"/>
      <c r="V69" s="65"/>
      <c r="W69" s="44" t="str">
        <f t="shared" si="2"/>
        <v>OK</v>
      </c>
      <c r="X69" s="47" t="str">
        <f t="shared" si="4"/>
        <v/>
      </c>
      <c r="Y69" s="3"/>
      <c r="Z69" s="127"/>
    </row>
    <row r="70" spans="1:26" ht="15.75" hidden="1" customHeight="1" outlineLevel="1" x14ac:dyDescent="0.3">
      <c r="A70" s="3"/>
      <c r="B70" s="150" t="s">
        <v>491</v>
      </c>
      <c r="C70" s="62"/>
      <c r="D70" s="62"/>
      <c r="E70" s="12"/>
      <c r="F70" s="101"/>
      <c r="G70" s="67"/>
      <c r="H70" s="63"/>
      <c r="I70" s="63"/>
      <c r="J70" s="64"/>
      <c r="K70" s="12"/>
      <c r="L70" s="62" t="str">
        <f t="shared" si="3"/>
        <v/>
      </c>
      <c r="M70" s="12"/>
      <c r="N70" s="12"/>
      <c r="O70" s="12"/>
      <c r="P70" s="12"/>
      <c r="Q70" s="12"/>
      <c r="R70" s="12"/>
      <c r="S70" s="12"/>
      <c r="T70" s="12"/>
      <c r="U70" s="12"/>
      <c r="V70" s="65"/>
      <c r="W70" s="44" t="str">
        <f t="shared" si="2"/>
        <v>OK</v>
      </c>
      <c r="X70" s="47" t="str">
        <f t="shared" si="4"/>
        <v/>
      </c>
      <c r="Y70" s="3"/>
      <c r="Z70" s="127"/>
    </row>
    <row r="71" spans="1:26" ht="15.75" hidden="1" customHeight="1" outlineLevel="1" x14ac:dyDescent="0.3">
      <c r="A71" s="3"/>
      <c r="B71" s="109" t="s">
        <v>492</v>
      </c>
      <c r="C71" s="62"/>
      <c r="D71" s="62"/>
      <c r="E71" s="12"/>
      <c r="F71" s="101"/>
      <c r="G71" s="67"/>
      <c r="H71" s="63"/>
      <c r="I71" s="63"/>
      <c r="J71" s="64"/>
      <c r="K71" s="12"/>
      <c r="L71" s="62" t="str">
        <f t="shared" si="3"/>
        <v/>
      </c>
      <c r="M71" s="12"/>
      <c r="N71" s="12"/>
      <c r="O71" s="12"/>
      <c r="P71" s="12"/>
      <c r="Q71" s="12"/>
      <c r="R71" s="12"/>
      <c r="S71" s="12"/>
      <c r="T71" s="12"/>
      <c r="U71" s="12"/>
      <c r="V71" s="65"/>
      <c r="W71" s="44" t="str">
        <f t="shared" si="2"/>
        <v>OK</v>
      </c>
      <c r="X71" s="47" t="str">
        <f t="shared" si="4"/>
        <v/>
      </c>
      <c r="Y71" s="3"/>
      <c r="Z71" s="127"/>
    </row>
    <row r="72" spans="1:26" ht="15.75" hidden="1" customHeight="1" outlineLevel="1" x14ac:dyDescent="0.3">
      <c r="A72" s="3"/>
      <c r="B72" s="150" t="s">
        <v>493</v>
      </c>
      <c r="C72" s="62"/>
      <c r="D72" s="62"/>
      <c r="E72" s="12"/>
      <c r="F72" s="101"/>
      <c r="G72" s="67"/>
      <c r="H72" s="63"/>
      <c r="I72" s="63"/>
      <c r="J72" s="64"/>
      <c r="K72" s="12"/>
      <c r="L72" s="62" t="str">
        <f t="shared" si="3"/>
        <v/>
      </c>
      <c r="M72" s="12"/>
      <c r="N72" s="12"/>
      <c r="O72" s="12"/>
      <c r="P72" s="12"/>
      <c r="Q72" s="12"/>
      <c r="R72" s="12"/>
      <c r="S72" s="12"/>
      <c r="T72" s="12"/>
      <c r="U72" s="12"/>
      <c r="V72" s="65"/>
      <c r="W72" s="44" t="str">
        <f t="shared" si="2"/>
        <v>OK</v>
      </c>
      <c r="X72" s="47" t="str">
        <f t="shared" si="4"/>
        <v/>
      </c>
      <c r="Y72" s="3"/>
      <c r="Z72" s="127"/>
    </row>
    <row r="73" spans="1:26" ht="15.75" hidden="1" customHeight="1" outlineLevel="1" x14ac:dyDescent="0.3">
      <c r="A73" s="3"/>
      <c r="B73" s="109" t="s">
        <v>494</v>
      </c>
      <c r="C73" s="62"/>
      <c r="D73" s="62"/>
      <c r="E73" s="12"/>
      <c r="F73" s="101"/>
      <c r="G73" s="235"/>
      <c r="H73" s="63"/>
      <c r="I73" s="63"/>
      <c r="J73" s="64"/>
      <c r="K73" s="12"/>
      <c r="L73" s="62" t="str">
        <f t="shared" si="3"/>
        <v/>
      </c>
      <c r="M73" s="12"/>
      <c r="N73" s="12"/>
      <c r="O73" s="12"/>
      <c r="P73" s="12"/>
      <c r="Q73" s="12"/>
      <c r="R73" s="12"/>
      <c r="S73" s="12"/>
      <c r="T73" s="12"/>
      <c r="U73" s="12"/>
      <c r="V73" s="65"/>
      <c r="W73" s="44" t="str">
        <f t="shared" si="2"/>
        <v>OK</v>
      </c>
      <c r="X73" s="47" t="str">
        <f t="shared" si="4"/>
        <v/>
      </c>
      <c r="Y73" s="3"/>
      <c r="Z73" s="127"/>
    </row>
    <row r="74" spans="1:26" ht="15.75" hidden="1" customHeight="1" outlineLevel="1" x14ac:dyDescent="0.3">
      <c r="A74" s="3"/>
      <c r="B74" s="109" t="s">
        <v>495</v>
      </c>
      <c r="C74" s="62"/>
      <c r="D74" s="62"/>
      <c r="E74" s="12"/>
      <c r="F74" s="101"/>
      <c r="G74" s="234"/>
      <c r="H74" s="63"/>
      <c r="I74" s="63"/>
      <c r="J74" s="64"/>
      <c r="K74" s="12"/>
      <c r="L74" s="62" t="str">
        <f t="shared" si="3"/>
        <v/>
      </c>
      <c r="M74" s="12"/>
      <c r="N74" s="12"/>
      <c r="O74" s="12"/>
      <c r="P74" s="12"/>
      <c r="Q74" s="12"/>
      <c r="R74" s="12"/>
      <c r="S74" s="12"/>
      <c r="T74" s="12"/>
      <c r="U74" s="12"/>
      <c r="V74" s="65"/>
      <c r="W74" s="44" t="str">
        <f t="shared" si="2"/>
        <v>OK</v>
      </c>
      <c r="X74" s="47" t="str">
        <f t="shared" si="4"/>
        <v/>
      </c>
      <c r="Y74" s="3"/>
      <c r="Z74" s="127"/>
    </row>
    <row r="75" spans="1:26" ht="15.75" hidden="1" customHeight="1" outlineLevel="1" x14ac:dyDescent="0.3">
      <c r="A75" s="3"/>
      <c r="B75" s="150" t="s">
        <v>496</v>
      </c>
      <c r="C75" s="62"/>
      <c r="D75" s="62"/>
      <c r="E75" s="12"/>
      <c r="F75" s="101"/>
      <c r="G75" s="67"/>
      <c r="H75" s="63"/>
      <c r="I75" s="63"/>
      <c r="J75" s="64"/>
      <c r="K75" s="12"/>
      <c r="L75" s="62" t="str">
        <f t="shared" si="3"/>
        <v/>
      </c>
      <c r="M75" s="12"/>
      <c r="N75" s="12"/>
      <c r="O75" s="12"/>
      <c r="P75" s="12"/>
      <c r="Q75" s="12"/>
      <c r="R75" s="12"/>
      <c r="S75" s="12"/>
      <c r="T75" s="12"/>
      <c r="U75" s="12"/>
      <c r="V75" s="65"/>
      <c r="W75" s="44" t="str">
        <f t="shared" si="2"/>
        <v>OK</v>
      </c>
      <c r="X75" s="47" t="str">
        <f t="shared" si="4"/>
        <v/>
      </c>
      <c r="Y75" s="3"/>
      <c r="Z75" s="127"/>
    </row>
    <row r="76" spans="1:26" ht="15.75" hidden="1" customHeight="1" outlineLevel="1" x14ac:dyDescent="0.3">
      <c r="A76" s="3"/>
      <c r="B76" s="109" t="s">
        <v>497</v>
      </c>
      <c r="C76" s="62"/>
      <c r="D76" s="62"/>
      <c r="E76" s="12"/>
      <c r="F76" s="101"/>
      <c r="G76" s="67"/>
      <c r="H76" s="63"/>
      <c r="I76" s="63"/>
      <c r="J76" s="64"/>
      <c r="K76" s="12"/>
      <c r="L76" s="62" t="str">
        <f t="shared" si="3"/>
        <v/>
      </c>
      <c r="M76" s="12"/>
      <c r="N76" s="12"/>
      <c r="O76" s="12"/>
      <c r="P76" s="12"/>
      <c r="Q76" s="12"/>
      <c r="R76" s="12"/>
      <c r="S76" s="12"/>
      <c r="T76" s="12"/>
      <c r="U76" s="12"/>
      <c r="V76" s="65"/>
      <c r="W76" s="44" t="str">
        <f t="shared" si="2"/>
        <v>OK</v>
      </c>
      <c r="X76" s="47" t="str">
        <f t="shared" si="4"/>
        <v/>
      </c>
      <c r="Y76" s="3"/>
      <c r="Z76" s="127"/>
    </row>
    <row r="77" spans="1:26" ht="15.75" hidden="1" customHeight="1" outlineLevel="1" x14ac:dyDescent="0.3">
      <c r="A77" s="3"/>
      <c r="B77" s="150" t="s">
        <v>498</v>
      </c>
      <c r="C77" s="62"/>
      <c r="D77" s="62"/>
      <c r="E77" s="12"/>
      <c r="F77" s="101"/>
      <c r="G77" s="67"/>
      <c r="H77" s="63"/>
      <c r="I77" s="63"/>
      <c r="J77" s="64"/>
      <c r="K77" s="12"/>
      <c r="L77" s="62" t="str">
        <f t="shared" si="3"/>
        <v/>
      </c>
      <c r="M77" s="12"/>
      <c r="N77" s="12"/>
      <c r="O77" s="12"/>
      <c r="P77" s="12"/>
      <c r="Q77" s="12"/>
      <c r="R77" s="12"/>
      <c r="S77" s="12"/>
      <c r="T77" s="12"/>
      <c r="U77" s="12"/>
      <c r="V77" s="65"/>
      <c r="W77" s="44" t="str">
        <f t="shared" si="2"/>
        <v>OK</v>
      </c>
      <c r="X77" s="47" t="str">
        <f t="shared" si="4"/>
        <v/>
      </c>
      <c r="Y77" s="3"/>
      <c r="Z77" s="127"/>
    </row>
    <row r="78" spans="1:26" ht="15.75" hidden="1" customHeight="1" outlineLevel="1" x14ac:dyDescent="0.3">
      <c r="A78" s="3"/>
      <c r="B78" s="109" t="s">
        <v>499</v>
      </c>
      <c r="C78" s="62"/>
      <c r="D78" s="62"/>
      <c r="E78" s="12"/>
      <c r="F78" s="101"/>
      <c r="G78" s="69"/>
      <c r="H78" s="63"/>
      <c r="I78" s="63"/>
      <c r="J78" s="64"/>
      <c r="K78" s="12"/>
      <c r="L78" s="62" t="str">
        <f t="shared" si="3"/>
        <v/>
      </c>
      <c r="M78" s="12"/>
      <c r="N78" s="12"/>
      <c r="O78" s="12"/>
      <c r="P78" s="12"/>
      <c r="Q78" s="12"/>
      <c r="R78" s="12"/>
      <c r="S78" s="12"/>
      <c r="T78" s="12"/>
      <c r="U78" s="12"/>
      <c r="V78" s="65"/>
      <c r="W78" s="44" t="str">
        <f t="shared" si="2"/>
        <v>OK</v>
      </c>
      <c r="X78" s="47" t="str">
        <f t="shared" si="4"/>
        <v/>
      </c>
      <c r="Y78" s="3"/>
      <c r="Z78" s="127"/>
    </row>
    <row r="79" spans="1:26" ht="15.75" hidden="1" customHeight="1" outlineLevel="1" x14ac:dyDescent="0.3">
      <c r="A79" s="3"/>
      <c r="B79" s="150" t="s">
        <v>500</v>
      </c>
      <c r="C79" s="62"/>
      <c r="D79" s="62"/>
      <c r="E79" s="12"/>
      <c r="F79" s="101"/>
      <c r="G79" s="235"/>
      <c r="H79" s="63"/>
      <c r="I79" s="63"/>
      <c r="J79" s="64"/>
      <c r="K79" s="12"/>
      <c r="L79" s="62" t="str">
        <f t="shared" si="3"/>
        <v/>
      </c>
      <c r="M79" s="12"/>
      <c r="N79" s="12"/>
      <c r="O79" s="12"/>
      <c r="P79" s="12"/>
      <c r="Q79" s="12"/>
      <c r="R79" s="12"/>
      <c r="S79" s="12"/>
      <c r="T79" s="12"/>
      <c r="U79" s="12"/>
      <c r="V79" s="65"/>
      <c r="W79" s="44" t="str">
        <f t="shared" si="2"/>
        <v>OK</v>
      </c>
      <c r="X79" s="47" t="str">
        <f t="shared" si="4"/>
        <v/>
      </c>
      <c r="Y79" s="3"/>
      <c r="Z79" s="127"/>
    </row>
    <row r="80" spans="1:26" ht="15.75" hidden="1" customHeight="1" outlineLevel="1" x14ac:dyDescent="0.3">
      <c r="A80" s="3"/>
      <c r="B80" s="150" t="s">
        <v>501</v>
      </c>
      <c r="C80" s="62"/>
      <c r="D80" s="62"/>
      <c r="E80" s="12"/>
      <c r="F80" s="101"/>
      <c r="G80" s="234"/>
      <c r="H80" s="63"/>
      <c r="I80" s="63"/>
      <c r="J80" s="64"/>
      <c r="K80" s="12"/>
      <c r="L80" s="62" t="str">
        <f t="shared" si="3"/>
        <v/>
      </c>
      <c r="M80" s="12"/>
      <c r="N80" s="12"/>
      <c r="O80" s="12"/>
      <c r="P80" s="12"/>
      <c r="Q80" s="12"/>
      <c r="R80" s="12"/>
      <c r="S80" s="12"/>
      <c r="T80" s="12"/>
      <c r="U80" s="12"/>
      <c r="V80" s="65"/>
      <c r="W80" s="44" t="str">
        <f t="shared" si="2"/>
        <v>OK</v>
      </c>
      <c r="X80" s="47" t="str">
        <f t="shared" si="4"/>
        <v/>
      </c>
      <c r="Y80" s="3"/>
      <c r="Z80" s="127"/>
    </row>
    <row r="81" spans="1:26" ht="15.75" hidden="1" customHeight="1" outlineLevel="1" x14ac:dyDescent="0.3">
      <c r="A81" s="3"/>
      <c r="B81" s="109" t="s">
        <v>502</v>
      </c>
      <c r="C81" s="62"/>
      <c r="D81" s="62"/>
      <c r="E81" s="12"/>
      <c r="F81" s="101"/>
      <c r="G81" s="232"/>
      <c r="H81" s="63"/>
      <c r="I81" s="63"/>
      <c r="J81" s="64"/>
      <c r="K81" s="12"/>
      <c r="L81" s="62" t="str">
        <f t="shared" si="3"/>
        <v/>
      </c>
      <c r="M81" s="12"/>
      <c r="N81" s="12"/>
      <c r="O81" s="12"/>
      <c r="P81" s="12"/>
      <c r="Q81" s="12"/>
      <c r="R81" s="12"/>
      <c r="S81" s="12"/>
      <c r="T81" s="12"/>
      <c r="U81" s="12"/>
      <c r="V81" s="65"/>
      <c r="W81" s="44" t="str">
        <f t="shared" si="2"/>
        <v>OK</v>
      </c>
      <c r="X81" s="47" t="str">
        <f t="shared" si="4"/>
        <v/>
      </c>
      <c r="Y81" s="3"/>
      <c r="Z81" s="127"/>
    </row>
    <row r="82" spans="1:26" ht="15.75" hidden="1" customHeight="1" outlineLevel="1" x14ac:dyDescent="0.3">
      <c r="A82" s="3"/>
      <c r="B82" s="109" t="s">
        <v>503</v>
      </c>
      <c r="C82" s="62"/>
      <c r="D82" s="62"/>
      <c r="E82" s="12"/>
      <c r="F82" s="101"/>
      <c r="G82" s="234"/>
      <c r="H82" s="63"/>
      <c r="I82" s="63"/>
      <c r="J82" s="64"/>
      <c r="K82" s="12"/>
      <c r="L82" s="62" t="str">
        <f t="shared" si="3"/>
        <v/>
      </c>
      <c r="M82" s="12"/>
      <c r="N82" s="12"/>
      <c r="O82" s="12"/>
      <c r="P82" s="12"/>
      <c r="Q82" s="12"/>
      <c r="R82" s="12"/>
      <c r="S82" s="12"/>
      <c r="T82" s="12"/>
      <c r="U82" s="12"/>
      <c r="V82" s="65"/>
      <c r="W82" s="44" t="str">
        <f t="shared" si="2"/>
        <v>OK</v>
      </c>
      <c r="X82" s="47" t="str">
        <f t="shared" si="4"/>
        <v/>
      </c>
      <c r="Y82" s="3"/>
      <c r="Z82" s="127"/>
    </row>
    <row r="83" spans="1:26" ht="15.75" hidden="1" customHeight="1" outlineLevel="1" x14ac:dyDescent="0.3">
      <c r="A83" s="3"/>
      <c r="B83" s="150" t="s">
        <v>504</v>
      </c>
      <c r="C83" s="62"/>
      <c r="D83" s="62"/>
      <c r="E83" s="12"/>
      <c r="F83" s="101"/>
      <c r="G83" s="232"/>
      <c r="H83" s="63"/>
      <c r="I83" s="63"/>
      <c r="J83" s="64"/>
      <c r="K83" s="12"/>
      <c r="L83" s="62" t="str">
        <f t="shared" si="3"/>
        <v/>
      </c>
      <c r="M83" s="12"/>
      <c r="N83" s="12"/>
      <c r="O83" s="12"/>
      <c r="P83" s="12"/>
      <c r="Q83" s="12"/>
      <c r="R83" s="12"/>
      <c r="S83" s="12"/>
      <c r="T83" s="12"/>
      <c r="U83" s="12"/>
      <c r="V83" s="65"/>
      <c r="W83" s="44" t="str">
        <f t="shared" si="2"/>
        <v>OK</v>
      </c>
      <c r="X83" s="47" t="str">
        <f t="shared" si="4"/>
        <v/>
      </c>
      <c r="Y83" s="3"/>
      <c r="Z83" s="127"/>
    </row>
    <row r="84" spans="1:26" ht="15.75" hidden="1" customHeight="1" outlineLevel="1" x14ac:dyDescent="0.3">
      <c r="A84" s="3"/>
      <c r="B84" s="150" t="s">
        <v>506</v>
      </c>
      <c r="C84" s="62"/>
      <c r="D84" s="62"/>
      <c r="E84" s="12"/>
      <c r="F84" s="101"/>
      <c r="G84" s="234"/>
      <c r="H84" s="63"/>
      <c r="I84" s="63"/>
      <c r="J84" s="64"/>
      <c r="K84" s="12"/>
      <c r="L84" s="62" t="str">
        <f t="shared" si="3"/>
        <v/>
      </c>
      <c r="M84" s="12"/>
      <c r="N84" s="12"/>
      <c r="O84" s="12"/>
      <c r="P84" s="12"/>
      <c r="Q84" s="12"/>
      <c r="R84" s="12"/>
      <c r="S84" s="12"/>
      <c r="T84" s="12"/>
      <c r="U84" s="12"/>
      <c r="V84" s="65"/>
      <c r="W84" s="44" t="str">
        <f t="shared" si="2"/>
        <v>OK</v>
      </c>
      <c r="X84" s="47" t="str">
        <f t="shared" si="4"/>
        <v/>
      </c>
      <c r="Y84" s="3"/>
      <c r="Z84" s="127"/>
    </row>
    <row r="85" spans="1:26" ht="15.75" hidden="1" customHeight="1" outlineLevel="1" x14ac:dyDescent="0.3">
      <c r="A85" s="3"/>
      <c r="B85" s="109" t="s">
        <v>507</v>
      </c>
      <c r="C85" s="62"/>
      <c r="D85" s="62"/>
      <c r="E85" s="12"/>
      <c r="F85" s="101"/>
      <c r="G85" s="67"/>
      <c r="H85" s="63"/>
      <c r="I85" s="63"/>
      <c r="J85" s="64"/>
      <c r="K85" s="12"/>
      <c r="L85" s="62" t="str">
        <f t="shared" si="3"/>
        <v/>
      </c>
      <c r="M85" s="12"/>
      <c r="N85" s="12"/>
      <c r="O85" s="12"/>
      <c r="P85" s="12"/>
      <c r="Q85" s="12"/>
      <c r="R85" s="12"/>
      <c r="S85" s="12"/>
      <c r="T85" s="12"/>
      <c r="U85" s="12"/>
      <c r="V85" s="65"/>
      <c r="W85" s="44" t="str">
        <f t="shared" si="2"/>
        <v>OK</v>
      </c>
      <c r="X85" s="47" t="str">
        <f t="shared" si="4"/>
        <v/>
      </c>
      <c r="Y85" s="3"/>
      <c r="Z85" s="127"/>
    </row>
    <row r="86" spans="1:26" ht="15.75" hidden="1" customHeight="1" outlineLevel="1" x14ac:dyDescent="0.3">
      <c r="A86" s="3"/>
      <c r="B86" s="150" t="s">
        <v>508</v>
      </c>
      <c r="C86" s="62"/>
      <c r="D86" s="62"/>
      <c r="E86" s="12"/>
      <c r="F86" s="101"/>
      <c r="G86" s="232"/>
      <c r="H86" s="63"/>
      <c r="I86" s="63"/>
      <c r="J86" s="64"/>
      <c r="K86" s="12"/>
      <c r="L86" s="62" t="str">
        <f t="shared" si="3"/>
        <v/>
      </c>
      <c r="M86" s="12"/>
      <c r="N86" s="12"/>
      <c r="O86" s="12"/>
      <c r="P86" s="12"/>
      <c r="Q86" s="12"/>
      <c r="R86" s="12"/>
      <c r="S86" s="12"/>
      <c r="T86" s="12"/>
      <c r="U86" s="12"/>
      <c r="V86" s="65"/>
      <c r="W86" s="44" t="str">
        <f t="shared" si="2"/>
        <v>OK</v>
      </c>
      <c r="X86" s="47" t="str">
        <f t="shared" si="4"/>
        <v/>
      </c>
      <c r="Y86" s="3"/>
      <c r="Z86" s="127"/>
    </row>
    <row r="87" spans="1:26" ht="15.75" hidden="1" customHeight="1" outlineLevel="1" x14ac:dyDescent="0.3">
      <c r="A87" s="3"/>
      <c r="B87" s="150" t="s">
        <v>509</v>
      </c>
      <c r="C87" s="62"/>
      <c r="D87" s="62"/>
      <c r="E87" s="12"/>
      <c r="F87" s="101"/>
      <c r="G87" s="234"/>
      <c r="H87" s="63"/>
      <c r="I87" s="63"/>
      <c r="J87" s="64"/>
      <c r="K87" s="12"/>
      <c r="L87" s="62" t="str">
        <f t="shared" si="3"/>
        <v/>
      </c>
      <c r="M87" s="12"/>
      <c r="N87" s="12"/>
      <c r="O87" s="12"/>
      <c r="P87" s="12"/>
      <c r="Q87" s="12"/>
      <c r="R87" s="12"/>
      <c r="S87" s="12"/>
      <c r="T87" s="12"/>
      <c r="U87" s="12"/>
      <c r="V87" s="65"/>
      <c r="W87" s="44" t="str">
        <f t="shared" si="2"/>
        <v>OK</v>
      </c>
      <c r="X87" s="47" t="str">
        <f t="shared" si="4"/>
        <v/>
      </c>
      <c r="Y87" s="3"/>
      <c r="Z87" s="127"/>
    </row>
    <row r="88" spans="1:26" ht="15.75" hidden="1" customHeight="1" outlineLevel="1" x14ac:dyDescent="0.3">
      <c r="A88" s="3"/>
      <c r="B88" s="109" t="s">
        <v>1515</v>
      </c>
      <c r="C88" s="62"/>
      <c r="D88" s="62"/>
      <c r="E88" s="12"/>
      <c r="F88" s="101"/>
      <c r="G88" s="67"/>
      <c r="H88" s="63"/>
      <c r="I88" s="63"/>
      <c r="J88" s="64"/>
      <c r="K88" s="12"/>
      <c r="L88" s="62" t="str">
        <f t="shared" si="3"/>
        <v/>
      </c>
      <c r="M88" s="12"/>
      <c r="N88" s="12"/>
      <c r="O88" s="12"/>
      <c r="P88" s="12"/>
      <c r="Q88" s="12"/>
      <c r="R88" s="12"/>
      <c r="S88" s="12"/>
      <c r="T88" s="12"/>
      <c r="U88" s="12"/>
      <c r="V88" s="65"/>
      <c r="W88" s="44" t="str">
        <f t="shared" si="2"/>
        <v>OK</v>
      </c>
      <c r="X88" s="47" t="str">
        <f t="shared" si="4"/>
        <v/>
      </c>
      <c r="Y88" s="3"/>
      <c r="Z88" s="127"/>
    </row>
    <row r="89" spans="1:26" ht="15.75" hidden="1" customHeight="1" outlineLevel="1" x14ac:dyDescent="0.3">
      <c r="A89" s="3"/>
      <c r="B89" s="150" t="s">
        <v>510</v>
      </c>
      <c r="C89" s="62"/>
      <c r="D89" s="62"/>
      <c r="E89" s="12"/>
      <c r="F89" s="101"/>
      <c r="G89" s="67"/>
      <c r="H89" s="63"/>
      <c r="I89" s="63"/>
      <c r="J89" s="64"/>
      <c r="K89" s="12"/>
      <c r="L89" s="62" t="str">
        <f t="shared" si="3"/>
        <v/>
      </c>
      <c r="M89" s="12"/>
      <c r="N89" s="12"/>
      <c r="O89" s="12"/>
      <c r="P89" s="12"/>
      <c r="Q89" s="12"/>
      <c r="R89" s="12"/>
      <c r="S89" s="12"/>
      <c r="T89" s="12"/>
      <c r="U89" s="12"/>
      <c r="V89" s="65"/>
      <c r="W89" s="44" t="str">
        <f t="shared" si="2"/>
        <v>OK</v>
      </c>
      <c r="X89" s="47" t="str">
        <f t="shared" si="4"/>
        <v/>
      </c>
      <c r="Y89" s="3"/>
      <c r="Z89" s="127"/>
    </row>
    <row r="90" spans="1:26" ht="15.75" hidden="1" customHeight="1" outlineLevel="1" x14ac:dyDescent="0.3">
      <c r="A90" s="3"/>
      <c r="B90" s="109" t="s">
        <v>512</v>
      </c>
      <c r="C90" s="62"/>
      <c r="D90" s="62"/>
      <c r="E90" s="12"/>
      <c r="F90" s="101"/>
      <c r="G90" s="232"/>
      <c r="H90" s="63"/>
      <c r="I90" s="63"/>
      <c r="J90" s="64"/>
      <c r="K90" s="12"/>
      <c r="L90" s="62" t="str">
        <f t="shared" si="3"/>
        <v/>
      </c>
      <c r="M90" s="12"/>
      <c r="N90" s="12"/>
      <c r="O90" s="12"/>
      <c r="P90" s="12"/>
      <c r="Q90" s="12"/>
      <c r="R90" s="12"/>
      <c r="S90" s="12"/>
      <c r="T90" s="12"/>
      <c r="U90" s="12"/>
      <c r="V90" s="65"/>
      <c r="W90" s="44" t="str">
        <f t="shared" si="2"/>
        <v>OK</v>
      </c>
      <c r="X90" s="47" t="str">
        <f t="shared" si="4"/>
        <v/>
      </c>
      <c r="Y90" s="3"/>
      <c r="Z90" s="127"/>
    </row>
    <row r="91" spans="1:26" ht="15.75" hidden="1" customHeight="1" outlineLevel="1" x14ac:dyDescent="0.3">
      <c r="A91" s="3"/>
      <c r="B91" s="109" t="s">
        <v>513</v>
      </c>
      <c r="C91" s="62"/>
      <c r="D91" s="62"/>
      <c r="E91" s="12"/>
      <c r="F91" s="101"/>
      <c r="G91" s="234"/>
      <c r="H91" s="63"/>
      <c r="I91" s="63"/>
      <c r="J91" s="64"/>
      <c r="K91" s="12"/>
      <c r="L91" s="62" t="str">
        <f t="shared" si="3"/>
        <v/>
      </c>
      <c r="M91" s="12"/>
      <c r="N91" s="12"/>
      <c r="O91" s="12"/>
      <c r="P91" s="12"/>
      <c r="Q91" s="12"/>
      <c r="R91" s="12"/>
      <c r="S91" s="12"/>
      <c r="T91" s="12"/>
      <c r="U91" s="12"/>
      <c r="V91" s="65"/>
      <c r="W91" s="44" t="str">
        <f t="shared" si="2"/>
        <v>OK</v>
      </c>
      <c r="X91" s="47" t="str">
        <f t="shared" si="4"/>
        <v/>
      </c>
      <c r="Y91" s="3"/>
      <c r="Z91" s="127"/>
    </row>
    <row r="92" spans="1:26" ht="15.75" hidden="1" customHeight="1" outlineLevel="1" x14ac:dyDescent="0.3">
      <c r="A92" s="3"/>
      <c r="B92" s="150" t="s">
        <v>514</v>
      </c>
      <c r="C92" s="62"/>
      <c r="D92" s="62"/>
      <c r="E92" s="12"/>
      <c r="F92" s="101"/>
      <c r="G92" s="67"/>
      <c r="H92" s="63"/>
      <c r="I92" s="63"/>
      <c r="J92" s="64"/>
      <c r="K92" s="12"/>
      <c r="L92" s="62" t="str">
        <f t="shared" si="3"/>
        <v/>
      </c>
      <c r="M92" s="12"/>
      <c r="N92" s="12"/>
      <c r="O92" s="12"/>
      <c r="P92" s="12"/>
      <c r="Q92" s="12"/>
      <c r="R92" s="12"/>
      <c r="S92" s="12"/>
      <c r="T92" s="12"/>
      <c r="U92" s="12"/>
      <c r="V92" s="65"/>
      <c r="W92" s="44" t="str">
        <f t="shared" si="2"/>
        <v>OK</v>
      </c>
      <c r="X92" s="47" t="str">
        <f t="shared" si="4"/>
        <v/>
      </c>
      <c r="Y92" s="3"/>
      <c r="Z92" s="127"/>
    </row>
    <row r="93" spans="1:26" ht="15.75" hidden="1" customHeight="1" outlineLevel="1" x14ac:dyDescent="0.3">
      <c r="A93" s="3"/>
      <c r="B93" s="109" t="s">
        <v>515</v>
      </c>
      <c r="C93" s="62"/>
      <c r="D93" s="62"/>
      <c r="E93" s="12"/>
      <c r="F93" s="101"/>
      <c r="G93" s="232"/>
      <c r="H93" s="63"/>
      <c r="I93" s="63"/>
      <c r="J93" s="64"/>
      <c r="K93" s="12"/>
      <c r="L93" s="62" t="str">
        <f t="shared" si="3"/>
        <v/>
      </c>
      <c r="M93" s="12"/>
      <c r="N93" s="12"/>
      <c r="O93" s="12"/>
      <c r="P93" s="12"/>
      <c r="Q93" s="12"/>
      <c r="R93" s="12"/>
      <c r="S93" s="12"/>
      <c r="T93" s="12"/>
      <c r="U93" s="12"/>
      <c r="V93" s="65"/>
      <c r="W93" s="44" t="str">
        <f t="shared" si="2"/>
        <v>OK</v>
      </c>
      <c r="X93" s="47" t="str">
        <f t="shared" si="4"/>
        <v/>
      </c>
      <c r="Y93" s="3"/>
      <c r="Z93" s="127"/>
    </row>
    <row r="94" spans="1:26" ht="15.75" hidden="1" customHeight="1" outlineLevel="1" x14ac:dyDescent="0.3">
      <c r="A94" s="3"/>
      <c r="B94" s="109" t="s">
        <v>516</v>
      </c>
      <c r="C94" s="62"/>
      <c r="D94" s="62"/>
      <c r="E94" s="12"/>
      <c r="F94" s="101"/>
      <c r="G94" s="234"/>
      <c r="H94" s="63"/>
      <c r="I94" s="63"/>
      <c r="J94" s="64"/>
      <c r="K94" s="12"/>
      <c r="L94" s="62" t="str">
        <f t="shared" si="3"/>
        <v/>
      </c>
      <c r="M94" s="12"/>
      <c r="N94" s="12"/>
      <c r="O94" s="12"/>
      <c r="P94" s="12"/>
      <c r="Q94" s="12"/>
      <c r="R94" s="12"/>
      <c r="S94" s="12"/>
      <c r="T94" s="12"/>
      <c r="U94" s="12"/>
      <c r="V94" s="65"/>
      <c r="W94" s="44" t="str">
        <f t="shared" si="2"/>
        <v>OK</v>
      </c>
      <c r="X94" s="47" t="str">
        <f t="shared" si="4"/>
        <v/>
      </c>
      <c r="Y94" s="3"/>
      <c r="Z94" s="127"/>
    </row>
    <row r="95" spans="1:26" ht="15.75" hidden="1" customHeight="1" outlineLevel="1" x14ac:dyDescent="0.3">
      <c r="A95" s="3"/>
      <c r="B95" s="150" t="s">
        <v>517</v>
      </c>
      <c r="C95" s="62"/>
      <c r="D95" s="62"/>
      <c r="E95" s="12"/>
      <c r="F95" s="101"/>
      <c r="G95" s="67"/>
      <c r="H95" s="63"/>
      <c r="I95" s="63"/>
      <c r="J95" s="64"/>
      <c r="K95" s="12"/>
      <c r="L95" s="62" t="str">
        <f t="shared" si="3"/>
        <v/>
      </c>
      <c r="M95" s="12"/>
      <c r="N95" s="12"/>
      <c r="O95" s="12"/>
      <c r="P95" s="12"/>
      <c r="Q95" s="12"/>
      <c r="R95" s="12"/>
      <c r="S95" s="12"/>
      <c r="T95" s="12"/>
      <c r="U95" s="12"/>
      <c r="V95" s="65"/>
      <c r="W95" s="44" t="str">
        <f t="shared" si="2"/>
        <v>OK</v>
      </c>
      <c r="X95" s="47" t="str">
        <f t="shared" si="4"/>
        <v/>
      </c>
      <c r="Y95" s="3"/>
      <c r="Z95" s="127"/>
    </row>
    <row r="96" spans="1:26" ht="15.75" hidden="1" customHeight="1" outlineLevel="1" x14ac:dyDescent="0.3">
      <c r="A96" s="3"/>
      <c r="B96" s="109" t="s">
        <v>518</v>
      </c>
      <c r="C96" s="80"/>
      <c r="D96" s="62"/>
      <c r="E96" s="12"/>
      <c r="F96" s="101"/>
      <c r="G96" s="67"/>
      <c r="H96" s="63"/>
      <c r="I96" s="63"/>
      <c r="J96" s="64"/>
      <c r="K96" s="12"/>
      <c r="L96" s="62" t="str">
        <f t="shared" si="3"/>
        <v/>
      </c>
      <c r="M96" s="12"/>
      <c r="N96" s="12"/>
      <c r="O96" s="12"/>
      <c r="P96" s="12"/>
      <c r="Q96" s="12"/>
      <c r="R96" s="12"/>
      <c r="S96" s="12"/>
      <c r="T96" s="12"/>
      <c r="U96" s="12"/>
      <c r="V96" s="65"/>
      <c r="W96" s="44" t="str">
        <f t="shared" si="2"/>
        <v>OK</v>
      </c>
      <c r="X96" s="47" t="str">
        <f t="shared" si="4"/>
        <v/>
      </c>
      <c r="Y96" s="3"/>
      <c r="Z96" s="127"/>
    </row>
    <row r="97" spans="1:26" ht="15.75" hidden="1" customHeight="1" outlineLevel="1" x14ac:dyDescent="0.3">
      <c r="A97" s="3"/>
      <c r="B97" s="150" t="s">
        <v>519</v>
      </c>
      <c r="C97" s="62"/>
      <c r="D97" s="62"/>
      <c r="E97" s="12"/>
      <c r="F97" s="101"/>
      <c r="G97" s="67"/>
      <c r="H97" s="63"/>
      <c r="I97" s="63"/>
      <c r="J97" s="64"/>
      <c r="K97" s="12"/>
      <c r="L97" s="62" t="str">
        <f t="shared" si="3"/>
        <v/>
      </c>
      <c r="M97" s="12"/>
      <c r="N97" s="12"/>
      <c r="O97" s="12"/>
      <c r="P97" s="12"/>
      <c r="Q97" s="12"/>
      <c r="R97" s="12"/>
      <c r="S97" s="12"/>
      <c r="T97" s="12"/>
      <c r="U97" s="12"/>
      <c r="V97" s="65"/>
      <c r="W97" s="44" t="str">
        <f t="shared" si="2"/>
        <v>OK</v>
      </c>
      <c r="X97" s="47" t="str">
        <f t="shared" si="4"/>
        <v/>
      </c>
      <c r="Y97" s="3"/>
      <c r="Z97" s="127"/>
    </row>
    <row r="98" spans="1:26" ht="15.75" hidden="1" customHeight="1" outlineLevel="1" x14ac:dyDescent="0.3">
      <c r="A98" s="3"/>
      <c r="B98" s="109" t="s">
        <v>520</v>
      </c>
      <c r="C98" s="62"/>
      <c r="D98" s="62"/>
      <c r="E98" s="12"/>
      <c r="F98" s="101"/>
      <c r="G98" s="70"/>
      <c r="H98" s="63"/>
      <c r="I98" s="63"/>
      <c r="J98" s="64"/>
      <c r="K98" s="12"/>
      <c r="L98" s="62" t="str">
        <f t="shared" si="3"/>
        <v/>
      </c>
      <c r="M98" s="12"/>
      <c r="N98" s="12"/>
      <c r="O98" s="12"/>
      <c r="P98" s="12"/>
      <c r="Q98" s="12"/>
      <c r="R98" s="12"/>
      <c r="S98" s="12"/>
      <c r="T98" s="12"/>
      <c r="U98" s="12"/>
      <c r="V98" s="65"/>
      <c r="W98" s="44" t="str">
        <f t="shared" si="2"/>
        <v>OK</v>
      </c>
      <c r="X98" s="47" t="str">
        <f t="shared" si="4"/>
        <v/>
      </c>
      <c r="Y98" s="3"/>
      <c r="Z98" s="127"/>
    </row>
    <row r="99" spans="1:26" ht="15.75" hidden="1" customHeight="1" outlineLevel="1" x14ac:dyDescent="0.3">
      <c r="A99" s="3"/>
      <c r="B99" s="150" t="s">
        <v>522</v>
      </c>
      <c r="C99" s="62"/>
      <c r="D99" s="62"/>
      <c r="E99" s="12"/>
      <c r="F99" s="101"/>
      <c r="G99" s="67"/>
      <c r="H99" s="63"/>
      <c r="I99" s="63"/>
      <c r="J99" s="64"/>
      <c r="K99" s="12"/>
      <c r="L99" s="62" t="str">
        <f t="shared" si="3"/>
        <v/>
      </c>
      <c r="M99" s="12"/>
      <c r="N99" s="12"/>
      <c r="O99" s="12"/>
      <c r="P99" s="12"/>
      <c r="Q99" s="12"/>
      <c r="R99" s="12"/>
      <c r="S99" s="12"/>
      <c r="T99" s="12"/>
      <c r="U99" s="12"/>
      <c r="V99" s="65"/>
      <c r="W99" s="44" t="str">
        <f t="shared" si="2"/>
        <v>OK</v>
      </c>
      <c r="X99" s="47" t="str">
        <f t="shared" si="4"/>
        <v/>
      </c>
      <c r="Y99" s="3"/>
      <c r="Z99" s="3"/>
    </row>
    <row r="100" spans="1:26" ht="15.75" hidden="1" customHeight="1" outlineLevel="1" x14ac:dyDescent="0.3">
      <c r="A100" s="3"/>
      <c r="B100" s="109" t="s">
        <v>523</v>
      </c>
      <c r="C100" s="62"/>
      <c r="D100" s="62"/>
      <c r="E100" s="12"/>
      <c r="F100" s="101"/>
      <c r="G100" s="67"/>
      <c r="H100" s="63"/>
      <c r="I100" s="63"/>
      <c r="J100" s="64"/>
      <c r="K100" s="62"/>
      <c r="L100" s="62" t="str">
        <f t="shared" si="3"/>
        <v/>
      </c>
      <c r="M100" s="12"/>
      <c r="N100" s="12"/>
      <c r="O100" s="12"/>
      <c r="P100" s="12"/>
      <c r="Q100" s="12"/>
      <c r="R100" s="12"/>
      <c r="S100" s="12"/>
      <c r="T100" s="12"/>
      <c r="U100" s="12"/>
      <c r="V100" s="65"/>
      <c r="W100" s="44" t="str">
        <f t="shared" si="2"/>
        <v>OK</v>
      </c>
      <c r="X100" s="47" t="str">
        <f t="shared" si="4"/>
        <v/>
      </c>
      <c r="Y100" s="3"/>
      <c r="Z100" s="3"/>
    </row>
    <row r="101" spans="1:26" ht="15.75" hidden="1" customHeight="1" outlineLevel="1" x14ac:dyDescent="0.3">
      <c r="A101" s="3"/>
      <c r="B101" s="150" t="s">
        <v>524</v>
      </c>
      <c r="C101" s="62"/>
      <c r="D101" s="62"/>
      <c r="E101" s="12"/>
      <c r="F101" s="101"/>
      <c r="G101" s="235"/>
      <c r="H101" s="63"/>
      <c r="I101" s="63"/>
      <c r="J101" s="64"/>
      <c r="K101" s="62"/>
      <c r="L101" s="62" t="str">
        <f t="shared" si="3"/>
        <v/>
      </c>
      <c r="M101" s="12"/>
      <c r="N101" s="12"/>
      <c r="O101" s="12"/>
      <c r="P101" s="12"/>
      <c r="Q101" s="12"/>
      <c r="R101" s="12"/>
      <c r="S101" s="12"/>
      <c r="T101" s="12"/>
      <c r="U101" s="12"/>
      <c r="V101" s="65"/>
      <c r="W101" s="44" t="str">
        <f t="shared" si="2"/>
        <v>OK</v>
      </c>
      <c r="X101" s="47" t="str">
        <f t="shared" si="4"/>
        <v/>
      </c>
      <c r="Y101" s="3"/>
      <c r="Z101" s="3"/>
    </row>
    <row r="102" spans="1:26" ht="15.75" hidden="1" customHeight="1" outlineLevel="1" x14ac:dyDescent="0.3">
      <c r="A102" s="3"/>
      <c r="B102" s="150" t="s">
        <v>525</v>
      </c>
      <c r="C102" s="62"/>
      <c r="D102" s="62"/>
      <c r="E102" s="12"/>
      <c r="F102" s="101"/>
      <c r="G102" s="234"/>
      <c r="H102" s="63"/>
      <c r="I102" s="63"/>
      <c r="J102" s="64"/>
      <c r="K102" s="62"/>
      <c r="L102" s="62" t="str">
        <f t="shared" si="3"/>
        <v/>
      </c>
      <c r="M102" s="12"/>
      <c r="N102" s="12"/>
      <c r="O102" s="12"/>
      <c r="P102" s="12"/>
      <c r="Q102" s="12"/>
      <c r="R102" s="12"/>
      <c r="S102" s="12"/>
      <c r="T102" s="12"/>
      <c r="U102" s="12"/>
      <c r="V102" s="65"/>
      <c r="W102" s="44" t="str">
        <f t="shared" si="2"/>
        <v>OK</v>
      </c>
      <c r="X102" s="47" t="str">
        <f t="shared" si="4"/>
        <v/>
      </c>
      <c r="Y102" s="3"/>
      <c r="Z102" s="3"/>
    </row>
    <row r="103" spans="1:26" ht="15.75" hidden="1" customHeight="1" outlineLevel="1" x14ac:dyDescent="0.3">
      <c r="A103" s="3"/>
      <c r="B103" s="109" t="s">
        <v>526</v>
      </c>
      <c r="C103" s="62"/>
      <c r="D103" s="62"/>
      <c r="E103" s="12"/>
      <c r="F103" s="12"/>
      <c r="G103" s="67"/>
      <c r="H103" s="63"/>
      <c r="I103" s="63"/>
      <c r="J103" s="64"/>
      <c r="K103" s="62"/>
      <c r="L103" s="62" t="str">
        <f t="shared" si="3"/>
        <v/>
      </c>
      <c r="M103" s="12"/>
      <c r="N103" s="12"/>
      <c r="O103" s="12"/>
      <c r="P103" s="12"/>
      <c r="Q103" s="12"/>
      <c r="R103" s="12"/>
      <c r="S103" s="12"/>
      <c r="T103" s="12"/>
      <c r="U103" s="12"/>
      <c r="V103" s="65"/>
      <c r="W103" s="44" t="str">
        <f t="shared" si="2"/>
        <v>OK</v>
      </c>
      <c r="X103" s="47" t="str">
        <f t="shared" si="4"/>
        <v/>
      </c>
      <c r="Y103" s="3"/>
      <c r="Z103" s="3"/>
    </row>
    <row r="104" spans="1:26" ht="15.75" hidden="1" customHeight="1" outlineLevel="1" x14ac:dyDescent="0.3">
      <c r="A104" s="3"/>
      <c r="B104" s="150" t="s">
        <v>527</v>
      </c>
      <c r="C104" s="62"/>
      <c r="D104" s="62"/>
      <c r="E104" s="12"/>
      <c r="F104" s="12"/>
      <c r="G104" s="67"/>
      <c r="H104" s="63"/>
      <c r="I104" s="63"/>
      <c r="J104" s="64"/>
      <c r="K104" s="62"/>
      <c r="L104" s="62" t="str">
        <f t="shared" si="3"/>
        <v/>
      </c>
      <c r="M104" s="12"/>
      <c r="N104" s="12"/>
      <c r="O104" s="12"/>
      <c r="P104" s="12"/>
      <c r="Q104" s="12"/>
      <c r="R104" s="12"/>
      <c r="S104" s="12"/>
      <c r="T104" s="12"/>
      <c r="U104" s="12"/>
      <c r="V104" s="65"/>
      <c r="W104" s="44" t="str">
        <f t="shared" si="2"/>
        <v>OK</v>
      </c>
      <c r="X104" s="47" t="str">
        <f t="shared" si="4"/>
        <v/>
      </c>
      <c r="Y104" s="3"/>
      <c r="Z104" s="3"/>
    </row>
    <row r="105" spans="1:26" ht="15.75" hidden="1" customHeight="1" outlineLevel="1" x14ac:dyDescent="0.3">
      <c r="A105" s="3"/>
      <c r="B105" s="10"/>
      <c r="C105" s="62"/>
      <c r="D105" s="62"/>
      <c r="E105" s="12"/>
      <c r="F105" s="12"/>
      <c r="G105" s="67"/>
      <c r="H105" s="63"/>
      <c r="I105" s="63"/>
      <c r="J105" s="64"/>
      <c r="K105" s="62"/>
      <c r="L105" s="62" t="str">
        <f t="shared" si="3"/>
        <v/>
      </c>
      <c r="M105" s="12"/>
      <c r="N105" s="12"/>
      <c r="O105" s="12"/>
      <c r="P105" s="12"/>
      <c r="Q105" s="12"/>
      <c r="R105" s="12"/>
      <c r="S105" s="12"/>
      <c r="T105" s="12"/>
      <c r="U105" s="12"/>
      <c r="V105" s="62"/>
      <c r="W105" s="44" t="str">
        <f t="shared" si="2"/>
        <v>OK</v>
      </c>
      <c r="X105" s="47" t="str">
        <f t="shared" si="4"/>
        <v/>
      </c>
      <c r="Y105" s="3"/>
      <c r="Z105" s="3"/>
    </row>
    <row r="106" spans="1:26" ht="15.75" hidden="1" customHeight="1" outlineLevel="1" x14ac:dyDescent="0.3">
      <c r="A106" s="3"/>
      <c r="B106" s="10"/>
      <c r="C106" s="62"/>
      <c r="D106" s="62"/>
      <c r="E106" s="12"/>
      <c r="F106" s="12"/>
      <c r="G106" s="67"/>
      <c r="H106" s="63"/>
      <c r="I106" s="63"/>
      <c r="J106" s="64"/>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5.75" hidden="1" customHeight="1" outlineLevel="1" x14ac:dyDescent="0.3">
      <c r="A107" s="3"/>
      <c r="B107" s="10"/>
      <c r="C107" s="62"/>
      <c r="D107" s="62"/>
      <c r="E107" s="12"/>
      <c r="F107" s="12"/>
      <c r="G107" s="67"/>
      <c r="H107" s="63"/>
      <c r="I107" s="63"/>
      <c r="J107" s="64" t="s">
        <v>96</v>
      </c>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5.75" hidden="1" customHeight="1" outlineLevel="1" x14ac:dyDescent="0.3">
      <c r="A108" s="3"/>
      <c r="B108" s="10"/>
      <c r="C108" s="62"/>
      <c r="D108" s="62"/>
      <c r="E108" s="12"/>
      <c r="F108" s="12"/>
      <c r="G108" s="67"/>
      <c r="H108" s="63"/>
      <c r="I108" s="63"/>
      <c r="J108" s="64" t="s">
        <v>96</v>
      </c>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5.75" hidden="1" customHeight="1" outlineLevel="1" x14ac:dyDescent="0.3">
      <c r="A109" s="3"/>
      <c r="B109" s="10"/>
      <c r="C109" s="62"/>
      <c r="D109" s="62"/>
      <c r="E109" s="12"/>
      <c r="F109" s="12"/>
      <c r="G109" s="67"/>
      <c r="H109" s="63"/>
      <c r="I109" s="63"/>
      <c r="J109" s="64" t="s">
        <v>96</v>
      </c>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5.75" hidden="1" customHeight="1" outlineLevel="1" x14ac:dyDescent="0.3">
      <c r="A110" s="3"/>
      <c r="B110" s="10"/>
      <c r="C110" s="62"/>
      <c r="D110" s="62"/>
      <c r="E110" s="12"/>
      <c r="F110" s="12"/>
      <c r="G110" s="67"/>
      <c r="H110" s="63"/>
      <c r="I110" s="63"/>
      <c r="J110" s="64" t="s">
        <v>96</v>
      </c>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5.75" hidden="1" customHeight="1" outlineLevel="1" x14ac:dyDescent="0.3">
      <c r="A111" s="3"/>
      <c r="B111" s="10"/>
      <c r="C111" s="62"/>
      <c r="D111" s="62"/>
      <c r="E111" s="12"/>
      <c r="F111" s="12"/>
      <c r="G111" s="67"/>
      <c r="H111" s="63"/>
      <c r="I111" s="63"/>
      <c r="J111" s="64" t="s">
        <v>96</v>
      </c>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5.75" hidden="1" customHeight="1" outlineLevel="1" x14ac:dyDescent="0.3">
      <c r="A112" s="3"/>
      <c r="B112" s="10"/>
      <c r="C112" s="62"/>
      <c r="D112" s="62"/>
      <c r="E112" s="12"/>
      <c r="F112" s="12"/>
      <c r="G112" s="67"/>
      <c r="H112" s="63"/>
      <c r="I112" s="63"/>
      <c r="J112" s="64" t="s">
        <v>96</v>
      </c>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5.75" hidden="1" customHeight="1" outlineLevel="1" x14ac:dyDescent="0.3">
      <c r="A113" s="3"/>
      <c r="B113" s="10"/>
      <c r="C113" s="62"/>
      <c r="D113" s="62"/>
      <c r="E113" s="12"/>
      <c r="F113" s="12"/>
      <c r="G113" s="67"/>
      <c r="H113" s="63"/>
      <c r="I113" s="63"/>
      <c r="J113" s="64" t="s">
        <v>96</v>
      </c>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5.75" hidden="1" customHeight="1" outlineLevel="1" x14ac:dyDescent="0.3">
      <c r="A114" s="3"/>
      <c r="B114" s="10"/>
      <c r="C114" s="62"/>
      <c r="D114" s="62"/>
      <c r="E114" s="12"/>
      <c r="F114" s="12"/>
      <c r="G114" s="67"/>
      <c r="H114" s="63"/>
      <c r="I114" s="63"/>
      <c r="J114" s="64" t="s">
        <v>96</v>
      </c>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5.75" hidden="1" customHeight="1" outlineLevel="1" x14ac:dyDescent="0.3">
      <c r="A115" s="3"/>
      <c r="B115" s="10"/>
      <c r="C115" s="62"/>
      <c r="D115" s="62"/>
      <c r="E115" s="12"/>
      <c r="F115" s="12"/>
      <c r="G115" s="67"/>
      <c r="H115" s="63"/>
      <c r="I115" s="63"/>
      <c r="J115" s="64" t="s">
        <v>96</v>
      </c>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5.75" hidden="1" customHeight="1" outlineLevel="1" x14ac:dyDescent="0.3">
      <c r="A116" s="3"/>
      <c r="B116" s="10"/>
      <c r="C116" s="62"/>
      <c r="D116" s="62"/>
      <c r="E116" s="12"/>
      <c r="F116" s="12"/>
      <c r="G116" s="67"/>
      <c r="H116" s="63"/>
      <c r="I116" s="63"/>
      <c r="J116" s="64" t="s">
        <v>96</v>
      </c>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5.75" hidden="1" customHeight="1" outlineLevel="1" x14ac:dyDescent="0.3">
      <c r="A117" s="3"/>
      <c r="B117" s="10"/>
      <c r="C117" s="62"/>
      <c r="D117" s="62"/>
      <c r="E117" s="12"/>
      <c r="F117" s="12"/>
      <c r="G117" s="67"/>
      <c r="H117" s="63"/>
      <c r="I117" s="63"/>
      <c r="J117" s="64" t="s">
        <v>96</v>
      </c>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5.75" hidden="1" customHeight="1" outlineLevel="1" x14ac:dyDescent="0.3">
      <c r="A118" s="3"/>
      <c r="B118" s="10"/>
      <c r="C118" s="62"/>
      <c r="D118" s="62"/>
      <c r="E118" s="12"/>
      <c r="F118" s="12"/>
      <c r="G118" s="67"/>
      <c r="H118" s="63"/>
      <c r="I118" s="63"/>
      <c r="J118" s="64" t="s">
        <v>96</v>
      </c>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5.75" hidden="1" customHeight="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5.75" hidden="1" customHeight="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5.75" hidden="1" customHeight="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5.75" hidden="1" customHeight="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5.75" hidden="1" customHeight="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5.75" hidden="1" customHeight="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row>
    <row r="125" spans="1:26" ht="15.75" hidden="1" customHeight="1" outlineLevel="1" x14ac:dyDescent="0.3">
      <c r="A125" s="3"/>
      <c r="B125" s="10"/>
      <c r="C125" s="62"/>
      <c r="D125" s="62"/>
      <c r="E125" s="12"/>
      <c r="F125" s="12"/>
      <c r="G125" s="67"/>
      <c r="H125" s="63"/>
      <c r="I125" s="63"/>
      <c r="J125" s="64"/>
      <c r="K125" s="62"/>
      <c r="L125" s="62" t="str">
        <f t="shared" si="3"/>
        <v/>
      </c>
      <c r="M125" s="12"/>
      <c r="N125" s="12"/>
      <c r="O125" s="12"/>
      <c r="P125" s="12"/>
      <c r="Q125" s="12"/>
      <c r="R125" s="12"/>
      <c r="S125" s="12"/>
      <c r="T125" s="12"/>
      <c r="U125" s="12"/>
      <c r="V125" s="62"/>
      <c r="W125" s="44" t="str">
        <f t="shared" si="2"/>
        <v>OK</v>
      </c>
      <c r="X125" s="47" t="str">
        <f t="shared" si="4"/>
        <v/>
      </c>
      <c r="Y125" s="3"/>
      <c r="Z125" s="3"/>
    </row>
    <row r="126" spans="1:26" ht="19.5" customHeight="1" collapsed="1" x14ac:dyDescent="0.3">
      <c r="A126" s="3"/>
      <c r="B126" s="73" t="s">
        <v>62</v>
      </c>
      <c r="C126" s="56" t="s">
        <v>43</v>
      </c>
      <c r="D126" s="56" t="s">
        <v>43</v>
      </c>
      <c r="E126" s="57">
        <f t="shared" ref="E126:F126" si="5">SUM(E127,E130,,E134,E139,E146)</f>
        <v>0</v>
      </c>
      <c r="F126" s="57">
        <f t="shared" si="5"/>
        <v>0</v>
      </c>
      <c r="G126" s="58" t="s">
        <v>43</v>
      </c>
      <c r="H126" s="74"/>
      <c r="I126" s="74"/>
      <c r="J126" s="3"/>
      <c r="K126" s="3"/>
      <c r="L126" s="3"/>
      <c r="M126" s="3"/>
      <c r="N126" s="3"/>
      <c r="O126" s="3"/>
      <c r="P126" s="3"/>
      <c r="Q126" s="3"/>
      <c r="R126" s="3"/>
      <c r="S126" s="3"/>
      <c r="T126" s="3"/>
      <c r="U126" s="3"/>
      <c r="V126" s="3"/>
      <c r="W126" s="44"/>
      <c r="X126" s="41"/>
      <c r="Y126" s="3"/>
      <c r="Z126" s="3"/>
    </row>
    <row r="127" spans="1:26" ht="15.75" hidden="1" customHeight="1" outlineLevel="1" x14ac:dyDescent="0.3">
      <c r="A127" s="3"/>
      <c r="B127" s="75" t="s">
        <v>230</v>
      </c>
      <c r="C127" s="76" t="s">
        <v>43</v>
      </c>
      <c r="D127" s="76" t="s">
        <v>43</v>
      </c>
      <c r="E127" s="77">
        <f>SUM(E128:E129)</f>
        <v>0</v>
      </c>
      <c r="F127" s="77">
        <f>SUMIF(D128:D129,"OK",F128:F129)</f>
        <v>0</v>
      </c>
      <c r="G127" s="78" t="s">
        <v>43</v>
      </c>
      <c r="H127" s="79"/>
      <c r="I127" s="79"/>
      <c r="J127" s="3"/>
      <c r="K127" s="3"/>
      <c r="L127" s="3"/>
      <c r="M127" s="3"/>
      <c r="N127" s="3"/>
      <c r="O127" s="3"/>
      <c r="P127" s="3"/>
      <c r="Q127" s="3"/>
      <c r="R127" s="3"/>
      <c r="S127" s="3"/>
      <c r="T127" s="3"/>
      <c r="U127" s="3"/>
      <c r="V127" s="3"/>
      <c r="W127" s="44"/>
      <c r="X127" s="41"/>
      <c r="Y127" s="3"/>
      <c r="Z127" s="3"/>
    </row>
    <row r="128" spans="1:26" ht="15.75" hidden="1" customHeight="1" outlineLevel="1" x14ac:dyDescent="0.3">
      <c r="A128" s="3"/>
      <c r="B128" s="10" t="s">
        <v>231</v>
      </c>
      <c r="C128" s="62"/>
      <c r="D128" s="62"/>
      <c r="E128" s="12">
        <v>0</v>
      </c>
      <c r="F128" s="12">
        <v>0</v>
      </c>
      <c r="G128" s="70"/>
      <c r="H128" s="63" t="s">
        <v>37</v>
      </c>
      <c r="I128" s="63"/>
      <c r="J128" s="3"/>
      <c r="K128" s="3"/>
      <c r="L128" s="3"/>
      <c r="M128" s="3"/>
      <c r="N128" s="3"/>
      <c r="O128" s="3"/>
      <c r="P128" s="3"/>
      <c r="Q128" s="3"/>
      <c r="R128" s="3"/>
      <c r="S128" s="3"/>
      <c r="T128" s="3"/>
      <c r="U128" s="3"/>
      <c r="V128" s="3"/>
      <c r="W128" s="44"/>
      <c r="X128" s="41"/>
      <c r="Y128" s="3"/>
      <c r="Z128" s="3"/>
    </row>
    <row r="129" spans="1:26" ht="15.75" hidden="1" customHeight="1" outlineLevel="1" x14ac:dyDescent="0.3">
      <c r="A129" s="3"/>
      <c r="B129" s="10" t="s">
        <v>61</v>
      </c>
      <c r="C129" s="62"/>
      <c r="D129" s="62"/>
      <c r="E129" s="12">
        <v>0</v>
      </c>
      <c r="F129" s="12">
        <v>0</v>
      </c>
      <c r="G129" s="67"/>
      <c r="H129" s="63"/>
      <c r="I129" s="63"/>
      <c r="J129" s="3"/>
      <c r="K129" s="3"/>
      <c r="L129" s="3"/>
      <c r="M129" s="3"/>
      <c r="N129" s="3"/>
      <c r="O129" s="3"/>
      <c r="P129" s="3"/>
      <c r="Q129" s="3"/>
      <c r="R129" s="3"/>
      <c r="S129" s="3"/>
      <c r="T129" s="3"/>
      <c r="U129" s="3"/>
      <c r="V129" s="3"/>
      <c r="W129" s="44"/>
      <c r="X129" s="41"/>
      <c r="Y129" s="3"/>
      <c r="Z129" s="3"/>
    </row>
    <row r="130" spans="1:26" ht="15.75" hidden="1" customHeight="1" outlineLevel="1" x14ac:dyDescent="0.3">
      <c r="A130" s="3"/>
      <c r="B130" s="75" t="s">
        <v>232</v>
      </c>
      <c r="C130" s="76" t="s">
        <v>43</v>
      </c>
      <c r="D130" s="76" t="s">
        <v>43</v>
      </c>
      <c r="E130" s="77">
        <f>SUM(E131:E133)</f>
        <v>0</v>
      </c>
      <c r="F130" s="77">
        <f>SUMIF(D131:D133,"OK",F131:F133)</f>
        <v>0</v>
      </c>
      <c r="G130" s="78" t="s">
        <v>43</v>
      </c>
      <c r="H130" s="79"/>
      <c r="I130" s="79"/>
      <c r="J130" s="3"/>
      <c r="K130" s="3"/>
      <c r="L130" s="3"/>
      <c r="M130" s="3"/>
      <c r="N130" s="3"/>
      <c r="O130" s="3"/>
      <c r="P130" s="3"/>
      <c r="Q130" s="3"/>
      <c r="R130" s="3"/>
      <c r="S130" s="3"/>
      <c r="T130" s="3"/>
      <c r="U130" s="3"/>
      <c r="V130" s="3"/>
      <c r="W130" s="44"/>
      <c r="X130" s="41"/>
      <c r="Y130" s="3"/>
      <c r="Z130" s="3"/>
    </row>
    <row r="131" spans="1:26" ht="15.75" hidden="1" customHeight="1" outlineLevel="1" x14ac:dyDescent="0.3">
      <c r="A131" s="3"/>
      <c r="B131" s="10" t="s">
        <v>715</v>
      </c>
      <c r="C131" s="62"/>
      <c r="D131" s="62"/>
      <c r="E131" s="12">
        <v>0</v>
      </c>
      <c r="F131" s="12">
        <v>0</v>
      </c>
      <c r="G131" s="69"/>
      <c r="H131" s="63"/>
      <c r="I131" s="63"/>
      <c r="J131" s="3"/>
      <c r="K131" s="3"/>
      <c r="L131" s="3"/>
      <c r="M131" s="3"/>
      <c r="N131" s="3"/>
      <c r="O131" s="3"/>
      <c r="P131" s="3"/>
      <c r="Q131" s="3"/>
      <c r="R131" s="3"/>
      <c r="S131" s="3"/>
      <c r="T131" s="3"/>
      <c r="U131" s="3"/>
      <c r="V131" s="3"/>
      <c r="W131" s="44"/>
      <c r="X131" s="41"/>
      <c r="Y131" s="3"/>
      <c r="Z131" s="3"/>
    </row>
    <row r="132" spans="1:26" ht="15.75" hidden="1" customHeight="1" outlineLevel="1" x14ac:dyDescent="0.3">
      <c r="A132" s="3"/>
      <c r="B132" s="10" t="s">
        <v>529</v>
      </c>
      <c r="C132" s="62"/>
      <c r="D132" s="62"/>
      <c r="E132" s="12">
        <v>0</v>
      </c>
      <c r="F132" s="12">
        <v>0</v>
      </c>
      <c r="G132" s="70"/>
      <c r="H132" s="63"/>
      <c r="I132" s="63"/>
      <c r="J132" s="3"/>
      <c r="K132" s="3"/>
      <c r="L132" s="3"/>
      <c r="M132" s="3"/>
      <c r="N132" s="3"/>
      <c r="O132" s="3"/>
      <c r="P132" s="3"/>
      <c r="Q132" s="3"/>
      <c r="R132" s="3"/>
      <c r="S132" s="3"/>
      <c r="T132" s="3"/>
      <c r="U132" s="3"/>
      <c r="V132" s="3"/>
      <c r="W132" s="44"/>
      <c r="X132" s="41"/>
      <c r="Y132" s="3"/>
      <c r="Z132" s="3"/>
    </row>
    <row r="133" spans="1:26" ht="15.75" hidden="1" customHeight="1" outlineLevel="1" x14ac:dyDescent="0.3">
      <c r="A133" s="3"/>
      <c r="B133" s="10" t="s">
        <v>532</v>
      </c>
      <c r="C133" s="62"/>
      <c r="D133" s="62"/>
      <c r="E133" s="12">
        <v>0</v>
      </c>
      <c r="F133" s="12">
        <v>0</v>
      </c>
      <c r="G133" s="69"/>
      <c r="H133" s="63"/>
      <c r="I133" s="63"/>
      <c r="J133" s="3"/>
      <c r="K133" s="3"/>
      <c r="L133" s="3"/>
      <c r="M133" s="3"/>
      <c r="N133" s="3"/>
      <c r="O133" s="3"/>
      <c r="P133" s="3"/>
      <c r="Q133" s="3"/>
      <c r="R133" s="3"/>
      <c r="S133" s="3"/>
      <c r="T133" s="3"/>
      <c r="U133" s="3"/>
      <c r="V133" s="3"/>
      <c r="W133" s="44"/>
      <c r="X133" s="41"/>
      <c r="Y133" s="3"/>
      <c r="Z133" s="3"/>
    </row>
    <row r="134" spans="1:26" ht="15.75" hidden="1" customHeight="1" outlineLevel="1" x14ac:dyDescent="0.3">
      <c r="A134" s="3"/>
      <c r="B134" s="75" t="s">
        <v>651</v>
      </c>
      <c r="C134" s="76" t="s">
        <v>43</v>
      </c>
      <c r="D134" s="76" t="s">
        <v>43</v>
      </c>
      <c r="E134" s="77">
        <f>SUM(E135:E138)</f>
        <v>0</v>
      </c>
      <c r="F134" s="77">
        <f>SUMIF(D135:D138,"OK",F135:F138)</f>
        <v>0</v>
      </c>
      <c r="G134" s="78" t="s">
        <v>43</v>
      </c>
      <c r="H134" s="79"/>
      <c r="I134" s="79"/>
      <c r="J134" s="3"/>
      <c r="K134" s="3"/>
      <c r="L134" s="3"/>
      <c r="M134" s="3"/>
      <c r="N134" s="3"/>
      <c r="O134" s="3"/>
      <c r="P134" s="3"/>
      <c r="Q134" s="3"/>
      <c r="R134" s="3"/>
      <c r="S134" s="3"/>
      <c r="T134" s="3"/>
      <c r="U134" s="3"/>
      <c r="V134" s="3"/>
      <c r="W134" s="44"/>
      <c r="X134" s="41"/>
      <c r="Y134" s="3"/>
      <c r="Z134" s="3"/>
    </row>
    <row r="135" spans="1:26" ht="15.75" hidden="1" customHeight="1" outlineLevel="1" x14ac:dyDescent="0.3">
      <c r="A135" s="3"/>
      <c r="B135" s="10" t="s">
        <v>715</v>
      </c>
      <c r="C135" s="62"/>
      <c r="D135" s="62"/>
      <c r="E135" s="12">
        <v>0</v>
      </c>
      <c r="F135" s="12">
        <v>0</v>
      </c>
      <c r="G135" s="69"/>
      <c r="H135" s="63"/>
      <c r="I135" s="63"/>
      <c r="J135" s="3"/>
      <c r="K135" s="3"/>
      <c r="L135" s="3"/>
      <c r="M135" s="3"/>
      <c r="N135" s="3"/>
      <c r="O135" s="3"/>
      <c r="P135" s="3"/>
      <c r="Q135" s="3"/>
      <c r="R135" s="3"/>
      <c r="S135" s="3"/>
      <c r="T135" s="3"/>
      <c r="U135" s="3"/>
      <c r="V135" s="3"/>
      <c r="W135" s="44"/>
      <c r="X135" s="41"/>
      <c r="Y135" s="3"/>
      <c r="Z135" s="3"/>
    </row>
    <row r="136" spans="1:26" ht="15.75" hidden="1" customHeight="1" outlineLevel="1" x14ac:dyDescent="0.3">
      <c r="A136" s="3"/>
      <c r="B136" s="10" t="s">
        <v>531</v>
      </c>
      <c r="C136" s="62"/>
      <c r="D136" s="62"/>
      <c r="E136" s="12">
        <v>0</v>
      </c>
      <c r="F136" s="12">
        <v>0</v>
      </c>
      <c r="G136" s="70"/>
      <c r="H136" s="63"/>
      <c r="I136" s="63"/>
      <c r="J136" s="3"/>
      <c r="K136" s="3"/>
      <c r="L136" s="3"/>
      <c r="M136" s="3"/>
      <c r="N136" s="3"/>
      <c r="O136" s="3"/>
      <c r="P136" s="3"/>
      <c r="Q136" s="3"/>
      <c r="R136" s="3"/>
      <c r="S136" s="3"/>
      <c r="T136" s="3"/>
      <c r="U136" s="3"/>
      <c r="V136" s="3"/>
      <c r="W136" s="44"/>
      <c r="X136" s="41"/>
      <c r="Y136" s="3"/>
      <c r="Z136" s="3"/>
    </row>
    <row r="137" spans="1:26" ht="15.75" hidden="1" customHeight="1" outlineLevel="1" x14ac:dyDescent="0.3">
      <c r="A137" s="3"/>
      <c r="B137" s="10" t="s">
        <v>532</v>
      </c>
      <c r="C137" s="62"/>
      <c r="D137" s="62"/>
      <c r="E137" s="12">
        <v>0</v>
      </c>
      <c r="F137" s="12">
        <v>0</v>
      </c>
      <c r="G137" s="69"/>
      <c r="H137" s="63"/>
      <c r="I137" s="63"/>
      <c r="J137" s="3"/>
      <c r="K137" s="3"/>
      <c r="L137" s="3"/>
      <c r="M137" s="3"/>
      <c r="N137" s="3"/>
      <c r="O137" s="3"/>
      <c r="P137" s="3"/>
      <c r="Q137" s="3"/>
      <c r="R137" s="3"/>
      <c r="S137" s="3"/>
      <c r="T137" s="3"/>
      <c r="U137" s="3"/>
      <c r="V137" s="3"/>
      <c r="W137" s="44"/>
      <c r="X137" s="41"/>
      <c r="Y137" s="3"/>
      <c r="Z137" s="3"/>
    </row>
    <row r="138" spans="1:26" ht="15.75" hidden="1" customHeight="1" outlineLevel="1" x14ac:dyDescent="0.3">
      <c r="A138" s="3"/>
      <c r="B138" s="10" t="s">
        <v>529</v>
      </c>
      <c r="C138" s="62"/>
      <c r="D138" s="62"/>
      <c r="E138" s="12">
        <v>0</v>
      </c>
      <c r="F138" s="12">
        <v>0</v>
      </c>
      <c r="G138" s="69"/>
      <c r="H138" s="63"/>
      <c r="I138" s="63"/>
      <c r="J138" s="3"/>
      <c r="K138" s="3"/>
      <c r="L138" s="3"/>
      <c r="M138" s="3"/>
      <c r="N138" s="3"/>
      <c r="O138" s="3"/>
      <c r="P138" s="3"/>
      <c r="Q138" s="3"/>
      <c r="R138" s="3"/>
      <c r="S138" s="3"/>
      <c r="T138" s="3"/>
      <c r="U138" s="3"/>
      <c r="V138" s="3"/>
      <c r="W138" s="44"/>
      <c r="X138" s="41"/>
      <c r="Y138" s="3"/>
      <c r="Z138" s="3"/>
    </row>
    <row r="139" spans="1:26" ht="15.75" hidden="1" customHeight="1" outlineLevel="1" x14ac:dyDescent="0.3">
      <c r="A139" s="3"/>
      <c r="B139" s="75" t="s">
        <v>901</v>
      </c>
      <c r="C139" s="76" t="s">
        <v>43</v>
      </c>
      <c r="D139" s="76" t="s">
        <v>43</v>
      </c>
      <c r="E139" s="77">
        <f>SUM(E140:E145)</f>
        <v>0</v>
      </c>
      <c r="F139" s="77">
        <f>SUMIF(D140:D145,"OK",F140:F145)</f>
        <v>0</v>
      </c>
      <c r="G139" s="78" t="s">
        <v>43</v>
      </c>
      <c r="H139" s="79"/>
      <c r="I139" s="79"/>
      <c r="J139" s="3"/>
      <c r="K139" s="3"/>
      <c r="L139" s="3"/>
      <c r="M139" s="3"/>
      <c r="N139" s="3"/>
      <c r="O139" s="3"/>
      <c r="P139" s="3"/>
      <c r="Q139" s="3"/>
      <c r="R139" s="3"/>
      <c r="S139" s="3"/>
      <c r="T139" s="3"/>
      <c r="U139" s="3"/>
      <c r="V139" s="3"/>
      <c r="W139" s="44"/>
      <c r="X139" s="41"/>
      <c r="Y139" s="3"/>
      <c r="Z139" s="3"/>
    </row>
    <row r="140" spans="1:26" ht="15.75" hidden="1" customHeight="1" outlineLevel="1" x14ac:dyDescent="0.3">
      <c r="A140" s="3"/>
      <c r="B140" s="10" t="s">
        <v>1036</v>
      </c>
      <c r="C140" s="62"/>
      <c r="D140" s="62"/>
      <c r="E140" s="12">
        <v>0</v>
      </c>
      <c r="F140" s="12">
        <v>0</v>
      </c>
      <c r="G140" s="67"/>
      <c r="H140" s="63"/>
      <c r="I140" s="63"/>
      <c r="J140" s="3"/>
      <c r="K140" s="3"/>
      <c r="L140" s="3"/>
      <c r="M140" s="3"/>
      <c r="N140" s="3"/>
      <c r="O140" s="3"/>
      <c r="P140" s="3"/>
      <c r="Q140" s="3"/>
      <c r="R140" s="3"/>
      <c r="S140" s="3"/>
      <c r="T140" s="3"/>
      <c r="U140" s="3"/>
      <c r="V140" s="3"/>
      <c r="W140" s="44"/>
      <c r="X140" s="41"/>
      <c r="Y140" s="3"/>
      <c r="Z140" s="3"/>
    </row>
    <row r="141" spans="1:26" ht="15.75" hidden="1" customHeight="1" outlineLevel="1" x14ac:dyDescent="0.3">
      <c r="A141" s="3"/>
      <c r="B141" s="10" t="s">
        <v>904</v>
      </c>
      <c r="C141" s="62"/>
      <c r="D141" s="62"/>
      <c r="E141" s="12">
        <v>0</v>
      </c>
      <c r="F141" s="12">
        <v>0</v>
      </c>
      <c r="G141" s="67"/>
      <c r="H141" s="63"/>
      <c r="I141" s="63"/>
      <c r="J141" s="3"/>
      <c r="K141" s="3"/>
      <c r="L141" s="3"/>
      <c r="M141" s="3"/>
      <c r="N141" s="3"/>
      <c r="O141" s="3"/>
      <c r="P141" s="3"/>
      <c r="Q141" s="3"/>
      <c r="R141" s="3"/>
      <c r="S141" s="3"/>
      <c r="T141" s="3"/>
      <c r="U141" s="3"/>
      <c r="V141" s="3"/>
      <c r="W141" s="44"/>
      <c r="X141" s="41"/>
      <c r="Y141" s="3"/>
      <c r="Z141" s="3"/>
    </row>
    <row r="142" spans="1:26" ht="15.75" hidden="1" customHeight="1" outlineLevel="1" x14ac:dyDescent="0.3">
      <c r="A142" s="3"/>
      <c r="B142" s="10" t="s">
        <v>905</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row>
    <row r="143" spans="1:26" ht="15.75" hidden="1" customHeight="1" outlineLevel="1" x14ac:dyDescent="0.3">
      <c r="A143" s="3"/>
      <c r="B143" s="10" t="s">
        <v>1040</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5.75" hidden="1" customHeight="1" outlineLevel="1" x14ac:dyDescent="0.3">
      <c r="A144" s="3"/>
      <c r="B144" s="10" t="s">
        <v>907</v>
      </c>
      <c r="C144" s="62"/>
      <c r="D144" s="62"/>
      <c r="E144" s="12">
        <v>0</v>
      </c>
      <c r="F144" s="12">
        <v>0</v>
      </c>
      <c r="G144" s="67"/>
      <c r="H144" s="63"/>
      <c r="I144" s="63"/>
      <c r="J144" s="3"/>
      <c r="K144" s="3"/>
      <c r="L144" s="3"/>
      <c r="M144" s="3"/>
      <c r="N144" s="3"/>
      <c r="O144" s="3"/>
      <c r="P144" s="3"/>
      <c r="Q144" s="3"/>
      <c r="R144" s="3"/>
      <c r="S144" s="3"/>
      <c r="T144" s="3"/>
      <c r="U144" s="3"/>
      <c r="V144" s="3"/>
      <c r="W144" s="44"/>
      <c r="X144" s="41"/>
      <c r="Y144" s="3"/>
      <c r="Z144" s="3"/>
    </row>
    <row r="145" spans="1:26" ht="15.75" hidden="1" customHeight="1" outlineLevel="1" x14ac:dyDescent="0.3">
      <c r="A145" s="3"/>
      <c r="B145" s="10" t="s">
        <v>908</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row>
    <row r="146" spans="1:26" ht="15.75" hidden="1" customHeight="1" outlineLevel="1" x14ac:dyDescent="0.3">
      <c r="A146" s="3"/>
      <c r="B146" s="75" t="s">
        <v>689</v>
      </c>
      <c r="C146" s="76" t="s">
        <v>43</v>
      </c>
      <c r="D146" s="76" t="s">
        <v>43</v>
      </c>
      <c r="E146" s="77">
        <f>SUM(E147:E152)</f>
        <v>0</v>
      </c>
      <c r="F146" s="77">
        <f>SUMIF(D147:D153,"OK",F147:F153)</f>
        <v>0</v>
      </c>
      <c r="G146" s="78" t="s">
        <v>43</v>
      </c>
      <c r="H146" s="79"/>
      <c r="I146" s="79"/>
      <c r="J146" s="3"/>
      <c r="K146" s="3"/>
      <c r="L146" s="3"/>
      <c r="M146" s="3"/>
      <c r="N146" s="3"/>
      <c r="O146" s="3"/>
      <c r="P146" s="3"/>
      <c r="Q146" s="3"/>
      <c r="R146" s="3"/>
      <c r="S146" s="3"/>
      <c r="T146" s="3"/>
      <c r="U146" s="3"/>
      <c r="V146" s="3"/>
      <c r="W146" s="44"/>
      <c r="X146" s="41"/>
      <c r="Y146" s="3"/>
      <c r="Z146" s="3"/>
    </row>
    <row r="147" spans="1:26" ht="15.75" hidden="1" customHeight="1" outlineLevel="1" x14ac:dyDescent="0.3">
      <c r="A147" s="3"/>
      <c r="B147" s="10" t="s">
        <v>537</v>
      </c>
      <c r="C147" s="62"/>
      <c r="D147" s="62"/>
      <c r="E147" s="12">
        <v>0</v>
      </c>
      <c r="F147" s="12">
        <v>0</v>
      </c>
      <c r="G147" s="69"/>
      <c r="H147" s="63"/>
      <c r="I147" s="63"/>
      <c r="J147" s="3"/>
      <c r="K147" s="3"/>
      <c r="L147" s="3"/>
      <c r="M147" s="3"/>
      <c r="N147" s="3"/>
      <c r="O147" s="3"/>
      <c r="P147" s="3"/>
      <c r="Q147" s="3"/>
      <c r="R147" s="3"/>
      <c r="S147" s="3"/>
      <c r="T147" s="3"/>
      <c r="U147" s="3"/>
      <c r="V147" s="3"/>
      <c r="W147" s="44"/>
      <c r="X147" s="41"/>
      <c r="Y147" s="3"/>
      <c r="Z147" s="3"/>
    </row>
    <row r="148" spans="1:26" ht="15.75" hidden="1" customHeight="1" outlineLevel="1" x14ac:dyDescent="0.3">
      <c r="A148" s="3"/>
      <c r="B148" s="10" t="s">
        <v>42</v>
      </c>
      <c r="C148" s="62"/>
      <c r="D148" s="62"/>
      <c r="E148" s="12">
        <v>0</v>
      </c>
      <c r="F148" s="12">
        <v>0</v>
      </c>
      <c r="G148" s="69"/>
      <c r="H148" s="63"/>
      <c r="I148" s="63"/>
      <c r="J148" s="3"/>
      <c r="K148" s="3"/>
      <c r="L148" s="3"/>
      <c r="M148" s="3"/>
      <c r="N148" s="3"/>
      <c r="O148" s="3"/>
      <c r="P148" s="3"/>
      <c r="Q148" s="3"/>
      <c r="R148" s="3"/>
      <c r="S148" s="3"/>
      <c r="T148" s="3"/>
      <c r="U148" s="3"/>
      <c r="V148" s="3"/>
      <c r="W148" s="44"/>
      <c r="X148" s="41"/>
      <c r="Y148" s="3"/>
      <c r="Z148" s="3"/>
    </row>
    <row r="149" spans="1:26" ht="15.75" hidden="1" customHeight="1" outlineLevel="1" x14ac:dyDescent="0.3">
      <c r="A149" s="3"/>
      <c r="B149" s="10" t="s">
        <v>42</v>
      </c>
      <c r="C149" s="62"/>
      <c r="D149" s="62"/>
      <c r="E149" s="12">
        <v>0</v>
      </c>
      <c r="F149" s="12">
        <v>0</v>
      </c>
      <c r="G149" s="69"/>
      <c r="H149" s="63"/>
      <c r="I149" s="63"/>
      <c r="J149" s="3"/>
      <c r="K149" s="3"/>
      <c r="L149" s="3"/>
      <c r="M149" s="3"/>
      <c r="N149" s="3"/>
      <c r="O149" s="3"/>
      <c r="P149" s="3"/>
      <c r="Q149" s="3"/>
      <c r="R149" s="3"/>
      <c r="S149" s="3"/>
      <c r="T149" s="3"/>
      <c r="U149" s="3"/>
      <c r="V149" s="3"/>
      <c r="W149" s="44"/>
      <c r="X149" s="41"/>
      <c r="Y149" s="3"/>
      <c r="Z149" s="3"/>
    </row>
    <row r="150" spans="1:26" ht="15.75" hidden="1" customHeight="1" outlineLevel="1" x14ac:dyDescent="0.3">
      <c r="A150" s="3"/>
      <c r="B150" s="10" t="s">
        <v>42</v>
      </c>
      <c r="C150" s="62"/>
      <c r="D150" s="62"/>
      <c r="E150" s="12">
        <v>0</v>
      </c>
      <c r="F150" s="12">
        <v>0</v>
      </c>
      <c r="G150" s="69"/>
      <c r="H150" s="63"/>
      <c r="I150" s="63"/>
      <c r="J150" s="3"/>
      <c r="K150" s="3"/>
      <c r="L150" s="3"/>
      <c r="M150" s="3"/>
      <c r="N150" s="3"/>
      <c r="O150" s="3"/>
      <c r="P150" s="3"/>
      <c r="Q150" s="3"/>
      <c r="R150" s="3"/>
      <c r="S150" s="3"/>
      <c r="T150" s="3"/>
      <c r="U150" s="3"/>
      <c r="V150" s="3"/>
      <c r="W150" s="44"/>
      <c r="X150" s="41"/>
      <c r="Y150" s="3"/>
      <c r="Z150" s="3"/>
    </row>
    <row r="151" spans="1:26" ht="15.75" hidden="1" customHeight="1" outlineLevel="1" x14ac:dyDescent="0.3">
      <c r="A151" s="3"/>
      <c r="B151" s="10" t="s">
        <v>42</v>
      </c>
      <c r="C151" s="62"/>
      <c r="D151" s="62"/>
      <c r="E151" s="12">
        <v>0</v>
      </c>
      <c r="F151" s="12">
        <v>0</v>
      </c>
      <c r="G151" s="69"/>
      <c r="H151" s="63"/>
      <c r="I151" s="63"/>
      <c r="J151" s="3"/>
      <c r="K151" s="3"/>
      <c r="L151" s="3"/>
      <c r="M151" s="3"/>
      <c r="N151" s="3"/>
      <c r="O151" s="3"/>
      <c r="P151" s="3"/>
      <c r="Q151" s="3"/>
      <c r="R151" s="3"/>
      <c r="S151" s="3"/>
      <c r="T151" s="3"/>
      <c r="U151" s="3"/>
      <c r="V151" s="3"/>
      <c r="W151" s="44"/>
      <c r="X151" s="41"/>
      <c r="Y151" s="3"/>
      <c r="Z151" s="3"/>
    </row>
    <row r="152" spans="1:26" ht="15.75" hidden="1" customHeight="1" outlineLevel="1" x14ac:dyDescent="0.3">
      <c r="A152" s="3"/>
      <c r="B152" s="10" t="s">
        <v>42</v>
      </c>
      <c r="C152" s="62"/>
      <c r="D152" s="62"/>
      <c r="E152" s="12">
        <v>0</v>
      </c>
      <c r="F152" s="12">
        <v>0</v>
      </c>
      <c r="G152" s="69"/>
      <c r="H152" s="63"/>
      <c r="I152" s="63"/>
      <c r="J152" s="127"/>
      <c r="K152" s="3"/>
      <c r="L152" s="3"/>
      <c r="M152" s="3"/>
      <c r="N152" s="3"/>
      <c r="O152" s="3"/>
      <c r="P152" s="3"/>
      <c r="Q152" s="3"/>
      <c r="R152" s="3"/>
      <c r="S152" s="3"/>
      <c r="T152" s="3"/>
      <c r="U152" s="3"/>
      <c r="V152" s="3"/>
      <c r="W152" s="44"/>
      <c r="X152" s="41"/>
      <c r="Y152" s="3"/>
      <c r="Z152" s="3"/>
    </row>
    <row r="153" spans="1:26" ht="15.75" hidden="1" customHeight="1" outlineLevel="1" x14ac:dyDescent="0.3">
      <c r="A153" s="3"/>
      <c r="B153" s="10" t="s">
        <v>42</v>
      </c>
      <c r="C153" s="62"/>
      <c r="D153" s="62"/>
      <c r="E153" s="12">
        <v>0</v>
      </c>
      <c r="F153" s="12">
        <v>0</v>
      </c>
      <c r="G153" s="69"/>
      <c r="H153" s="63"/>
      <c r="I153" s="63"/>
      <c r="J153" s="3"/>
      <c r="K153" s="3"/>
      <c r="L153" s="3"/>
      <c r="M153" s="3"/>
      <c r="N153" s="3"/>
      <c r="O153" s="3"/>
      <c r="P153" s="3"/>
      <c r="Q153" s="3"/>
      <c r="R153" s="3"/>
      <c r="S153" s="3"/>
      <c r="T153" s="3"/>
      <c r="U153" s="3"/>
      <c r="V153" s="3"/>
      <c r="W153" s="44"/>
      <c r="X153" s="41"/>
      <c r="Y153" s="3"/>
      <c r="Z153" s="3"/>
    </row>
    <row r="154" spans="1:26" ht="19.5" customHeight="1" collapsed="1" x14ac:dyDescent="0.3">
      <c r="A154" s="3"/>
      <c r="B154" s="73" t="s">
        <v>239</v>
      </c>
      <c r="C154" s="56" t="s">
        <v>43</v>
      </c>
      <c r="D154" s="56" t="s">
        <v>43</v>
      </c>
      <c r="E154" s="57">
        <f t="shared" ref="E154:F154" si="6">SUM(E155,E160,E165,E169)</f>
        <v>0</v>
      </c>
      <c r="F154" s="57">
        <f t="shared" si="6"/>
        <v>0</v>
      </c>
      <c r="G154" s="58" t="s">
        <v>43</v>
      </c>
      <c r="H154" s="74"/>
      <c r="I154" s="74"/>
      <c r="J154" s="3"/>
      <c r="K154" s="3"/>
      <c r="L154" s="3"/>
      <c r="M154" s="3"/>
      <c r="N154" s="3"/>
      <c r="O154" s="3"/>
      <c r="P154" s="3"/>
      <c r="Q154" s="3"/>
      <c r="R154" s="3"/>
      <c r="S154" s="3"/>
      <c r="T154" s="3"/>
      <c r="U154" s="3"/>
      <c r="V154" s="3"/>
      <c r="W154" s="44"/>
      <c r="X154" s="41"/>
      <c r="Y154" s="3"/>
      <c r="Z154" s="3"/>
    </row>
    <row r="155" spans="1:26" ht="15.75" hidden="1" customHeight="1" outlineLevel="1" x14ac:dyDescent="0.3">
      <c r="A155" s="3"/>
      <c r="B155" s="75" t="s">
        <v>240</v>
      </c>
      <c r="C155" s="76" t="s">
        <v>43</v>
      </c>
      <c r="D155" s="76" t="s">
        <v>43</v>
      </c>
      <c r="E155" s="77">
        <f>SUM(E156:E159)</f>
        <v>0</v>
      </c>
      <c r="F155" s="77">
        <f>SUMIF(D156:D159,"OK",F156:F159)</f>
        <v>0</v>
      </c>
      <c r="G155" s="78" t="s">
        <v>43</v>
      </c>
      <c r="H155" s="79"/>
      <c r="I155" s="79"/>
      <c r="J155" s="3"/>
      <c r="K155" s="3"/>
      <c r="L155" s="3"/>
      <c r="M155" s="3"/>
      <c r="N155" s="3"/>
      <c r="O155" s="3"/>
      <c r="P155" s="3"/>
      <c r="Q155" s="3"/>
      <c r="R155" s="3"/>
      <c r="S155" s="3"/>
      <c r="T155" s="3"/>
      <c r="U155" s="3"/>
      <c r="V155" s="3"/>
      <c r="W155" s="44"/>
      <c r="X155" s="41"/>
      <c r="Y155" s="3"/>
      <c r="Z155" s="3"/>
    </row>
    <row r="156" spans="1:26" ht="15.75" hidden="1" customHeight="1" outlineLevel="1" x14ac:dyDescent="0.3">
      <c r="A156" s="3"/>
      <c r="B156" s="10" t="s">
        <v>241</v>
      </c>
      <c r="C156" s="62"/>
      <c r="D156" s="62"/>
      <c r="E156" s="12">
        <v>0</v>
      </c>
      <c r="F156" s="12">
        <v>0</v>
      </c>
      <c r="G156" s="70"/>
      <c r="H156" s="63" t="s">
        <v>37</v>
      </c>
      <c r="I156" s="63"/>
      <c r="J156" s="3"/>
      <c r="K156" s="3"/>
      <c r="L156" s="3"/>
      <c r="M156" s="3"/>
      <c r="N156" s="3"/>
      <c r="O156" s="3"/>
      <c r="P156" s="3"/>
      <c r="Q156" s="3"/>
      <c r="R156" s="3"/>
      <c r="S156" s="3"/>
      <c r="T156" s="3"/>
      <c r="U156" s="3"/>
      <c r="V156" s="3"/>
      <c r="W156" s="44"/>
      <c r="X156" s="41"/>
      <c r="Y156" s="3"/>
      <c r="Z156" s="3"/>
    </row>
    <row r="157" spans="1:26" ht="15.75" hidden="1" customHeight="1" outlineLevel="1" x14ac:dyDescent="0.3">
      <c r="A157" s="3"/>
      <c r="B157" s="10" t="s">
        <v>242</v>
      </c>
      <c r="C157" s="62"/>
      <c r="D157" s="62"/>
      <c r="E157" s="12">
        <v>0</v>
      </c>
      <c r="F157" s="12">
        <v>0</v>
      </c>
      <c r="G157" s="67"/>
      <c r="H157" s="63" t="s">
        <v>36</v>
      </c>
      <c r="I157" s="63"/>
      <c r="J157" s="3"/>
      <c r="K157" s="3"/>
      <c r="L157" s="3"/>
      <c r="M157" s="3"/>
      <c r="N157" s="3"/>
      <c r="O157" s="3"/>
      <c r="P157" s="3"/>
      <c r="Q157" s="3"/>
      <c r="R157" s="3"/>
      <c r="S157" s="3"/>
      <c r="T157" s="3"/>
      <c r="U157" s="3"/>
      <c r="V157" s="3"/>
      <c r="W157" s="44"/>
      <c r="X157" s="41"/>
      <c r="Y157" s="3"/>
      <c r="Z157" s="3"/>
    </row>
    <row r="158" spans="1:26" ht="15.75" hidden="1" customHeight="1" outlineLevel="1" x14ac:dyDescent="0.3">
      <c r="A158" s="3"/>
      <c r="B158" s="10" t="s">
        <v>243</v>
      </c>
      <c r="C158" s="62"/>
      <c r="D158" s="62"/>
      <c r="E158" s="12">
        <v>0</v>
      </c>
      <c r="F158" s="12">
        <v>0</v>
      </c>
      <c r="G158" s="67"/>
      <c r="H158" s="63" t="s">
        <v>37</v>
      </c>
      <c r="I158" s="63"/>
      <c r="J158" s="3"/>
      <c r="K158" s="3"/>
      <c r="L158" s="3"/>
      <c r="M158" s="3"/>
      <c r="N158" s="3"/>
      <c r="O158" s="3"/>
      <c r="P158" s="3"/>
      <c r="Q158" s="3"/>
      <c r="R158" s="3"/>
      <c r="S158" s="3"/>
      <c r="T158" s="3"/>
      <c r="U158" s="3"/>
      <c r="V158" s="3"/>
      <c r="W158" s="44"/>
      <c r="X158" s="41"/>
      <c r="Y158" s="3"/>
      <c r="Z158" s="3"/>
    </row>
    <row r="159" spans="1:26" ht="15.75" hidden="1" customHeight="1" outlineLevel="1" x14ac:dyDescent="0.3">
      <c r="A159" s="3"/>
      <c r="B159" s="10" t="s">
        <v>244</v>
      </c>
      <c r="C159" s="62"/>
      <c r="D159" s="62"/>
      <c r="E159" s="12">
        <v>0</v>
      </c>
      <c r="F159" s="12">
        <v>0</v>
      </c>
      <c r="G159" s="131"/>
      <c r="H159" s="63" t="s">
        <v>36</v>
      </c>
      <c r="I159" s="63"/>
      <c r="J159" s="3"/>
      <c r="K159" s="3"/>
      <c r="L159" s="3"/>
      <c r="M159" s="3"/>
      <c r="N159" s="3"/>
      <c r="O159" s="3"/>
      <c r="P159" s="3"/>
      <c r="Q159" s="3"/>
      <c r="R159" s="3"/>
      <c r="S159" s="3"/>
      <c r="T159" s="3"/>
      <c r="U159" s="3"/>
      <c r="V159" s="3"/>
      <c r="W159" s="44"/>
      <c r="X159" s="41"/>
      <c r="Y159" s="3"/>
      <c r="Z159" s="3"/>
    </row>
    <row r="160" spans="1:26" ht="15.75" hidden="1" customHeight="1" outlineLevel="1" x14ac:dyDescent="0.3">
      <c r="A160" s="3"/>
      <c r="B160" s="75" t="s">
        <v>245</v>
      </c>
      <c r="C160" s="76" t="s">
        <v>43</v>
      </c>
      <c r="D160" s="76" t="s">
        <v>43</v>
      </c>
      <c r="E160" s="77">
        <f>SUM(E161:E164)</f>
        <v>0</v>
      </c>
      <c r="F160" s="77">
        <f>SUMIF(D161:D164,"OK",F161:F164)</f>
        <v>0</v>
      </c>
      <c r="G160" s="78" t="s">
        <v>43</v>
      </c>
      <c r="H160" s="79"/>
      <c r="I160" s="79"/>
      <c r="J160" s="3"/>
      <c r="K160" s="3"/>
      <c r="L160" s="3"/>
      <c r="M160" s="3"/>
      <c r="N160" s="3"/>
      <c r="O160" s="3"/>
      <c r="P160" s="3"/>
      <c r="Q160" s="3"/>
      <c r="R160" s="3"/>
      <c r="S160" s="3"/>
      <c r="T160" s="3"/>
      <c r="U160" s="3"/>
      <c r="V160" s="3"/>
      <c r="W160" s="44"/>
      <c r="X160" s="41"/>
      <c r="Y160" s="3"/>
      <c r="Z160" s="3"/>
    </row>
    <row r="161" spans="1:26" ht="15.75" hidden="1" customHeight="1" outlineLevel="1" x14ac:dyDescent="0.3">
      <c r="A161" s="3"/>
      <c r="B161" s="10" t="s">
        <v>241</v>
      </c>
      <c r="C161" s="62"/>
      <c r="D161" s="62"/>
      <c r="E161" s="12">
        <v>0</v>
      </c>
      <c r="F161" s="12">
        <v>0</v>
      </c>
      <c r="G161" s="69"/>
      <c r="H161" s="63" t="s">
        <v>37</v>
      </c>
      <c r="I161" s="63"/>
      <c r="J161" s="3"/>
      <c r="K161" s="3"/>
      <c r="L161" s="3"/>
      <c r="M161" s="3"/>
      <c r="N161" s="3"/>
      <c r="O161" s="3"/>
      <c r="P161" s="3"/>
      <c r="Q161" s="3"/>
      <c r="R161" s="3"/>
      <c r="S161" s="3"/>
      <c r="T161" s="3"/>
      <c r="U161" s="3"/>
      <c r="V161" s="3"/>
      <c r="W161" s="44"/>
      <c r="X161" s="41"/>
      <c r="Y161" s="3"/>
      <c r="Z161" s="3"/>
    </row>
    <row r="162" spans="1:26" ht="15.75" hidden="1" customHeight="1" outlineLevel="1" x14ac:dyDescent="0.3">
      <c r="A162" s="3"/>
      <c r="B162" s="10" t="s">
        <v>242</v>
      </c>
      <c r="C162" s="62"/>
      <c r="D162" s="62"/>
      <c r="E162" s="12">
        <v>0</v>
      </c>
      <c r="F162" s="12">
        <v>0</v>
      </c>
      <c r="G162" s="67"/>
      <c r="H162" s="63" t="s">
        <v>36</v>
      </c>
      <c r="I162" s="63"/>
      <c r="J162" s="3"/>
      <c r="K162" s="3"/>
      <c r="L162" s="3"/>
      <c r="M162" s="3"/>
      <c r="N162" s="3"/>
      <c r="O162" s="3"/>
      <c r="P162" s="3"/>
      <c r="Q162" s="3"/>
      <c r="R162" s="3"/>
      <c r="S162" s="3"/>
      <c r="T162" s="3"/>
      <c r="U162" s="3"/>
      <c r="V162" s="3"/>
      <c r="W162" s="44"/>
      <c r="X162" s="41"/>
      <c r="Y162" s="3"/>
      <c r="Z162" s="3"/>
    </row>
    <row r="163" spans="1:26" ht="15.75" hidden="1" customHeight="1" outlineLevel="1" x14ac:dyDescent="0.3">
      <c r="A163" s="3"/>
      <c r="B163" s="10" t="s">
        <v>243</v>
      </c>
      <c r="C163" s="62"/>
      <c r="D163" s="62"/>
      <c r="E163" s="12">
        <v>0</v>
      </c>
      <c r="F163" s="12">
        <v>0</v>
      </c>
      <c r="G163" s="67"/>
      <c r="H163" s="63" t="s">
        <v>37</v>
      </c>
      <c r="I163" s="63"/>
      <c r="J163" s="3"/>
      <c r="K163" s="3"/>
      <c r="L163" s="3"/>
      <c r="M163" s="3"/>
      <c r="N163" s="3"/>
      <c r="O163" s="3"/>
      <c r="P163" s="3"/>
      <c r="Q163" s="3"/>
      <c r="R163" s="3"/>
      <c r="S163" s="3"/>
      <c r="T163" s="3"/>
      <c r="U163" s="3"/>
      <c r="V163" s="3"/>
      <c r="W163" s="44"/>
      <c r="X163" s="41"/>
      <c r="Y163" s="3"/>
      <c r="Z163" s="3"/>
    </row>
    <row r="164" spans="1:26" ht="15.75" hidden="1" customHeight="1" outlineLevel="1" x14ac:dyDescent="0.3">
      <c r="A164" s="3"/>
      <c r="B164" s="10" t="s">
        <v>244</v>
      </c>
      <c r="C164" s="62"/>
      <c r="D164" s="62"/>
      <c r="E164" s="12">
        <v>0</v>
      </c>
      <c r="F164" s="12">
        <v>0</v>
      </c>
      <c r="G164" s="67"/>
      <c r="H164" s="63" t="s">
        <v>36</v>
      </c>
      <c r="I164" s="63"/>
      <c r="J164" s="3"/>
      <c r="K164" s="3"/>
      <c r="L164" s="3"/>
      <c r="M164" s="3"/>
      <c r="N164" s="3"/>
      <c r="O164" s="3"/>
      <c r="P164" s="3"/>
      <c r="Q164" s="3"/>
      <c r="R164" s="3"/>
      <c r="S164" s="3"/>
      <c r="T164" s="3"/>
      <c r="U164" s="3"/>
      <c r="V164" s="3"/>
      <c r="W164" s="44"/>
      <c r="X164" s="41"/>
      <c r="Y164" s="3"/>
      <c r="Z164" s="3"/>
    </row>
    <row r="165" spans="1:26" ht="15.75" hidden="1" customHeight="1" outlineLevel="1" x14ac:dyDescent="0.3">
      <c r="A165" s="3"/>
      <c r="B165" s="75" t="s">
        <v>246</v>
      </c>
      <c r="C165" s="76" t="s">
        <v>43</v>
      </c>
      <c r="D165" s="76" t="s">
        <v>43</v>
      </c>
      <c r="E165" s="77">
        <f>SUM(E166:E168)</f>
        <v>0</v>
      </c>
      <c r="F165" s="77">
        <f>SUMIF(D166:D168,"OK",F166:F168)</f>
        <v>0</v>
      </c>
      <c r="G165" s="78" t="s">
        <v>43</v>
      </c>
      <c r="H165" s="79"/>
      <c r="I165" s="79"/>
      <c r="J165" s="3"/>
      <c r="K165" s="3"/>
      <c r="L165" s="3"/>
      <c r="M165" s="3"/>
      <c r="N165" s="3"/>
      <c r="O165" s="3"/>
      <c r="P165" s="3"/>
      <c r="Q165" s="3"/>
      <c r="R165" s="3"/>
      <c r="S165" s="3"/>
      <c r="T165" s="3"/>
      <c r="U165" s="3"/>
      <c r="V165" s="3"/>
      <c r="W165" s="44"/>
      <c r="X165" s="41"/>
      <c r="Y165" s="3"/>
      <c r="Z165" s="3"/>
    </row>
    <row r="166" spans="1:26" ht="15.75" hidden="1" customHeight="1" outlineLevel="1" x14ac:dyDescent="0.3">
      <c r="A166" s="3"/>
      <c r="B166" s="10" t="s">
        <v>1577</v>
      </c>
      <c r="C166" s="80"/>
      <c r="D166" s="62"/>
      <c r="E166" s="12">
        <v>0</v>
      </c>
      <c r="F166" s="12">
        <v>0</v>
      </c>
      <c r="G166" s="69"/>
      <c r="H166" s="63" t="s">
        <v>37</v>
      </c>
      <c r="I166" s="63"/>
      <c r="J166" s="3"/>
      <c r="K166" s="3"/>
      <c r="L166" s="3"/>
      <c r="M166" s="3"/>
      <c r="N166" s="3"/>
      <c r="O166" s="3"/>
      <c r="P166" s="3"/>
      <c r="Q166" s="3"/>
      <c r="R166" s="3"/>
      <c r="S166" s="3"/>
      <c r="T166" s="3"/>
      <c r="U166" s="3"/>
      <c r="V166" s="3"/>
      <c r="W166" s="44"/>
      <c r="X166" s="41"/>
      <c r="Y166" s="3"/>
      <c r="Z166" s="3"/>
    </row>
    <row r="167" spans="1:26" ht="15.75" hidden="1" customHeight="1" outlineLevel="1" x14ac:dyDescent="0.3">
      <c r="A167" s="3"/>
      <c r="B167" s="10" t="s">
        <v>42</v>
      </c>
      <c r="C167" s="80"/>
      <c r="D167" s="62"/>
      <c r="E167" s="12">
        <v>0</v>
      </c>
      <c r="F167" s="12">
        <v>0</v>
      </c>
      <c r="G167" s="69"/>
      <c r="H167" s="63" t="s">
        <v>37</v>
      </c>
      <c r="I167" s="63"/>
      <c r="J167" s="3"/>
      <c r="K167" s="3"/>
      <c r="L167" s="3"/>
      <c r="M167" s="3"/>
      <c r="N167" s="3"/>
      <c r="O167" s="3"/>
      <c r="P167" s="3"/>
      <c r="Q167" s="3"/>
      <c r="R167" s="3"/>
      <c r="S167" s="3"/>
      <c r="T167" s="3"/>
      <c r="U167" s="3"/>
      <c r="V167" s="3"/>
      <c r="W167" s="44"/>
      <c r="X167" s="41"/>
      <c r="Y167" s="3"/>
      <c r="Z167" s="3"/>
    </row>
    <row r="168" spans="1:26" ht="15.75" hidden="1" customHeight="1" outlineLevel="1" x14ac:dyDescent="0.3">
      <c r="A168" s="3"/>
      <c r="B168" s="10" t="s">
        <v>42</v>
      </c>
      <c r="C168" s="62"/>
      <c r="D168" s="62"/>
      <c r="E168" s="12">
        <v>0</v>
      </c>
      <c r="F168" s="12">
        <v>0</v>
      </c>
      <c r="G168" s="69"/>
      <c r="H168" s="63" t="s">
        <v>38</v>
      </c>
      <c r="I168" s="63"/>
      <c r="J168" s="3"/>
      <c r="K168" s="3"/>
      <c r="L168" s="3"/>
      <c r="M168" s="3"/>
      <c r="N168" s="3"/>
      <c r="O168" s="3"/>
      <c r="P168" s="3"/>
      <c r="Q168" s="3"/>
      <c r="R168" s="3"/>
      <c r="S168" s="3"/>
      <c r="T168" s="3"/>
      <c r="U168" s="3"/>
      <c r="V168" s="3"/>
      <c r="W168" s="44"/>
      <c r="X168" s="41"/>
      <c r="Y168" s="3"/>
      <c r="Z168" s="3"/>
    </row>
    <row r="169" spans="1:26" ht="15.75" hidden="1" customHeight="1" outlineLevel="1" x14ac:dyDescent="0.3">
      <c r="A169" s="3"/>
      <c r="B169" s="75" t="s">
        <v>61</v>
      </c>
      <c r="C169" s="76" t="s">
        <v>43</v>
      </c>
      <c r="D169" s="76" t="s">
        <v>43</v>
      </c>
      <c r="E169" s="77">
        <f>SUM(E170:E183)</f>
        <v>0</v>
      </c>
      <c r="F169" s="77">
        <f>SUMIF(D170:D183,"OK",F170:F183)</f>
        <v>0</v>
      </c>
      <c r="G169" s="78" t="s">
        <v>43</v>
      </c>
      <c r="H169" s="79"/>
      <c r="I169" s="79"/>
      <c r="J169" s="3"/>
      <c r="K169" s="3"/>
      <c r="L169" s="3"/>
      <c r="M169" s="3"/>
      <c r="N169" s="3"/>
      <c r="O169" s="3"/>
      <c r="P169" s="3"/>
      <c r="Q169" s="3"/>
      <c r="R169" s="3"/>
      <c r="S169" s="3"/>
      <c r="T169" s="3"/>
      <c r="U169" s="3"/>
      <c r="V169" s="3"/>
      <c r="W169" s="44"/>
      <c r="X169" s="41"/>
      <c r="Y169" s="3"/>
      <c r="Z169" s="3"/>
    </row>
    <row r="170" spans="1:26" ht="15.75" hidden="1" customHeight="1" outlineLevel="1" x14ac:dyDescent="0.3">
      <c r="A170" s="3"/>
      <c r="B170" s="10" t="s">
        <v>1578</v>
      </c>
      <c r="C170" s="62"/>
      <c r="D170" s="62"/>
      <c r="E170" s="12">
        <v>0</v>
      </c>
      <c r="F170" s="12">
        <v>0</v>
      </c>
      <c r="G170" s="69"/>
      <c r="H170" s="63" t="s">
        <v>37</v>
      </c>
      <c r="I170" s="63"/>
      <c r="J170" s="3"/>
      <c r="K170" s="3"/>
      <c r="L170" s="3"/>
      <c r="M170" s="3"/>
      <c r="N170" s="3"/>
      <c r="O170" s="3"/>
      <c r="P170" s="3"/>
      <c r="Q170" s="3"/>
      <c r="R170" s="3"/>
      <c r="S170" s="3"/>
      <c r="T170" s="3"/>
      <c r="U170" s="3"/>
      <c r="V170" s="3"/>
      <c r="W170" s="44"/>
      <c r="X170" s="41"/>
      <c r="Y170" s="3"/>
      <c r="Z170" s="3"/>
    </row>
    <row r="171" spans="1:26" ht="15.75" hidden="1" customHeight="1" outlineLevel="1" x14ac:dyDescent="0.3">
      <c r="A171" s="3"/>
      <c r="B171" s="10" t="s">
        <v>1560</v>
      </c>
      <c r="C171" s="80"/>
      <c r="D171" s="62"/>
      <c r="E171" s="12">
        <v>0</v>
      </c>
      <c r="F171" s="12">
        <v>0</v>
      </c>
      <c r="G171" s="70"/>
      <c r="H171" s="63" t="s">
        <v>37</v>
      </c>
      <c r="I171" s="63"/>
      <c r="J171" s="3"/>
      <c r="K171" s="3"/>
      <c r="L171" s="3"/>
      <c r="M171" s="3"/>
      <c r="N171" s="3"/>
      <c r="O171" s="3"/>
      <c r="P171" s="3"/>
      <c r="Q171" s="3"/>
      <c r="R171" s="3"/>
      <c r="S171" s="3"/>
      <c r="T171" s="3"/>
      <c r="U171" s="3"/>
      <c r="V171" s="3"/>
      <c r="W171" s="44"/>
      <c r="X171" s="41"/>
      <c r="Y171" s="3"/>
      <c r="Z171" s="3"/>
    </row>
    <row r="172" spans="1:26" ht="15.75" hidden="1" customHeight="1" outlineLevel="1" x14ac:dyDescent="0.3">
      <c r="A172" s="3"/>
      <c r="B172" s="10" t="s">
        <v>1560</v>
      </c>
      <c r="C172" s="62"/>
      <c r="D172" s="62"/>
      <c r="E172" s="12">
        <v>0</v>
      </c>
      <c r="F172" s="12">
        <v>0</v>
      </c>
      <c r="G172" s="69"/>
      <c r="H172" s="63" t="s">
        <v>36</v>
      </c>
      <c r="I172" s="63"/>
      <c r="J172" s="3"/>
      <c r="K172" s="3"/>
      <c r="L172" s="3"/>
      <c r="M172" s="3"/>
      <c r="N172" s="3"/>
      <c r="O172" s="3"/>
      <c r="P172" s="3"/>
      <c r="Q172" s="3"/>
      <c r="R172" s="3"/>
      <c r="S172" s="3"/>
      <c r="T172" s="3"/>
      <c r="U172" s="3"/>
      <c r="V172" s="3"/>
      <c r="W172" s="44"/>
      <c r="X172" s="41"/>
      <c r="Y172" s="3"/>
      <c r="Z172" s="3"/>
    </row>
    <row r="173" spans="1:26" ht="15.75" hidden="1" customHeight="1" outlineLevel="1" x14ac:dyDescent="0.3">
      <c r="A173" s="3"/>
      <c r="B173" s="10" t="s">
        <v>1561</v>
      </c>
      <c r="C173" s="62"/>
      <c r="D173" s="62"/>
      <c r="E173" s="12">
        <v>0</v>
      </c>
      <c r="F173" s="12">
        <v>0</v>
      </c>
      <c r="G173" s="70"/>
      <c r="H173" s="63" t="s">
        <v>37</v>
      </c>
      <c r="I173" s="63"/>
      <c r="J173" s="3"/>
      <c r="K173" s="3"/>
      <c r="L173" s="3"/>
      <c r="M173" s="3"/>
      <c r="N173" s="3"/>
      <c r="O173" s="3"/>
      <c r="P173" s="3"/>
      <c r="Q173" s="3"/>
      <c r="R173" s="3"/>
      <c r="S173" s="3"/>
      <c r="T173" s="3"/>
      <c r="U173" s="3"/>
      <c r="V173" s="3"/>
      <c r="W173" s="44"/>
      <c r="X173" s="41"/>
      <c r="Y173" s="3"/>
      <c r="Z173" s="3"/>
    </row>
    <row r="174" spans="1:26" ht="15.75" hidden="1" customHeight="1" outlineLevel="1" x14ac:dyDescent="0.3">
      <c r="A174" s="3"/>
      <c r="B174" s="10" t="s">
        <v>1579</v>
      </c>
      <c r="C174" s="62"/>
      <c r="D174" s="62"/>
      <c r="E174" s="12">
        <v>0</v>
      </c>
      <c r="F174" s="12">
        <v>0</v>
      </c>
      <c r="G174" s="69"/>
      <c r="H174" s="63" t="s">
        <v>36</v>
      </c>
      <c r="I174" s="63"/>
      <c r="J174" s="3"/>
      <c r="K174" s="3"/>
      <c r="L174" s="3"/>
      <c r="M174" s="3"/>
      <c r="N174" s="3"/>
      <c r="O174" s="3"/>
      <c r="P174" s="3"/>
      <c r="Q174" s="3"/>
      <c r="R174" s="3"/>
      <c r="S174" s="3"/>
      <c r="T174" s="3"/>
      <c r="U174" s="3"/>
      <c r="V174" s="3"/>
      <c r="W174" s="44"/>
      <c r="X174" s="41"/>
      <c r="Y174" s="3"/>
      <c r="Z174" s="3"/>
    </row>
    <row r="175" spans="1:26" ht="15.75" hidden="1" customHeight="1" outlineLevel="1" x14ac:dyDescent="0.3">
      <c r="A175" s="3"/>
      <c r="B175" s="10" t="s">
        <v>61</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row>
    <row r="176" spans="1:26" ht="15.75" hidden="1" customHeight="1" outlineLevel="1" x14ac:dyDescent="0.3">
      <c r="A176" s="3"/>
      <c r="B176" s="10" t="s">
        <v>61</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5.75" hidden="1" customHeight="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5.75" hidden="1" customHeight="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row>
    <row r="179" spans="1:26" ht="15.75" hidden="1" customHeight="1" outlineLevel="1" x14ac:dyDescent="0.3">
      <c r="A179" s="3"/>
      <c r="B179" s="10" t="s">
        <v>61</v>
      </c>
      <c r="C179" s="62"/>
      <c r="D179" s="62"/>
      <c r="E179" s="12">
        <v>0</v>
      </c>
      <c r="F179" s="12">
        <v>0</v>
      </c>
      <c r="G179" s="69"/>
      <c r="H179" s="63"/>
      <c r="I179" s="63"/>
      <c r="J179" s="3"/>
      <c r="K179" s="3"/>
      <c r="L179" s="3"/>
      <c r="M179" s="3"/>
      <c r="N179" s="3"/>
      <c r="O179" s="3"/>
      <c r="P179" s="3"/>
      <c r="Q179" s="3"/>
      <c r="R179" s="3"/>
      <c r="S179" s="3"/>
      <c r="T179" s="3"/>
      <c r="U179" s="3"/>
      <c r="V179" s="3"/>
      <c r="W179" s="44"/>
      <c r="X179" s="41"/>
      <c r="Y179" s="3"/>
      <c r="Z179" s="3"/>
    </row>
    <row r="180" spans="1:26" ht="15.75" hidden="1" customHeight="1" outlineLevel="1" x14ac:dyDescent="0.3">
      <c r="A180" s="3"/>
      <c r="B180" s="10" t="s">
        <v>61</v>
      </c>
      <c r="C180" s="62"/>
      <c r="D180" s="62"/>
      <c r="E180" s="12">
        <v>0</v>
      </c>
      <c r="F180" s="12">
        <v>0</v>
      </c>
      <c r="G180" s="69"/>
      <c r="H180" s="63"/>
      <c r="I180" s="63"/>
      <c r="J180" s="3"/>
      <c r="K180" s="3"/>
      <c r="L180" s="3"/>
      <c r="M180" s="3"/>
      <c r="N180" s="3"/>
      <c r="O180" s="3"/>
      <c r="P180" s="3"/>
      <c r="Q180" s="3"/>
      <c r="R180" s="3"/>
      <c r="S180" s="3"/>
      <c r="T180" s="3"/>
      <c r="U180" s="3"/>
      <c r="V180" s="3"/>
      <c r="W180" s="44"/>
      <c r="X180" s="41"/>
      <c r="Y180" s="3"/>
      <c r="Z180" s="3"/>
    </row>
    <row r="181" spans="1:26" ht="15.75" hidden="1" customHeight="1" outlineLevel="1" x14ac:dyDescent="0.3">
      <c r="A181" s="3"/>
      <c r="B181" s="10" t="s">
        <v>61</v>
      </c>
      <c r="C181" s="62"/>
      <c r="D181" s="62"/>
      <c r="E181" s="12">
        <v>0</v>
      </c>
      <c r="F181" s="12">
        <v>0</v>
      </c>
      <c r="G181" s="69"/>
      <c r="H181" s="63"/>
      <c r="I181" s="63"/>
      <c r="J181" s="3"/>
      <c r="K181" s="3"/>
      <c r="L181" s="3"/>
      <c r="M181" s="3"/>
      <c r="N181" s="3"/>
      <c r="O181" s="3"/>
      <c r="P181" s="3"/>
      <c r="Q181" s="3"/>
      <c r="R181" s="3"/>
      <c r="S181" s="3"/>
      <c r="T181" s="3"/>
      <c r="U181" s="3"/>
      <c r="V181" s="3"/>
      <c r="W181" s="44"/>
      <c r="X181" s="41"/>
      <c r="Y181" s="3"/>
      <c r="Z181" s="3"/>
    </row>
    <row r="182" spans="1:26" ht="15.75" hidden="1" customHeight="1" outlineLevel="1" x14ac:dyDescent="0.3">
      <c r="A182" s="3"/>
      <c r="B182" s="10" t="s">
        <v>61</v>
      </c>
      <c r="C182" s="62"/>
      <c r="D182" s="62"/>
      <c r="E182" s="12">
        <v>0</v>
      </c>
      <c r="F182" s="12">
        <v>0</v>
      </c>
      <c r="G182" s="69"/>
      <c r="H182" s="63"/>
      <c r="I182" s="63"/>
      <c r="J182" s="3"/>
      <c r="K182" s="3"/>
      <c r="L182" s="3"/>
      <c r="M182" s="3"/>
      <c r="N182" s="3"/>
      <c r="O182" s="3"/>
      <c r="P182" s="3"/>
      <c r="Q182" s="3"/>
      <c r="R182" s="3"/>
      <c r="S182" s="3"/>
      <c r="T182" s="3"/>
      <c r="U182" s="3"/>
      <c r="V182" s="3"/>
      <c r="W182" s="44"/>
      <c r="X182" s="41"/>
      <c r="Y182" s="3"/>
      <c r="Z182" s="3"/>
    </row>
    <row r="183" spans="1:26" ht="15.75" hidden="1" customHeight="1" outlineLevel="1" x14ac:dyDescent="0.3">
      <c r="A183" s="3"/>
      <c r="B183" s="10" t="s">
        <v>61</v>
      </c>
      <c r="C183" s="62"/>
      <c r="D183" s="62"/>
      <c r="E183" s="12">
        <v>0</v>
      </c>
      <c r="F183" s="12">
        <v>0</v>
      </c>
      <c r="G183" s="69"/>
      <c r="H183" s="63"/>
      <c r="I183" s="63"/>
      <c r="J183" s="3"/>
      <c r="K183" s="3"/>
      <c r="L183" s="3"/>
      <c r="M183" s="3"/>
      <c r="N183" s="3"/>
      <c r="O183" s="3"/>
      <c r="P183" s="3"/>
      <c r="Q183" s="3"/>
      <c r="R183" s="3"/>
      <c r="S183" s="3"/>
      <c r="T183" s="3"/>
      <c r="U183" s="3"/>
      <c r="V183" s="3"/>
      <c r="W183" s="44"/>
      <c r="X183" s="41"/>
      <c r="Y183" s="3"/>
      <c r="Z183" s="3"/>
    </row>
    <row r="184" spans="1:26" ht="19.5" customHeight="1" collapsed="1" x14ac:dyDescent="0.3">
      <c r="A184" s="3"/>
      <c r="B184" s="73" t="s">
        <v>63</v>
      </c>
      <c r="C184" s="56" t="s">
        <v>43</v>
      </c>
      <c r="D184" s="56" t="s">
        <v>43</v>
      </c>
      <c r="E184" s="57">
        <f>SUM(E185:E187)</f>
        <v>0</v>
      </c>
      <c r="F184" s="57">
        <f>SUMIF(D185:D187,"OK",F185:F187)</f>
        <v>0</v>
      </c>
      <c r="G184" s="58" t="s">
        <v>43</v>
      </c>
      <c r="H184" s="74"/>
      <c r="I184" s="74"/>
      <c r="J184" s="3"/>
      <c r="K184" s="3"/>
      <c r="L184" s="3"/>
      <c r="M184" s="3"/>
      <c r="N184" s="3"/>
      <c r="O184" s="3"/>
      <c r="P184" s="3"/>
      <c r="Q184" s="3"/>
      <c r="R184" s="3"/>
      <c r="S184" s="3"/>
      <c r="T184" s="3"/>
      <c r="U184" s="3"/>
      <c r="V184" s="3"/>
      <c r="W184" s="44"/>
      <c r="X184" s="41"/>
      <c r="Y184" s="3"/>
      <c r="Z184" s="3"/>
    </row>
    <row r="185" spans="1:26" ht="15.75" hidden="1" customHeight="1" outlineLevel="1" x14ac:dyDescent="0.3">
      <c r="A185" s="3"/>
      <c r="B185" s="10" t="s">
        <v>1562</v>
      </c>
      <c r="C185" s="62"/>
      <c r="D185" s="62"/>
      <c r="E185" s="12">
        <v>0</v>
      </c>
      <c r="F185" s="12">
        <v>0</v>
      </c>
      <c r="G185" s="69"/>
      <c r="H185" s="63"/>
      <c r="I185" s="63"/>
      <c r="J185" s="3"/>
      <c r="K185" s="3"/>
      <c r="L185" s="3"/>
      <c r="M185" s="3"/>
      <c r="N185" s="3"/>
      <c r="O185" s="3"/>
      <c r="P185" s="3"/>
      <c r="Q185" s="3"/>
      <c r="R185" s="3"/>
      <c r="S185" s="3"/>
      <c r="T185" s="3"/>
      <c r="U185" s="3"/>
      <c r="V185" s="3"/>
      <c r="W185" s="44"/>
      <c r="X185" s="41"/>
      <c r="Y185" s="3"/>
      <c r="Z185" s="3"/>
    </row>
    <row r="186" spans="1:26" ht="15.75" hidden="1" customHeight="1" outlineLevel="1" x14ac:dyDescent="0.3">
      <c r="A186" s="3"/>
      <c r="B186" s="10" t="s">
        <v>1562</v>
      </c>
      <c r="C186" s="62"/>
      <c r="D186" s="62"/>
      <c r="E186" s="12">
        <v>0</v>
      </c>
      <c r="F186" s="12">
        <v>0</v>
      </c>
      <c r="G186" s="69"/>
      <c r="H186" s="63"/>
      <c r="I186" s="63"/>
      <c r="J186" s="3"/>
      <c r="K186" s="3"/>
      <c r="L186" s="3"/>
      <c r="M186" s="3"/>
      <c r="N186" s="3"/>
      <c r="O186" s="3"/>
      <c r="P186" s="3"/>
      <c r="Q186" s="3"/>
      <c r="R186" s="3"/>
      <c r="S186" s="3"/>
      <c r="T186" s="3"/>
      <c r="U186" s="3"/>
      <c r="V186" s="3"/>
      <c r="W186" s="44"/>
      <c r="X186" s="41"/>
      <c r="Y186" s="3"/>
      <c r="Z186" s="3"/>
    </row>
    <row r="187" spans="1:26" ht="15.75" hidden="1" customHeight="1" outlineLevel="1" x14ac:dyDescent="0.3">
      <c r="A187" s="3"/>
      <c r="B187" s="10" t="s">
        <v>63</v>
      </c>
      <c r="C187" s="62"/>
      <c r="D187" s="62"/>
      <c r="E187" s="12">
        <v>0</v>
      </c>
      <c r="F187" s="12">
        <v>0</v>
      </c>
      <c r="G187" s="67"/>
      <c r="H187" s="63"/>
      <c r="I187" s="63"/>
      <c r="J187" s="3"/>
      <c r="K187" s="3"/>
      <c r="L187" s="3"/>
      <c r="M187" s="3"/>
      <c r="N187" s="3"/>
      <c r="O187" s="3"/>
      <c r="P187" s="3"/>
      <c r="Q187" s="3"/>
      <c r="R187" s="3"/>
      <c r="S187" s="3"/>
      <c r="T187" s="3"/>
      <c r="U187" s="3"/>
      <c r="V187" s="3"/>
      <c r="W187" s="44"/>
      <c r="X187" s="41"/>
      <c r="Y187" s="3"/>
      <c r="Z187" s="3"/>
    </row>
    <row r="188" spans="1:26" ht="19.5" customHeight="1" collapsed="1" x14ac:dyDescent="0.3">
      <c r="A188" s="3"/>
      <c r="B188" s="73" t="s">
        <v>259</v>
      </c>
      <c r="C188" s="56" t="s">
        <v>43</v>
      </c>
      <c r="D188" s="56" t="s">
        <v>43</v>
      </c>
      <c r="E188" s="57">
        <f>SUM(E189:E195)</f>
        <v>0</v>
      </c>
      <c r="F188" s="57">
        <f>SUMIF(D189:D195,"OK",F189:F195)</f>
        <v>0</v>
      </c>
      <c r="G188" s="58" t="s">
        <v>43</v>
      </c>
      <c r="H188" s="74"/>
      <c r="I188" s="74"/>
      <c r="J188" s="3"/>
      <c r="K188" s="3"/>
      <c r="L188" s="3"/>
      <c r="M188" s="3"/>
      <c r="N188" s="3"/>
      <c r="O188" s="3"/>
      <c r="P188" s="3"/>
      <c r="Q188" s="3"/>
      <c r="R188" s="3"/>
      <c r="S188" s="3"/>
      <c r="T188" s="3"/>
      <c r="U188" s="3"/>
      <c r="V188" s="3"/>
      <c r="W188" s="44"/>
      <c r="X188" s="41"/>
      <c r="Y188" s="3"/>
      <c r="Z188" s="3"/>
    </row>
    <row r="189" spans="1:26" ht="15.75" hidden="1" customHeight="1" outlineLevel="1" x14ac:dyDescent="0.3">
      <c r="A189" s="3"/>
      <c r="B189" s="10" t="s">
        <v>260</v>
      </c>
      <c r="C189" s="62"/>
      <c r="D189" s="62"/>
      <c r="E189" s="12">
        <v>0</v>
      </c>
      <c r="F189" s="12">
        <v>0</v>
      </c>
      <c r="G189" s="67"/>
      <c r="H189" s="63" t="s">
        <v>37</v>
      </c>
      <c r="I189" s="63"/>
      <c r="J189" s="3"/>
      <c r="K189" s="3"/>
      <c r="L189" s="3"/>
      <c r="M189" s="3"/>
      <c r="N189" s="3"/>
      <c r="O189" s="3"/>
      <c r="P189" s="3"/>
      <c r="Q189" s="3"/>
      <c r="R189" s="3"/>
      <c r="S189" s="3"/>
      <c r="T189" s="3"/>
      <c r="U189" s="3"/>
      <c r="V189" s="3"/>
      <c r="W189" s="44"/>
      <c r="X189" s="41"/>
      <c r="Y189" s="3"/>
      <c r="Z189" s="3"/>
    </row>
    <row r="190" spans="1:26" ht="15.75" hidden="1" customHeight="1" outlineLevel="1" x14ac:dyDescent="0.3">
      <c r="A190" s="3"/>
      <c r="B190" s="10" t="s">
        <v>261</v>
      </c>
      <c r="C190" s="62"/>
      <c r="D190" s="62"/>
      <c r="E190" s="12">
        <v>0</v>
      </c>
      <c r="F190" s="12">
        <v>0</v>
      </c>
      <c r="G190" s="69"/>
      <c r="H190" s="63" t="s">
        <v>38</v>
      </c>
      <c r="I190" s="63"/>
      <c r="J190" s="3"/>
      <c r="K190" s="3"/>
      <c r="L190" s="3"/>
      <c r="M190" s="3"/>
      <c r="N190" s="3"/>
      <c r="O190" s="3"/>
      <c r="P190" s="3"/>
      <c r="Q190" s="3"/>
      <c r="R190" s="3"/>
      <c r="S190" s="3"/>
      <c r="T190" s="3"/>
      <c r="U190" s="3"/>
      <c r="V190" s="3"/>
      <c r="W190" s="44"/>
      <c r="X190" s="41"/>
      <c r="Y190" s="3"/>
      <c r="Z190" s="3"/>
    </row>
    <row r="191" spans="1:26" ht="15.75" hidden="1" customHeight="1" outlineLevel="1" x14ac:dyDescent="0.3">
      <c r="A191" s="3"/>
      <c r="B191" s="10" t="s">
        <v>263</v>
      </c>
      <c r="C191" s="62"/>
      <c r="D191" s="62"/>
      <c r="E191" s="12">
        <v>0</v>
      </c>
      <c r="F191" s="12">
        <v>0</v>
      </c>
      <c r="G191" s="67"/>
      <c r="H191" s="63" t="s">
        <v>234</v>
      </c>
      <c r="I191" s="63"/>
      <c r="J191" s="3"/>
      <c r="K191" s="3"/>
      <c r="L191" s="3"/>
      <c r="M191" s="3"/>
      <c r="N191" s="3"/>
      <c r="O191" s="3"/>
      <c r="P191" s="3"/>
      <c r="Q191" s="3"/>
      <c r="R191" s="3"/>
      <c r="S191" s="3"/>
      <c r="T191" s="3"/>
      <c r="U191" s="3"/>
      <c r="V191" s="3"/>
      <c r="W191" s="44"/>
      <c r="X191" s="41"/>
      <c r="Y191" s="3"/>
      <c r="Z191" s="3"/>
    </row>
    <row r="192" spans="1:26" ht="15.75" hidden="1" customHeight="1" outlineLevel="1" x14ac:dyDescent="0.3">
      <c r="A192" s="3"/>
      <c r="B192" s="10" t="s">
        <v>264</v>
      </c>
      <c r="C192" s="62"/>
      <c r="D192" s="62"/>
      <c r="E192" s="12">
        <v>0</v>
      </c>
      <c r="F192" s="12">
        <v>0</v>
      </c>
      <c r="G192" s="67"/>
      <c r="H192" s="63" t="s">
        <v>265</v>
      </c>
      <c r="I192" s="63"/>
      <c r="J192" s="3"/>
      <c r="K192" s="3"/>
      <c r="L192" s="3"/>
      <c r="M192" s="3"/>
      <c r="N192" s="3"/>
      <c r="O192" s="3"/>
      <c r="P192" s="3"/>
      <c r="Q192" s="3"/>
      <c r="R192" s="3"/>
      <c r="S192" s="3"/>
      <c r="T192" s="3"/>
      <c r="U192" s="3"/>
      <c r="V192" s="3"/>
      <c r="W192" s="44"/>
      <c r="X192" s="41"/>
      <c r="Y192" s="3"/>
      <c r="Z192" s="3"/>
    </row>
    <row r="193" spans="1:26" ht="15.75" hidden="1" customHeight="1" outlineLevel="1" x14ac:dyDescent="0.3">
      <c r="A193" s="3"/>
      <c r="B193" s="10" t="s">
        <v>551</v>
      </c>
      <c r="C193" s="62"/>
      <c r="D193" s="62"/>
      <c r="E193" s="12">
        <v>0</v>
      </c>
      <c r="F193" s="12">
        <v>0</v>
      </c>
      <c r="G193" s="67"/>
      <c r="H193" s="63" t="s">
        <v>39</v>
      </c>
      <c r="I193" s="63"/>
      <c r="J193" s="3"/>
      <c r="K193" s="3"/>
      <c r="L193" s="3"/>
      <c r="M193" s="3"/>
      <c r="N193" s="3"/>
      <c r="O193" s="3"/>
      <c r="P193" s="3"/>
      <c r="Q193" s="3"/>
      <c r="R193" s="3"/>
      <c r="S193" s="3"/>
      <c r="T193" s="3"/>
      <c r="U193" s="3"/>
      <c r="V193" s="3"/>
      <c r="W193" s="44"/>
      <c r="X193" s="41"/>
      <c r="Y193" s="3"/>
      <c r="Z193" s="3"/>
    </row>
    <row r="194" spans="1:26" ht="15.75" hidden="1" customHeight="1" outlineLevel="1" x14ac:dyDescent="0.3">
      <c r="A194" s="3"/>
      <c r="B194" s="10" t="s">
        <v>1524</v>
      </c>
      <c r="C194" s="62"/>
      <c r="D194" s="62"/>
      <c r="E194" s="12">
        <v>0</v>
      </c>
      <c r="F194" s="12">
        <v>0</v>
      </c>
      <c r="G194" s="67"/>
      <c r="H194" s="63" t="s">
        <v>38</v>
      </c>
      <c r="I194" s="63"/>
      <c r="J194" s="3"/>
      <c r="K194" s="3"/>
      <c r="L194" s="3"/>
      <c r="M194" s="3"/>
      <c r="N194" s="3"/>
      <c r="O194" s="3"/>
      <c r="P194" s="3"/>
      <c r="Q194" s="3"/>
      <c r="R194" s="3"/>
      <c r="S194" s="3"/>
      <c r="T194" s="3"/>
      <c r="U194" s="3"/>
      <c r="V194" s="3"/>
      <c r="W194" s="44"/>
      <c r="X194" s="41"/>
      <c r="Y194" s="3"/>
      <c r="Z194" s="3"/>
    </row>
    <row r="195" spans="1:26" ht="15.75" hidden="1" customHeight="1" outlineLevel="1" x14ac:dyDescent="0.3">
      <c r="A195" s="3"/>
      <c r="B195" s="10" t="s">
        <v>916</v>
      </c>
      <c r="C195" s="62"/>
      <c r="D195" s="62"/>
      <c r="E195" s="12">
        <v>0</v>
      </c>
      <c r="F195" s="12">
        <v>0</v>
      </c>
      <c r="G195" s="67"/>
      <c r="H195" s="63"/>
      <c r="I195" s="63"/>
      <c r="J195" s="3"/>
      <c r="K195" s="3"/>
      <c r="L195" s="3"/>
      <c r="M195" s="3"/>
      <c r="N195" s="3"/>
      <c r="O195" s="3"/>
      <c r="P195" s="3"/>
      <c r="Q195" s="3"/>
      <c r="R195" s="3"/>
      <c r="S195" s="3"/>
      <c r="T195" s="3"/>
      <c r="U195" s="3"/>
      <c r="V195" s="3"/>
      <c r="W195" s="44"/>
      <c r="X195" s="41"/>
      <c r="Y195" s="3"/>
      <c r="Z195" s="3"/>
    </row>
    <row r="196" spans="1:26" ht="15.75" customHeight="1" collapsed="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6" ht="15.75" customHeight="1" x14ac:dyDescent="0.3">
      <c r="A197" s="3"/>
      <c r="B197" s="3"/>
      <c r="C197" s="37"/>
      <c r="D197" s="37"/>
      <c r="E197" s="37"/>
      <c r="F197" s="111"/>
      <c r="G197" s="123"/>
      <c r="H197" s="37"/>
      <c r="I197" s="37"/>
      <c r="J197" s="37"/>
      <c r="K197" s="37"/>
      <c r="L197" s="37"/>
      <c r="M197" s="37"/>
      <c r="N197" s="37"/>
      <c r="O197" s="37"/>
      <c r="P197" s="37"/>
      <c r="Q197" s="37"/>
      <c r="R197" s="37"/>
      <c r="S197" s="37"/>
      <c r="T197" s="37"/>
      <c r="U197" s="37"/>
      <c r="V197" s="37"/>
      <c r="W197" s="44"/>
      <c r="X197" s="41"/>
    </row>
    <row r="198" spans="1:26"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6"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6"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6"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6"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6"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6"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6"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6"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6"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6"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c r="A391" s="3"/>
      <c r="B391" s="3"/>
      <c r="C391" s="37"/>
      <c r="D391" s="37"/>
      <c r="E391" s="37"/>
      <c r="F391" s="37"/>
      <c r="G391" s="123"/>
      <c r="H391" s="37"/>
      <c r="I391" s="37"/>
      <c r="J391" s="37"/>
      <c r="K391" s="37"/>
      <c r="L391" s="37"/>
      <c r="M391" s="37"/>
      <c r="N391" s="37"/>
      <c r="O391" s="37"/>
      <c r="P391" s="37"/>
      <c r="Q391" s="37"/>
      <c r="R391" s="37"/>
      <c r="S391" s="37"/>
      <c r="T391" s="37"/>
      <c r="U391" s="37"/>
      <c r="V391" s="37"/>
      <c r="W391" s="44"/>
      <c r="X391" s="41"/>
    </row>
    <row r="392" spans="1:24" ht="15.75" customHeight="1" x14ac:dyDescent="0.3">
      <c r="A392" s="3"/>
      <c r="B392" s="3"/>
      <c r="C392" s="37"/>
      <c r="D392" s="37"/>
      <c r="E392" s="37"/>
      <c r="F392" s="37"/>
      <c r="G392" s="123"/>
      <c r="H392" s="37"/>
      <c r="I392" s="37"/>
      <c r="J392" s="37"/>
      <c r="K392" s="37"/>
      <c r="L392" s="37"/>
      <c r="M392" s="37"/>
      <c r="N392" s="37"/>
      <c r="O392" s="37"/>
      <c r="P392" s="37"/>
      <c r="Q392" s="37"/>
      <c r="R392" s="37"/>
      <c r="S392" s="37"/>
      <c r="T392" s="37"/>
      <c r="U392" s="37"/>
      <c r="V392" s="37"/>
      <c r="W392" s="44"/>
      <c r="X392" s="41"/>
    </row>
    <row r="393" spans="1:24" ht="15.75" customHeight="1" x14ac:dyDescent="0.3">
      <c r="A393" s="3"/>
      <c r="B393" s="3"/>
      <c r="C393" s="37"/>
      <c r="D393" s="37"/>
      <c r="E393" s="37"/>
      <c r="F393" s="37"/>
      <c r="G393" s="123"/>
      <c r="H393" s="37"/>
      <c r="I393" s="37"/>
      <c r="J393" s="37"/>
      <c r="K393" s="37"/>
      <c r="L393" s="37"/>
      <c r="M393" s="37"/>
      <c r="N393" s="37"/>
      <c r="O393" s="37"/>
      <c r="P393" s="37"/>
      <c r="Q393" s="37"/>
      <c r="R393" s="37"/>
      <c r="S393" s="37"/>
      <c r="T393" s="37"/>
      <c r="U393" s="37"/>
      <c r="V393" s="37"/>
      <c r="W393" s="44"/>
      <c r="X393" s="41"/>
    </row>
    <row r="394" spans="1:24" ht="15.75" customHeight="1" x14ac:dyDescent="0.3">
      <c r="A394" s="3"/>
      <c r="B394" s="3"/>
      <c r="C394" s="37"/>
      <c r="D394" s="37"/>
      <c r="E394" s="37"/>
      <c r="F394" s="37"/>
      <c r="G394" s="123"/>
      <c r="H394" s="37"/>
      <c r="I394" s="37"/>
      <c r="J394" s="37"/>
      <c r="K394" s="37"/>
      <c r="L394" s="37"/>
      <c r="M394" s="37"/>
      <c r="N394" s="37"/>
      <c r="O394" s="37"/>
      <c r="P394" s="37"/>
      <c r="Q394" s="37"/>
      <c r="R394" s="37"/>
      <c r="S394" s="37"/>
      <c r="T394" s="37"/>
      <c r="U394" s="37"/>
      <c r="V394" s="37"/>
      <c r="W394" s="44"/>
      <c r="X394" s="41"/>
    </row>
    <row r="395" spans="1:24" ht="15.75" customHeight="1" x14ac:dyDescent="0.3">
      <c r="A395" s="3"/>
      <c r="B395" s="3"/>
      <c r="C395" s="37"/>
      <c r="D395" s="37"/>
      <c r="E395" s="37"/>
      <c r="F395" s="37"/>
      <c r="G395" s="123"/>
      <c r="H395" s="37"/>
      <c r="I395" s="37"/>
      <c r="J395" s="37"/>
      <c r="K395" s="37"/>
      <c r="L395" s="37"/>
      <c r="M395" s="37"/>
      <c r="N395" s="37"/>
      <c r="O395" s="37"/>
      <c r="P395" s="37"/>
      <c r="Q395" s="37"/>
      <c r="R395" s="37"/>
      <c r="S395" s="37"/>
      <c r="T395" s="37"/>
      <c r="U395" s="37"/>
      <c r="V395" s="37"/>
      <c r="W395" s="44"/>
      <c r="X395" s="41"/>
    </row>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5" xr:uid="{00000000-0009-0000-0000-00001A000000}"/>
  <mergeCells count="35">
    <mergeCell ref="G90:G91"/>
    <mergeCell ref="G93:G94"/>
    <mergeCell ref="G101:G102"/>
    <mergeCell ref="G50:G51"/>
    <mergeCell ref="G52:G53"/>
    <mergeCell ref="G55:G56"/>
    <mergeCell ref="G58:G59"/>
    <mergeCell ref="G62:G63"/>
    <mergeCell ref="G68:G69"/>
    <mergeCell ref="G73:G74"/>
    <mergeCell ref="G48:G49"/>
    <mergeCell ref="G79:G80"/>
    <mergeCell ref="G81:G82"/>
    <mergeCell ref="G83:G84"/>
    <mergeCell ref="G86:G87"/>
    <mergeCell ref="G33:G34"/>
    <mergeCell ref="G37:G38"/>
    <mergeCell ref="G39:G42"/>
    <mergeCell ref="G44:G45"/>
    <mergeCell ref="G46:G47"/>
    <mergeCell ref="G21:G22"/>
    <mergeCell ref="G23:G24"/>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5">
    <cfRule type="cellIs" dxfId="9" priority="1" operator="equal">
      <formula>"Diferente"</formula>
    </cfRule>
    <cfRule type="cellIs" dxfId="8" priority="2" operator="equal">
      <formula>"OK"</formula>
    </cfRule>
  </conditionalFormatting>
  <dataValidations count="1">
    <dataValidation type="list" allowBlank="1" showErrorMessage="1" sqref="D7:D125 D128:D129 D131:D133 D135:D138 D140:D145 D147:D153 D156:D159 D161:D164 D166:D168 D170:D183 D185:D187 D189:D195" xr:uid="{00000000-0002-0000-1A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A00-000000000000}">
          <x14:formula1>
            <xm:f>'Plano de contas DG'!$C$5:$C$38</xm:f>
          </x14:formula1>
          <xm:sqref>I6:I195</xm:sqref>
        </x14:dataValidation>
        <x14:dataValidation type="list" allowBlank="1" showErrorMessage="1" xr:uid="{00000000-0002-0000-1A00-000001000000}">
          <x14:formula1>
            <xm:f>Caixa!$B$5:$B$8</xm:f>
          </x14:formula1>
          <xm:sqref>H7:H125 H128:H129 H131:H133 H135:H138 H140:H145 H147:H153 H156:H159 H161:H164 H166:H168 H170:H183 H185:H187 H189:H195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25" customHeight="1" x14ac:dyDescent="0.3">
      <c r="A2" s="3"/>
      <c r="B2" s="238" t="s">
        <v>269</v>
      </c>
      <c r="C2" s="239"/>
      <c r="D2" s="218"/>
      <c r="E2" s="218"/>
      <c r="F2" s="219"/>
      <c r="G2" s="82"/>
      <c r="H2" s="82"/>
      <c r="I2" s="83"/>
      <c r="J2" s="82"/>
      <c r="K2" s="37"/>
      <c r="L2" s="37"/>
      <c r="M2" s="37"/>
      <c r="N2" s="37"/>
      <c r="O2" s="37"/>
      <c r="P2" s="37"/>
      <c r="Q2" s="37"/>
      <c r="R2" s="37"/>
      <c r="S2" s="37"/>
      <c r="T2" s="37"/>
      <c r="U2" s="3"/>
    </row>
    <row r="3" spans="1:26" ht="14.25" customHeight="1" x14ac:dyDescent="0.3">
      <c r="A3" s="3"/>
      <c r="B3" s="206"/>
      <c r="C3" s="240"/>
      <c r="D3" s="241"/>
      <c r="E3" s="241"/>
      <c r="F3" s="242"/>
      <c r="G3" s="82"/>
      <c r="H3" s="82"/>
      <c r="I3" s="83"/>
      <c r="J3" s="82"/>
      <c r="K3" s="37"/>
      <c r="L3" s="37"/>
      <c r="M3" s="37"/>
      <c r="N3" s="37"/>
      <c r="O3" s="37"/>
      <c r="P3" s="37"/>
      <c r="Q3" s="37"/>
      <c r="R3" s="37"/>
      <c r="S3" s="37"/>
      <c r="T3" s="37"/>
      <c r="U3" s="3"/>
    </row>
    <row r="4" spans="1:26" ht="14.25" customHeight="1" x14ac:dyDescent="0.3">
      <c r="A4" s="3"/>
      <c r="B4" s="227" t="s">
        <v>73</v>
      </c>
      <c r="C4" s="48" t="s">
        <v>43</v>
      </c>
      <c r="D4" s="48" t="s">
        <v>43</v>
      </c>
      <c r="E4" s="26">
        <f>SUBTOTAL(9,E16,E62,E37,E151,E176,E182,E89,E6,E33,E261,E324,E211,E221,E231,E241,E251,E115)</f>
        <v>0</v>
      </c>
      <c r="F4" s="26">
        <f>SUBTOTAL(9,F16,F62,F37,F141,F151,F176,F182,F89,F6,F33,F261,F324,F211,F221,F231,F241,F251,F115)</f>
        <v>0</v>
      </c>
      <c r="G4" s="48" t="s">
        <v>43</v>
      </c>
      <c r="H4" s="237" t="s">
        <v>1</v>
      </c>
      <c r="I4" s="243" t="s">
        <v>270</v>
      </c>
      <c r="J4" s="237" t="s">
        <v>74</v>
      </c>
      <c r="K4" s="37"/>
      <c r="L4" s="37"/>
      <c r="M4" s="37"/>
      <c r="N4" s="37"/>
      <c r="O4" s="37"/>
      <c r="P4" s="37"/>
      <c r="Q4" s="37"/>
      <c r="R4" s="37"/>
      <c r="S4" s="37"/>
      <c r="T4" s="37"/>
      <c r="U4" s="3"/>
      <c r="W4" s="3"/>
      <c r="X4" s="3"/>
      <c r="Y4" s="3"/>
      <c r="Z4" s="3"/>
    </row>
    <row r="5" spans="1:26" ht="14.25" customHeight="1"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0</v>
      </c>
      <c r="G6" s="87"/>
      <c r="H6" s="87"/>
      <c r="I6" s="88"/>
      <c r="J6" s="87"/>
      <c r="K6" s="37"/>
      <c r="L6" s="37"/>
      <c r="M6" s="37"/>
      <c r="N6" s="37"/>
      <c r="O6" s="37"/>
      <c r="P6" s="37"/>
      <c r="Q6" s="37"/>
      <c r="R6" s="37"/>
      <c r="S6" s="37"/>
      <c r="T6" s="37"/>
      <c r="U6" s="3"/>
      <c r="W6" s="3"/>
      <c r="X6" s="3"/>
      <c r="Y6" s="3"/>
      <c r="Z6" s="3"/>
    </row>
    <row r="7" spans="1:26" ht="14.4" outlineLevel="1" x14ac:dyDescent="0.3">
      <c r="A7" s="3"/>
      <c r="B7" s="10" t="s">
        <v>273</v>
      </c>
      <c r="C7" s="62"/>
      <c r="D7" s="62"/>
      <c r="E7" s="12">
        <v>0</v>
      </c>
      <c r="F7" s="12">
        <v>0</v>
      </c>
      <c r="G7" s="89"/>
      <c r="H7" s="65"/>
      <c r="I7" s="112"/>
      <c r="J7" s="65"/>
      <c r="K7" s="37"/>
      <c r="L7" s="37"/>
      <c r="M7" s="37"/>
      <c r="N7" s="37"/>
      <c r="O7" s="37"/>
      <c r="P7" s="37"/>
      <c r="Q7" s="37"/>
      <c r="R7" s="37"/>
      <c r="S7" s="37"/>
      <c r="T7" s="37"/>
      <c r="U7" s="3"/>
      <c r="W7" s="3"/>
      <c r="X7" s="3"/>
      <c r="Y7" s="3"/>
      <c r="Z7" s="3"/>
    </row>
    <row r="8" spans="1:26" ht="14.4" outlineLevel="1" x14ac:dyDescent="0.3">
      <c r="A8" s="3"/>
      <c r="B8" s="10" t="s">
        <v>273</v>
      </c>
      <c r="C8" s="62"/>
      <c r="D8" s="62"/>
      <c r="E8" s="12">
        <v>0</v>
      </c>
      <c r="F8" s="12">
        <v>0</v>
      </c>
      <c r="G8" s="89"/>
      <c r="H8" s="65"/>
      <c r="I8" s="157"/>
      <c r="J8" s="65"/>
      <c r="K8" s="37"/>
      <c r="L8" s="37"/>
      <c r="M8" s="37"/>
      <c r="N8" s="37"/>
      <c r="O8" s="37"/>
      <c r="P8" s="37"/>
      <c r="Q8" s="37"/>
      <c r="R8" s="37"/>
      <c r="S8" s="37"/>
      <c r="T8" s="37"/>
      <c r="U8" s="3"/>
      <c r="W8" s="3"/>
      <c r="X8" s="3"/>
      <c r="Y8" s="3"/>
      <c r="Z8" s="3"/>
    </row>
    <row r="9" spans="1:26" ht="14.4" outlineLevel="1" x14ac:dyDescent="0.3">
      <c r="A9" s="3"/>
      <c r="B9" s="10" t="s">
        <v>280</v>
      </c>
      <c r="C9" s="62"/>
      <c r="D9" s="62"/>
      <c r="E9" s="12">
        <v>0</v>
      </c>
      <c r="F9" s="12">
        <v>0</v>
      </c>
      <c r="G9" s="89"/>
      <c r="H9" s="65"/>
      <c r="I9" s="157"/>
      <c r="J9" s="65"/>
      <c r="K9" s="37"/>
      <c r="L9" s="37"/>
      <c r="M9" s="37"/>
      <c r="N9" s="37"/>
      <c r="O9" s="37"/>
      <c r="P9" s="37"/>
      <c r="Q9" s="37"/>
      <c r="R9" s="37"/>
      <c r="S9" s="37"/>
      <c r="T9" s="37"/>
      <c r="U9" s="3"/>
      <c r="W9" s="3"/>
      <c r="X9" s="3"/>
      <c r="Y9" s="3"/>
      <c r="Z9" s="3"/>
    </row>
    <row r="10" spans="1:26" ht="14.4" outlineLevel="1" x14ac:dyDescent="0.3">
      <c r="A10" s="3"/>
      <c r="B10" s="10" t="s">
        <v>281</v>
      </c>
      <c r="C10" s="62"/>
      <c r="D10" s="62"/>
      <c r="E10" s="12">
        <v>0</v>
      </c>
      <c r="F10" s="12">
        <v>0</v>
      </c>
      <c r="G10" s="89"/>
      <c r="H10" s="65"/>
      <c r="I10" s="112"/>
      <c r="J10" s="89"/>
      <c r="K10" s="37"/>
      <c r="L10" s="37"/>
      <c r="M10" s="37"/>
      <c r="N10" s="37"/>
      <c r="O10" s="37"/>
      <c r="P10" s="37"/>
      <c r="Q10" s="37"/>
      <c r="R10" s="37"/>
      <c r="S10" s="37"/>
      <c r="T10" s="37"/>
      <c r="U10" s="3"/>
      <c r="W10" s="3"/>
      <c r="X10" s="3"/>
      <c r="Y10" s="3"/>
      <c r="Z10" s="3"/>
    </row>
    <row r="11" spans="1:26" ht="14.4" outlineLevel="1" x14ac:dyDescent="0.3">
      <c r="A11" s="3"/>
      <c r="B11" s="10" t="s">
        <v>281</v>
      </c>
      <c r="C11" s="62"/>
      <c r="D11" s="62"/>
      <c r="E11" s="12">
        <v>0</v>
      </c>
      <c r="F11" s="12">
        <v>0</v>
      </c>
      <c r="G11" s="89"/>
      <c r="H11" s="65"/>
      <c r="I11" s="112"/>
      <c r="J11" s="89"/>
      <c r="K11" s="37"/>
      <c r="L11" s="37"/>
      <c r="M11" s="37"/>
      <c r="N11" s="37"/>
      <c r="O11" s="37"/>
      <c r="P11" s="37"/>
      <c r="Q11" s="37"/>
      <c r="R11" s="37"/>
      <c r="S11" s="37"/>
      <c r="T11" s="37"/>
      <c r="U11" s="3"/>
      <c r="W11" s="3"/>
      <c r="X11" s="3"/>
      <c r="Y11" s="3"/>
      <c r="Z11" s="3"/>
    </row>
    <row r="12" spans="1:26" ht="14.4" outlineLevel="1" x14ac:dyDescent="0.3">
      <c r="A12" s="3"/>
      <c r="B12" s="10" t="s">
        <v>281</v>
      </c>
      <c r="C12" s="62"/>
      <c r="D12" s="62"/>
      <c r="E12" s="12">
        <v>0</v>
      </c>
      <c r="F12" s="12">
        <v>0</v>
      </c>
      <c r="G12" s="89"/>
      <c r="H12" s="65"/>
      <c r="I12" s="112"/>
      <c r="J12" s="89"/>
      <c r="K12" s="37"/>
      <c r="L12" s="37"/>
      <c r="M12" s="37"/>
      <c r="N12" s="37"/>
      <c r="O12" s="37"/>
      <c r="P12" s="37"/>
      <c r="Q12" s="37"/>
      <c r="R12" s="37"/>
      <c r="S12" s="37"/>
      <c r="T12" s="37"/>
      <c r="U12" s="3"/>
      <c r="W12" s="3"/>
      <c r="X12" s="3"/>
      <c r="Y12" s="3"/>
      <c r="Z12" s="3"/>
    </row>
    <row r="13" spans="1:26" ht="14.4" outlineLevel="1" x14ac:dyDescent="0.3">
      <c r="A13" s="3"/>
      <c r="B13" s="10" t="s">
        <v>281</v>
      </c>
      <c r="C13" s="62"/>
      <c r="D13" s="62"/>
      <c r="E13" s="12">
        <v>0</v>
      </c>
      <c r="F13" s="12">
        <v>0</v>
      </c>
      <c r="G13" s="89"/>
      <c r="H13" s="65"/>
      <c r="I13" s="157"/>
      <c r="J13" s="89"/>
      <c r="K13" s="37"/>
      <c r="L13" s="37"/>
      <c r="M13" s="37"/>
      <c r="N13" s="37"/>
      <c r="O13" s="37"/>
      <c r="P13" s="37"/>
      <c r="Q13" s="37"/>
      <c r="R13" s="37"/>
      <c r="S13" s="37"/>
      <c r="T13" s="37"/>
      <c r="U13" s="3"/>
      <c r="W13" s="3"/>
      <c r="X13" s="3"/>
      <c r="Y13" s="3"/>
      <c r="Z13" s="3"/>
    </row>
    <row r="14" spans="1:26" ht="14.4" outlineLevel="1" x14ac:dyDescent="0.3">
      <c r="A14" s="3"/>
      <c r="B14" s="10" t="s">
        <v>559</v>
      </c>
      <c r="C14" s="62"/>
      <c r="D14" s="62"/>
      <c r="E14" s="12">
        <v>0</v>
      </c>
      <c r="F14" s="12">
        <v>0</v>
      </c>
      <c r="G14" s="89"/>
      <c r="H14" s="65"/>
      <c r="I14" s="112"/>
      <c r="J14" s="89"/>
      <c r="K14" s="37"/>
      <c r="L14" s="37"/>
      <c r="M14" s="37"/>
      <c r="N14" s="37"/>
      <c r="O14" s="37"/>
      <c r="P14" s="37"/>
      <c r="Q14" s="37"/>
      <c r="R14" s="37"/>
      <c r="S14" s="37"/>
      <c r="T14" s="37"/>
      <c r="U14" s="3"/>
      <c r="W14" s="3"/>
      <c r="X14" s="3"/>
      <c r="Y14" s="3"/>
      <c r="Z14" s="3"/>
    </row>
    <row r="15" spans="1:26" ht="14.4" outlineLevel="1" x14ac:dyDescent="0.3">
      <c r="A15" s="3"/>
      <c r="B15" s="10" t="s">
        <v>65</v>
      </c>
      <c r="C15" s="62"/>
      <c r="D15" s="62"/>
      <c r="E15" s="12">
        <v>0</v>
      </c>
      <c r="F15" s="12">
        <v>0</v>
      </c>
      <c r="G15" s="89"/>
      <c r="H15" s="65"/>
      <c r="I15" s="157"/>
      <c r="J15" s="65"/>
      <c r="K15" s="37"/>
      <c r="L15" s="37"/>
      <c r="M15" s="37"/>
      <c r="N15" s="37"/>
      <c r="O15" s="37"/>
      <c r="P15" s="37"/>
      <c r="Q15" s="37"/>
      <c r="R15" s="37"/>
      <c r="S15" s="37"/>
      <c r="T15" s="37"/>
      <c r="U15" s="3"/>
      <c r="W15" s="3"/>
      <c r="X15" s="3"/>
      <c r="Y15" s="3"/>
      <c r="Z15" s="3"/>
    </row>
    <row r="16" spans="1:26" ht="20.399999999999999" x14ac:dyDescent="0.3">
      <c r="A16" s="3"/>
      <c r="B16" s="84" t="s">
        <v>287</v>
      </c>
      <c r="C16" s="85" t="s">
        <v>43</v>
      </c>
      <c r="D16" s="85" t="s">
        <v>43</v>
      </c>
      <c r="E16" s="86">
        <f>SUM(E17:E32)</f>
        <v>0</v>
      </c>
      <c r="F16" s="86">
        <f>SUMIF(D17:D32,"OK",F17:F32)</f>
        <v>0</v>
      </c>
      <c r="G16" s="87"/>
      <c r="H16" s="87"/>
      <c r="I16" s="88"/>
      <c r="J16" s="87"/>
      <c r="K16" s="37"/>
      <c r="L16" s="37"/>
      <c r="M16" s="37"/>
      <c r="N16" s="37"/>
      <c r="O16" s="37"/>
      <c r="P16" s="37"/>
      <c r="Q16" s="37"/>
      <c r="R16" s="37"/>
      <c r="S16" s="37"/>
      <c r="T16" s="37"/>
      <c r="U16" s="3"/>
    </row>
    <row r="17" spans="1:22" ht="14.4" outlineLevel="1" x14ac:dyDescent="0.3">
      <c r="A17" s="3"/>
      <c r="B17" s="10" t="s">
        <v>561</v>
      </c>
      <c r="C17" s="62"/>
      <c r="D17" s="62"/>
      <c r="E17" s="12">
        <v>0</v>
      </c>
      <c r="F17" s="12">
        <v>0</v>
      </c>
      <c r="G17" s="249"/>
      <c r="H17" s="65"/>
      <c r="I17" s="246"/>
      <c r="J17" s="65"/>
      <c r="K17" s="37"/>
      <c r="L17" s="37"/>
      <c r="M17" s="37"/>
      <c r="N17" s="37"/>
      <c r="O17" s="37"/>
      <c r="P17" s="37"/>
      <c r="Q17" s="37"/>
      <c r="R17" s="37"/>
      <c r="S17" s="37"/>
      <c r="T17" s="37"/>
      <c r="U17" s="3"/>
    </row>
    <row r="18" spans="1:22" ht="14.4" outlineLevel="1" x14ac:dyDescent="0.3">
      <c r="A18" s="3"/>
      <c r="B18" s="10" t="s">
        <v>563</v>
      </c>
      <c r="C18" s="62"/>
      <c r="D18" s="62"/>
      <c r="E18" s="12">
        <v>0</v>
      </c>
      <c r="F18" s="12">
        <v>0</v>
      </c>
      <c r="G18" s="215"/>
      <c r="H18" s="65"/>
      <c r="I18" s="215"/>
      <c r="J18" s="65"/>
      <c r="K18" s="37"/>
      <c r="L18" s="37"/>
      <c r="M18" s="37"/>
      <c r="N18" s="37"/>
      <c r="O18" s="37"/>
      <c r="P18" s="37"/>
      <c r="Q18" s="37"/>
      <c r="R18" s="37"/>
      <c r="S18" s="37"/>
      <c r="T18" s="37"/>
      <c r="U18" s="3"/>
    </row>
    <row r="19" spans="1:22" ht="14.4" outlineLevel="1" x14ac:dyDescent="0.3">
      <c r="A19" s="3"/>
      <c r="B19" s="10" t="s">
        <v>564</v>
      </c>
      <c r="C19" s="62"/>
      <c r="D19" s="62"/>
      <c r="E19" s="12">
        <v>0</v>
      </c>
      <c r="F19" s="12">
        <v>0</v>
      </c>
      <c r="G19" s="215"/>
      <c r="H19" s="65"/>
      <c r="I19" s="215"/>
      <c r="J19" s="65"/>
      <c r="K19" s="37"/>
      <c r="L19" s="37"/>
      <c r="M19" s="37"/>
      <c r="N19" s="37"/>
      <c r="O19" s="37"/>
      <c r="P19" s="37"/>
      <c r="Q19" s="37"/>
      <c r="R19" s="37"/>
      <c r="S19" s="37"/>
      <c r="T19" s="37"/>
      <c r="U19" s="3"/>
    </row>
    <row r="20" spans="1:22" ht="14.4" outlineLevel="1" x14ac:dyDescent="0.3">
      <c r="A20" s="3"/>
      <c r="B20" s="10" t="s">
        <v>565</v>
      </c>
      <c r="C20" s="62"/>
      <c r="D20" s="62"/>
      <c r="E20" s="12">
        <v>0</v>
      </c>
      <c r="F20" s="12">
        <v>0</v>
      </c>
      <c r="G20" s="216"/>
      <c r="H20" s="65"/>
      <c r="I20" s="216"/>
      <c r="J20" s="65"/>
      <c r="K20" s="37"/>
      <c r="L20" s="37"/>
      <c r="M20" s="37"/>
      <c r="N20" s="37"/>
      <c r="O20" s="37"/>
      <c r="P20" s="37"/>
      <c r="Q20" s="37"/>
      <c r="R20" s="37"/>
      <c r="S20" s="37"/>
      <c r="T20" s="37"/>
      <c r="U20" s="3"/>
    </row>
    <row r="21" spans="1:22" ht="15.75" customHeight="1" outlineLevel="1" x14ac:dyDescent="0.3">
      <c r="A21" s="3"/>
      <c r="B21" s="10" t="s">
        <v>567</v>
      </c>
      <c r="C21" s="62"/>
      <c r="D21" s="62"/>
      <c r="E21" s="12">
        <v>0</v>
      </c>
      <c r="F21" s="12">
        <v>0</v>
      </c>
      <c r="G21" s="244"/>
      <c r="H21" s="65"/>
      <c r="I21" s="246"/>
      <c r="J21" s="65"/>
      <c r="K21" s="37"/>
      <c r="L21" s="37"/>
      <c r="M21" s="37"/>
      <c r="N21" s="37"/>
      <c r="O21" s="37"/>
      <c r="P21" s="37"/>
      <c r="Q21" s="37"/>
      <c r="R21" s="37"/>
      <c r="S21" s="37"/>
      <c r="T21" s="37"/>
      <c r="U21" s="3"/>
      <c r="V21" s="18"/>
    </row>
    <row r="22" spans="1:22" ht="15.75" customHeight="1" outlineLevel="1" x14ac:dyDescent="0.3">
      <c r="A22" s="3"/>
      <c r="B22" s="10" t="s">
        <v>570</v>
      </c>
      <c r="C22" s="62"/>
      <c r="D22" s="62"/>
      <c r="E22" s="12">
        <v>0</v>
      </c>
      <c r="F22" s="12">
        <v>0</v>
      </c>
      <c r="G22" s="215"/>
      <c r="H22" s="65"/>
      <c r="I22" s="215"/>
      <c r="J22" s="65"/>
      <c r="K22" s="37"/>
      <c r="L22" s="37"/>
      <c r="M22" s="37"/>
      <c r="N22" s="37"/>
      <c r="O22" s="37"/>
      <c r="P22" s="37"/>
      <c r="Q22" s="37"/>
      <c r="R22" s="37"/>
      <c r="S22" s="37"/>
      <c r="T22" s="37"/>
      <c r="U22" s="3"/>
      <c r="V22" s="18"/>
    </row>
    <row r="23" spans="1:22" ht="15.75" customHeight="1" outlineLevel="1" x14ac:dyDescent="0.3">
      <c r="A23" s="3"/>
      <c r="B23" s="10" t="s">
        <v>571</v>
      </c>
      <c r="C23" s="62"/>
      <c r="D23" s="62"/>
      <c r="E23" s="12">
        <v>0</v>
      </c>
      <c r="F23" s="12">
        <v>0</v>
      </c>
      <c r="G23" s="215"/>
      <c r="H23" s="65"/>
      <c r="I23" s="215"/>
      <c r="J23" s="65"/>
      <c r="K23" s="37"/>
      <c r="L23" s="37"/>
      <c r="M23" s="37"/>
      <c r="N23" s="37"/>
      <c r="O23" s="37"/>
      <c r="P23" s="37"/>
      <c r="Q23" s="37"/>
      <c r="R23" s="37"/>
      <c r="S23" s="37"/>
      <c r="T23" s="37"/>
      <c r="U23" s="3"/>
      <c r="V23" s="18"/>
    </row>
    <row r="24" spans="1:22" ht="15.75" customHeight="1" outlineLevel="1" x14ac:dyDescent="0.3">
      <c r="A24" s="3"/>
      <c r="B24" s="10" t="s">
        <v>572</v>
      </c>
      <c r="C24" s="62"/>
      <c r="D24" s="62"/>
      <c r="E24" s="12">
        <v>0</v>
      </c>
      <c r="F24" s="12">
        <v>0</v>
      </c>
      <c r="G24" s="215"/>
      <c r="H24" s="65"/>
      <c r="I24" s="215"/>
      <c r="J24" s="65"/>
      <c r="K24" s="37"/>
      <c r="L24" s="37"/>
      <c r="M24" s="37"/>
      <c r="N24" s="37"/>
      <c r="O24" s="37"/>
      <c r="P24" s="37"/>
      <c r="Q24" s="37"/>
      <c r="R24" s="37"/>
      <c r="S24" s="37"/>
      <c r="T24" s="37"/>
      <c r="U24" s="3"/>
      <c r="V24" s="18"/>
    </row>
    <row r="25" spans="1:22" ht="15.75" customHeight="1" outlineLevel="1" x14ac:dyDescent="0.3">
      <c r="A25" s="3"/>
      <c r="B25" s="10" t="s">
        <v>573</v>
      </c>
      <c r="C25" s="62"/>
      <c r="D25" s="62"/>
      <c r="E25" s="12">
        <v>0</v>
      </c>
      <c r="F25" s="12">
        <v>0</v>
      </c>
      <c r="G25" s="215"/>
      <c r="H25" s="65"/>
      <c r="I25" s="215"/>
      <c r="J25" s="65"/>
      <c r="K25" s="37"/>
      <c r="L25" s="37"/>
      <c r="M25" s="37"/>
      <c r="N25" s="37"/>
      <c r="O25" s="37"/>
      <c r="P25" s="37"/>
      <c r="Q25" s="37"/>
      <c r="R25" s="37"/>
      <c r="S25" s="37"/>
      <c r="T25" s="37"/>
      <c r="U25" s="3"/>
      <c r="V25" s="18"/>
    </row>
    <row r="26" spans="1:22" ht="15.75" customHeight="1" outlineLevel="1" x14ac:dyDescent="0.3">
      <c r="A26" s="3"/>
      <c r="B26" s="10" t="s">
        <v>574</v>
      </c>
      <c r="C26" s="62"/>
      <c r="D26" s="62"/>
      <c r="E26" s="12">
        <v>0</v>
      </c>
      <c r="F26" s="12">
        <v>0</v>
      </c>
      <c r="G26" s="215"/>
      <c r="H26" s="65"/>
      <c r="I26" s="215"/>
      <c r="J26" s="65"/>
      <c r="K26" s="37"/>
      <c r="L26" s="37"/>
      <c r="M26" s="37"/>
      <c r="N26" s="37"/>
      <c r="O26" s="37"/>
      <c r="P26" s="37"/>
      <c r="Q26" s="37"/>
      <c r="R26" s="37"/>
      <c r="S26" s="37"/>
      <c r="T26" s="37"/>
      <c r="U26" s="3"/>
      <c r="V26" s="18"/>
    </row>
    <row r="27" spans="1:22" ht="15.75" customHeight="1" outlineLevel="1" x14ac:dyDescent="0.3">
      <c r="A27" s="3"/>
      <c r="B27" s="10" t="s">
        <v>1563</v>
      </c>
      <c r="C27" s="62"/>
      <c r="D27" s="62"/>
      <c r="E27" s="12">
        <v>0</v>
      </c>
      <c r="F27" s="12">
        <v>0</v>
      </c>
      <c r="G27" s="216"/>
      <c r="H27" s="65"/>
      <c r="I27" s="216"/>
      <c r="J27" s="65"/>
      <c r="K27" s="37"/>
      <c r="L27" s="37"/>
      <c r="M27" s="37"/>
      <c r="N27" s="37"/>
      <c r="O27" s="37"/>
      <c r="P27" s="37"/>
      <c r="Q27" s="37"/>
      <c r="R27" s="37"/>
      <c r="S27" s="37"/>
      <c r="T27" s="37"/>
      <c r="U27" s="3"/>
      <c r="V27" s="18"/>
    </row>
    <row r="28" spans="1:22" ht="15.75" customHeight="1" outlineLevel="1" x14ac:dyDescent="0.3">
      <c r="A28" s="3"/>
      <c r="B28" s="10" t="s">
        <v>292</v>
      </c>
      <c r="C28" s="62"/>
      <c r="D28" s="62"/>
      <c r="E28" s="12">
        <v>0</v>
      </c>
      <c r="F28" s="12">
        <v>0</v>
      </c>
      <c r="G28" s="65"/>
      <c r="H28" s="65"/>
      <c r="I28" s="112"/>
      <c r="J28" s="65"/>
      <c r="K28" s="37"/>
      <c r="L28" s="37"/>
      <c r="M28" s="37"/>
      <c r="N28" s="37"/>
      <c r="O28" s="37"/>
      <c r="P28" s="37"/>
      <c r="Q28" s="37"/>
      <c r="R28" s="37"/>
      <c r="S28" s="37"/>
      <c r="T28" s="37"/>
      <c r="U28" s="3"/>
      <c r="V28" s="18"/>
    </row>
    <row r="29" spans="1:22" ht="15.75" customHeight="1" outlineLevel="1" x14ac:dyDescent="0.3">
      <c r="A29" s="3"/>
      <c r="B29" s="10" t="s">
        <v>294</v>
      </c>
      <c r="C29" s="62"/>
      <c r="D29" s="62"/>
      <c r="E29" s="12"/>
      <c r="F29" s="12">
        <v>0</v>
      </c>
      <c r="G29" s="89"/>
      <c r="H29" s="65"/>
      <c r="I29" s="112"/>
      <c r="J29" s="65"/>
      <c r="K29" s="37"/>
      <c r="L29" s="37"/>
      <c r="M29" s="37"/>
      <c r="N29" s="37"/>
      <c r="O29" s="37"/>
      <c r="P29" s="37"/>
      <c r="Q29" s="37"/>
      <c r="R29" s="37"/>
      <c r="S29" s="37"/>
      <c r="T29" s="37"/>
      <c r="U29" s="3"/>
    </row>
    <row r="30" spans="1:22" ht="15.75" customHeight="1" outlineLevel="1" x14ac:dyDescent="0.3">
      <c r="A30" s="3"/>
      <c r="B30" s="10" t="s">
        <v>579</v>
      </c>
      <c r="C30" s="62"/>
      <c r="D30" s="62"/>
      <c r="E30" s="12">
        <v>0</v>
      </c>
      <c r="F30" s="12">
        <v>0</v>
      </c>
      <c r="G30" s="65"/>
      <c r="H30" s="65"/>
      <c r="I30" s="157"/>
      <c r="J30" s="65"/>
      <c r="K30" s="37"/>
      <c r="L30" s="37"/>
      <c r="M30" s="37"/>
      <c r="N30" s="37"/>
      <c r="O30" s="37"/>
      <c r="P30" s="37"/>
      <c r="Q30" s="37"/>
      <c r="R30" s="37"/>
      <c r="S30" s="37"/>
      <c r="T30" s="37"/>
      <c r="U30" s="3"/>
    </row>
    <row r="31" spans="1:22" ht="15.75" customHeight="1" outlineLevel="1" x14ac:dyDescent="0.3">
      <c r="A31" s="3"/>
      <c r="B31" s="10" t="s">
        <v>582</v>
      </c>
      <c r="C31" s="62"/>
      <c r="D31" s="62"/>
      <c r="E31" s="12">
        <v>0</v>
      </c>
      <c r="F31" s="12">
        <v>0</v>
      </c>
      <c r="G31" s="89"/>
      <c r="H31" s="65"/>
      <c r="I31" s="157"/>
      <c r="J31" s="65"/>
      <c r="K31" s="37"/>
      <c r="L31" s="37"/>
      <c r="M31" s="37"/>
      <c r="N31" s="37"/>
      <c r="O31" s="37"/>
      <c r="P31" s="37"/>
      <c r="Q31" s="37"/>
      <c r="R31" s="37"/>
      <c r="S31" s="37"/>
      <c r="T31" s="37"/>
      <c r="U31" s="3"/>
    </row>
    <row r="32" spans="1:22" ht="15.75" customHeight="1" outlineLevel="1" x14ac:dyDescent="0.3">
      <c r="A32" s="3"/>
      <c r="B32" s="10" t="s">
        <v>582</v>
      </c>
      <c r="C32" s="62"/>
      <c r="D32" s="62"/>
      <c r="E32" s="12">
        <v>0</v>
      </c>
      <c r="F32" s="12">
        <v>0</v>
      </c>
      <c r="G32" s="65"/>
      <c r="H32" s="65"/>
      <c r="I32" s="89"/>
      <c r="J32" s="65"/>
      <c r="K32" s="37"/>
      <c r="L32" s="37"/>
      <c r="M32" s="37"/>
      <c r="N32" s="37"/>
      <c r="O32" s="37"/>
      <c r="P32" s="37"/>
      <c r="Q32" s="37"/>
      <c r="R32" s="37"/>
      <c r="S32" s="37"/>
      <c r="T32" s="37"/>
      <c r="U32" s="3"/>
    </row>
    <row r="33" spans="1:26" ht="15.75" customHeight="1" x14ac:dyDescent="0.3">
      <c r="A33" s="3"/>
      <c r="B33" s="84" t="s">
        <v>300</v>
      </c>
      <c r="C33" s="85" t="s">
        <v>43</v>
      </c>
      <c r="D33" s="85" t="s">
        <v>43</v>
      </c>
      <c r="E33" s="86">
        <f>SUM(E34:E36)</f>
        <v>0</v>
      </c>
      <c r="F33" s="86">
        <f>SUMIF(D34:D36,"OK",F34:F36)</f>
        <v>0</v>
      </c>
      <c r="G33" s="87"/>
      <c r="H33" s="87"/>
      <c r="I33" s="88"/>
      <c r="J33" s="87"/>
      <c r="K33" s="37"/>
      <c r="L33" s="37"/>
      <c r="M33" s="37"/>
      <c r="N33" s="37"/>
      <c r="O33" s="37"/>
      <c r="P33" s="37"/>
      <c r="Q33" s="37"/>
      <c r="R33" s="37"/>
      <c r="S33" s="37"/>
      <c r="T33" s="37"/>
      <c r="U33" s="3"/>
      <c r="W33" s="3"/>
      <c r="X33" s="3"/>
      <c r="Y33" s="3"/>
      <c r="Z33" s="3"/>
    </row>
    <row r="34" spans="1:26" ht="15.75" customHeight="1" outlineLevel="1" x14ac:dyDescent="0.3">
      <c r="A34" s="3"/>
      <c r="B34" s="10" t="s">
        <v>583</v>
      </c>
      <c r="C34" s="62"/>
      <c r="D34" s="62"/>
      <c r="E34" s="12">
        <v>0</v>
      </c>
      <c r="F34" s="12">
        <v>0</v>
      </c>
      <c r="G34" s="69"/>
      <c r="H34" s="65"/>
      <c r="I34" s="112"/>
      <c r="J34" s="65"/>
      <c r="K34" s="37"/>
      <c r="L34" s="37"/>
      <c r="M34" s="37"/>
      <c r="N34" s="37"/>
      <c r="O34" s="37"/>
      <c r="P34" s="37"/>
      <c r="Q34" s="37"/>
      <c r="R34" s="37"/>
      <c r="S34" s="37"/>
      <c r="T34" s="37"/>
      <c r="U34" s="3"/>
      <c r="W34" s="3"/>
      <c r="X34" s="3"/>
      <c r="Y34" s="3"/>
      <c r="Z34" s="3"/>
    </row>
    <row r="35" spans="1:26" ht="15.75" customHeight="1" outlineLevel="1" x14ac:dyDescent="0.3">
      <c r="A35" s="3"/>
      <c r="B35" s="10" t="s">
        <v>1527</v>
      </c>
      <c r="C35" s="62"/>
      <c r="D35" s="62"/>
      <c r="E35" s="12">
        <v>0</v>
      </c>
      <c r="F35" s="12">
        <v>0</v>
      </c>
      <c r="G35" s="67"/>
      <c r="H35" s="65"/>
      <c r="I35" s="157"/>
      <c r="J35" s="65"/>
      <c r="K35" s="37"/>
      <c r="L35" s="37"/>
      <c r="M35" s="37"/>
      <c r="N35" s="37"/>
      <c r="O35" s="37"/>
      <c r="P35" s="37"/>
      <c r="Q35" s="37"/>
      <c r="R35" s="37"/>
      <c r="S35" s="37"/>
      <c r="T35" s="37"/>
      <c r="U35" s="3"/>
      <c r="W35" s="3"/>
      <c r="X35" s="3"/>
      <c r="Y35" s="3"/>
      <c r="Z35" s="3"/>
    </row>
    <row r="36" spans="1:26" ht="15.75" customHeight="1" outlineLevel="1" x14ac:dyDescent="0.3">
      <c r="A36" s="3"/>
      <c r="B36" s="10" t="s">
        <v>1527</v>
      </c>
      <c r="C36" s="62"/>
      <c r="D36" s="62"/>
      <c r="E36" s="12">
        <v>0</v>
      </c>
      <c r="F36" s="12">
        <v>0</v>
      </c>
      <c r="G36" s="65"/>
      <c r="H36" s="65"/>
      <c r="I36" s="157"/>
      <c r="J36" s="65"/>
      <c r="K36" s="37"/>
      <c r="L36" s="37"/>
      <c r="M36" s="37"/>
      <c r="N36" s="37"/>
      <c r="O36" s="37"/>
      <c r="P36" s="37"/>
      <c r="Q36" s="37"/>
      <c r="R36" s="37"/>
      <c r="S36" s="37"/>
      <c r="T36" s="37"/>
      <c r="U36" s="3"/>
      <c r="W36" s="3"/>
      <c r="X36" s="3"/>
      <c r="Y36" s="3"/>
      <c r="Z36" s="3"/>
    </row>
    <row r="37" spans="1:26" ht="15.75" customHeight="1" x14ac:dyDescent="0.3">
      <c r="A37" s="3"/>
      <c r="B37" s="84" t="s">
        <v>306</v>
      </c>
      <c r="C37" s="85" t="s">
        <v>43</v>
      </c>
      <c r="D37" s="85" t="s">
        <v>43</v>
      </c>
      <c r="E37" s="86">
        <f>SUM(E38:E61)</f>
        <v>0</v>
      </c>
      <c r="F37" s="86">
        <f>SUMIF(D38:D61,"OK",F38:F61)</f>
        <v>0</v>
      </c>
      <c r="G37" s="87"/>
      <c r="H37" s="87"/>
      <c r="I37" s="88"/>
      <c r="J37" s="87"/>
      <c r="K37" s="37"/>
      <c r="L37" s="37"/>
      <c r="M37" s="37"/>
      <c r="N37" s="37"/>
      <c r="O37" s="37"/>
      <c r="P37" s="37"/>
      <c r="Q37" s="37"/>
      <c r="R37" s="37"/>
      <c r="S37" s="37"/>
      <c r="T37" s="37"/>
      <c r="U37" s="3"/>
      <c r="W37" s="3"/>
      <c r="X37" s="3"/>
      <c r="Y37" s="3"/>
      <c r="Z37" s="3"/>
    </row>
    <row r="38" spans="1:26" ht="15.75" customHeight="1" outlineLevel="1" x14ac:dyDescent="0.3">
      <c r="A38" s="3"/>
      <c r="B38" s="10" t="s">
        <v>307</v>
      </c>
      <c r="C38" s="62"/>
      <c r="D38" s="62"/>
      <c r="E38" s="12">
        <v>0</v>
      </c>
      <c r="F38" s="12">
        <v>0</v>
      </c>
      <c r="G38" s="65"/>
      <c r="H38" s="65"/>
      <c r="I38" s="112"/>
      <c r="J38" s="65"/>
      <c r="K38" s="37"/>
      <c r="L38" s="37"/>
      <c r="M38" s="37"/>
      <c r="N38" s="37"/>
      <c r="O38" s="37"/>
      <c r="P38" s="37"/>
      <c r="Q38" s="37"/>
      <c r="R38" s="37"/>
      <c r="S38" s="37"/>
      <c r="T38" s="37"/>
      <c r="U38" s="3"/>
      <c r="W38" s="3"/>
      <c r="X38" s="3"/>
      <c r="Y38" s="3"/>
      <c r="Z38" s="3"/>
    </row>
    <row r="39" spans="1:26" ht="15.75" customHeight="1" outlineLevel="1" x14ac:dyDescent="0.3">
      <c r="A39" s="3"/>
      <c r="B39" s="10" t="s">
        <v>589</v>
      </c>
      <c r="C39" s="62"/>
      <c r="D39" s="62"/>
      <c r="E39" s="12">
        <v>0</v>
      </c>
      <c r="F39" s="12">
        <v>0</v>
      </c>
      <c r="G39" s="65"/>
      <c r="H39" s="65"/>
      <c r="I39" s="112"/>
      <c r="J39" s="65"/>
      <c r="K39" s="37"/>
      <c r="L39" s="37"/>
      <c r="M39" s="37"/>
      <c r="N39" s="37"/>
      <c r="O39" s="37"/>
      <c r="P39" s="37"/>
      <c r="Q39" s="37"/>
      <c r="R39" s="37"/>
      <c r="S39" s="37"/>
      <c r="T39" s="37"/>
      <c r="U39" s="3"/>
      <c r="W39" s="3"/>
      <c r="X39" s="3"/>
      <c r="Y39" s="3"/>
      <c r="Z39" s="3"/>
    </row>
    <row r="40" spans="1:26" ht="15.75" customHeight="1" outlineLevel="1" x14ac:dyDescent="0.3">
      <c r="A40" s="3"/>
      <c r="B40" s="10" t="s">
        <v>756</v>
      </c>
      <c r="C40" s="62"/>
      <c r="D40" s="62"/>
      <c r="E40" s="12">
        <v>0</v>
      </c>
      <c r="F40" s="12">
        <v>0</v>
      </c>
      <c r="G40" s="65"/>
      <c r="H40" s="65"/>
      <c r="I40" s="157"/>
      <c r="J40" s="65"/>
      <c r="K40" s="37"/>
      <c r="L40" s="37"/>
      <c r="M40" s="37"/>
      <c r="N40" s="37"/>
      <c r="O40" s="37"/>
      <c r="P40" s="37"/>
      <c r="Q40" s="37"/>
      <c r="R40" s="37"/>
      <c r="S40" s="37"/>
      <c r="T40" s="37"/>
      <c r="U40" s="3"/>
      <c r="W40" s="3"/>
      <c r="X40" s="3"/>
      <c r="Y40" s="3"/>
      <c r="Z40" s="3"/>
    </row>
    <row r="41" spans="1:26" ht="15.75" customHeight="1" outlineLevel="1" x14ac:dyDescent="0.3">
      <c r="A41" s="3"/>
      <c r="B41" s="10" t="s">
        <v>312</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5.75" customHeight="1" outlineLevel="1" x14ac:dyDescent="0.3">
      <c r="A42" s="3"/>
      <c r="B42" s="10" t="s">
        <v>314</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5.75" customHeight="1" outlineLevel="1" x14ac:dyDescent="0.3">
      <c r="A43" s="3"/>
      <c r="B43" s="10" t="s">
        <v>316</v>
      </c>
      <c r="C43" s="62"/>
      <c r="D43" s="62"/>
      <c r="E43" s="12">
        <v>0</v>
      </c>
      <c r="F43" s="12">
        <v>0</v>
      </c>
      <c r="G43" s="89"/>
      <c r="H43" s="65"/>
      <c r="I43" s="157"/>
      <c r="J43" s="65"/>
      <c r="K43" s="37"/>
      <c r="L43" s="37"/>
      <c r="M43" s="37"/>
      <c r="N43" s="37"/>
      <c r="O43" s="37"/>
      <c r="P43" s="37"/>
      <c r="Q43" s="37"/>
      <c r="R43" s="37"/>
      <c r="S43" s="37"/>
      <c r="T43" s="37"/>
      <c r="U43" s="3"/>
      <c r="W43" s="3"/>
      <c r="X43" s="3"/>
      <c r="Y43" s="3"/>
      <c r="Z43" s="3"/>
    </row>
    <row r="44" spans="1:26" ht="15.75" customHeight="1" outlineLevel="1" x14ac:dyDescent="0.3">
      <c r="A44" s="3"/>
      <c r="B44" s="10" t="s">
        <v>316</v>
      </c>
      <c r="C44" s="62"/>
      <c r="D44" s="62"/>
      <c r="E44" s="12">
        <v>0</v>
      </c>
      <c r="F44" s="12">
        <v>0</v>
      </c>
      <c r="G44" s="65"/>
      <c r="H44" s="65"/>
      <c r="I44" s="157"/>
      <c r="J44" s="65"/>
      <c r="K44" s="37"/>
      <c r="L44" s="37"/>
      <c r="M44" s="37"/>
      <c r="N44" s="37"/>
      <c r="O44" s="37"/>
      <c r="P44" s="37"/>
      <c r="Q44" s="37"/>
      <c r="R44" s="37"/>
      <c r="S44" s="37"/>
      <c r="T44" s="37"/>
      <c r="U44" s="3"/>
      <c r="W44" s="3"/>
      <c r="X44" s="3"/>
      <c r="Y44" s="3"/>
      <c r="Z44" s="3"/>
    </row>
    <row r="45" spans="1:26" ht="15.75" customHeight="1" outlineLevel="1" x14ac:dyDescent="0.3">
      <c r="A45" s="3"/>
      <c r="B45" s="10" t="s">
        <v>317</v>
      </c>
      <c r="C45" s="62"/>
      <c r="D45" s="62"/>
      <c r="E45" s="12">
        <v>0</v>
      </c>
      <c r="F45" s="12">
        <v>0</v>
      </c>
      <c r="G45" s="65"/>
      <c r="H45" s="65"/>
      <c r="I45" s="89"/>
      <c r="J45" s="65"/>
      <c r="K45" s="37"/>
      <c r="L45" s="37"/>
      <c r="M45" s="37"/>
      <c r="N45" s="37"/>
      <c r="O45" s="37"/>
      <c r="P45" s="37"/>
      <c r="Q45" s="37"/>
      <c r="R45" s="37"/>
      <c r="S45" s="37"/>
      <c r="T45" s="37"/>
      <c r="U45" s="3"/>
      <c r="W45" s="3"/>
      <c r="X45" s="3"/>
      <c r="Y45" s="3"/>
      <c r="Z45" s="3"/>
    </row>
    <row r="46" spans="1:26" ht="15.75" customHeight="1" outlineLevel="1" x14ac:dyDescent="0.3">
      <c r="A46" s="3"/>
      <c r="B46" s="10" t="s">
        <v>1528</v>
      </c>
      <c r="C46" s="62"/>
      <c r="D46" s="62"/>
      <c r="E46" s="12">
        <v>0</v>
      </c>
      <c r="F46" s="12">
        <v>0</v>
      </c>
      <c r="G46" s="65"/>
      <c r="H46" s="65"/>
      <c r="I46" s="112"/>
      <c r="J46" s="65"/>
      <c r="K46" s="37"/>
      <c r="L46" s="37"/>
      <c r="M46" s="37"/>
      <c r="N46" s="37"/>
      <c r="O46" s="37"/>
      <c r="P46" s="37"/>
      <c r="Q46" s="37"/>
      <c r="R46" s="37"/>
      <c r="S46" s="37"/>
      <c r="T46" s="37"/>
      <c r="U46" s="3"/>
      <c r="W46" s="3"/>
      <c r="X46" s="3"/>
      <c r="Y46" s="3"/>
      <c r="Z46" s="3"/>
    </row>
    <row r="47" spans="1:26" ht="15.75" customHeight="1" outlineLevel="1" x14ac:dyDescent="0.3">
      <c r="A47" s="3"/>
      <c r="B47" s="10" t="s">
        <v>1528</v>
      </c>
      <c r="C47" s="62"/>
      <c r="D47" s="62"/>
      <c r="E47" s="12">
        <v>0</v>
      </c>
      <c r="F47" s="12">
        <v>0</v>
      </c>
      <c r="G47" s="65"/>
      <c r="H47" s="65"/>
      <c r="I47" s="112"/>
      <c r="J47" s="65"/>
      <c r="K47" s="37"/>
      <c r="L47" s="37"/>
      <c r="M47" s="37"/>
      <c r="N47" s="37"/>
      <c r="O47" s="37"/>
      <c r="P47" s="37"/>
      <c r="Q47" s="37"/>
      <c r="R47" s="37"/>
      <c r="S47" s="37"/>
      <c r="T47" s="37"/>
      <c r="U47" s="3"/>
      <c r="W47" s="3"/>
      <c r="X47" s="3"/>
      <c r="Y47" s="3"/>
      <c r="Z47" s="3"/>
    </row>
    <row r="48" spans="1:26" ht="15.75" customHeight="1" outlineLevel="1" x14ac:dyDescent="0.3">
      <c r="A48" s="3"/>
      <c r="B48" s="10" t="s">
        <v>1528</v>
      </c>
      <c r="C48" s="62"/>
      <c r="D48" s="62"/>
      <c r="E48" s="12">
        <v>0</v>
      </c>
      <c r="F48" s="12">
        <v>0</v>
      </c>
      <c r="G48" s="65"/>
      <c r="H48" s="65"/>
      <c r="I48" s="112"/>
      <c r="J48" s="65"/>
      <c r="K48" s="37"/>
      <c r="L48" s="37"/>
      <c r="M48" s="37"/>
      <c r="N48" s="37"/>
      <c r="O48" s="37"/>
      <c r="P48" s="37"/>
      <c r="Q48" s="37"/>
      <c r="R48" s="37"/>
      <c r="S48" s="37"/>
      <c r="T48" s="37"/>
      <c r="U48" s="3"/>
      <c r="W48" s="3"/>
      <c r="X48" s="3"/>
      <c r="Y48" s="3"/>
      <c r="Z48" s="3"/>
    </row>
    <row r="49" spans="1:26" ht="15.75" customHeight="1" outlineLevel="1" x14ac:dyDescent="0.3">
      <c r="A49" s="3"/>
      <c r="B49" s="10" t="s">
        <v>1529</v>
      </c>
      <c r="C49" s="62"/>
      <c r="D49" s="62"/>
      <c r="E49" s="12">
        <v>0</v>
      </c>
      <c r="F49" s="12">
        <v>0</v>
      </c>
      <c r="G49" s="89"/>
      <c r="H49" s="65"/>
      <c r="I49" s="112"/>
      <c r="J49" s="65"/>
      <c r="K49" s="37"/>
      <c r="L49" s="37"/>
      <c r="M49" s="37"/>
      <c r="N49" s="37"/>
      <c r="O49" s="37"/>
      <c r="P49" s="37"/>
      <c r="Q49" s="37"/>
      <c r="R49" s="37"/>
      <c r="S49" s="37"/>
      <c r="T49" s="37"/>
      <c r="U49" s="3"/>
      <c r="W49" s="3"/>
      <c r="X49" s="3"/>
      <c r="Y49" s="3"/>
      <c r="Z49" s="3"/>
    </row>
    <row r="50" spans="1:26" ht="15.75" customHeight="1" outlineLevel="1" x14ac:dyDescent="0.3">
      <c r="A50" s="3"/>
      <c r="B50" s="10" t="s">
        <v>595</v>
      </c>
      <c r="C50" s="62"/>
      <c r="D50" s="62"/>
      <c r="E50" s="12">
        <v>0</v>
      </c>
      <c r="F50" s="12">
        <v>0</v>
      </c>
      <c r="G50" s="65"/>
      <c r="H50" s="65"/>
      <c r="I50" s="112"/>
      <c r="J50" s="65"/>
      <c r="K50" s="37"/>
      <c r="L50" s="37"/>
      <c r="M50" s="37"/>
      <c r="N50" s="37"/>
      <c r="O50" s="37"/>
      <c r="P50" s="37"/>
      <c r="Q50" s="37"/>
      <c r="R50" s="37"/>
      <c r="S50" s="37"/>
      <c r="T50" s="37"/>
      <c r="U50" s="3"/>
      <c r="W50" s="3"/>
      <c r="X50" s="3"/>
      <c r="Y50" s="3"/>
      <c r="Z50" s="3"/>
    </row>
    <row r="51" spans="1:26" ht="15.75" customHeight="1" outlineLevel="1" x14ac:dyDescent="0.3">
      <c r="A51" s="3"/>
      <c r="B51" s="10" t="s">
        <v>1580</v>
      </c>
      <c r="C51" s="80"/>
      <c r="D51" s="62"/>
      <c r="E51" s="12">
        <v>0</v>
      </c>
      <c r="F51" s="12">
        <v>0</v>
      </c>
      <c r="G51" s="65"/>
      <c r="H51" s="65"/>
      <c r="I51" s="112"/>
      <c r="J51" s="65"/>
      <c r="K51" s="37"/>
      <c r="L51" s="37"/>
      <c r="M51" s="37"/>
      <c r="N51" s="37"/>
      <c r="O51" s="37"/>
      <c r="P51" s="37"/>
      <c r="Q51" s="37"/>
      <c r="R51" s="37"/>
      <c r="S51" s="37"/>
      <c r="T51" s="37"/>
      <c r="U51" s="3"/>
      <c r="W51" s="3"/>
      <c r="X51" s="3"/>
      <c r="Y51" s="3"/>
      <c r="Z51" s="3"/>
    </row>
    <row r="52" spans="1:26" ht="15.75" customHeight="1" outlineLevel="1" x14ac:dyDescent="0.3">
      <c r="A52" s="3"/>
      <c r="B52" s="10" t="s">
        <v>50</v>
      </c>
      <c r="C52" s="62"/>
      <c r="D52" s="62"/>
      <c r="E52" s="12">
        <v>0</v>
      </c>
      <c r="F52" s="12">
        <v>0</v>
      </c>
      <c r="G52" s="65"/>
      <c r="H52" s="65"/>
      <c r="I52" s="128"/>
      <c r="J52" s="65"/>
      <c r="K52" s="37"/>
      <c r="L52" s="37"/>
      <c r="M52" s="37"/>
      <c r="N52" s="37"/>
      <c r="O52" s="37"/>
      <c r="P52" s="37"/>
      <c r="Q52" s="37"/>
      <c r="R52" s="37"/>
      <c r="S52" s="37"/>
      <c r="T52" s="37"/>
      <c r="U52" s="3"/>
      <c r="W52" s="3"/>
      <c r="X52" s="3"/>
      <c r="Y52" s="3"/>
      <c r="Z52" s="3"/>
    </row>
    <row r="53" spans="1:26" ht="15.75" customHeight="1" outlineLevel="1" x14ac:dyDescent="0.3">
      <c r="A53" s="3"/>
      <c r="B53" s="10" t="s">
        <v>50</v>
      </c>
      <c r="C53" s="62"/>
      <c r="D53" s="62"/>
      <c r="E53" s="12">
        <v>0</v>
      </c>
      <c r="F53" s="12">
        <v>0</v>
      </c>
      <c r="G53" s="65"/>
      <c r="H53" s="65"/>
      <c r="I53" s="157"/>
      <c r="J53" s="65"/>
      <c r="K53" s="37"/>
      <c r="L53" s="37"/>
      <c r="M53" s="37"/>
      <c r="N53" s="37"/>
      <c r="O53" s="37"/>
      <c r="P53" s="37"/>
      <c r="Q53" s="37"/>
      <c r="R53" s="37"/>
      <c r="S53" s="37"/>
      <c r="T53" s="37"/>
      <c r="U53" s="3"/>
      <c r="W53" s="3"/>
      <c r="X53" s="3"/>
      <c r="Y53" s="3"/>
      <c r="Z53" s="3"/>
    </row>
    <row r="54" spans="1:26" ht="15.75" customHeight="1" outlineLevel="1" x14ac:dyDescent="0.3">
      <c r="A54" s="3"/>
      <c r="B54" s="10" t="s">
        <v>50</v>
      </c>
      <c r="C54" s="62"/>
      <c r="D54" s="62"/>
      <c r="E54" s="12">
        <v>0</v>
      </c>
      <c r="F54" s="12">
        <v>0</v>
      </c>
      <c r="G54" s="89"/>
      <c r="H54" s="65"/>
      <c r="I54" s="157"/>
      <c r="J54" s="65"/>
      <c r="K54" s="37"/>
      <c r="L54" s="37"/>
      <c r="M54" s="37"/>
      <c r="N54" s="37"/>
      <c r="O54" s="37"/>
      <c r="P54" s="37"/>
      <c r="Q54" s="37"/>
      <c r="R54" s="37"/>
      <c r="S54" s="37"/>
      <c r="T54" s="37"/>
      <c r="U54" s="3"/>
      <c r="W54" s="3"/>
      <c r="X54" s="3"/>
      <c r="Y54" s="3"/>
      <c r="Z54" s="3"/>
    </row>
    <row r="55" spans="1:26" ht="15.75" customHeight="1" outlineLevel="1" x14ac:dyDescent="0.3">
      <c r="A55" s="3"/>
      <c r="B55" s="10" t="s">
        <v>50</v>
      </c>
      <c r="C55" s="62"/>
      <c r="D55" s="62"/>
      <c r="E55" s="12">
        <v>0</v>
      </c>
      <c r="F55" s="12">
        <v>0</v>
      </c>
      <c r="G55" s="89"/>
      <c r="H55" s="65"/>
      <c r="I55" s="157"/>
      <c r="J55" s="65"/>
      <c r="K55" s="37"/>
      <c r="L55" s="37"/>
      <c r="M55" s="37"/>
      <c r="N55" s="37"/>
      <c r="O55" s="37"/>
      <c r="P55" s="37"/>
      <c r="Q55" s="37"/>
      <c r="R55" s="37"/>
      <c r="S55" s="37"/>
      <c r="T55" s="37"/>
      <c r="U55" s="3"/>
      <c r="W55" s="3"/>
      <c r="X55" s="3"/>
      <c r="Y55" s="3"/>
      <c r="Z55" s="3"/>
    </row>
    <row r="56" spans="1:26" ht="15.75" customHeight="1" outlineLevel="1" x14ac:dyDescent="0.3">
      <c r="A56" s="3"/>
      <c r="B56" s="10" t="s">
        <v>50</v>
      </c>
      <c r="C56" s="62"/>
      <c r="D56" s="62"/>
      <c r="E56" s="12">
        <v>0</v>
      </c>
      <c r="F56" s="12">
        <v>0</v>
      </c>
      <c r="G56" s="89"/>
      <c r="H56" s="65"/>
      <c r="I56" s="157"/>
      <c r="J56" s="65"/>
      <c r="K56" s="37"/>
      <c r="L56" s="37"/>
      <c r="M56" s="37"/>
      <c r="N56" s="37"/>
      <c r="O56" s="37"/>
      <c r="P56" s="37"/>
      <c r="Q56" s="37"/>
      <c r="R56" s="37"/>
      <c r="S56" s="37"/>
      <c r="T56" s="37"/>
      <c r="U56" s="3"/>
      <c r="W56" s="3"/>
      <c r="X56" s="3"/>
      <c r="Y56" s="3"/>
      <c r="Z56" s="3"/>
    </row>
    <row r="57" spans="1:26" ht="15.75" customHeight="1" outlineLevel="1" x14ac:dyDescent="0.3">
      <c r="A57" s="3"/>
      <c r="B57" s="10" t="s">
        <v>50</v>
      </c>
      <c r="C57" s="62"/>
      <c r="D57" s="62"/>
      <c r="E57" s="12">
        <v>0</v>
      </c>
      <c r="F57" s="12">
        <v>0</v>
      </c>
      <c r="G57" s="89"/>
      <c r="H57" s="65"/>
      <c r="I57" s="157"/>
      <c r="J57" s="65"/>
      <c r="K57" s="37"/>
      <c r="L57" s="37"/>
      <c r="M57" s="37"/>
      <c r="N57" s="37"/>
      <c r="O57" s="37"/>
      <c r="P57" s="37"/>
      <c r="Q57" s="37"/>
      <c r="R57" s="37"/>
      <c r="S57" s="37"/>
      <c r="T57" s="37"/>
      <c r="U57" s="3"/>
      <c r="W57" s="3"/>
      <c r="X57" s="3"/>
      <c r="Y57" s="3"/>
      <c r="Z57" s="3"/>
    </row>
    <row r="58" spans="1:26" ht="15.75" customHeight="1" outlineLevel="1" x14ac:dyDescent="0.3">
      <c r="A58" s="3"/>
      <c r="B58" s="10" t="s">
        <v>50</v>
      </c>
      <c r="C58" s="62"/>
      <c r="D58" s="62"/>
      <c r="E58" s="12">
        <v>0</v>
      </c>
      <c r="F58" s="12">
        <v>0</v>
      </c>
      <c r="G58" s="89"/>
      <c r="H58" s="65"/>
      <c r="I58" s="157"/>
      <c r="J58" s="65"/>
      <c r="K58" s="37"/>
      <c r="L58" s="37"/>
      <c r="M58" s="37"/>
      <c r="N58" s="37"/>
      <c r="O58" s="37"/>
      <c r="P58" s="37"/>
      <c r="Q58" s="37"/>
      <c r="R58" s="37"/>
      <c r="S58" s="37"/>
      <c r="T58" s="37"/>
      <c r="U58" s="3"/>
      <c r="W58" s="3"/>
      <c r="X58" s="3"/>
      <c r="Y58" s="3"/>
      <c r="Z58" s="3"/>
    </row>
    <row r="59" spans="1:26" ht="15.75" customHeight="1" outlineLevel="1" x14ac:dyDescent="0.3">
      <c r="A59" s="3"/>
      <c r="B59" s="10" t="s">
        <v>50</v>
      </c>
      <c r="C59" s="62"/>
      <c r="D59" s="62"/>
      <c r="E59" s="12">
        <v>0</v>
      </c>
      <c r="F59" s="12">
        <v>0</v>
      </c>
      <c r="G59" s="89"/>
      <c r="H59" s="65"/>
      <c r="I59" s="157"/>
      <c r="J59" s="65"/>
      <c r="K59" s="37"/>
      <c r="L59" s="37"/>
      <c r="M59" s="37"/>
      <c r="N59" s="37"/>
      <c r="O59" s="37"/>
      <c r="P59" s="37"/>
      <c r="Q59" s="37"/>
      <c r="R59" s="37"/>
      <c r="S59" s="37"/>
      <c r="T59" s="37"/>
      <c r="U59" s="3"/>
      <c r="W59" s="3"/>
      <c r="X59" s="3"/>
      <c r="Y59" s="3"/>
      <c r="Z59" s="3"/>
    </row>
    <row r="60" spans="1:26" ht="15.75" customHeight="1" outlineLevel="1" x14ac:dyDescent="0.3">
      <c r="A60" s="3"/>
      <c r="B60" s="10" t="s">
        <v>50</v>
      </c>
      <c r="C60" s="62"/>
      <c r="D60" s="62"/>
      <c r="E60" s="12">
        <v>0</v>
      </c>
      <c r="F60" s="12">
        <v>0</v>
      </c>
      <c r="G60" s="89"/>
      <c r="H60" s="65"/>
      <c r="I60" s="157"/>
      <c r="J60" s="65"/>
      <c r="K60" s="37"/>
      <c r="L60" s="37"/>
      <c r="M60" s="37"/>
      <c r="N60" s="37"/>
      <c r="O60" s="37"/>
      <c r="P60" s="37"/>
      <c r="Q60" s="37"/>
      <c r="R60" s="37"/>
      <c r="S60" s="37"/>
      <c r="T60" s="37"/>
      <c r="U60" s="3"/>
      <c r="W60" s="3"/>
      <c r="X60" s="3"/>
      <c r="Y60" s="3"/>
      <c r="Z60" s="3"/>
    </row>
    <row r="61" spans="1:26" ht="15.75" customHeight="1" outlineLevel="1" x14ac:dyDescent="0.3">
      <c r="A61" s="3"/>
      <c r="B61" s="10" t="s">
        <v>50</v>
      </c>
      <c r="C61" s="62"/>
      <c r="D61" s="62"/>
      <c r="E61" s="12">
        <v>0</v>
      </c>
      <c r="F61" s="12">
        <v>0</v>
      </c>
      <c r="G61" s="65"/>
      <c r="H61" s="65"/>
      <c r="I61" s="157"/>
      <c r="J61" s="65"/>
      <c r="K61" s="37"/>
      <c r="L61" s="37"/>
      <c r="M61" s="37"/>
      <c r="N61" s="37"/>
      <c r="O61" s="37"/>
      <c r="P61" s="37"/>
      <c r="Q61" s="37"/>
      <c r="R61" s="37"/>
      <c r="S61" s="37"/>
      <c r="T61" s="37"/>
      <c r="U61" s="3"/>
      <c r="W61" s="3"/>
      <c r="X61" s="3"/>
      <c r="Y61" s="3"/>
      <c r="Z61" s="3"/>
    </row>
    <row r="62" spans="1:26" ht="15.75" customHeight="1" x14ac:dyDescent="0.3">
      <c r="A62" s="3"/>
      <c r="B62" s="84" t="s">
        <v>329</v>
      </c>
      <c r="C62" s="85" t="s">
        <v>43</v>
      </c>
      <c r="D62" s="85" t="s">
        <v>43</v>
      </c>
      <c r="E62" s="86">
        <f>SUM(E63:E88)</f>
        <v>0</v>
      </c>
      <c r="F62" s="86">
        <f>SUMIF(D63:D88,"OK",F63:F88)</f>
        <v>0</v>
      </c>
      <c r="G62" s="87"/>
      <c r="H62" s="87"/>
      <c r="I62" s="88"/>
      <c r="J62" s="87"/>
      <c r="K62" s="37"/>
      <c r="L62" s="37"/>
      <c r="M62" s="37"/>
      <c r="N62" s="37"/>
      <c r="O62" s="37"/>
      <c r="P62" s="37"/>
      <c r="Q62" s="37"/>
      <c r="R62" s="37"/>
      <c r="S62" s="37"/>
      <c r="T62" s="37"/>
      <c r="U62" s="3"/>
    </row>
    <row r="63" spans="1:26" ht="15.75" customHeight="1" outlineLevel="1" x14ac:dyDescent="0.3">
      <c r="A63" s="3"/>
      <c r="B63" s="10" t="s">
        <v>1199</v>
      </c>
      <c r="C63" s="80"/>
      <c r="D63" s="62"/>
      <c r="E63" s="12">
        <v>0</v>
      </c>
      <c r="F63" s="12">
        <v>0</v>
      </c>
      <c r="G63" s="65"/>
      <c r="H63" s="65"/>
      <c r="I63" s="156"/>
      <c r="J63" s="89"/>
      <c r="K63" s="37"/>
      <c r="L63" s="37"/>
      <c r="M63" s="37"/>
      <c r="N63" s="37"/>
      <c r="O63" s="37"/>
      <c r="P63" s="37"/>
      <c r="Q63" s="37"/>
      <c r="R63" s="37"/>
      <c r="S63" s="37"/>
      <c r="T63" s="37"/>
      <c r="U63" s="3"/>
      <c r="V63" s="18"/>
    </row>
    <row r="64" spans="1:26" ht="15.75" customHeight="1" outlineLevel="1" x14ac:dyDescent="0.3">
      <c r="A64" s="3"/>
      <c r="B64" s="10" t="s">
        <v>1199</v>
      </c>
      <c r="C64" s="80"/>
      <c r="D64" s="62"/>
      <c r="E64" s="12">
        <v>0</v>
      </c>
      <c r="F64" s="12">
        <v>0</v>
      </c>
      <c r="G64" s="65"/>
      <c r="H64" s="65"/>
      <c r="I64" s="156"/>
      <c r="J64" s="89"/>
      <c r="K64" s="37"/>
      <c r="L64" s="37"/>
      <c r="M64" s="37"/>
      <c r="N64" s="37"/>
      <c r="O64" s="37"/>
      <c r="P64" s="37"/>
      <c r="Q64" s="37"/>
      <c r="R64" s="37"/>
      <c r="S64" s="37"/>
      <c r="T64" s="37"/>
      <c r="U64" s="3"/>
      <c r="V64" s="18"/>
    </row>
    <row r="65" spans="1:22" ht="15.75" customHeight="1" outlineLevel="1" x14ac:dyDescent="0.3">
      <c r="A65" s="3"/>
      <c r="B65" s="10" t="s">
        <v>1199</v>
      </c>
      <c r="C65" s="80"/>
      <c r="D65" s="62"/>
      <c r="E65" s="12">
        <v>0</v>
      </c>
      <c r="F65" s="12">
        <v>0</v>
      </c>
      <c r="G65" s="65"/>
      <c r="H65" s="65"/>
      <c r="I65" s="156"/>
      <c r="J65" s="89"/>
      <c r="K65" s="37"/>
      <c r="L65" s="37"/>
      <c r="M65" s="37"/>
      <c r="N65" s="37"/>
      <c r="O65" s="37"/>
      <c r="P65" s="37"/>
      <c r="Q65" s="37"/>
      <c r="R65" s="37"/>
      <c r="S65" s="37"/>
      <c r="T65" s="37"/>
      <c r="U65" s="3"/>
      <c r="V65" s="18"/>
    </row>
    <row r="66" spans="1:22" ht="15.75" customHeight="1" outlineLevel="1" x14ac:dyDescent="0.3">
      <c r="A66" s="3"/>
      <c r="B66" s="10" t="s">
        <v>1199</v>
      </c>
      <c r="C66" s="80"/>
      <c r="D66" s="62"/>
      <c r="E66" s="12">
        <v>0</v>
      </c>
      <c r="F66" s="12">
        <v>0</v>
      </c>
      <c r="G66" s="65"/>
      <c r="H66" s="65"/>
      <c r="I66" s="156"/>
      <c r="J66" s="89"/>
      <c r="K66" s="37"/>
      <c r="L66" s="37"/>
      <c r="M66" s="37"/>
      <c r="N66" s="37"/>
      <c r="O66" s="37"/>
      <c r="P66" s="37"/>
      <c r="Q66" s="37"/>
      <c r="R66" s="37"/>
      <c r="S66" s="37"/>
      <c r="T66" s="37"/>
      <c r="U66" s="3"/>
      <c r="V66" s="18"/>
    </row>
    <row r="67" spans="1:22" ht="15.75" customHeight="1" outlineLevel="1" x14ac:dyDescent="0.3">
      <c r="A67" s="3"/>
      <c r="B67" s="10" t="s">
        <v>1199</v>
      </c>
      <c r="C67" s="80"/>
      <c r="D67" s="62"/>
      <c r="E67" s="12">
        <v>0</v>
      </c>
      <c r="F67" s="12">
        <v>0</v>
      </c>
      <c r="G67" s="65"/>
      <c r="H67" s="65"/>
      <c r="I67" s="156"/>
      <c r="J67" s="89"/>
      <c r="K67" s="37"/>
      <c r="L67" s="37"/>
      <c r="M67" s="37"/>
      <c r="N67" s="37"/>
      <c r="O67" s="37"/>
      <c r="P67" s="37"/>
      <c r="Q67" s="37"/>
      <c r="R67" s="37"/>
      <c r="S67" s="37"/>
      <c r="T67" s="37"/>
      <c r="U67" s="3"/>
      <c r="V67" s="18"/>
    </row>
    <row r="68" spans="1:22" ht="15.75" customHeight="1" outlineLevel="1" x14ac:dyDescent="0.3">
      <c r="A68" s="3"/>
      <c r="B68" s="10" t="s">
        <v>1581</v>
      </c>
      <c r="C68" s="80"/>
      <c r="D68" s="62"/>
      <c r="E68" s="12">
        <v>0</v>
      </c>
      <c r="F68" s="12">
        <v>0</v>
      </c>
      <c r="G68" s="65"/>
      <c r="H68" s="65"/>
      <c r="I68" s="112"/>
      <c r="J68" s="89"/>
      <c r="K68" s="37"/>
      <c r="L68" s="37"/>
      <c r="M68" s="37"/>
      <c r="N68" s="37"/>
      <c r="O68" s="37"/>
      <c r="P68" s="37"/>
      <c r="Q68" s="37"/>
      <c r="R68" s="37"/>
      <c r="S68" s="37"/>
      <c r="T68" s="37"/>
      <c r="U68" s="3"/>
      <c r="V68" s="18"/>
    </row>
    <row r="69" spans="1:22" ht="15.75" customHeight="1" outlineLevel="1" x14ac:dyDescent="0.3">
      <c r="A69" s="3"/>
      <c r="B69" s="10" t="s">
        <v>1581</v>
      </c>
      <c r="C69" s="80"/>
      <c r="D69" s="62"/>
      <c r="E69" s="12">
        <v>0</v>
      </c>
      <c r="F69" s="12">
        <v>0</v>
      </c>
      <c r="G69" s="65"/>
      <c r="H69" s="65"/>
      <c r="I69" s="112"/>
      <c r="J69" s="89"/>
      <c r="K69" s="37"/>
      <c r="L69" s="37"/>
      <c r="M69" s="37"/>
      <c r="N69" s="37"/>
      <c r="O69" s="37"/>
      <c r="P69" s="37"/>
      <c r="Q69" s="37"/>
      <c r="R69" s="37"/>
      <c r="S69" s="37"/>
      <c r="T69" s="37"/>
      <c r="U69" s="3"/>
      <c r="V69" s="18"/>
    </row>
    <row r="70" spans="1:22" ht="15.75" customHeight="1" outlineLevel="1" x14ac:dyDescent="0.3">
      <c r="A70" s="3"/>
      <c r="B70" s="10" t="s">
        <v>1202</v>
      </c>
      <c r="C70" s="80"/>
      <c r="D70" s="62"/>
      <c r="E70" s="12">
        <v>0</v>
      </c>
      <c r="F70" s="12">
        <v>0</v>
      </c>
      <c r="G70" s="65"/>
      <c r="H70" s="65"/>
      <c r="I70" s="112"/>
      <c r="J70" s="89"/>
      <c r="K70" s="37"/>
      <c r="L70" s="37"/>
      <c r="M70" s="37"/>
      <c r="N70" s="37"/>
      <c r="O70" s="37"/>
      <c r="P70" s="37"/>
      <c r="Q70" s="37"/>
      <c r="R70" s="37"/>
      <c r="S70" s="37"/>
      <c r="T70" s="37"/>
      <c r="U70" s="3"/>
      <c r="V70" s="18"/>
    </row>
    <row r="71" spans="1:22" ht="15.75" customHeight="1" outlineLevel="1" x14ac:dyDescent="0.3">
      <c r="A71" s="3"/>
      <c r="B71" s="10" t="s">
        <v>1202</v>
      </c>
      <c r="C71" s="80"/>
      <c r="D71" s="62"/>
      <c r="E71" s="12">
        <v>0</v>
      </c>
      <c r="F71" s="12">
        <v>0</v>
      </c>
      <c r="G71" s="65"/>
      <c r="H71" s="65"/>
      <c r="I71" s="112"/>
      <c r="J71" s="89"/>
      <c r="K71" s="37"/>
      <c r="L71" s="37"/>
      <c r="M71" s="37"/>
      <c r="N71" s="37"/>
      <c r="O71" s="37"/>
      <c r="P71" s="37"/>
      <c r="Q71" s="37"/>
      <c r="R71" s="37"/>
      <c r="S71" s="37"/>
      <c r="T71" s="37"/>
      <c r="U71" s="3"/>
      <c r="V71" s="18"/>
    </row>
    <row r="72" spans="1:22" ht="15.75" customHeight="1" outlineLevel="1" x14ac:dyDescent="0.3">
      <c r="A72" s="3"/>
      <c r="B72" s="10" t="s">
        <v>1202</v>
      </c>
      <c r="C72" s="80"/>
      <c r="D72" s="62"/>
      <c r="E72" s="12">
        <v>0</v>
      </c>
      <c r="F72" s="12">
        <v>0</v>
      </c>
      <c r="G72" s="65"/>
      <c r="H72" s="65"/>
      <c r="I72" s="112"/>
      <c r="J72" s="89"/>
      <c r="K72" s="37"/>
      <c r="L72" s="37"/>
      <c r="M72" s="37"/>
      <c r="N72" s="37"/>
      <c r="O72" s="37"/>
      <c r="P72" s="37"/>
      <c r="Q72" s="37"/>
      <c r="R72" s="37"/>
      <c r="S72" s="37"/>
      <c r="T72" s="37"/>
      <c r="U72" s="3"/>
      <c r="V72" s="18"/>
    </row>
    <row r="73" spans="1:22" ht="15.75" customHeight="1" outlineLevel="1" x14ac:dyDescent="0.3">
      <c r="A73" s="3"/>
      <c r="B73" s="10" t="s">
        <v>1202</v>
      </c>
      <c r="C73" s="80"/>
      <c r="D73" s="62"/>
      <c r="E73" s="12">
        <v>0</v>
      </c>
      <c r="F73" s="12">
        <v>0</v>
      </c>
      <c r="G73" s="65"/>
      <c r="H73" s="65"/>
      <c r="I73" s="112"/>
      <c r="J73" s="89"/>
      <c r="K73" s="37"/>
      <c r="L73" s="37"/>
      <c r="M73" s="37"/>
      <c r="N73" s="37"/>
      <c r="O73" s="37"/>
      <c r="P73" s="37"/>
      <c r="Q73" s="37"/>
      <c r="R73" s="37"/>
      <c r="S73" s="37"/>
      <c r="T73" s="37"/>
      <c r="U73" s="3"/>
      <c r="V73" s="18"/>
    </row>
    <row r="74" spans="1:22" ht="15.75" customHeight="1" outlineLevel="1" x14ac:dyDescent="0.3">
      <c r="A74" s="3"/>
      <c r="B74" s="10" t="s">
        <v>1202</v>
      </c>
      <c r="C74" s="80"/>
      <c r="D74" s="62"/>
      <c r="E74" s="12">
        <v>0</v>
      </c>
      <c r="F74" s="12">
        <v>0</v>
      </c>
      <c r="G74" s="65"/>
      <c r="H74" s="65"/>
      <c r="I74" s="112"/>
      <c r="J74" s="89"/>
      <c r="K74" s="37"/>
      <c r="L74" s="37"/>
      <c r="M74" s="37"/>
      <c r="N74" s="37"/>
      <c r="O74" s="37"/>
      <c r="P74" s="37"/>
      <c r="Q74" s="37"/>
      <c r="R74" s="37"/>
      <c r="S74" s="37"/>
      <c r="T74" s="37"/>
      <c r="U74" s="3"/>
      <c r="V74" s="18"/>
    </row>
    <row r="75" spans="1:22" ht="15.75" customHeight="1" outlineLevel="1" x14ac:dyDescent="0.3">
      <c r="A75" s="3"/>
      <c r="B75" s="10" t="s">
        <v>1202</v>
      </c>
      <c r="C75" s="80"/>
      <c r="D75" s="62"/>
      <c r="E75" s="12">
        <v>0</v>
      </c>
      <c r="F75" s="12">
        <v>0</v>
      </c>
      <c r="G75" s="65"/>
      <c r="H75" s="65"/>
      <c r="I75" s="112"/>
      <c r="J75" s="89"/>
      <c r="K75" s="37"/>
      <c r="L75" s="37"/>
      <c r="M75" s="37"/>
      <c r="N75" s="37"/>
      <c r="O75" s="37"/>
      <c r="P75" s="37"/>
      <c r="Q75" s="37"/>
      <c r="R75" s="37"/>
      <c r="S75" s="37"/>
      <c r="T75" s="37"/>
      <c r="U75" s="3"/>
      <c r="V75" s="18"/>
    </row>
    <row r="76" spans="1:22" ht="15.75" customHeight="1" outlineLevel="1" x14ac:dyDescent="0.3">
      <c r="A76" s="3"/>
      <c r="B76" s="10" t="s">
        <v>330</v>
      </c>
      <c r="C76" s="80"/>
      <c r="D76" s="62"/>
      <c r="E76" s="12">
        <v>0</v>
      </c>
      <c r="F76" s="12">
        <v>0</v>
      </c>
      <c r="G76" s="65"/>
      <c r="H76" s="65"/>
      <c r="I76" s="112"/>
      <c r="J76" s="89"/>
      <c r="K76" s="37"/>
      <c r="L76" s="37"/>
      <c r="M76" s="37"/>
      <c r="N76" s="37"/>
      <c r="O76" s="37"/>
      <c r="P76" s="37"/>
      <c r="Q76" s="37"/>
      <c r="R76" s="37"/>
      <c r="S76" s="37"/>
      <c r="T76" s="37"/>
      <c r="U76" s="3"/>
      <c r="V76" s="18"/>
    </row>
    <row r="77" spans="1:22" ht="15.75" customHeight="1" outlineLevel="1" x14ac:dyDescent="0.3">
      <c r="A77" s="3"/>
      <c r="B77" s="10" t="s">
        <v>330</v>
      </c>
      <c r="C77" s="80"/>
      <c r="D77" s="62"/>
      <c r="E77" s="12">
        <v>0</v>
      </c>
      <c r="F77" s="12">
        <v>0</v>
      </c>
      <c r="G77" s="65"/>
      <c r="H77" s="65"/>
      <c r="I77" s="112"/>
      <c r="J77" s="89"/>
      <c r="K77" s="37"/>
      <c r="L77" s="37"/>
      <c r="M77" s="37"/>
      <c r="N77" s="37"/>
      <c r="O77" s="37"/>
      <c r="P77" s="37"/>
      <c r="Q77" s="37"/>
      <c r="R77" s="37"/>
      <c r="S77" s="37"/>
      <c r="T77" s="37"/>
      <c r="U77" s="3"/>
      <c r="V77" s="18"/>
    </row>
    <row r="78" spans="1:22" ht="15.75" customHeight="1" outlineLevel="1" x14ac:dyDescent="0.3">
      <c r="A78" s="3"/>
      <c r="B78" s="10" t="s">
        <v>330</v>
      </c>
      <c r="C78" s="80"/>
      <c r="D78" s="62"/>
      <c r="E78" s="12">
        <v>0</v>
      </c>
      <c r="F78" s="12">
        <v>0</v>
      </c>
      <c r="G78" s="65"/>
      <c r="H78" s="65"/>
      <c r="I78" s="112"/>
      <c r="J78" s="89"/>
      <c r="K78" s="37"/>
      <c r="L78" s="37"/>
      <c r="M78" s="37"/>
      <c r="N78" s="37"/>
      <c r="O78" s="37"/>
      <c r="P78" s="37"/>
      <c r="Q78" s="37"/>
      <c r="R78" s="37"/>
      <c r="S78" s="37"/>
      <c r="T78" s="37"/>
      <c r="U78" s="3"/>
      <c r="V78" s="18"/>
    </row>
    <row r="79" spans="1:22" ht="15.75" customHeight="1" outlineLevel="1" x14ac:dyDescent="0.3">
      <c r="A79" s="3"/>
      <c r="B79" s="10" t="s">
        <v>334</v>
      </c>
      <c r="C79" s="62"/>
      <c r="D79" s="62"/>
      <c r="E79" s="12">
        <v>0</v>
      </c>
      <c r="F79" s="12">
        <v>0</v>
      </c>
      <c r="G79" s="89"/>
      <c r="H79" s="65"/>
      <c r="I79" s="112"/>
      <c r="J79" s="65"/>
      <c r="K79" s="37"/>
      <c r="L79" s="37"/>
      <c r="M79" s="37"/>
      <c r="N79" s="37"/>
      <c r="O79" s="37"/>
      <c r="P79" s="37"/>
      <c r="Q79" s="37"/>
      <c r="R79" s="37"/>
      <c r="S79" s="37"/>
      <c r="T79" s="37"/>
      <c r="U79" s="3"/>
    </row>
    <row r="80" spans="1:22" ht="15.75" customHeight="1" outlineLevel="1" x14ac:dyDescent="0.3">
      <c r="A80" s="3"/>
      <c r="B80" s="10" t="s">
        <v>334</v>
      </c>
      <c r="C80" s="62"/>
      <c r="D80" s="62"/>
      <c r="E80" s="12">
        <v>0</v>
      </c>
      <c r="F80" s="12">
        <v>0</v>
      </c>
      <c r="G80" s="65"/>
      <c r="H80" s="65"/>
      <c r="I80" s="112"/>
      <c r="J80" s="65"/>
      <c r="K80" s="37"/>
      <c r="L80" s="37"/>
      <c r="M80" s="37"/>
      <c r="N80" s="37"/>
      <c r="O80" s="37"/>
      <c r="P80" s="37"/>
      <c r="Q80" s="37"/>
      <c r="R80" s="37"/>
      <c r="S80" s="37"/>
      <c r="T80" s="37"/>
      <c r="U80" s="3"/>
    </row>
    <row r="81" spans="1:26" ht="15.75" customHeight="1" outlineLevel="1" x14ac:dyDescent="0.3">
      <c r="A81" s="3"/>
      <c r="B81" s="10" t="s">
        <v>627</v>
      </c>
      <c r="C81" s="80"/>
      <c r="D81" s="62"/>
      <c r="E81" s="12">
        <v>0</v>
      </c>
      <c r="F81" s="12">
        <v>0</v>
      </c>
      <c r="G81" s="65"/>
      <c r="H81" s="65"/>
      <c r="I81" s="156"/>
      <c r="J81" s="89"/>
      <c r="K81" s="37"/>
      <c r="L81" s="37"/>
      <c r="M81" s="37"/>
      <c r="N81" s="37"/>
      <c r="O81" s="37"/>
      <c r="P81" s="37"/>
      <c r="Q81" s="37"/>
      <c r="R81" s="37"/>
      <c r="S81" s="37"/>
      <c r="T81" s="37"/>
      <c r="U81" s="3"/>
    </row>
    <row r="82" spans="1:26" ht="15.75" customHeight="1" outlineLevel="1" x14ac:dyDescent="0.3">
      <c r="A82" s="3"/>
      <c r="B82" s="10" t="s">
        <v>627</v>
      </c>
      <c r="C82" s="80"/>
      <c r="D82" s="62"/>
      <c r="E82" s="12">
        <v>0</v>
      </c>
      <c r="F82" s="12">
        <v>0</v>
      </c>
      <c r="G82" s="65"/>
      <c r="H82" s="65"/>
      <c r="I82" s="156"/>
      <c r="J82" s="89"/>
      <c r="K82" s="37"/>
      <c r="L82" s="37"/>
      <c r="M82" s="37"/>
      <c r="N82" s="37"/>
      <c r="O82" s="37"/>
      <c r="P82" s="37"/>
      <c r="Q82" s="37"/>
      <c r="R82" s="37"/>
      <c r="S82" s="37"/>
      <c r="T82" s="37"/>
      <c r="U82" s="3"/>
    </row>
    <row r="83" spans="1:26" ht="15.75" customHeight="1" outlineLevel="1" x14ac:dyDescent="0.3">
      <c r="A83" s="3"/>
      <c r="B83" s="10" t="s">
        <v>629</v>
      </c>
      <c r="C83" s="80"/>
      <c r="D83" s="62"/>
      <c r="E83" s="12">
        <v>0</v>
      </c>
      <c r="F83" s="12">
        <v>0</v>
      </c>
      <c r="G83" s="65"/>
      <c r="H83" s="65"/>
      <c r="I83" s="112"/>
      <c r="J83" s="89"/>
      <c r="K83" s="37"/>
      <c r="L83" s="37"/>
      <c r="M83" s="37"/>
      <c r="N83" s="37"/>
      <c r="O83" s="37"/>
      <c r="P83" s="37"/>
      <c r="Q83" s="37"/>
      <c r="R83" s="37"/>
      <c r="S83" s="37"/>
      <c r="T83" s="37"/>
      <c r="U83" s="3"/>
    </row>
    <row r="84" spans="1:26" ht="15.75" customHeight="1" outlineLevel="1" x14ac:dyDescent="0.3">
      <c r="A84" s="3"/>
      <c r="B84" s="10" t="s">
        <v>629</v>
      </c>
      <c r="C84" s="80"/>
      <c r="D84" s="62"/>
      <c r="E84" s="12">
        <v>0</v>
      </c>
      <c r="F84" s="12">
        <v>0</v>
      </c>
      <c r="G84" s="65"/>
      <c r="H84" s="65"/>
      <c r="I84" s="112"/>
      <c r="J84" s="89"/>
      <c r="K84" s="37"/>
      <c r="L84" s="37"/>
      <c r="M84" s="37"/>
      <c r="N84" s="37"/>
      <c r="O84" s="37"/>
      <c r="P84" s="37"/>
      <c r="Q84" s="37"/>
      <c r="R84" s="37"/>
      <c r="S84" s="37"/>
      <c r="T84" s="37"/>
      <c r="U84" s="3"/>
    </row>
    <row r="85" spans="1:26" ht="15.75" customHeight="1" outlineLevel="1" x14ac:dyDescent="0.3">
      <c r="A85" s="3"/>
      <c r="B85" s="10" t="s">
        <v>629</v>
      </c>
      <c r="C85" s="80"/>
      <c r="D85" s="62"/>
      <c r="E85" s="12">
        <v>0</v>
      </c>
      <c r="F85" s="12">
        <v>0</v>
      </c>
      <c r="G85" s="65"/>
      <c r="H85" s="65"/>
      <c r="I85" s="112"/>
      <c r="J85" s="89"/>
      <c r="K85" s="37"/>
      <c r="L85" s="37"/>
      <c r="M85" s="37"/>
      <c r="N85" s="37"/>
      <c r="O85" s="37"/>
      <c r="P85" s="37"/>
      <c r="Q85" s="37"/>
      <c r="R85" s="37"/>
      <c r="S85" s="37"/>
      <c r="T85" s="37"/>
      <c r="U85" s="3"/>
    </row>
    <row r="86" spans="1:26" ht="15.75" customHeight="1" outlineLevel="1" x14ac:dyDescent="0.3">
      <c r="A86" s="3"/>
      <c r="B86" s="10" t="s">
        <v>1531</v>
      </c>
      <c r="C86" s="80"/>
      <c r="D86" s="62"/>
      <c r="E86" s="12">
        <v>0</v>
      </c>
      <c r="F86" s="12">
        <v>0</v>
      </c>
      <c r="G86" s="65"/>
      <c r="H86" s="65"/>
      <c r="I86" s="157"/>
      <c r="J86" s="65"/>
      <c r="K86" s="37"/>
      <c r="L86" s="37"/>
      <c r="M86" s="37"/>
      <c r="N86" s="37"/>
      <c r="O86" s="37"/>
      <c r="P86" s="37"/>
      <c r="Q86" s="37"/>
      <c r="R86" s="37"/>
      <c r="S86" s="37"/>
      <c r="T86" s="37"/>
      <c r="U86" s="3"/>
      <c r="W86" s="3"/>
      <c r="X86" s="3"/>
      <c r="Y86" s="3"/>
      <c r="Z86" s="3"/>
    </row>
    <row r="87" spans="1:26" ht="15.75" customHeight="1" outlineLevel="1" x14ac:dyDescent="0.3">
      <c r="A87" s="3"/>
      <c r="B87" s="10" t="s">
        <v>330</v>
      </c>
      <c r="C87" s="62"/>
      <c r="D87" s="62"/>
      <c r="E87" s="12">
        <v>0</v>
      </c>
      <c r="F87" s="12">
        <v>0</v>
      </c>
      <c r="G87" s="65"/>
      <c r="H87" s="65"/>
      <c r="I87" s="112"/>
      <c r="J87" s="65"/>
      <c r="K87" s="37"/>
      <c r="L87" s="37"/>
      <c r="M87" s="37"/>
      <c r="N87" s="37"/>
      <c r="O87" s="37"/>
      <c r="P87" s="37"/>
      <c r="Q87" s="37"/>
      <c r="R87" s="37"/>
      <c r="S87" s="37"/>
      <c r="T87" s="37"/>
      <c r="U87" s="3"/>
      <c r="W87" s="3"/>
      <c r="X87" s="3"/>
      <c r="Y87" s="3"/>
      <c r="Z87" s="3"/>
    </row>
    <row r="88" spans="1:26" ht="15.75" customHeight="1" outlineLevel="1" x14ac:dyDescent="0.3">
      <c r="A88" s="3"/>
      <c r="B88" s="10" t="s">
        <v>811</v>
      </c>
      <c r="C88" s="62"/>
      <c r="D88" s="62"/>
      <c r="E88" s="12">
        <v>0</v>
      </c>
      <c r="F88" s="12">
        <v>0</v>
      </c>
      <c r="G88" s="89"/>
      <c r="H88" s="65"/>
      <c r="I88" s="157"/>
      <c r="J88" s="65"/>
      <c r="K88" s="37"/>
      <c r="L88" s="37"/>
      <c r="M88" s="37"/>
      <c r="N88" s="37"/>
      <c r="O88" s="37"/>
      <c r="P88" s="37"/>
      <c r="Q88" s="37"/>
      <c r="R88" s="37"/>
      <c r="S88" s="37"/>
      <c r="T88" s="37"/>
      <c r="U88" s="3"/>
      <c r="W88" s="3"/>
      <c r="X88" s="3"/>
      <c r="Y88" s="3"/>
      <c r="Z88" s="3"/>
    </row>
    <row r="89" spans="1:26" ht="15.75" customHeight="1" x14ac:dyDescent="0.3">
      <c r="A89" s="3"/>
      <c r="B89" s="84" t="s">
        <v>348</v>
      </c>
      <c r="C89" s="85" t="s">
        <v>43</v>
      </c>
      <c r="D89" s="85" t="s">
        <v>43</v>
      </c>
      <c r="E89" s="86">
        <f t="shared" ref="E89:F89" si="0">SUM(E90,E106,E111)</f>
        <v>0</v>
      </c>
      <c r="F89" s="86">
        <f t="shared" si="0"/>
        <v>0</v>
      </c>
      <c r="G89" s="87"/>
      <c r="H89" s="87"/>
      <c r="I89" s="88"/>
      <c r="J89" s="87"/>
      <c r="K89" s="37"/>
      <c r="L89" s="37"/>
      <c r="M89" s="37"/>
      <c r="N89" s="37"/>
      <c r="O89" s="37"/>
      <c r="P89" s="37"/>
      <c r="Q89" s="37"/>
      <c r="R89" s="37"/>
      <c r="S89" s="37"/>
      <c r="T89" s="37"/>
      <c r="U89" s="3"/>
      <c r="W89" s="3"/>
      <c r="X89" s="3"/>
      <c r="Y89" s="3"/>
      <c r="Z89" s="3"/>
    </row>
    <row r="90" spans="1:26" ht="15.75" customHeight="1" outlineLevel="1" x14ac:dyDescent="0.3">
      <c r="A90" s="3"/>
      <c r="B90" s="91" t="s">
        <v>349</v>
      </c>
      <c r="C90" s="92"/>
      <c r="D90" s="92"/>
      <c r="E90" s="93">
        <f>SUM(E91:E105)</f>
        <v>0</v>
      </c>
      <c r="F90" s="93">
        <f>SUMIF(D91:D105,"OK",F91:F105)</f>
        <v>0</v>
      </c>
      <c r="G90" s="94"/>
      <c r="H90" s="94"/>
      <c r="I90" s="95"/>
      <c r="J90" s="94"/>
      <c r="K90" s="37"/>
      <c r="L90" s="37"/>
      <c r="M90" s="37"/>
      <c r="N90" s="37"/>
      <c r="O90" s="37"/>
      <c r="P90" s="37"/>
      <c r="Q90" s="37"/>
      <c r="R90" s="37"/>
      <c r="S90" s="37"/>
      <c r="T90" s="37"/>
      <c r="U90" s="3"/>
      <c r="W90" s="3"/>
      <c r="X90" s="3"/>
      <c r="Y90" s="3"/>
      <c r="Z90" s="3"/>
    </row>
    <row r="91" spans="1:26" ht="15.75" customHeight="1" outlineLevel="1" x14ac:dyDescent="0.3">
      <c r="A91" s="3"/>
      <c r="B91" s="10" t="s">
        <v>1582</v>
      </c>
      <c r="C91" s="62"/>
      <c r="D91" s="62"/>
      <c r="E91" s="12">
        <v>0</v>
      </c>
      <c r="F91" s="12">
        <v>0</v>
      </c>
      <c r="G91" s="65"/>
      <c r="H91" s="65"/>
      <c r="I91" s="112"/>
      <c r="J91" s="65"/>
      <c r="K91" s="37"/>
      <c r="L91" s="37"/>
      <c r="M91" s="37"/>
      <c r="N91" s="37"/>
      <c r="O91" s="37"/>
      <c r="P91" s="37"/>
      <c r="Q91" s="37"/>
      <c r="R91" s="37"/>
      <c r="S91" s="37"/>
      <c r="T91" s="37"/>
      <c r="U91" s="3"/>
      <c r="W91" s="3"/>
      <c r="X91" s="3"/>
      <c r="Y91" s="3"/>
      <c r="Z91" s="3"/>
    </row>
    <row r="92" spans="1:26" ht="15.75" customHeight="1" outlineLevel="1" x14ac:dyDescent="0.3">
      <c r="A92" s="3"/>
      <c r="B92" s="10" t="s">
        <v>50</v>
      </c>
      <c r="C92" s="62"/>
      <c r="D92" s="62"/>
      <c r="E92" s="12">
        <v>0</v>
      </c>
      <c r="F92" s="12">
        <v>0</v>
      </c>
      <c r="G92" s="65"/>
      <c r="H92" s="65"/>
      <c r="I92" s="157"/>
      <c r="J92" s="65"/>
      <c r="K92" s="37"/>
      <c r="L92" s="37"/>
      <c r="M92" s="37"/>
      <c r="N92" s="37"/>
      <c r="O92" s="37"/>
      <c r="P92" s="37"/>
      <c r="Q92" s="37"/>
      <c r="R92" s="37"/>
      <c r="S92" s="37"/>
      <c r="T92" s="37"/>
      <c r="U92" s="3"/>
      <c r="W92" s="3"/>
      <c r="X92" s="3"/>
      <c r="Y92" s="3"/>
      <c r="Z92" s="3"/>
    </row>
    <row r="93" spans="1:26" ht="15.75" customHeight="1" outlineLevel="1" x14ac:dyDescent="0.3">
      <c r="A93" s="3"/>
      <c r="B93" s="10" t="s">
        <v>50</v>
      </c>
      <c r="C93" s="62"/>
      <c r="D93" s="62"/>
      <c r="E93" s="12">
        <v>0</v>
      </c>
      <c r="F93" s="12">
        <v>0</v>
      </c>
      <c r="G93" s="65"/>
      <c r="H93" s="65"/>
      <c r="I93" s="157"/>
      <c r="J93" s="65"/>
      <c r="K93" s="37"/>
      <c r="L93" s="37"/>
      <c r="M93" s="37"/>
      <c r="N93" s="37"/>
      <c r="O93" s="37"/>
      <c r="P93" s="37"/>
      <c r="Q93" s="37"/>
      <c r="R93" s="37"/>
      <c r="S93" s="37"/>
      <c r="T93" s="37"/>
      <c r="U93" s="3"/>
      <c r="W93" s="3"/>
      <c r="X93" s="3"/>
      <c r="Y93" s="3"/>
      <c r="Z93" s="3"/>
    </row>
    <row r="94" spans="1:26" ht="15.75" customHeight="1" outlineLevel="1" x14ac:dyDescent="0.3">
      <c r="A94" s="3"/>
      <c r="B94" s="10" t="s">
        <v>50</v>
      </c>
      <c r="C94" s="62"/>
      <c r="D94" s="62"/>
      <c r="E94" s="12">
        <v>0</v>
      </c>
      <c r="F94" s="12">
        <v>0</v>
      </c>
      <c r="G94" s="65"/>
      <c r="H94" s="65"/>
      <c r="I94" s="157"/>
      <c r="J94" s="65"/>
      <c r="K94" s="37"/>
      <c r="L94" s="37"/>
      <c r="M94" s="37"/>
      <c r="N94" s="37"/>
      <c r="O94" s="37"/>
      <c r="P94" s="37"/>
      <c r="Q94" s="37"/>
      <c r="R94" s="37"/>
      <c r="S94" s="37"/>
      <c r="T94" s="37"/>
      <c r="U94" s="3"/>
      <c r="W94" s="3"/>
      <c r="X94" s="3"/>
      <c r="Y94" s="3"/>
      <c r="Z94" s="3"/>
    </row>
    <row r="95" spans="1:26" ht="15.75" customHeight="1" outlineLevel="1" x14ac:dyDescent="0.3">
      <c r="A95" s="3"/>
      <c r="B95" s="10" t="s">
        <v>50</v>
      </c>
      <c r="C95" s="62"/>
      <c r="D95" s="62"/>
      <c r="E95" s="12">
        <v>0</v>
      </c>
      <c r="F95" s="12">
        <v>0</v>
      </c>
      <c r="G95" s="65"/>
      <c r="H95" s="65"/>
      <c r="I95" s="157"/>
      <c r="J95" s="65"/>
      <c r="K95" s="37"/>
      <c r="L95" s="37"/>
      <c r="M95" s="37"/>
      <c r="N95" s="37"/>
      <c r="O95" s="37"/>
      <c r="P95" s="37"/>
      <c r="Q95" s="37"/>
      <c r="R95" s="37"/>
      <c r="S95" s="37"/>
      <c r="T95" s="37"/>
      <c r="U95" s="3"/>
      <c r="W95" s="3"/>
      <c r="X95" s="3"/>
      <c r="Y95" s="3"/>
      <c r="Z95" s="3"/>
    </row>
    <row r="96" spans="1:26" ht="15.75" customHeight="1" outlineLevel="1" x14ac:dyDescent="0.3">
      <c r="A96" s="3"/>
      <c r="B96" s="10" t="s">
        <v>50</v>
      </c>
      <c r="C96" s="62"/>
      <c r="D96" s="62"/>
      <c r="E96" s="12">
        <v>0</v>
      </c>
      <c r="F96" s="12">
        <v>0</v>
      </c>
      <c r="G96" s="65"/>
      <c r="H96" s="65"/>
      <c r="I96" s="157"/>
      <c r="J96" s="65"/>
      <c r="K96" s="37"/>
      <c r="L96" s="37"/>
      <c r="M96" s="37"/>
      <c r="N96" s="37"/>
      <c r="O96" s="37"/>
      <c r="P96" s="37"/>
      <c r="Q96" s="37"/>
      <c r="R96" s="37"/>
      <c r="S96" s="37"/>
      <c r="T96" s="37"/>
      <c r="U96" s="3"/>
      <c r="W96" s="3"/>
      <c r="X96" s="3"/>
      <c r="Y96" s="3"/>
      <c r="Z96" s="3"/>
    </row>
    <row r="97" spans="1:26" ht="15.75" customHeight="1" outlineLevel="1" x14ac:dyDescent="0.3">
      <c r="A97" s="3"/>
      <c r="B97" s="10" t="s">
        <v>50</v>
      </c>
      <c r="C97" s="62"/>
      <c r="D97" s="62"/>
      <c r="E97" s="12">
        <v>0</v>
      </c>
      <c r="F97" s="12">
        <v>0</v>
      </c>
      <c r="G97" s="65"/>
      <c r="H97" s="65"/>
      <c r="I97" s="157"/>
      <c r="J97" s="65"/>
      <c r="K97" s="37"/>
      <c r="L97" s="37"/>
      <c r="M97" s="37"/>
      <c r="N97" s="37"/>
      <c r="O97" s="37"/>
      <c r="P97" s="37"/>
      <c r="Q97" s="37"/>
      <c r="R97" s="37"/>
      <c r="S97" s="37"/>
      <c r="T97" s="37"/>
      <c r="U97" s="3"/>
      <c r="W97" s="3"/>
      <c r="X97" s="3"/>
      <c r="Y97" s="3"/>
      <c r="Z97" s="3"/>
    </row>
    <row r="98" spans="1:26" ht="15.75" customHeight="1" outlineLevel="1" x14ac:dyDescent="0.3">
      <c r="A98" s="3"/>
      <c r="B98" s="10" t="s">
        <v>50</v>
      </c>
      <c r="C98" s="62"/>
      <c r="D98" s="62"/>
      <c r="E98" s="12">
        <v>0</v>
      </c>
      <c r="F98" s="12">
        <v>0</v>
      </c>
      <c r="G98" s="65"/>
      <c r="H98" s="65"/>
      <c r="I98" s="157"/>
      <c r="J98" s="65"/>
      <c r="K98" s="37"/>
      <c r="L98" s="37"/>
      <c r="M98" s="37"/>
      <c r="N98" s="37"/>
      <c r="O98" s="37"/>
      <c r="P98" s="37"/>
      <c r="Q98" s="37"/>
      <c r="R98" s="37"/>
      <c r="S98" s="37"/>
      <c r="T98" s="37"/>
      <c r="U98" s="3"/>
      <c r="W98" s="3"/>
      <c r="X98" s="3"/>
      <c r="Y98" s="3"/>
      <c r="Z98" s="3"/>
    </row>
    <row r="99" spans="1:26" ht="15.75" customHeight="1" outlineLevel="1" x14ac:dyDescent="0.3">
      <c r="A99" s="3"/>
      <c r="B99" s="10" t="s">
        <v>50</v>
      </c>
      <c r="C99" s="62"/>
      <c r="D99" s="62"/>
      <c r="E99" s="12">
        <v>0</v>
      </c>
      <c r="F99" s="12">
        <v>0</v>
      </c>
      <c r="G99" s="65"/>
      <c r="H99" s="65"/>
      <c r="I99" s="157"/>
      <c r="J99" s="65"/>
      <c r="K99" s="37"/>
      <c r="L99" s="37"/>
      <c r="M99" s="37"/>
      <c r="N99" s="37"/>
      <c r="O99" s="37"/>
      <c r="P99" s="37"/>
      <c r="Q99" s="37"/>
      <c r="R99" s="37"/>
      <c r="S99" s="37"/>
      <c r="T99" s="37"/>
      <c r="U99" s="3"/>
      <c r="W99" s="3"/>
      <c r="X99" s="3"/>
      <c r="Y99" s="3"/>
      <c r="Z99" s="3"/>
    </row>
    <row r="100" spans="1:26" ht="15.75" customHeight="1" outlineLevel="1" x14ac:dyDescent="0.3">
      <c r="A100" s="3"/>
      <c r="B100" s="10" t="s">
        <v>50</v>
      </c>
      <c r="C100" s="62"/>
      <c r="D100" s="62"/>
      <c r="E100" s="12">
        <v>0</v>
      </c>
      <c r="F100" s="12">
        <v>0</v>
      </c>
      <c r="G100" s="65"/>
      <c r="H100" s="65"/>
      <c r="I100" s="157"/>
      <c r="J100" s="65"/>
      <c r="K100" s="37"/>
      <c r="L100" s="37"/>
      <c r="M100" s="37"/>
      <c r="N100" s="37"/>
      <c r="O100" s="37"/>
      <c r="P100" s="37"/>
      <c r="Q100" s="37"/>
      <c r="R100" s="37"/>
      <c r="S100" s="37"/>
      <c r="T100" s="37"/>
      <c r="U100" s="3"/>
      <c r="W100" s="3"/>
      <c r="X100" s="3"/>
      <c r="Y100" s="3"/>
      <c r="Z100" s="3"/>
    </row>
    <row r="101" spans="1:26" ht="15.75" customHeight="1" outlineLevel="1" x14ac:dyDescent="0.3">
      <c r="A101" s="3"/>
      <c r="B101" s="10" t="s">
        <v>50</v>
      </c>
      <c r="C101" s="62"/>
      <c r="D101" s="62"/>
      <c r="E101" s="12">
        <v>0</v>
      </c>
      <c r="F101" s="12">
        <v>0</v>
      </c>
      <c r="G101" s="65"/>
      <c r="H101" s="65"/>
      <c r="I101" s="157"/>
      <c r="J101" s="65"/>
      <c r="K101" s="37"/>
      <c r="L101" s="37"/>
      <c r="M101" s="37"/>
      <c r="N101" s="37"/>
      <c r="O101" s="37"/>
      <c r="P101" s="37"/>
      <c r="Q101" s="37"/>
      <c r="R101" s="37"/>
      <c r="S101" s="37"/>
      <c r="T101" s="37"/>
      <c r="U101" s="3"/>
      <c r="W101" s="3"/>
      <c r="X101" s="3"/>
      <c r="Y101" s="3"/>
      <c r="Z101" s="3"/>
    </row>
    <row r="102" spans="1:26" ht="15.75" customHeight="1" outlineLevel="1" x14ac:dyDescent="0.3">
      <c r="A102" s="3"/>
      <c r="B102" s="10" t="s">
        <v>50</v>
      </c>
      <c r="C102" s="62"/>
      <c r="D102" s="62"/>
      <c r="E102" s="12">
        <v>0</v>
      </c>
      <c r="F102" s="12">
        <v>0</v>
      </c>
      <c r="G102" s="65"/>
      <c r="H102" s="65"/>
      <c r="I102" s="128"/>
      <c r="J102" s="65"/>
      <c r="K102" s="37"/>
      <c r="L102" s="37"/>
      <c r="M102" s="37"/>
      <c r="N102" s="37"/>
      <c r="O102" s="37"/>
      <c r="P102" s="37"/>
      <c r="Q102" s="37"/>
      <c r="R102" s="37"/>
      <c r="S102" s="37"/>
      <c r="T102" s="37"/>
      <c r="U102" s="3"/>
      <c r="W102" s="3"/>
      <c r="X102" s="3"/>
      <c r="Y102" s="3"/>
      <c r="Z102" s="3"/>
    </row>
    <row r="103" spans="1:26" ht="15.75" customHeight="1" outlineLevel="1" x14ac:dyDescent="0.3">
      <c r="A103" s="3"/>
      <c r="B103" s="10" t="s">
        <v>50</v>
      </c>
      <c r="C103" s="62"/>
      <c r="D103" s="62"/>
      <c r="E103" s="12">
        <v>0</v>
      </c>
      <c r="F103" s="12">
        <v>0</v>
      </c>
      <c r="G103" s="65"/>
      <c r="H103" s="65"/>
      <c r="I103" s="157"/>
      <c r="J103" s="65"/>
      <c r="K103" s="37"/>
      <c r="L103" s="37"/>
      <c r="M103" s="37"/>
      <c r="N103" s="37"/>
      <c r="O103" s="37"/>
      <c r="P103" s="37"/>
      <c r="Q103" s="37"/>
      <c r="R103" s="37"/>
      <c r="S103" s="37"/>
      <c r="T103" s="37"/>
      <c r="U103" s="3"/>
      <c r="W103" s="3"/>
      <c r="X103" s="3"/>
      <c r="Y103" s="3"/>
      <c r="Z103" s="3"/>
    </row>
    <row r="104" spans="1:26" ht="15.75" customHeight="1" outlineLevel="1" x14ac:dyDescent="0.3">
      <c r="A104" s="3"/>
      <c r="B104" s="10" t="s">
        <v>50</v>
      </c>
      <c r="C104" s="62"/>
      <c r="D104" s="62"/>
      <c r="E104" s="12">
        <v>0</v>
      </c>
      <c r="F104" s="12">
        <v>0</v>
      </c>
      <c r="G104" s="65"/>
      <c r="H104" s="65"/>
      <c r="I104" s="128"/>
      <c r="J104" s="65"/>
      <c r="K104" s="37"/>
      <c r="L104" s="37"/>
      <c r="M104" s="37"/>
      <c r="N104" s="37"/>
      <c r="O104" s="37"/>
      <c r="P104" s="37"/>
      <c r="Q104" s="37"/>
      <c r="R104" s="37"/>
      <c r="S104" s="37"/>
      <c r="T104" s="37"/>
      <c r="U104" s="3"/>
      <c r="W104" s="3"/>
      <c r="X104" s="3"/>
      <c r="Y104" s="3"/>
      <c r="Z104" s="3"/>
    </row>
    <row r="105" spans="1:26" ht="15.75" customHeight="1" outlineLevel="1" x14ac:dyDescent="0.3">
      <c r="A105" s="3"/>
      <c r="B105" s="10" t="s">
        <v>50</v>
      </c>
      <c r="C105" s="62"/>
      <c r="D105" s="62"/>
      <c r="E105" s="12">
        <v>0</v>
      </c>
      <c r="F105" s="12">
        <v>0</v>
      </c>
      <c r="G105" s="65"/>
      <c r="H105" s="65"/>
      <c r="I105" s="128"/>
      <c r="J105" s="65"/>
      <c r="K105" s="37"/>
      <c r="L105" s="37"/>
      <c r="M105" s="37"/>
      <c r="N105" s="37"/>
      <c r="O105" s="37"/>
      <c r="P105" s="37"/>
      <c r="Q105" s="37"/>
      <c r="R105" s="37"/>
      <c r="S105" s="37"/>
      <c r="T105" s="37"/>
      <c r="U105" s="3"/>
      <c r="W105" s="3"/>
      <c r="X105" s="3"/>
      <c r="Y105" s="3"/>
      <c r="Z105" s="3"/>
    </row>
    <row r="106" spans="1:26" ht="15.75" customHeight="1" outlineLevel="1" x14ac:dyDescent="0.3">
      <c r="A106" s="3"/>
      <c r="B106" s="91" t="s">
        <v>352</v>
      </c>
      <c r="C106" s="92"/>
      <c r="D106" s="92"/>
      <c r="E106" s="93">
        <f>SUM(E107:E110)</f>
        <v>0</v>
      </c>
      <c r="F106" s="93">
        <f>SUMIF(D107:D110,"OK",F107:F110)</f>
        <v>0</v>
      </c>
      <c r="G106" s="94"/>
      <c r="H106" s="94"/>
      <c r="I106" s="95"/>
      <c r="J106" s="94"/>
      <c r="K106" s="37"/>
      <c r="L106" s="37"/>
      <c r="M106" s="37"/>
      <c r="N106" s="37"/>
      <c r="O106" s="37"/>
      <c r="P106" s="37"/>
      <c r="Q106" s="37"/>
      <c r="R106" s="37"/>
      <c r="S106" s="37"/>
      <c r="T106" s="37"/>
      <c r="U106" s="3"/>
      <c r="W106" s="3"/>
      <c r="X106" s="3"/>
      <c r="Y106" s="3"/>
      <c r="Z106" s="3"/>
    </row>
    <row r="107" spans="1:26" ht="15.75" customHeight="1" outlineLevel="1" x14ac:dyDescent="0.3">
      <c r="A107" s="3"/>
      <c r="B107" s="10" t="s">
        <v>50</v>
      </c>
      <c r="C107" s="62"/>
      <c r="D107" s="62"/>
      <c r="E107" s="12">
        <v>0</v>
      </c>
      <c r="F107" s="12">
        <v>0</v>
      </c>
      <c r="G107" s="65"/>
      <c r="H107" s="65"/>
      <c r="I107" s="157"/>
      <c r="J107" s="65"/>
      <c r="K107" s="37"/>
      <c r="L107" s="37"/>
      <c r="M107" s="37"/>
      <c r="N107" s="37"/>
      <c r="O107" s="37"/>
      <c r="P107" s="37"/>
      <c r="Q107" s="37"/>
      <c r="R107" s="37"/>
      <c r="S107" s="37"/>
      <c r="T107" s="37"/>
      <c r="U107" s="3"/>
      <c r="W107" s="3"/>
      <c r="X107" s="3"/>
      <c r="Y107" s="3"/>
      <c r="Z107" s="3"/>
    </row>
    <row r="108" spans="1:26" ht="15.75" customHeight="1" outlineLevel="1" x14ac:dyDescent="0.3">
      <c r="A108" s="3"/>
      <c r="B108" s="10" t="s">
        <v>50</v>
      </c>
      <c r="C108" s="62"/>
      <c r="D108" s="62"/>
      <c r="E108" s="12">
        <v>0</v>
      </c>
      <c r="F108" s="12">
        <v>0</v>
      </c>
      <c r="G108" s="65"/>
      <c r="H108" s="65"/>
      <c r="I108" s="157"/>
      <c r="J108" s="65"/>
      <c r="K108" s="37"/>
      <c r="L108" s="37"/>
      <c r="M108" s="37"/>
      <c r="N108" s="37"/>
      <c r="O108" s="37"/>
      <c r="P108" s="37"/>
      <c r="Q108" s="37"/>
      <c r="R108" s="37"/>
      <c r="S108" s="37"/>
      <c r="T108" s="37"/>
      <c r="U108" s="3"/>
      <c r="W108" s="3"/>
      <c r="X108" s="3"/>
      <c r="Y108" s="3"/>
      <c r="Z108" s="3"/>
    </row>
    <row r="109" spans="1:26" ht="15.75" customHeight="1" outlineLevel="1" x14ac:dyDescent="0.3">
      <c r="A109" s="3"/>
      <c r="B109" s="10" t="s">
        <v>50</v>
      </c>
      <c r="C109" s="62"/>
      <c r="D109" s="62"/>
      <c r="E109" s="12">
        <v>0</v>
      </c>
      <c r="F109" s="12">
        <v>0</v>
      </c>
      <c r="G109" s="65"/>
      <c r="H109" s="65"/>
      <c r="I109" s="157"/>
      <c r="J109" s="65"/>
      <c r="K109" s="37"/>
      <c r="L109" s="37"/>
      <c r="M109" s="37"/>
      <c r="N109" s="37"/>
      <c r="O109" s="37"/>
      <c r="P109" s="37"/>
      <c r="Q109" s="37"/>
      <c r="R109" s="37"/>
      <c r="S109" s="37"/>
      <c r="T109" s="37"/>
      <c r="U109" s="3"/>
      <c r="W109" s="3"/>
      <c r="X109" s="3"/>
      <c r="Y109" s="3"/>
      <c r="Z109" s="3"/>
    </row>
    <row r="110" spans="1:26" ht="15.75" customHeight="1" outlineLevel="1" x14ac:dyDescent="0.3">
      <c r="A110" s="3"/>
      <c r="B110" s="10" t="s">
        <v>50</v>
      </c>
      <c r="C110" s="62"/>
      <c r="D110" s="62"/>
      <c r="E110" s="12">
        <v>0</v>
      </c>
      <c r="F110" s="12">
        <v>0</v>
      </c>
      <c r="G110" s="89"/>
      <c r="H110" s="65"/>
      <c r="I110" s="157"/>
      <c r="J110" s="65"/>
      <c r="K110" s="37"/>
      <c r="L110" s="37"/>
      <c r="M110" s="37"/>
      <c r="N110" s="37"/>
      <c r="O110" s="37"/>
      <c r="P110" s="37"/>
      <c r="Q110" s="37"/>
      <c r="R110" s="37"/>
      <c r="S110" s="37"/>
      <c r="T110" s="37"/>
      <c r="U110" s="3"/>
      <c r="W110" s="3"/>
      <c r="X110" s="3"/>
      <c r="Y110" s="3"/>
      <c r="Z110" s="3"/>
    </row>
    <row r="111" spans="1:26" ht="15.75" customHeight="1" outlineLevel="1" x14ac:dyDescent="0.3">
      <c r="A111" s="3"/>
      <c r="B111" s="91" t="s">
        <v>356</v>
      </c>
      <c r="C111" s="92"/>
      <c r="D111" s="92"/>
      <c r="E111" s="93">
        <f>SUM(E112:E114)</f>
        <v>0</v>
      </c>
      <c r="F111" s="93">
        <f>SUMIF(D112:D114,"OK",F112:F114)</f>
        <v>0</v>
      </c>
      <c r="G111" s="94"/>
      <c r="H111" s="94"/>
      <c r="I111" s="95"/>
      <c r="J111" s="94"/>
      <c r="K111" s="37"/>
      <c r="L111" s="37"/>
      <c r="M111" s="37"/>
      <c r="N111" s="37"/>
      <c r="O111" s="37"/>
      <c r="P111" s="37"/>
      <c r="Q111" s="37"/>
      <c r="R111" s="37"/>
      <c r="S111" s="37"/>
      <c r="T111" s="37"/>
      <c r="U111" s="3"/>
      <c r="W111" s="3"/>
      <c r="X111" s="3"/>
      <c r="Y111" s="3"/>
      <c r="Z111" s="3"/>
    </row>
    <row r="112" spans="1:26" ht="15.75" customHeight="1" outlineLevel="1" x14ac:dyDescent="0.3">
      <c r="A112" s="3"/>
      <c r="B112" s="10" t="s">
        <v>50</v>
      </c>
      <c r="C112" s="62"/>
      <c r="D112" s="62"/>
      <c r="E112" s="12">
        <v>0</v>
      </c>
      <c r="F112" s="12">
        <v>0</v>
      </c>
      <c r="G112" s="65"/>
      <c r="H112" s="65"/>
      <c r="I112" s="157"/>
      <c r="J112" s="65"/>
      <c r="K112" s="37"/>
      <c r="L112" s="37"/>
      <c r="M112" s="37"/>
      <c r="N112" s="37"/>
      <c r="O112" s="37"/>
      <c r="P112" s="37"/>
      <c r="Q112" s="37"/>
      <c r="R112" s="37"/>
      <c r="S112" s="37"/>
      <c r="T112" s="37"/>
      <c r="U112" s="3"/>
      <c r="W112" s="3"/>
      <c r="X112" s="3"/>
      <c r="Y112" s="3"/>
      <c r="Z112" s="3"/>
    </row>
    <row r="113" spans="1:26" ht="15.75" customHeight="1" outlineLevel="1" x14ac:dyDescent="0.3">
      <c r="A113" s="3"/>
      <c r="B113" s="10" t="s">
        <v>50</v>
      </c>
      <c r="C113" s="62"/>
      <c r="D113" s="62"/>
      <c r="E113" s="12">
        <v>0</v>
      </c>
      <c r="F113" s="12">
        <v>0</v>
      </c>
      <c r="G113" s="65"/>
      <c r="H113" s="65"/>
      <c r="I113" s="157"/>
      <c r="J113" s="65"/>
      <c r="K113" s="37"/>
      <c r="L113" s="37"/>
      <c r="M113" s="37"/>
      <c r="N113" s="37"/>
      <c r="O113" s="37"/>
      <c r="P113" s="37"/>
      <c r="Q113" s="37"/>
      <c r="R113" s="37"/>
      <c r="S113" s="37"/>
      <c r="T113" s="37"/>
      <c r="U113" s="3"/>
      <c r="W113" s="3"/>
      <c r="X113" s="3"/>
      <c r="Y113" s="3"/>
      <c r="Z113" s="3"/>
    </row>
    <row r="114" spans="1:26" ht="15.75" customHeight="1" outlineLevel="1" x14ac:dyDescent="0.3">
      <c r="A114" s="3"/>
      <c r="B114" s="10" t="s">
        <v>50</v>
      </c>
      <c r="C114" s="62"/>
      <c r="D114" s="62"/>
      <c r="E114" s="12">
        <v>0</v>
      </c>
      <c r="F114" s="12">
        <v>0</v>
      </c>
      <c r="G114" s="65"/>
      <c r="H114" s="65"/>
      <c r="I114" s="128"/>
      <c r="J114" s="65"/>
      <c r="K114" s="37"/>
      <c r="L114" s="37"/>
      <c r="M114" s="37"/>
      <c r="N114" s="37"/>
      <c r="O114" s="37"/>
      <c r="P114" s="37"/>
      <c r="Q114" s="37"/>
      <c r="R114" s="37"/>
      <c r="S114" s="37"/>
      <c r="T114" s="37"/>
      <c r="U114" s="3"/>
      <c r="W114" s="3"/>
      <c r="X114" s="3"/>
      <c r="Y114" s="3"/>
      <c r="Z114" s="3"/>
    </row>
    <row r="115" spans="1:26" ht="15.75" customHeight="1" x14ac:dyDescent="0.3">
      <c r="A115" s="3"/>
      <c r="B115" s="84" t="s">
        <v>357</v>
      </c>
      <c r="C115" s="85" t="s">
        <v>43</v>
      </c>
      <c r="D115" s="85" t="s">
        <v>43</v>
      </c>
      <c r="E115" s="86">
        <f t="shared" ref="E115:F115" si="1">SUM(E116,E122)</f>
        <v>0</v>
      </c>
      <c r="F115" s="86">
        <f t="shared" si="1"/>
        <v>0</v>
      </c>
      <c r="G115" s="87"/>
      <c r="H115" s="87"/>
      <c r="I115" s="88"/>
      <c r="J115" s="87"/>
      <c r="K115" s="37"/>
      <c r="L115" s="37"/>
      <c r="M115" s="37"/>
      <c r="N115" s="37"/>
      <c r="O115" s="37"/>
      <c r="P115" s="37"/>
      <c r="Q115" s="37"/>
      <c r="R115" s="37"/>
      <c r="S115" s="37"/>
      <c r="T115" s="37"/>
      <c r="U115" s="3"/>
      <c r="W115" s="3"/>
      <c r="X115" s="3"/>
      <c r="Y115" s="3"/>
      <c r="Z115" s="3"/>
    </row>
    <row r="116" spans="1:26" ht="15.75" customHeight="1" outlineLevel="1" x14ac:dyDescent="0.3">
      <c r="A116" s="3"/>
      <c r="B116" s="91" t="s">
        <v>1583</v>
      </c>
      <c r="C116" s="92"/>
      <c r="D116" s="92"/>
      <c r="E116" s="93">
        <f>SUM(E117:E121)</f>
        <v>0</v>
      </c>
      <c r="F116" s="93">
        <f>SUMIF(D117:D121,"OK",F117:F121)</f>
        <v>0</v>
      </c>
      <c r="G116" s="94"/>
      <c r="H116" s="94"/>
      <c r="I116" s="95"/>
      <c r="J116" s="94"/>
      <c r="K116" s="37"/>
      <c r="L116" s="37"/>
      <c r="M116" s="37"/>
      <c r="N116" s="37"/>
      <c r="O116" s="37"/>
      <c r="P116" s="37"/>
      <c r="Q116" s="37"/>
      <c r="R116" s="37"/>
      <c r="S116" s="37"/>
      <c r="T116" s="37"/>
      <c r="U116" s="3"/>
      <c r="W116" s="3"/>
      <c r="X116" s="3"/>
      <c r="Y116" s="3"/>
      <c r="Z116" s="3"/>
    </row>
    <row r="117" spans="1:26" ht="15.75" customHeight="1" outlineLevel="1" x14ac:dyDescent="0.3">
      <c r="A117" s="3"/>
      <c r="B117" s="10" t="s">
        <v>50</v>
      </c>
      <c r="C117" s="62"/>
      <c r="D117" s="62"/>
      <c r="E117" s="12">
        <v>0</v>
      </c>
      <c r="F117" s="12">
        <v>0</v>
      </c>
      <c r="G117" s="65"/>
      <c r="H117" s="65"/>
      <c r="I117" s="112"/>
      <c r="J117" s="65"/>
      <c r="K117" s="37"/>
      <c r="L117" s="37"/>
      <c r="M117" s="37"/>
      <c r="N117" s="37"/>
      <c r="O117" s="37"/>
      <c r="P117" s="37"/>
      <c r="Q117" s="37"/>
      <c r="R117" s="37"/>
      <c r="S117" s="37"/>
      <c r="T117" s="37"/>
      <c r="U117" s="3"/>
      <c r="W117" s="3"/>
      <c r="X117" s="3"/>
      <c r="Y117" s="3"/>
      <c r="Z117" s="3"/>
    </row>
    <row r="118" spans="1:26" ht="15.75" customHeight="1" outlineLevel="1" x14ac:dyDescent="0.3">
      <c r="A118" s="3"/>
      <c r="B118" s="10" t="s">
        <v>50</v>
      </c>
      <c r="C118" s="62"/>
      <c r="D118" s="62"/>
      <c r="E118" s="12">
        <v>0</v>
      </c>
      <c r="F118" s="12">
        <v>0</v>
      </c>
      <c r="G118" s="89"/>
      <c r="H118" s="65"/>
      <c r="I118" s="112"/>
      <c r="J118" s="65"/>
      <c r="K118" s="37"/>
      <c r="L118" s="37"/>
      <c r="M118" s="37"/>
      <c r="N118" s="37"/>
      <c r="O118" s="37"/>
      <c r="P118" s="37"/>
      <c r="Q118" s="37"/>
      <c r="R118" s="37"/>
      <c r="S118" s="37"/>
      <c r="T118" s="37"/>
      <c r="U118" s="3"/>
      <c r="W118" s="3"/>
      <c r="X118" s="3"/>
      <c r="Y118" s="3"/>
      <c r="Z118" s="3"/>
    </row>
    <row r="119" spans="1:26" ht="15.75" customHeight="1" outlineLevel="1" x14ac:dyDescent="0.3">
      <c r="A119" s="3"/>
      <c r="B119" s="10" t="s">
        <v>50</v>
      </c>
      <c r="C119" s="62"/>
      <c r="D119" s="62"/>
      <c r="E119" s="12">
        <v>0</v>
      </c>
      <c r="F119" s="12">
        <v>0</v>
      </c>
      <c r="G119" s="89"/>
      <c r="H119" s="65"/>
      <c r="I119" s="156"/>
      <c r="J119" s="65"/>
      <c r="K119" s="37"/>
      <c r="L119" s="37"/>
      <c r="M119" s="37"/>
      <c r="N119" s="37"/>
      <c r="O119" s="37"/>
      <c r="P119" s="37"/>
      <c r="Q119" s="37"/>
      <c r="R119" s="37"/>
      <c r="S119" s="37"/>
      <c r="T119" s="37"/>
      <c r="U119" s="3"/>
      <c r="W119" s="3"/>
      <c r="X119" s="3"/>
      <c r="Y119" s="3"/>
      <c r="Z119" s="3"/>
    </row>
    <row r="120" spans="1:26" ht="15.75" customHeight="1" outlineLevel="1" x14ac:dyDescent="0.3">
      <c r="A120" s="3"/>
      <c r="B120" s="10" t="s">
        <v>50</v>
      </c>
      <c r="C120" s="62"/>
      <c r="D120" s="62"/>
      <c r="E120" s="12">
        <v>0</v>
      </c>
      <c r="F120" s="12">
        <v>0</v>
      </c>
      <c r="G120" s="65"/>
      <c r="H120" s="65"/>
      <c r="I120" s="156"/>
      <c r="J120" s="65"/>
      <c r="K120" s="37"/>
      <c r="L120" s="37"/>
      <c r="M120" s="37"/>
      <c r="N120" s="37"/>
      <c r="O120" s="37"/>
      <c r="P120" s="37"/>
      <c r="Q120" s="37"/>
      <c r="R120" s="37"/>
      <c r="S120" s="37"/>
      <c r="T120" s="37"/>
      <c r="U120" s="3"/>
      <c r="W120" s="3"/>
      <c r="X120" s="3"/>
      <c r="Y120" s="3"/>
      <c r="Z120" s="3"/>
    </row>
    <row r="121" spans="1:26" ht="15.75" customHeight="1" outlineLevel="1" x14ac:dyDescent="0.3">
      <c r="A121" s="3"/>
      <c r="B121" s="10" t="s">
        <v>50</v>
      </c>
      <c r="C121" s="62"/>
      <c r="D121" s="62"/>
      <c r="E121" s="12">
        <v>0</v>
      </c>
      <c r="F121" s="12">
        <v>0</v>
      </c>
      <c r="G121" s="65"/>
      <c r="H121" s="65"/>
      <c r="I121" s="156"/>
      <c r="J121" s="65"/>
      <c r="K121" s="37"/>
      <c r="L121" s="37"/>
      <c r="M121" s="37"/>
      <c r="N121" s="37"/>
      <c r="O121" s="37"/>
      <c r="P121" s="37"/>
      <c r="Q121" s="37"/>
      <c r="R121" s="37"/>
      <c r="S121" s="37"/>
      <c r="T121" s="37"/>
      <c r="U121" s="3"/>
      <c r="W121" s="3"/>
      <c r="X121" s="3"/>
      <c r="Y121" s="3"/>
      <c r="Z121" s="3"/>
    </row>
    <row r="122" spans="1:26" ht="15.75" customHeight="1" outlineLevel="1" x14ac:dyDescent="0.3">
      <c r="A122" s="3"/>
      <c r="B122" s="91" t="s">
        <v>632</v>
      </c>
      <c r="C122" s="92"/>
      <c r="D122" s="92"/>
      <c r="E122" s="93">
        <f>SUM(E123:E140)</f>
        <v>0</v>
      </c>
      <c r="F122" s="93">
        <f>SUMIF(D123:D140,"OK",F123:F140)</f>
        <v>0</v>
      </c>
      <c r="G122" s="94"/>
      <c r="H122" s="94"/>
      <c r="I122" s="95"/>
      <c r="J122" s="94"/>
      <c r="K122" s="37"/>
      <c r="L122" s="37"/>
      <c r="M122" s="37"/>
      <c r="N122" s="37"/>
      <c r="O122" s="37"/>
      <c r="P122" s="37"/>
      <c r="Q122" s="37"/>
      <c r="R122" s="37"/>
      <c r="S122" s="37"/>
      <c r="T122" s="37"/>
      <c r="U122" s="3"/>
      <c r="W122" s="3"/>
      <c r="X122" s="3"/>
      <c r="Y122" s="3"/>
      <c r="Z122" s="3"/>
    </row>
    <row r="123" spans="1:26" ht="15.75" customHeight="1" outlineLevel="1" x14ac:dyDescent="0.3">
      <c r="A123" s="3"/>
      <c r="B123" s="10" t="s">
        <v>1584</v>
      </c>
      <c r="C123" s="62"/>
      <c r="D123" s="62"/>
      <c r="E123" s="12">
        <v>0</v>
      </c>
      <c r="F123" s="12">
        <v>0</v>
      </c>
      <c r="G123" s="65"/>
      <c r="H123" s="65"/>
      <c r="I123" s="112"/>
      <c r="J123" s="65"/>
      <c r="K123" s="37"/>
      <c r="L123" s="37"/>
      <c r="M123" s="37"/>
      <c r="N123" s="37"/>
      <c r="O123" s="37"/>
      <c r="P123" s="37"/>
      <c r="Q123" s="37"/>
      <c r="R123" s="37"/>
      <c r="S123" s="37"/>
      <c r="T123" s="37"/>
      <c r="U123" s="3"/>
      <c r="W123" s="3"/>
      <c r="X123" s="3"/>
      <c r="Y123" s="3"/>
      <c r="Z123" s="3"/>
    </row>
    <row r="124" spans="1:26" ht="15.75" customHeight="1" outlineLevel="1" x14ac:dyDescent="0.3">
      <c r="A124" s="3"/>
      <c r="B124" s="10" t="s">
        <v>1584</v>
      </c>
      <c r="C124" s="62"/>
      <c r="D124" s="62"/>
      <c r="E124" s="12">
        <v>0</v>
      </c>
      <c r="F124" s="12">
        <v>0</v>
      </c>
      <c r="G124" s="89"/>
      <c r="H124" s="65"/>
      <c r="I124" s="112"/>
      <c r="J124" s="65"/>
      <c r="K124" s="37"/>
      <c r="L124" s="37"/>
      <c r="M124" s="37"/>
      <c r="N124" s="37"/>
      <c r="O124" s="37"/>
      <c r="P124" s="37"/>
      <c r="Q124" s="37"/>
      <c r="R124" s="37"/>
      <c r="S124" s="37"/>
      <c r="T124" s="37"/>
      <c r="U124" s="3"/>
      <c r="W124" s="3"/>
      <c r="X124" s="3"/>
      <c r="Y124" s="3"/>
      <c r="Z124" s="3"/>
    </row>
    <row r="125" spans="1:26" ht="15.75" customHeight="1" outlineLevel="1" x14ac:dyDescent="0.3">
      <c r="A125" s="3"/>
      <c r="B125" s="10" t="s">
        <v>1584</v>
      </c>
      <c r="C125" s="62"/>
      <c r="D125" s="62"/>
      <c r="E125" s="12">
        <v>0</v>
      </c>
      <c r="F125" s="12">
        <v>0</v>
      </c>
      <c r="G125" s="89"/>
      <c r="H125" s="65"/>
      <c r="I125" s="156"/>
      <c r="J125" s="65"/>
      <c r="K125" s="37"/>
      <c r="L125" s="37"/>
      <c r="M125" s="37"/>
      <c r="N125" s="37"/>
      <c r="O125" s="37"/>
      <c r="P125" s="37"/>
      <c r="Q125" s="37"/>
      <c r="R125" s="37"/>
      <c r="S125" s="37"/>
      <c r="T125" s="37"/>
      <c r="U125" s="3"/>
      <c r="W125" s="3"/>
      <c r="X125" s="3"/>
      <c r="Y125" s="3"/>
      <c r="Z125" s="3"/>
    </row>
    <row r="126" spans="1:26" ht="15.75" customHeight="1" outlineLevel="1" x14ac:dyDescent="0.3">
      <c r="A126" s="3"/>
      <c r="B126" s="10" t="s">
        <v>1584</v>
      </c>
      <c r="C126" s="62"/>
      <c r="D126" s="62"/>
      <c r="E126" s="12">
        <v>0</v>
      </c>
      <c r="F126" s="12">
        <v>0</v>
      </c>
      <c r="G126" s="65"/>
      <c r="H126" s="65"/>
      <c r="I126" s="156"/>
      <c r="J126" s="65"/>
      <c r="K126" s="37"/>
      <c r="L126" s="37"/>
      <c r="M126" s="37"/>
      <c r="N126" s="37"/>
      <c r="O126" s="37"/>
      <c r="P126" s="37"/>
      <c r="Q126" s="37"/>
      <c r="R126" s="37"/>
      <c r="S126" s="37"/>
      <c r="T126" s="37"/>
      <c r="U126" s="3"/>
      <c r="W126" s="3"/>
      <c r="X126" s="3"/>
      <c r="Y126" s="3"/>
      <c r="Z126" s="3"/>
    </row>
    <row r="127" spans="1:26" ht="15.75" customHeight="1" outlineLevel="1" x14ac:dyDescent="0.3">
      <c r="A127" s="3"/>
      <c r="B127" s="10" t="s">
        <v>1584</v>
      </c>
      <c r="C127" s="62"/>
      <c r="D127" s="62"/>
      <c r="E127" s="12">
        <v>0</v>
      </c>
      <c r="F127" s="12">
        <v>0</v>
      </c>
      <c r="G127" s="65"/>
      <c r="H127" s="65"/>
      <c r="I127" s="156"/>
      <c r="J127" s="65"/>
      <c r="K127" s="37"/>
      <c r="L127" s="37"/>
      <c r="M127" s="37"/>
      <c r="N127" s="37"/>
      <c r="O127" s="37"/>
      <c r="P127" s="37"/>
      <c r="Q127" s="37"/>
      <c r="R127" s="37"/>
      <c r="S127" s="37"/>
      <c r="T127" s="37"/>
      <c r="U127" s="3"/>
      <c r="W127" s="3"/>
      <c r="X127" s="3"/>
      <c r="Y127" s="3"/>
      <c r="Z127" s="3"/>
    </row>
    <row r="128" spans="1:26" ht="15.75" customHeight="1" outlineLevel="1" x14ac:dyDescent="0.3">
      <c r="A128" s="3"/>
      <c r="B128" s="10" t="s">
        <v>50</v>
      </c>
      <c r="C128" s="62"/>
      <c r="D128" s="62"/>
      <c r="E128" s="12">
        <v>0</v>
      </c>
      <c r="F128" s="12">
        <v>0</v>
      </c>
      <c r="G128" s="65"/>
      <c r="H128" s="65"/>
      <c r="I128" s="156"/>
      <c r="J128" s="65"/>
      <c r="K128" s="37"/>
      <c r="L128" s="37"/>
      <c r="M128" s="37"/>
      <c r="N128" s="37"/>
      <c r="O128" s="37"/>
      <c r="P128" s="37"/>
      <c r="Q128" s="37"/>
      <c r="R128" s="37"/>
      <c r="S128" s="37"/>
      <c r="T128" s="37"/>
      <c r="U128" s="3"/>
      <c r="W128" s="3"/>
      <c r="X128" s="3"/>
      <c r="Y128" s="3"/>
      <c r="Z128" s="3"/>
    </row>
    <row r="129" spans="1:26" ht="15.75" customHeight="1" outlineLevel="1" x14ac:dyDescent="0.3">
      <c r="A129" s="3"/>
      <c r="B129" s="10" t="s">
        <v>50</v>
      </c>
      <c r="C129" s="62"/>
      <c r="D129" s="62"/>
      <c r="E129" s="12">
        <v>0</v>
      </c>
      <c r="F129" s="12">
        <v>0</v>
      </c>
      <c r="G129" s="65"/>
      <c r="H129" s="65"/>
      <c r="I129" s="156"/>
      <c r="J129" s="65"/>
      <c r="K129" s="37"/>
      <c r="L129" s="37"/>
      <c r="M129" s="37"/>
      <c r="N129" s="37"/>
      <c r="O129" s="37"/>
      <c r="P129" s="37"/>
      <c r="Q129" s="37"/>
      <c r="R129" s="37"/>
      <c r="S129" s="37"/>
      <c r="T129" s="37"/>
      <c r="U129" s="3"/>
      <c r="W129" s="3"/>
      <c r="X129" s="3"/>
      <c r="Y129" s="3"/>
      <c r="Z129" s="3"/>
    </row>
    <row r="130" spans="1:26" ht="15.75" customHeight="1" outlineLevel="1" x14ac:dyDescent="0.3">
      <c r="A130" s="3"/>
      <c r="B130" s="10" t="s">
        <v>50</v>
      </c>
      <c r="C130" s="62"/>
      <c r="D130" s="62"/>
      <c r="E130" s="12">
        <v>0</v>
      </c>
      <c r="F130" s="12">
        <v>0</v>
      </c>
      <c r="G130" s="65"/>
      <c r="H130" s="65"/>
      <c r="I130" s="157"/>
      <c r="J130" s="65"/>
      <c r="K130" s="37"/>
      <c r="L130" s="37"/>
      <c r="M130" s="37"/>
      <c r="N130" s="37"/>
      <c r="O130" s="37"/>
      <c r="P130" s="37"/>
      <c r="Q130" s="37"/>
      <c r="R130" s="37"/>
      <c r="S130" s="37"/>
      <c r="T130" s="37"/>
      <c r="U130" s="3"/>
      <c r="W130" s="3"/>
      <c r="X130" s="3"/>
      <c r="Y130" s="3"/>
      <c r="Z130" s="3"/>
    </row>
    <row r="131" spans="1:26" ht="15.75" customHeight="1" outlineLevel="1" x14ac:dyDescent="0.3">
      <c r="A131" s="3"/>
      <c r="B131" s="10" t="s">
        <v>50</v>
      </c>
      <c r="C131" s="62"/>
      <c r="D131" s="62"/>
      <c r="E131" s="12">
        <v>0</v>
      </c>
      <c r="F131" s="12">
        <v>0</v>
      </c>
      <c r="G131" s="65"/>
      <c r="H131" s="65"/>
      <c r="I131" s="157"/>
      <c r="J131" s="65"/>
      <c r="K131" s="37"/>
      <c r="L131" s="37"/>
      <c r="M131" s="37"/>
      <c r="N131" s="37"/>
      <c r="O131" s="37"/>
      <c r="P131" s="37"/>
      <c r="Q131" s="37"/>
      <c r="R131" s="37"/>
      <c r="S131" s="37"/>
      <c r="T131" s="37"/>
      <c r="U131" s="3"/>
      <c r="W131" s="3"/>
      <c r="X131" s="3"/>
      <c r="Y131" s="3"/>
      <c r="Z131" s="3"/>
    </row>
    <row r="132" spans="1:26" ht="15.75" customHeight="1" outlineLevel="1" x14ac:dyDescent="0.3">
      <c r="A132" s="3"/>
      <c r="B132" s="10" t="s">
        <v>50</v>
      </c>
      <c r="C132" s="62"/>
      <c r="D132" s="62"/>
      <c r="E132" s="12">
        <v>0</v>
      </c>
      <c r="F132" s="12">
        <v>0</v>
      </c>
      <c r="G132" s="65"/>
      <c r="H132" s="65"/>
      <c r="I132" s="157"/>
      <c r="J132" s="65"/>
      <c r="K132" s="37"/>
      <c r="L132" s="37"/>
      <c r="M132" s="37"/>
      <c r="N132" s="37"/>
      <c r="O132" s="37"/>
      <c r="P132" s="37"/>
      <c r="Q132" s="37"/>
      <c r="R132" s="37"/>
      <c r="S132" s="37"/>
      <c r="T132" s="37"/>
      <c r="U132" s="3"/>
      <c r="W132" s="3"/>
      <c r="X132" s="3"/>
      <c r="Y132" s="3"/>
      <c r="Z132" s="3"/>
    </row>
    <row r="133" spans="1:26" ht="15.75" customHeight="1" outlineLevel="1" x14ac:dyDescent="0.3">
      <c r="A133" s="3"/>
      <c r="B133" s="10" t="s">
        <v>50</v>
      </c>
      <c r="C133" s="62"/>
      <c r="D133" s="62"/>
      <c r="E133" s="12">
        <v>0</v>
      </c>
      <c r="F133" s="12">
        <v>0</v>
      </c>
      <c r="G133" s="65"/>
      <c r="H133" s="65"/>
      <c r="I133" s="158"/>
      <c r="J133" s="65"/>
      <c r="K133" s="37"/>
      <c r="L133" s="37"/>
      <c r="M133" s="37"/>
      <c r="N133" s="37"/>
      <c r="O133" s="37"/>
      <c r="P133" s="37"/>
      <c r="Q133" s="37"/>
      <c r="R133" s="37"/>
      <c r="S133" s="37"/>
      <c r="T133" s="37"/>
      <c r="U133" s="3"/>
      <c r="W133" s="3"/>
      <c r="X133" s="3"/>
      <c r="Y133" s="3"/>
      <c r="Z133" s="3"/>
    </row>
    <row r="134" spans="1:26" ht="15.75" customHeight="1" outlineLevel="1" x14ac:dyDescent="0.3">
      <c r="A134" s="3"/>
      <c r="B134" s="10" t="s">
        <v>50</v>
      </c>
      <c r="C134" s="62"/>
      <c r="D134" s="62"/>
      <c r="E134" s="12">
        <v>0</v>
      </c>
      <c r="F134" s="12">
        <v>0</v>
      </c>
      <c r="G134" s="65"/>
      <c r="H134" s="65"/>
      <c r="I134" s="157"/>
      <c r="J134" s="65"/>
      <c r="K134" s="37"/>
      <c r="L134" s="37"/>
      <c r="M134" s="37"/>
      <c r="N134" s="37"/>
      <c r="O134" s="37"/>
      <c r="P134" s="37"/>
      <c r="Q134" s="37"/>
      <c r="R134" s="37"/>
      <c r="S134" s="37"/>
      <c r="T134" s="37"/>
      <c r="U134" s="3"/>
      <c r="W134" s="3"/>
      <c r="X134" s="3"/>
      <c r="Y134" s="3"/>
      <c r="Z134" s="3"/>
    </row>
    <row r="135" spans="1:26" ht="15.75" customHeight="1" outlineLevel="1" x14ac:dyDescent="0.3">
      <c r="A135" s="3"/>
      <c r="B135" s="10" t="s">
        <v>50</v>
      </c>
      <c r="C135" s="62"/>
      <c r="D135" s="62"/>
      <c r="E135" s="12">
        <v>0</v>
      </c>
      <c r="F135" s="12">
        <v>0</v>
      </c>
      <c r="G135" s="65"/>
      <c r="H135" s="65"/>
      <c r="I135" s="157"/>
      <c r="J135" s="65"/>
      <c r="K135" s="37"/>
      <c r="L135" s="37"/>
      <c r="M135" s="37"/>
      <c r="N135" s="37"/>
      <c r="O135" s="37"/>
      <c r="P135" s="37"/>
      <c r="Q135" s="37"/>
      <c r="R135" s="37"/>
      <c r="S135" s="37"/>
      <c r="T135" s="37"/>
      <c r="U135" s="3"/>
      <c r="W135" s="3"/>
      <c r="X135" s="3"/>
      <c r="Y135" s="3"/>
      <c r="Z135" s="3"/>
    </row>
    <row r="136" spans="1:26" ht="15.75" customHeight="1" outlineLevel="1" x14ac:dyDescent="0.3">
      <c r="A136" s="3"/>
      <c r="B136" s="10" t="s">
        <v>50</v>
      </c>
      <c r="C136" s="62"/>
      <c r="D136" s="62"/>
      <c r="E136" s="12">
        <v>0</v>
      </c>
      <c r="F136" s="12">
        <v>0</v>
      </c>
      <c r="G136" s="65"/>
      <c r="H136" s="65"/>
      <c r="I136" s="157"/>
      <c r="J136" s="65"/>
      <c r="K136" s="37"/>
      <c r="L136" s="37"/>
      <c r="M136" s="37"/>
      <c r="N136" s="37"/>
      <c r="O136" s="37"/>
      <c r="P136" s="37"/>
      <c r="Q136" s="37"/>
      <c r="R136" s="37"/>
      <c r="S136" s="37"/>
      <c r="T136" s="37"/>
      <c r="U136" s="3"/>
      <c r="W136" s="3"/>
      <c r="X136" s="3"/>
      <c r="Y136" s="3"/>
      <c r="Z136" s="3"/>
    </row>
    <row r="137" spans="1:26" ht="15.75" customHeight="1" outlineLevel="1" x14ac:dyDescent="0.3">
      <c r="A137" s="3"/>
      <c r="B137" s="10" t="s">
        <v>50</v>
      </c>
      <c r="C137" s="62"/>
      <c r="D137" s="62"/>
      <c r="E137" s="12">
        <v>0</v>
      </c>
      <c r="F137" s="12">
        <v>0</v>
      </c>
      <c r="G137" s="65"/>
      <c r="H137" s="65"/>
      <c r="I137" s="157"/>
      <c r="J137" s="65"/>
      <c r="K137" s="37"/>
      <c r="L137" s="37"/>
      <c r="M137" s="37"/>
      <c r="N137" s="37"/>
      <c r="O137" s="37"/>
      <c r="P137" s="37"/>
      <c r="Q137" s="37"/>
      <c r="R137" s="37"/>
      <c r="S137" s="37"/>
      <c r="T137" s="37"/>
      <c r="U137" s="3"/>
      <c r="W137" s="3"/>
      <c r="X137" s="3"/>
      <c r="Y137" s="3"/>
      <c r="Z137" s="3"/>
    </row>
    <row r="138" spans="1:26" ht="15.75" customHeight="1" outlineLevel="1" x14ac:dyDescent="0.3">
      <c r="A138" s="3"/>
      <c r="B138" s="10" t="s">
        <v>50</v>
      </c>
      <c r="C138" s="62"/>
      <c r="D138" s="62"/>
      <c r="E138" s="12">
        <v>0</v>
      </c>
      <c r="F138" s="12">
        <v>0</v>
      </c>
      <c r="G138" s="65"/>
      <c r="H138" s="65"/>
      <c r="I138" s="157"/>
      <c r="J138" s="65"/>
      <c r="K138" s="37"/>
      <c r="L138" s="37"/>
      <c r="M138" s="37"/>
      <c r="N138" s="37"/>
      <c r="O138" s="37"/>
      <c r="P138" s="37"/>
      <c r="Q138" s="37"/>
      <c r="R138" s="37"/>
      <c r="S138" s="37"/>
      <c r="T138" s="37"/>
      <c r="U138" s="3"/>
      <c r="W138" s="3"/>
      <c r="X138" s="3"/>
      <c r="Y138" s="3"/>
      <c r="Z138" s="3"/>
    </row>
    <row r="139" spans="1:26" ht="15.75" customHeight="1" outlineLevel="1" x14ac:dyDescent="0.3">
      <c r="A139" s="3"/>
      <c r="B139" s="10" t="s">
        <v>50</v>
      </c>
      <c r="C139" s="62"/>
      <c r="D139" s="62"/>
      <c r="E139" s="12">
        <v>0</v>
      </c>
      <c r="F139" s="12">
        <v>0</v>
      </c>
      <c r="G139" s="65"/>
      <c r="H139" s="65"/>
      <c r="I139" s="157"/>
      <c r="J139" s="65"/>
      <c r="K139" s="37"/>
      <c r="L139" s="37"/>
      <c r="M139" s="37"/>
      <c r="N139" s="37"/>
      <c r="O139" s="37"/>
      <c r="P139" s="37"/>
      <c r="Q139" s="37"/>
      <c r="R139" s="37"/>
      <c r="S139" s="37"/>
      <c r="T139" s="37"/>
      <c r="U139" s="3"/>
      <c r="W139" s="3"/>
      <c r="X139" s="3"/>
      <c r="Y139" s="3"/>
      <c r="Z139" s="3"/>
    </row>
    <row r="140" spans="1:26" ht="15.75" customHeight="1" outlineLevel="1" x14ac:dyDescent="0.3">
      <c r="A140" s="3"/>
      <c r="B140" s="10" t="s">
        <v>50</v>
      </c>
      <c r="C140" s="62"/>
      <c r="D140" s="62"/>
      <c r="E140" s="12">
        <v>0</v>
      </c>
      <c r="F140" s="12">
        <v>0</v>
      </c>
      <c r="G140" s="65"/>
      <c r="H140" s="65"/>
      <c r="I140" s="157"/>
      <c r="J140" s="65"/>
      <c r="K140" s="37"/>
      <c r="L140" s="37"/>
      <c r="M140" s="37"/>
      <c r="N140" s="37"/>
      <c r="O140" s="37"/>
      <c r="P140" s="37"/>
      <c r="Q140" s="37"/>
      <c r="R140" s="37"/>
      <c r="S140" s="37"/>
      <c r="T140" s="37"/>
      <c r="U140" s="3"/>
      <c r="W140" s="3"/>
      <c r="X140" s="3"/>
      <c r="Y140" s="3"/>
      <c r="Z140" s="3"/>
    </row>
    <row r="141" spans="1:26" ht="15.75" customHeight="1" x14ac:dyDescent="0.3">
      <c r="A141" s="3"/>
      <c r="B141" s="84" t="s">
        <v>87</v>
      </c>
      <c r="C141" s="85" t="s">
        <v>43</v>
      </c>
      <c r="D141" s="85" t="s">
        <v>43</v>
      </c>
      <c r="E141" s="86">
        <f>SUM(E142:E150)</f>
        <v>0</v>
      </c>
      <c r="F141" s="86">
        <f>SUMIF(D142:D150,"OK",F142:F150)</f>
        <v>0</v>
      </c>
      <c r="G141" s="87"/>
      <c r="H141" s="87"/>
      <c r="I141" s="88"/>
      <c r="J141" s="87"/>
      <c r="K141" s="37"/>
      <c r="L141" s="37"/>
      <c r="M141" s="37"/>
      <c r="N141" s="37"/>
      <c r="O141" s="37"/>
      <c r="P141" s="37"/>
      <c r="Q141" s="37"/>
      <c r="R141" s="37"/>
      <c r="S141" s="37"/>
      <c r="T141" s="37"/>
      <c r="U141" s="3"/>
      <c r="W141" s="3"/>
      <c r="X141" s="3"/>
      <c r="Y141" s="3"/>
      <c r="Z141" s="3"/>
    </row>
    <row r="142" spans="1:26" ht="15.75" customHeight="1" outlineLevel="1" x14ac:dyDescent="0.3">
      <c r="A142" s="3"/>
      <c r="B142" s="10" t="s">
        <v>353</v>
      </c>
      <c r="C142" s="80"/>
      <c r="D142" s="62"/>
      <c r="E142" s="12">
        <v>0</v>
      </c>
      <c r="F142" s="12">
        <v>0</v>
      </c>
      <c r="G142" s="89"/>
      <c r="H142" s="65"/>
      <c r="I142" s="157"/>
      <c r="J142" s="89"/>
      <c r="K142" s="37"/>
      <c r="L142" s="37"/>
      <c r="M142" s="37"/>
      <c r="N142" s="37"/>
      <c r="O142" s="37"/>
      <c r="P142" s="37"/>
      <c r="Q142" s="37"/>
      <c r="R142" s="37"/>
      <c r="S142" s="37"/>
      <c r="T142" s="37"/>
      <c r="U142" s="3"/>
      <c r="W142" s="3"/>
      <c r="X142" s="3"/>
      <c r="Y142" s="3"/>
      <c r="Z142" s="3"/>
    </row>
    <row r="143" spans="1:26" ht="15.75" customHeight="1" outlineLevel="1" x14ac:dyDescent="0.3">
      <c r="A143" s="3"/>
      <c r="B143" s="10" t="s">
        <v>354</v>
      </c>
      <c r="C143" s="62"/>
      <c r="D143" s="62"/>
      <c r="E143" s="12">
        <v>0</v>
      </c>
      <c r="F143" s="12">
        <v>0</v>
      </c>
      <c r="G143" s="89"/>
      <c r="H143" s="65"/>
      <c r="I143" s="157"/>
      <c r="J143" s="65"/>
      <c r="K143" s="37"/>
      <c r="L143" s="37"/>
      <c r="M143" s="37"/>
      <c r="N143" s="37"/>
      <c r="O143" s="37"/>
      <c r="P143" s="37"/>
      <c r="Q143" s="37"/>
      <c r="R143" s="37"/>
      <c r="S143" s="37"/>
      <c r="T143" s="37"/>
      <c r="U143" s="3"/>
      <c r="W143" s="3"/>
      <c r="X143" s="3"/>
      <c r="Y143" s="3"/>
      <c r="Z143" s="3"/>
    </row>
    <row r="144" spans="1:26" ht="15.75" customHeight="1" outlineLevel="1" x14ac:dyDescent="0.3">
      <c r="A144" s="3"/>
      <c r="B144" s="10" t="s">
        <v>355</v>
      </c>
      <c r="C144" s="62"/>
      <c r="D144" s="62"/>
      <c r="E144" s="12">
        <v>0</v>
      </c>
      <c r="F144" s="12">
        <v>0</v>
      </c>
      <c r="G144" s="65"/>
      <c r="H144" s="65"/>
      <c r="I144" s="89"/>
      <c r="J144" s="65"/>
      <c r="K144" s="37"/>
      <c r="L144" s="37"/>
      <c r="M144" s="37"/>
      <c r="N144" s="37"/>
      <c r="O144" s="37"/>
      <c r="P144" s="37"/>
      <c r="Q144" s="37"/>
      <c r="R144" s="37"/>
      <c r="S144" s="37"/>
      <c r="T144" s="37"/>
      <c r="U144" s="3"/>
      <c r="W144" s="3"/>
      <c r="X144" s="3"/>
      <c r="Y144" s="3"/>
      <c r="Z144" s="3"/>
    </row>
    <row r="145" spans="1:26" ht="15.75" customHeight="1" outlineLevel="1" x14ac:dyDescent="0.3">
      <c r="A145" s="3"/>
      <c r="B145" s="10" t="s">
        <v>369</v>
      </c>
      <c r="C145" s="62"/>
      <c r="D145" s="62"/>
      <c r="E145" s="12">
        <v>0</v>
      </c>
      <c r="F145" s="12">
        <v>0</v>
      </c>
      <c r="G145" s="65"/>
      <c r="H145" s="65"/>
      <c r="I145" s="89"/>
      <c r="J145" s="65"/>
      <c r="K145" s="37"/>
      <c r="L145" s="37"/>
      <c r="M145" s="37"/>
      <c r="N145" s="37"/>
      <c r="O145" s="37"/>
      <c r="P145" s="37"/>
      <c r="Q145" s="37"/>
      <c r="R145" s="37"/>
      <c r="S145" s="37"/>
      <c r="T145" s="37"/>
      <c r="U145" s="3"/>
      <c r="W145" s="3"/>
      <c r="X145" s="3"/>
      <c r="Y145" s="3"/>
      <c r="Z145" s="3"/>
    </row>
    <row r="146" spans="1:26" ht="15.75" customHeight="1" outlineLevel="1" x14ac:dyDescent="0.3">
      <c r="A146" s="3"/>
      <c r="B146" s="10" t="s">
        <v>327</v>
      </c>
      <c r="C146" s="62"/>
      <c r="D146" s="62"/>
      <c r="E146" s="12">
        <v>0</v>
      </c>
      <c r="F146" s="12">
        <v>0</v>
      </c>
      <c r="G146" s="65"/>
      <c r="H146" s="65"/>
      <c r="I146" s="89"/>
      <c r="J146" s="65"/>
      <c r="K146" s="37"/>
      <c r="L146" s="37"/>
      <c r="M146" s="37"/>
      <c r="N146" s="37"/>
      <c r="O146" s="37"/>
      <c r="P146" s="37"/>
      <c r="Q146" s="37"/>
      <c r="R146" s="37"/>
      <c r="S146" s="37"/>
      <c r="T146" s="37"/>
      <c r="U146" s="3"/>
      <c r="W146" s="3"/>
      <c r="X146" s="3"/>
      <c r="Y146" s="3"/>
      <c r="Z146" s="3"/>
    </row>
    <row r="147" spans="1:26" ht="15.75" customHeight="1" outlineLevel="1" x14ac:dyDescent="0.3">
      <c r="A147" s="3"/>
      <c r="B147" s="10" t="s">
        <v>328</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5.75" customHeight="1" outlineLevel="1" x14ac:dyDescent="0.3">
      <c r="A148" s="3"/>
      <c r="B148" s="10" t="s">
        <v>370</v>
      </c>
      <c r="C148" s="62"/>
      <c r="D148" s="62"/>
      <c r="E148" s="12">
        <v>0</v>
      </c>
      <c r="F148" s="12">
        <v>0</v>
      </c>
      <c r="G148" s="65"/>
      <c r="H148" s="65"/>
      <c r="I148" s="89"/>
      <c r="J148" s="65"/>
      <c r="K148" s="37"/>
      <c r="L148" s="37"/>
      <c r="M148" s="37"/>
      <c r="N148" s="37"/>
      <c r="O148" s="37"/>
      <c r="P148" s="37"/>
      <c r="Q148" s="37"/>
      <c r="R148" s="37"/>
      <c r="S148" s="37"/>
      <c r="T148" s="37"/>
      <c r="U148" s="3"/>
      <c r="W148" s="3"/>
      <c r="X148" s="3"/>
      <c r="Y148" s="3"/>
      <c r="Z148" s="3"/>
    </row>
    <row r="149" spans="1:26" ht="15.75" customHeight="1" outlineLevel="1" x14ac:dyDescent="0.3">
      <c r="A149" s="3"/>
      <c r="B149" s="10" t="s">
        <v>371</v>
      </c>
      <c r="C149" s="62"/>
      <c r="D149" s="62"/>
      <c r="E149" s="12">
        <v>0</v>
      </c>
      <c r="F149" s="12">
        <v>0</v>
      </c>
      <c r="G149" s="65"/>
      <c r="H149" s="65"/>
      <c r="I149" s="89"/>
      <c r="J149" s="65"/>
      <c r="K149" s="37"/>
      <c r="L149" s="37"/>
      <c r="M149" s="37"/>
      <c r="N149" s="37"/>
      <c r="O149" s="37"/>
      <c r="P149" s="37"/>
      <c r="Q149" s="37"/>
      <c r="R149" s="37"/>
      <c r="S149" s="37"/>
      <c r="T149" s="37"/>
      <c r="U149" s="3"/>
      <c r="W149" s="3"/>
      <c r="X149" s="3"/>
      <c r="Y149" s="3"/>
      <c r="Z149" s="3"/>
    </row>
    <row r="150" spans="1:26" ht="15.75" customHeight="1" outlineLevel="1" x14ac:dyDescent="0.3">
      <c r="A150" s="3"/>
      <c r="B150" s="10" t="s">
        <v>372</v>
      </c>
      <c r="C150" s="62"/>
      <c r="D150" s="62"/>
      <c r="E150" s="12">
        <v>0</v>
      </c>
      <c r="F150" s="12">
        <v>0</v>
      </c>
      <c r="G150" s="65"/>
      <c r="H150" s="65"/>
      <c r="I150" s="89"/>
      <c r="J150" s="65"/>
      <c r="K150" s="37"/>
      <c r="L150" s="37"/>
      <c r="M150" s="37"/>
      <c r="N150" s="37"/>
      <c r="O150" s="37"/>
      <c r="P150" s="37"/>
      <c r="Q150" s="37"/>
      <c r="R150" s="37"/>
      <c r="S150" s="37"/>
      <c r="T150" s="37"/>
      <c r="U150" s="3"/>
      <c r="W150" s="3"/>
      <c r="X150" s="3"/>
      <c r="Y150" s="3"/>
      <c r="Z150" s="3"/>
    </row>
    <row r="151" spans="1:26" ht="15.75" customHeight="1" x14ac:dyDescent="0.3">
      <c r="A151" s="3"/>
      <c r="B151" s="84" t="s">
        <v>88</v>
      </c>
      <c r="C151" s="85" t="s">
        <v>43</v>
      </c>
      <c r="D151" s="85" t="s">
        <v>43</v>
      </c>
      <c r="E151" s="86">
        <f t="shared" ref="E151:F151" si="2">SUM(E152,E158,E164,E170)</f>
        <v>0</v>
      </c>
      <c r="F151" s="86">
        <f t="shared" si="2"/>
        <v>0</v>
      </c>
      <c r="G151" s="87"/>
      <c r="H151" s="87"/>
      <c r="I151" s="88"/>
      <c r="J151" s="87"/>
      <c r="K151" s="37"/>
      <c r="L151" s="37"/>
      <c r="M151" s="37"/>
      <c r="N151" s="37"/>
      <c r="O151" s="37"/>
      <c r="P151" s="37"/>
      <c r="Q151" s="37"/>
      <c r="R151" s="37"/>
      <c r="S151" s="37"/>
      <c r="T151" s="37"/>
      <c r="U151" s="3"/>
      <c r="W151" s="3"/>
      <c r="X151" s="3"/>
      <c r="Y151" s="3"/>
      <c r="Z151" s="3"/>
    </row>
    <row r="152" spans="1:26" ht="15.75" customHeight="1" outlineLevel="1" x14ac:dyDescent="0.3">
      <c r="A152" s="3"/>
      <c r="B152" s="91" t="s">
        <v>380</v>
      </c>
      <c r="C152" s="92"/>
      <c r="D152" s="92"/>
      <c r="E152" s="93">
        <f>SUM(E153:E157)</f>
        <v>0</v>
      </c>
      <c r="F152" s="93">
        <f>SUMIF(D153:D157,"OK",F153:F157)</f>
        <v>0</v>
      </c>
      <c r="G152" s="94"/>
      <c r="H152" s="94"/>
      <c r="I152" s="95"/>
      <c r="J152" s="94"/>
      <c r="K152" s="37"/>
      <c r="L152" s="37"/>
      <c r="M152" s="37"/>
      <c r="N152" s="37"/>
      <c r="O152" s="37"/>
      <c r="P152" s="37"/>
      <c r="Q152" s="37"/>
      <c r="R152" s="37"/>
      <c r="S152" s="37"/>
      <c r="T152" s="37"/>
      <c r="U152" s="3"/>
      <c r="W152" s="3"/>
      <c r="X152" s="3"/>
      <c r="Y152" s="3"/>
      <c r="Z152" s="3"/>
    </row>
    <row r="153" spans="1:26" ht="15.75" customHeight="1" outlineLevel="1" x14ac:dyDescent="0.3">
      <c r="A153" s="3"/>
      <c r="B153" s="10" t="s">
        <v>640</v>
      </c>
      <c r="C153" s="62"/>
      <c r="D153" s="62"/>
      <c r="E153" s="12">
        <v>0</v>
      </c>
      <c r="F153" s="12">
        <v>0</v>
      </c>
      <c r="G153" s="65"/>
      <c r="H153" s="65"/>
      <c r="I153" s="112"/>
      <c r="J153" s="65"/>
      <c r="K153" s="37"/>
      <c r="L153" s="37"/>
      <c r="M153" s="37"/>
      <c r="N153" s="37"/>
      <c r="O153" s="37"/>
      <c r="P153" s="37"/>
      <c r="Q153" s="37"/>
      <c r="R153" s="37"/>
      <c r="S153" s="37"/>
      <c r="T153" s="37"/>
      <c r="U153" s="3"/>
      <c r="W153" s="3"/>
      <c r="X153" s="3"/>
      <c r="Y153" s="3"/>
      <c r="Z153" s="3"/>
    </row>
    <row r="154" spans="1:26" ht="15.75" customHeight="1" outlineLevel="1" x14ac:dyDescent="0.3">
      <c r="A154" s="3"/>
      <c r="B154" s="10" t="s">
        <v>1585</v>
      </c>
      <c r="C154" s="62"/>
      <c r="D154" s="62"/>
      <c r="E154" s="12">
        <v>0</v>
      </c>
      <c r="F154" s="12">
        <v>0</v>
      </c>
      <c r="G154" s="65"/>
      <c r="H154" s="65"/>
      <c r="I154" s="112"/>
      <c r="J154" s="65"/>
      <c r="K154" s="37"/>
      <c r="L154" s="37"/>
      <c r="M154" s="37"/>
      <c r="N154" s="37"/>
      <c r="O154" s="37"/>
      <c r="P154" s="37"/>
      <c r="Q154" s="37"/>
      <c r="R154" s="37"/>
      <c r="S154" s="37"/>
      <c r="T154" s="37"/>
      <c r="U154" s="3"/>
      <c r="W154" s="3"/>
      <c r="X154" s="3"/>
      <c r="Y154" s="3"/>
      <c r="Z154" s="3"/>
    </row>
    <row r="155" spans="1:26" ht="15.75" customHeight="1" outlineLevel="1" x14ac:dyDescent="0.3">
      <c r="A155" s="3"/>
      <c r="B155" s="10" t="s">
        <v>50</v>
      </c>
      <c r="C155" s="62"/>
      <c r="D155" s="62"/>
      <c r="E155" s="12">
        <v>0</v>
      </c>
      <c r="F155" s="12">
        <v>0</v>
      </c>
      <c r="G155" s="65"/>
      <c r="H155" s="65"/>
      <c r="I155" s="157"/>
      <c r="J155" s="65"/>
      <c r="K155" s="37"/>
      <c r="L155" s="37"/>
      <c r="M155" s="37"/>
      <c r="N155" s="37"/>
      <c r="O155" s="37"/>
      <c r="P155" s="37"/>
      <c r="Q155" s="37"/>
      <c r="R155" s="37"/>
      <c r="S155" s="37"/>
      <c r="T155" s="37"/>
      <c r="U155" s="3"/>
      <c r="W155" s="3"/>
      <c r="X155" s="3"/>
      <c r="Y155" s="3"/>
      <c r="Z155" s="3"/>
    </row>
    <row r="156" spans="1:26" ht="15.75" customHeight="1" outlineLevel="1" x14ac:dyDescent="0.3">
      <c r="A156" s="3"/>
      <c r="B156" s="10" t="s">
        <v>50</v>
      </c>
      <c r="C156" s="62"/>
      <c r="D156" s="62"/>
      <c r="E156" s="12">
        <v>0</v>
      </c>
      <c r="F156" s="12">
        <v>0</v>
      </c>
      <c r="G156" s="89"/>
      <c r="H156" s="65"/>
      <c r="I156" s="157"/>
      <c r="J156" s="65"/>
      <c r="K156" s="37"/>
      <c r="L156" s="37"/>
      <c r="M156" s="37"/>
      <c r="N156" s="37"/>
      <c r="O156" s="37"/>
      <c r="P156" s="37"/>
      <c r="Q156" s="37"/>
      <c r="R156" s="37"/>
      <c r="S156" s="37"/>
      <c r="T156" s="37"/>
      <c r="U156" s="3"/>
      <c r="W156" s="3"/>
      <c r="X156" s="3"/>
      <c r="Y156" s="3"/>
      <c r="Z156" s="3"/>
    </row>
    <row r="157" spans="1:26" ht="15.75" customHeight="1" outlineLevel="1" x14ac:dyDescent="0.3">
      <c r="A157" s="3"/>
      <c r="B157" s="10" t="s">
        <v>50</v>
      </c>
      <c r="C157" s="62"/>
      <c r="D157" s="62"/>
      <c r="E157" s="12">
        <v>0</v>
      </c>
      <c r="F157" s="12">
        <v>0</v>
      </c>
      <c r="G157" s="65"/>
      <c r="H157" s="65"/>
      <c r="I157" s="89"/>
      <c r="J157" s="65"/>
      <c r="K157" s="37"/>
      <c r="L157" s="37"/>
      <c r="M157" s="37"/>
      <c r="N157" s="37"/>
      <c r="O157" s="37"/>
      <c r="P157" s="37"/>
      <c r="Q157" s="37"/>
      <c r="R157" s="37"/>
      <c r="S157" s="37"/>
      <c r="T157" s="37"/>
      <c r="U157" s="3"/>
      <c r="W157" s="3"/>
      <c r="X157" s="3"/>
      <c r="Y157" s="3"/>
      <c r="Z157" s="3"/>
    </row>
    <row r="158" spans="1:26" ht="15.75" customHeight="1" outlineLevel="1" x14ac:dyDescent="0.3">
      <c r="A158" s="3"/>
      <c r="B158" s="91" t="s">
        <v>643</v>
      </c>
      <c r="C158" s="92"/>
      <c r="D158" s="92"/>
      <c r="E158" s="93">
        <f>SUM(E159:E163)</f>
        <v>0</v>
      </c>
      <c r="F158" s="93">
        <f>SUMIF(D159:D163,"OK",F159:F163)</f>
        <v>0</v>
      </c>
      <c r="G158" s="94"/>
      <c r="H158" s="94"/>
      <c r="I158" s="95"/>
      <c r="J158" s="94"/>
      <c r="K158" s="37"/>
      <c r="L158" s="37"/>
      <c r="M158" s="37"/>
      <c r="N158" s="37"/>
      <c r="O158" s="37"/>
      <c r="P158" s="37"/>
      <c r="Q158" s="37"/>
      <c r="R158" s="37"/>
      <c r="S158" s="37"/>
      <c r="T158" s="37"/>
      <c r="U158" s="3"/>
      <c r="W158" s="3"/>
      <c r="X158" s="3"/>
      <c r="Y158" s="3"/>
      <c r="Z158" s="3"/>
    </row>
    <row r="159" spans="1:26" ht="15.75" customHeight="1" outlineLevel="1" x14ac:dyDescent="0.3">
      <c r="A159" s="3"/>
      <c r="B159" s="10" t="s">
        <v>353</v>
      </c>
      <c r="C159" s="62"/>
      <c r="D159" s="62"/>
      <c r="E159" s="12">
        <v>0</v>
      </c>
      <c r="F159" s="12">
        <v>0</v>
      </c>
      <c r="G159" s="65"/>
      <c r="H159" s="65"/>
      <c r="I159" s="89"/>
      <c r="J159" s="65"/>
      <c r="K159" s="37"/>
      <c r="L159" s="37"/>
      <c r="M159" s="37"/>
      <c r="N159" s="37"/>
      <c r="O159" s="37"/>
      <c r="P159" s="37"/>
      <c r="Q159" s="37"/>
      <c r="R159" s="37"/>
      <c r="S159" s="37"/>
      <c r="T159" s="37"/>
      <c r="U159" s="3"/>
      <c r="W159" s="3"/>
      <c r="X159" s="3"/>
      <c r="Y159" s="3"/>
      <c r="Z159" s="3"/>
    </row>
    <row r="160" spans="1:26" ht="15.75" customHeight="1" outlineLevel="1" x14ac:dyDescent="0.3">
      <c r="A160" s="3"/>
      <c r="B160" s="10" t="s">
        <v>354</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5.75" customHeight="1" outlineLevel="1" x14ac:dyDescent="0.3">
      <c r="A161" s="3"/>
      <c r="B161" s="10" t="s">
        <v>355</v>
      </c>
      <c r="C161" s="62"/>
      <c r="D161" s="62"/>
      <c r="E161" s="12">
        <v>0</v>
      </c>
      <c r="F161" s="12">
        <v>0</v>
      </c>
      <c r="G161" s="65"/>
      <c r="H161" s="65"/>
      <c r="I161" s="89"/>
      <c r="J161" s="65"/>
      <c r="K161" s="37"/>
      <c r="L161" s="37"/>
      <c r="M161" s="37"/>
      <c r="N161" s="37"/>
      <c r="O161" s="37"/>
      <c r="P161" s="37"/>
      <c r="Q161" s="37"/>
      <c r="R161" s="37"/>
      <c r="S161" s="37"/>
      <c r="T161" s="37"/>
      <c r="U161" s="3"/>
      <c r="W161" s="3"/>
      <c r="X161" s="3"/>
      <c r="Y161" s="3"/>
      <c r="Z161" s="3"/>
    </row>
    <row r="162" spans="1:26" ht="15.75" customHeight="1" outlineLevel="1" x14ac:dyDescent="0.3">
      <c r="A162" s="3"/>
      <c r="B162" s="10" t="s">
        <v>369</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5.75" customHeight="1" outlineLevel="1" x14ac:dyDescent="0.3">
      <c r="A163" s="3"/>
      <c r="B163" s="10" t="s">
        <v>327</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5.75" customHeight="1" outlineLevel="1" x14ac:dyDescent="0.3">
      <c r="A164" s="3"/>
      <c r="B164" s="91" t="s">
        <v>381</v>
      </c>
      <c r="C164" s="92"/>
      <c r="D164" s="92"/>
      <c r="E164" s="93">
        <f>SUM(E165:E169)</f>
        <v>0</v>
      </c>
      <c r="F164" s="93">
        <f>SUMIF(D165:D169,"OK",F165:F169)</f>
        <v>0</v>
      </c>
      <c r="G164" s="94"/>
      <c r="H164" s="94"/>
      <c r="I164" s="95"/>
      <c r="J164" s="94"/>
      <c r="K164" s="37"/>
      <c r="L164" s="37"/>
      <c r="M164" s="37"/>
      <c r="N164" s="37"/>
      <c r="O164" s="37"/>
      <c r="P164" s="37"/>
      <c r="Q164" s="37"/>
      <c r="R164" s="37"/>
      <c r="S164" s="37"/>
      <c r="T164" s="37"/>
      <c r="U164" s="3"/>
      <c r="W164" s="3"/>
      <c r="X164" s="3"/>
      <c r="Y164" s="3"/>
      <c r="Z164" s="3"/>
    </row>
    <row r="165" spans="1:26" ht="15.75" customHeight="1" outlineLevel="1" x14ac:dyDescent="0.3">
      <c r="A165" s="3"/>
      <c r="B165" s="10" t="s">
        <v>353</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5.75" customHeight="1" outlineLevel="1" x14ac:dyDescent="0.3">
      <c r="A166" s="3"/>
      <c r="B166" s="10" t="s">
        <v>354</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5.75" customHeight="1" outlineLevel="1" x14ac:dyDescent="0.3">
      <c r="A167" s="3"/>
      <c r="B167" s="10" t="s">
        <v>355</v>
      </c>
      <c r="C167" s="62"/>
      <c r="D167" s="62"/>
      <c r="E167" s="12">
        <v>0</v>
      </c>
      <c r="F167" s="12">
        <v>0</v>
      </c>
      <c r="G167" s="65"/>
      <c r="H167" s="65"/>
      <c r="I167" s="89"/>
      <c r="J167" s="65"/>
      <c r="K167" s="37"/>
      <c r="L167" s="37"/>
      <c r="M167" s="37"/>
      <c r="N167" s="37"/>
      <c r="O167" s="37"/>
      <c r="P167" s="37"/>
      <c r="Q167" s="37"/>
      <c r="R167" s="37"/>
      <c r="S167" s="37"/>
      <c r="T167" s="37"/>
      <c r="U167" s="3"/>
      <c r="W167" s="3"/>
      <c r="X167" s="3"/>
      <c r="Y167" s="3"/>
      <c r="Z167" s="3"/>
    </row>
    <row r="168" spans="1:26" ht="15.75" customHeight="1" outlineLevel="1" x14ac:dyDescent="0.3">
      <c r="A168" s="3"/>
      <c r="B168" s="10" t="s">
        <v>369</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5.75" customHeight="1" outlineLevel="1" x14ac:dyDescent="0.3">
      <c r="A169" s="3"/>
      <c r="B169" s="10" t="s">
        <v>327</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5.75" customHeight="1" outlineLevel="1" x14ac:dyDescent="0.3">
      <c r="A170" s="3"/>
      <c r="B170" s="91" t="s">
        <v>382</v>
      </c>
      <c r="C170" s="92"/>
      <c r="D170" s="92"/>
      <c r="E170" s="93">
        <f>SUM(E171:E175)</f>
        <v>0</v>
      </c>
      <c r="F170" s="93">
        <f>SUMIF(D171:D175,"OK",F171:F175)</f>
        <v>0</v>
      </c>
      <c r="G170" s="94"/>
      <c r="H170" s="94"/>
      <c r="I170" s="95"/>
      <c r="J170" s="94"/>
      <c r="K170" s="37"/>
      <c r="L170" s="37"/>
      <c r="M170" s="37"/>
      <c r="N170" s="37"/>
      <c r="O170" s="37"/>
      <c r="P170" s="37"/>
      <c r="Q170" s="37"/>
      <c r="R170" s="37"/>
      <c r="S170" s="37"/>
      <c r="T170" s="37"/>
      <c r="U170" s="3"/>
      <c r="W170" s="3"/>
      <c r="X170" s="3"/>
      <c r="Y170" s="3"/>
      <c r="Z170" s="3"/>
    </row>
    <row r="171" spans="1:26" ht="15.75" customHeight="1" outlineLevel="1" x14ac:dyDescent="0.3">
      <c r="A171" s="3"/>
      <c r="B171" s="10" t="s">
        <v>353</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5.75" customHeight="1" outlineLevel="1" x14ac:dyDescent="0.3">
      <c r="A172" s="3"/>
      <c r="B172" s="10" t="s">
        <v>354</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5.75" customHeight="1" outlineLevel="1" x14ac:dyDescent="0.3">
      <c r="A173" s="3"/>
      <c r="B173" s="10" t="s">
        <v>355</v>
      </c>
      <c r="C173" s="62"/>
      <c r="D173" s="62"/>
      <c r="E173" s="12">
        <v>0</v>
      </c>
      <c r="F173" s="12">
        <v>0</v>
      </c>
      <c r="G173" s="65"/>
      <c r="H173" s="65"/>
      <c r="I173" s="89"/>
      <c r="J173" s="65"/>
      <c r="K173" s="37"/>
      <c r="L173" s="37"/>
      <c r="M173" s="37"/>
      <c r="N173" s="37"/>
      <c r="O173" s="37"/>
      <c r="P173" s="37"/>
      <c r="Q173" s="37"/>
      <c r="R173" s="37"/>
      <c r="S173" s="37"/>
      <c r="T173" s="37"/>
      <c r="U173" s="3"/>
      <c r="W173" s="3"/>
      <c r="X173" s="3"/>
      <c r="Y173" s="3"/>
      <c r="Z173" s="3"/>
    </row>
    <row r="174" spans="1:26" ht="15.75" customHeight="1" outlineLevel="1" x14ac:dyDescent="0.3">
      <c r="A174" s="3"/>
      <c r="B174" s="10" t="s">
        <v>369</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15.75" customHeight="1" outlineLevel="1" x14ac:dyDescent="0.3">
      <c r="A175" s="3"/>
      <c r="B175" s="10" t="s">
        <v>327</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5.75" customHeight="1" x14ac:dyDescent="0.3">
      <c r="A176" s="3"/>
      <c r="B176" s="84" t="s">
        <v>383</v>
      </c>
      <c r="C176" s="85" t="s">
        <v>43</v>
      </c>
      <c r="D176" s="85" t="s">
        <v>43</v>
      </c>
      <c r="E176" s="86">
        <f>SUM(E177:E181)</f>
        <v>0</v>
      </c>
      <c r="F176" s="86">
        <f>SUMIF(D177:D181,"OK",F177:F181)</f>
        <v>0</v>
      </c>
      <c r="G176" s="87"/>
      <c r="H176" s="87"/>
      <c r="I176" s="88"/>
      <c r="J176" s="87"/>
      <c r="K176" s="37"/>
      <c r="L176" s="37"/>
      <c r="M176" s="37"/>
      <c r="N176" s="37"/>
      <c r="O176" s="37"/>
      <c r="P176" s="37"/>
      <c r="Q176" s="37"/>
      <c r="R176" s="37"/>
      <c r="S176" s="37"/>
      <c r="T176" s="37"/>
      <c r="U176" s="3"/>
      <c r="W176" s="3"/>
      <c r="X176" s="3"/>
      <c r="Y176" s="3"/>
      <c r="Z176" s="3"/>
    </row>
    <row r="177" spans="1:26" ht="15.75" customHeight="1" outlineLevel="1" x14ac:dyDescent="0.3">
      <c r="A177" s="3"/>
      <c r="B177" s="10" t="s">
        <v>353</v>
      </c>
      <c r="C177" s="62"/>
      <c r="D177" s="62"/>
      <c r="E177" s="12">
        <v>0</v>
      </c>
      <c r="F177" s="12">
        <v>0</v>
      </c>
      <c r="G177" s="65"/>
      <c r="H177" s="65"/>
      <c r="I177" s="157"/>
      <c r="J177" s="65"/>
      <c r="K177" s="37"/>
      <c r="L177" s="37"/>
      <c r="M177" s="37"/>
      <c r="N177" s="37"/>
      <c r="O177" s="37"/>
      <c r="P177" s="37"/>
      <c r="Q177" s="37"/>
      <c r="R177" s="37"/>
      <c r="S177" s="37"/>
      <c r="T177" s="37"/>
      <c r="U177" s="3"/>
      <c r="W177" s="3"/>
      <c r="X177" s="3"/>
      <c r="Y177" s="3"/>
      <c r="Z177" s="3"/>
    </row>
    <row r="178" spans="1:26" ht="15.75" customHeight="1" outlineLevel="1" x14ac:dyDescent="0.3">
      <c r="A178" s="3"/>
      <c r="B178" s="10" t="s">
        <v>354</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5.75" customHeight="1" outlineLevel="1" x14ac:dyDescent="0.3">
      <c r="A179" s="3"/>
      <c r="B179" s="10" t="s">
        <v>355</v>
      </c>
      <c r="C179" s="62"/>
      <c r="D179" s="62"/>
      <c r="E179" s="12">
        <v>0</v>
      </c>
      <c r="F179" s="12">
        <v>0</v>
      </c>
      <c r="G179" s="65"/>
      <c r="H179" s="65"/>
      <c r="I179" s="89"/>
      <c r="J179" s="65"/>
      <c r="K179" s="37"/>
      <c r="L179" s="37"/>
      <c r="M179" s="37"/>
      <c r="N179" s="37"/>
      <c r="O179" s="37"/>
      <c r="P179" s="37"/>
      <c r="Q179" s="37"/>
      <c r="R179" s="37"/>
      <c r="S179" s="37"/>
      <c r="T179" s="37"/>
      <c r="U179" s="3"/>
      <c r="W179" s="3"/>
      <c r="X179" s="3"/>
      <c r="Y179" s="3"/>
      <c r="Z179" s="3"/>
    </row>
    <row r="180" spans="1:26" ht="15.75" customHeight="1" outlineLevel="1" x14ac:dyDescent="0.3">
      <c r="A180" s="3"/>
      <c r="B180" s="10" t="s">
        <v>369</v>
      </c>
      <c r="C180" s="62"/>
      <c r="D180" s="62"/>
      <c r="E180" s="12">
        <v>0</v>
      </c>
      <c r="F180" s="12">
        <v>0</v>
      </c>
      <c r="G180" s="65"/>
      <c r="H180" s="65"/>
      <c r="I180" s="89"/>
      <c r="J180" s="65"/>
      <c r="K180" s="37"/>
      <c r="L180" s="37"/>
      <c r="M180" s="37"/>
      <c r="N180" s="37"/>
      <c r="O180" s="37"/>
      <c r="P180" s="37"/>
      <c r="Q180" s="37"/>
      <c r="R180" s="37"/>
      <c r="S180" s="37"/>
      <c r="T180" s="37"/>
      <c r="U180" s="3"/>
      <c r="W180" s="3"/>
      <c r="X180" s="3"/>
      <c r="Y180" s="3"/>
      <c r="Z180" s="3"/>
    </row>
    <row r="181" spans="1:26" ht="15.75" customHeight="1" outlineLevel="1" x14ac:dyDescent="0.3">
      <c r="A181" s="3"/>
      <c r="B181" s="10" t="s">
        <v>327</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5.75" customHeight="1" x14ac:dyDescent="0.3">
      <c r="A182" s="3"/>
      <c r="B182" s="84" t="s">
        <v>384</v>
      </c>
      <c r="C182" s="85" t="s">
        <v>43</v>
      </c>
      <c r="D182" s="85" t="s">
        <v>43</v>
      </c>
      <c r="E182" s="86">
        <f>SUM(E183:E210)</f>
        <v>0</v>
      </c>
      <c r="F182" s="86">
        <f>SUMIF(D183:D210,"OK",F183:F210)</f>
        <v>0</v>
      </c>
      <c r="G182" s="87"/>
      <c r="H182" s="87"/>
      <c r="I182" s="88"/>
      <c r="J182" s="87"/>
      <c r="K182" s="37"/>
      <c r="L182" s="37"/>
      <c r="M182" s="37"/>
      <c r="N182" s="37"/>
      <c r="O182" s="37"/>
      <c r="P182" s="37"/>
      <c r="Q182" s="37"/>
      <c r="R182" s="37"/>
      <c r="S182" s="37"/>
      <c r="T182" s="37"/>
      <c r="U182" s="3"/>
      <c r="W182" s="3"/>
      <c r="X182" s="3"/>
      <c r="Y182" s="3"/>
      <c r="Z182" s="3"/>
    </row>
    <row r="183" spans="1:26" ht="15.75" customHeight="1" outlineLevel="1" x14ac:dyDescent="0.3">
      <c r="A183" s="3"/>
      <c r="B183" s="10" t="s">
        <v>1586</v>
      </c>
      <c r="C183" s="80"/>
      <c r="D183" s="62"/>
      <c r="E183" s="12">
        <v>0</v>
      </c>
      <c r="F183" s="12">
        <v>0</v>
      </c>
      <c r="G183" s="89"/>
      <c r="H183" s="65"/>
      <c r="I183" s="112"/>
      <c r="J183" s="65"/>
      <c r="K183" s="37"/>
      <c r="L183" s="37"/>
      <c r="M183" s="37"/>
      <c r="N183" s="37"/>
      <c r="O183" s="37"/>
      <c r="P183" s="37"/>
      <c r="Q183" s="37"/>
      <c r="R183" s="37"/>
      <c r="S183" s="37"/>
      <c r="T183" s="37"/>
      <c r="U183" s="3"/>
      <c r="W183" s="3"/>
      <c r="X183" s="3"/>
      <c r="Y183" s="3"/>
      <c r="Z183" s="3"/>
    </row>
    <row r="184" spans="1:26" ht="15.75" customHeight="1" outlineLevel="1" x14ac:dyDescent="0.3">
      <c r="A184" s="3"/>
      <c r="B184" s="10" t="s">
        <v>864</v>
      </c>
      <c r="C184" s="62"/>
      <c r="D184" s="62"/>
      <c r="E184" s="12">
        <v>0</v>
      </c>
      <c r="F184" s="12">
        <v>0</v>
      </c>
      <c r="G184" s="89"/>
      <c r="H184" s="65"/>
      <c r="I184" s="112"/>
      <c r="J184" s="89"/>
      <c r="K184" s="37"/>
      <c r="L184" s="37"/>
      <c r="M184" s="37"/>
      <c r="N184" s="37"/>
      <c r="O184" s="37"/>
      <c r="P184" s="37"/>
      <c r="Q184" s="37"/>
      <c r="R184" s="37"/>
      <c r="S184" s="37"/>
      <c r="T184" s="37"/>
      <c r="U184" s="3"/>
      <c r="W184" s="3"/>
      <c r="X184" s="3"/>
      <c r="Y184" s="3"/>
      <c r="Z184" s="3"/>
    </row>
    <row r="185" spans="1:26" ht="15.75" customHeight="1" outlineLevel="1" x14ac:dyDescent="0.3">
      <c r="A185" s="3"/>
      <c r="B185" s="10" t="s">
        <v>1587</v>
      </c>
      <c r="C185" s="62"/>
      <c r="D185" s="62"/>
      <c r="E185" s="12">
        <v>0</v>
      </c>
      <c r="F185" s="12">
        <v>0</v>
      </c>
      <c r="G185" s="65"/>
      <c r="H185" s="65"/>
      <c r="I185" s="112"/>
      <c r="J185" s="65"/>
      <c r="K185" s="37"/>
      <c r="L185" s="37"/>
      <c r="M185" s="37"/>
      <c r="N185" s="37"/>
      <c r="O185" s="37"/>
      <c r="P185" s="37"/>
      <c r="Q185" s="37"/>
      <c r="R185" s="37"/>
      <c r="S185" s="37"/>
      <c r="T185" s="37"/>
      <c r="U185" s="3"/>
      <c r="W185" s="3"/>
      <c r="X185" s="3"/>
      <c r="Y185" s="3"/>
      <c r="Z185" s="3"/>
    </row>
    <row r="186" spans="1:26" ht="15.75" customHeight="1" outlineLevel="1" x14ac:dyDescent="0.3">
      <c r="A186" s="3"/>
      <c r="B186" s="10" t="s">
        <v>1587</v>
      </c>
      <c r="C186" s="62"/>
      <c r="D186" s="62"/>
      <c r="E186" s="12">
        <v>0</v>
      </c>
      <c r="F186" s="12">
        <v>0</v>
      </c>
      <c r="G186" s="65"/>
      <c r="H186" s="65"/>
      <c r="I186" s="112"/>
      <c r="J186" s="65"/>
      <c r="K186" s="37"/>
      <c r="L186" s="37"/>
      <c r="M186" s="37"/>
      <c r="N186" s="37"/>
      <c r="O186" s="37"/>
      <c r="P186" s="37"/>
      <c r="Q186" s="37"/>
      <c r="R186" s="37"/>
      <c r="S186" s="37"/>
      <c r="T186" s="37"/>
      <c r="U186" s="3"/>
      <c r="W186" s="3"/>
      <c r="X186" s="3"/>
      <c r="Y186" s="3"/>
      <c r="Z186" s="3"/>
    </row>
    <row r="187" spans="1:26" ht="15.75" customHeight="1" outlineLevel="1" x14ac:dyDescent="0.3">
      <c r="A187" s="3"/>
      <c r="B187" s="10" t="s">
        <v>1588</v>
      </c>
      <c r="C187" s="62"/>
      <c r="D187" s="62"/>
      <c r="E187" s="12">
        <v>0</v>
      </c>
      <c r="F187" s="12">
        <v>0</v>
      </c>
      <c r="G187" s="65"/>
      <c r="H187" s="65"/>
      <c r="I187" s="112"/>
      <c r="J187" s="65"/>
      <c r="K187" s="37"/>
      <c r="L187" s="37"/>
      <c r="M187" s="37"/>
      <c r="N187" s="37"/>
      <c r="O187" s="37"/>
      <c r="P187" s="37"/>
      <c r="Q187" s="37"/>
      <c r="R187" s="37"/>
      <c r="S187" s="37"/>
      <c r="T187" s="37"/>
      <c r="U187" s="3"/>
      <c r="W187" s="3"/>
      <c r="X187" s="3"/>
      <c r="Y187" s="3"/>
      <c r="Z187" s="3"/>
    </row>
    <row r="188" spans="1:26" ht="15.75" customHeight="1" outlineLevel="1" x14ac:dyDescent="0.3">
      <c r="A188" s="3"/>
      <c r="B188" s="10" t="s">
        <v>1589</v>
      </c>
      <c r="C188" s="62"/>
      <c r="D188" s="62"/>
      <c r="E188" s="12">
        <v>0</v>
      </c>
      <c r="F188" s="12">
        <v>0</v>
      </c>
      <c r="G188" s="65"/>
      <c r="H188" s="65"/>
      <c r="I188" s="112"/>
      <c r="J188" s="65"/>
      <c r="K188" s="37"/>
      <c r="L188" s="37"/>
      <c r="M188" s="37"/>
      <c r="N188" s="37"/>
      <c r="O188" s="37"/>
      <c r="P188" s="37"/>
      <c r="Q188" s="37"/>
      <c r="R188" s="37"/>
      <c r="S188" s="37"/>
      <c r="T188" s="37"/>
      <c r="U188" s="3"/>
      <c r="W188" s="3"/>
      <c r="X188" s="3"/>
      <c r="Y188" s="3"/>
      <c r="Z188" s="3"/>
    </row>
    <row r="189" spans="1:26" ht="15.75" customHeight="1" outlineLevel="1" x14ac:dyDescent="0.3">
      <c r="A189" s="3"/>
      <c r="B189" s="10" t="s">
        <v>1590</v>
      </c>
      <c r="C189" s="62"/>
      <c r="D189" s="62"/>
      <c r="E189" s="12">
        <v>0</v>
      </c>
      <c r="F189" s="12">
        <v>0</v>
      </c>
      <c r="G189" s="89"/>
      <c r="H189" s="65"/>
      <c r="I189" s="112"/>
      <c r="J189" s="65"/>
      <c r="K189" s="37"/>
      <c r="L189" s="37"/>
      <c r="M189" s="37"/>
      <c r="N189" s="37"/>
      <c r="O189" s="37"/>
      <c r="P189" s="37"/>
      <c r="Q189" s="37"/>
      <c r="R189" s="37"/>
      <c r="S189" s="37"/>
      <c r="T189" s="37"/>
      <c r="U189" s="3"/>
      <c r="W189" s="3"/>
      <c r="X189" s="3"/>
      <c r="Y189" s="3"/>
      <c r="Z189" s="3"/>
    </row>
    <row r="190" spans="1:26" ht="15.75" customHeight="1" outlineLevel="1" x14ac:dyDescent="0.3">
      <c r="A190" s="3"/>
      <c r="B190" s="10" t="s">
        <v>50</v>
      </c>
      <c r="C190" s="62"/>
      <c r="D190" s="62"/>
      <c r="E190" s="12">
        <v>0</v>
      </c>
      <c r="F190" s="12">
        <v>0</v>
      </c>
      <c r="G190" s="65"/>
      <c r="H190" s="65"/>
      <c r="I190" s="157"/>
      <c r="J190" s="65"/>
      <c r="K190" s="37"/>
      <c r="L190" s="37"/>
      <c r="M190" s="37"/>
      <c r="N190" s="37"/>
      <c r="O190" s="37"/>
      <c r="P190" s="37"/>
      <c r="Q190" s="37"/>
      <c r="R190" s="37"/>
      <c r="S190" s="37"/>
      <c r="T190" s="37"/>
      <c r="U190" s="3"/>
      <c r="W190" s="3"/>
      <c r="X190" s="3"/>
      <c r="Y190" s="3"/>
      <c r="Z190" s="3"/>
    </row>
    <row r="191" spans="1:26" ht="15.75" customHeight="1" outlineLevel="1" x14ac:dyDescent="0.3">
      <c r="A191" s="3"/>
      <c r="B191" s="10" t="s">
        <v>50</v>
      </c>
      <c r="C191" s="62"/>
      <c r="D191" s="62"/>
      <c r="E191" s="12">
        <v>0</v>
      </c>
      <c r="F191" s="12">
        <v>0</v>
      </c>
      <c r="G191" s="65"/>
      <c r="H191" s="65"/>
      <c r="I191" s="157"/>
      <c r="J191" s="65"/>
      <c r="K191" s="37"/>
      <c r="L191" s="37"/>
      <c r="M191" s="37"/>
      <c r="N191" s="37"/>
      <c r="O191" s="37"/>
      <c r="P191" s="37"/>
      <c r="Q191" s="37"/>
      <c r="R191" s="37"/>
      <c r="S191" s="37"/>
      <c r="T191" s="37"/>
      <c r="U191" s="3"/>
      <c r="W191" s="3"/>
      <c r="X191" s="3"/>
      <c r="Y191" s="3"/>
      <c r="Z191" s="3"/>
    </row>
    <row r="192" spans="1:26" ht="15.75" customHeight="1" outlineLevel="1" x14ac:dyDescent="0.3">
      <c r="A192" s="3"/>
      <c r="B192" s="10" t="s">
        <v>50</v>
      </c>
      <c r="C192" s="62"/>
      <c r="D192" s="62"/>
      <c r="E192" s="12">
        <v>0</v>
      </c>
      <c r="F192" s="12">
        <v>0</v>
      </c>
      <c r="G192" s="65"/>
      <c r="H192" s="65"/>
      <c r="I192" s="157"/>
      <c r="J192" s="65"/>
      <c r="K192" s="37"/>
      <c r="L192" s="37"/>
      <c r="M192" s="37"/>
      <c r="N192" s="37"/>
      <c r="O192" s="37"/>
      <c r="P192" s="37"/>
      <c r="Q192" s="37"/>
      <c r="R192" s="37"/>
      <c r="S192" s="37"/>
      <c r="T192" s="37"/>
      <c r="U192" s="3"/>
      <c r="W192" s="3"/>
      <c r="X192" s="3"/>
      <c r="Y192" s="3"/>
      <c r="Z192" s="3"/>
    </row>
    <row r="193" spans="1:26" ht="15.75" customHeight="1" outlineLevel="1" x14ac:dyDescent="0.3">
      <c r="A193" s="3"/>
      <c r="B193" s="10" t="s">
        <v>50</v>
      </c>
      <c r="C193" s="62"/>
      <c r="D193" s="62"/>
      <c r="E193" s="12">
        <v>0</v>
      </c>
      <c r="F193" s="12">
        <v>0</v>
      </c>
      <c r="G193" s="65"/>
      <c r="H193" s="65"/>
      <c r="I193" s="157"/>
      <c r="J193" s="65"/>
      <c r="K193" s="37"/>
      <c r="L193" s="37"/>
      <c r="M193" s="37"/>
      <c r="N193" s="37"/>
      <c r="O193" s="37"/>
      <c r="P193" s="37"/>
      <c r="Q193" s="37"/>
      <c r="R193" s="37"/>
      <c r="S193" s="37"/>
      <c r="T193" s="37"/>
      <c r="U193" s="3"/>
      <c r="W193" s="3"/>
      <c r="X193" s="3"/>
      <c r="Y193" s="3"/>
      <c r="Z193" s="3"/>
    </row>
    <row r="194" spans="1:26" ht="15.75" customHeight="1" outlineLevel="1" x14ac:dyDescent="0.3">
      <c r="A194" s="3"/>
      <c r="B194" s="10" t="s">
        <v>50</v>
      </c>
      <c r="C194" s="62"/>
      <c r="D194" s="62"/>
      <c r="E194" s="12">
        <v>0</v>
      </c>
      <c r="F194" s="12">
        <v>0</v>
      </c>
      <c r="G194" s="65"/>
      <c r="H194" s="65"/>
      <c r="I194" s="157"/>
      <c r="J194" s="65"/>
      <c r="K194" s="37"/>
      <c r="L194" s="37"/>
      <c r="M194" s="37"/>
      <c r="N194" s="37"/>
      <c r="O194" s="37"/>
      <c r="P194" s="37"/>
      <c r="Q194" s="37"/>
      <c r="R194" s="37"/>
      <c r="S194" s="37"/>
      <c r="T194" s="37"/>
      <c r="U194" s="3"/>
      <c r="W194" s="3"/>
      <c r="X194" s="3"/>
      <c r="Y194" s="3"/>
      <c r="Z194" s="3"/>
    </row>
    <row r="195" spans="1:26" ht="15.75" customHeight="1" outlineLevel="1" x14ac:dyDescent="0.3">
      <c r="A195" s="3"/>
      <c r="B195" s="10" t="s">
        <v>50</v>
      </c>
      <c r="C195" s="62"/>
      <c r="D195" s="62"/>
      <c r="E195" s="12">
        <v>0</v>
      </c>
      <c r="F195" s="12">
        <v>0</v>
      </c>
      <c r="G195" s="65"/>
      <c r="H195" s="65"/>
      <c r="I195" s="128"/>
      <c r="J195" s="65"/>
      <c r="K195" s="37"/>
      <c r="L195" s="37"/>
      <c r="M195" s="37"/>
      <c r="N195" s="37"/>
      <c r="O195" s="37"/>
      <c r="P195" s="37"/>
      <c r="Q195" s="37"/>
      <c r="R195" s="37"/>
      <c r="S195" s="37"/>
      <c r="T195" s="37"/>
      <c r="U195" s="3"/>
      <c r="W195" s="3"/>
      <c r="X195" s="3"/>
      <c r="Y195" s="3"/>
      <c r="Z195" s="3"/>
    </row>
    <row r="196" spans="1:26" ht="15.75" customHeight="1" outlineLevel="1" x14ac:dyDescent="0.3">
      <c r="A196" s="3"/>
      <c r="B196" s="10" t="s">
        <v>50</v>
      </c>
      <c r="C196" s="62"/>
      <c r="D196" s="62"/>
      <c r="E196" s="12">
        <v>0</v>
      </c>
      <c r="F196" s="12">
        <v>0</v>
      </c>
      <c r="G196" s="65"/>
      <c r="H196" s="65"/>
      <c r="I196" s="128"/>
      <c r="J196" s="65"/>
      <c r="K196" s="37"/>
      <c r="L196" s="37"/>
      <c r="M196" s="37"/>
      <c r="N196" s="37"/>
      <c r="O196" s="37"/>
      <c r="P196" s="37"/>
      <c r="Q196" s="37"/>
      <c r="R196" s="37"/>
      <c r="S196" s="37"/>
      <c r="T196" s="37"/>
      <c r="U196" s="3"/>
      <c r="W196" s="3"/>
      <c r="X196" s="3"/>
      <c r="Y196" s="3"/>
      <c r="Z196" s="3"/>
    </row>
    <row r="197" spans="1:26" ht="15.75" customHeight="1" outlineLevel="1" x14ac:dyDescent="0.3">
      <c r="A197" s="3"/>
      <c r="B197" s="10" t="s">
        <v>50</v>
      </c>
      <c r="C197" s="62"/>
      <c r="D197" s="62"/>
      <c r="E197" s="12">
        <v>0</v>
      </c>
      <c r="F197" s="12">
        <v>0</v>
      </c>
      <c r="G197" s="65"/>
      <c r="H197" s="65"/>
      <c r="I197" s="157"/>
      <c r="J197" s="65"/>
      <c r="K197" s="37"/>
      <c r="L197" s="37"/>
      <c r="M197" s="37"/>
      <c r="N197" s="37"/>
      <c r="O197" s="37"/>
      <c r="P197" s="37"/>
      <c r="Q197" s="37"/>
      <c r="R197" s="37"/>
      <c r="S197" s="37"/>
      <c r="T197" s="37"/>
      <c r="U197" s="3"/>
      <c r="W197" s="3"/>
      <c r="X197" s="3"/>
      <c r="Y197" s="3"/>
      <c r="Z197" s="3"/>
    </row>
    <row r="198" spans="1:26" ht="15.75" customHeight="1" outlineLevel="1" x14ac:dyDescent="0.3">
      <c r="A198" s="3"/>
      <c r="B198" s="10" t="s">
        <v>50</v>
      </c>
      <c r="C198" s="62"/>
      <c r="D198" s="62"/>
      <c r="E198" s="12">
        <v>0</v>
      </c>
      <c r="F198" s="12">
        <v>0</v>
      </c>
      <c r="G198" s="65"/>
      <c r="H198" s="65"/>
      <c r="I198" s="157"/>
      <c r="J198" s="65"/>
      <c r="K198" s="37"/>
      <c r="L198" s="37"/>
      <c r="M198" s="37"/>
      <c r="N198" s="37"/>
      <c r="O198" s="37"/>
      <c r="P198" s="37"/>
      <c r="Q198" s="37"/>
      <c r="R198" s="37"/>
      <c r="S198" s="37"/>
      <c r="T198" s="37"/>
      <c r="U198" s="3"/>
      <c r="W198" s="3"/>
      <c r="X198" s="3"/>
      <c r="Y198" s="3"/>
      <c r="Z198" s="3"/>
    </row>
    <row r="199" spans="1:26" ht="15.75" customHeight="1" outlineLevel="1" x14ac:dyDescent="0.3">
      <c r="A199" s="3"/>
      <c r="B199" s="10" t="s">
        <v>50</v>
      </c>
      <c r="C199" s="62"/>
      <c r="D199" s="62"/>
      <c r="E199" s="12">
        <v>0</v>
      </c>
      <c r="F199" s="12">
        <v>0</v>
      </c>
      <c r="G199" s="65"/>
      <c r="H199" s="65"/>
      <c r="I199" s="157"/>
      <c r="J199" s="65"/>
      <c r="K199" s="37"/>
      <c r="L199" s="37"/>
      <c r="M199" s="37"/>
      <c r="N199" s="37"/>
      <c r="O199" s="37"/>
      <c r="P199" s="37"/>
      <c r="Q199" s="37"/>
      <c r="R199" s="37"/>
      <c r="S199" s="37"/>
      <c r="T199" s="37"/>
      <c r="U199" s="3"/>
      <c r="W199" s="3"/>
      <c r="X199" s="3"/>
      <c r="Y199" s="3"/>
      <c r="Z199" s="3"/>
    </row>
    <row r="200" spans="1:26" ht="15.75" customHeight="1" outlineLevel="1" x14ac:dyDescent="0.3">
      <c r="A200" s="3"/>
      <c r="B200" s="10" t="s">
        <v>50</v>
      </c>
      <c r="C200" s="62"/>
      <c r="D200" s="62"/>
      <c r="E200" s="12">
        <v>0</v>
      </c>
      <c r="F200" s="12">
        <v>0</v>
      </c>
      <c r="G200" s="65"/>
      <c r="H200" s="65"/>
      <c r="I200" s="157"/>
      <c r="J200" s="65"/>
      <c r="K200" s="37"/>
      <c r="L200" s="37"/>
      <c r="M200" s="37"/>
      <c r="N200" s="37"/>
      <c r="O200" s="37"/>
      <c r="P200" s="37"/>
      <c r="Q200" s="37"/>
      <c r="R200" s="37"/>
      <c r="S200" s="37"/>
      <c r="T200" s="37"/>
      <c r="U200" s="3"/>
      <c r="W200" s="3"/>
      <c r="X200" s="3"/>
      <c r="Y200" s="3"/>
      <c r="Z200" s="3"/>
    </row>
    <row r="201" spans="1:26" ht="15.75" customHeight="1" outlineLevel="1" x14ac:dyDescent="0.3">
      <c r="A201" s="3"/>
      <c r="B201" s="10" t="s">
        <v>50</v>
      </c>
      <c r="C201" s="62"/>
      <c r="D201" s="62"/>
      <c r="E201" s="12">
        <v>0</v>
      </c>
      <c r="F201" s="12">
        <v>0</v>
      </c>
      <c r="G201" s="65"/>
      <c r="H201" s="65"/>
      <c r="I201" s="157"/>
      <c r="J201" s="65"/>
      <c r="K201" s="37"/>
      <c r="L201" s="37"/>
      <c r="M201" s="37"/>
      <c r="N201" s="37"/>
      <c r="O201" s="37"/>
      <c r="P201" s="37"/>
      <c r="Q201" s="37"/>
      <c r="R201" s="37"/>
      <c r="S201" s="37"/>
      <c r="T201" s="37"/>
      <c r="U201" s="3"/>
      <c r="W201" s="3"/>
      <c r="X201" s="3"/>
      <c r="Y201" s="3"/>
      <c r="Z201" s="3"/>
    </row>
    <row r="202" spans="1:26" ht="15.75" customHeight="1" outlineLevel="1" x14ac:dyDescent="0.3">
      <c r="A202" s="3"/>
      <c r="B202" s="10" t="s">
        <v>50</v>
      </c>
      <c r="C202" s="62"/>
      <c r="D202" s="62"/>
      <c r="E202" s="12">
        <v>0</v>
      </c>
      <c r="F202" s="12">
        <v>0</v>
      </c>
      <c r="G202" s="65"/>
      <c r="H202" s="65"/>
      <c r="I202" s="128"/>
      <c r="J202" s="65"/>
      <c r="K202" s="37"/>
      <c r="L202" s="37"/>
      <c r="M202" s="37"/>
      <c r="N202" s="37"/>
      <c r="O202" s="37"/>
      <c r="P202" s="37"/>
      <c r="Q202" s="37"/>
      <c r="R202" s="37"/>
      <c r="S202" s="37"/>
      <c r="T202" s="37"/>
      <c r="U202" s="3"/>
      <c r="W202" s="3"/>
      <c r="X202" s="3"/>
      <c r="Y202" s="3"/>
      <c r="Z202" s="3"/>
    </row>
    <row r="203" spans="1:26" ht="15.75" customHeight="1" outlineLevel="1" x14ac:dyDescent="0.3">
      <c r="A203" s="3"/>
      <c r="B203" s="10" t="s">
        <v>50</v>
      </c>
      <c r="C203" s="62"/>
      <c r="D203" s="62"/>
      <c r="E203" s="12">
        <v>0</v>
      </c>
      <c r="F203" s="12">
        <v>0</v>
      </c>
      <c r="G203" s="65"/>
      <c r="H203" s="65"/>
      <c r="I203" s="157"/>
      <c r="J203" s="65"/>
      <c r="K203" s="37"/>
      <c r="L203" s="37"/>
      <c r="M203" s="37"/>
      <c r="N203" s="37"/>
      <c r="O203" s="37"/>
      <c r="P203" s="37"/>
      <c r="Q203" s="37"/>
      <c r="R203" s="37"/>
      <c r="S203" s="37"/>
      <c r="T203" s="37"/>
      <c r="U203" s="3"/>
      <c r="W203" s="3"/>
      <c r="X203" s="3"/>
      <c r="Y203" s="3"/>
      <c r="Z203" s="3"/>
    </row>
    <row r="204" spans="1:26" ht="15.75" customHeight="1" outlineLevel="1" x14ac:dyDescent="0.3">
      <c r="A204" s="3"/>
      <c r="B204" s="10" t="s">
        <v>50</v>
      </c>
      <c r="C204" s="62"/>
      <c r="D204" s="62"/>
      <c r="E204" s="12">
        <v>0</v>
      </c>
      <c r="F204" s="12">
        <v>0</v>
      </c>
      <c r="G204" s="65"/>
      <c r="H204" s="65"/>
      <c r="I204" s="128"/>
      <c r="J204" s="65"/>
      <c r="K204" s="37"/>
      <c r="L204" s="37"/>
      <c r="M204" s="37"/>
      <c r="N204" s="37"/>
      <c r="O204" s="37"/>
      <c r="P204" s="37"/>
      <c r="Q204" s="37"/>
      <c r="R204" s="37"/>
      <c r="S204" s="37"/>
      <c r="T204" s="37"/>
      <c r="U204" s="3"/>
      <c r="W204" s="3"/>
      <c r="X204" s="3"/>
      <c r="Y204" s="3"/>
      <c r="Z204" s="3"/>
    </row>
    <row r="205" spans="1:26" ht="15.75" customHeight="1" outlineLevel="1" x14ac:dyDescent="0.3">
      <c r="A205" s="3"/>
      <c r="B205" s="10" t="s">
        <v>50</v>
      </c>
      <c r="C205" s="62"/>
      <c r="D205" s="62"/>
      <c r="E205" s="12">
        <v>0</v>
      </c>
      <c r="F205" s="12">
        <v>0</v>
      </c>
      <c r="G205" s="65"/>
      <c r="H205" s="65"/>
      <c r="I205" s="128"/>
      <c r="J205" s="65"/>
      <c r="K205" s="37"/>
      <c r="L205" s="37"/>
      <c r="M205" s="37"/>
      <c r="N205" s="37"/>
      <c r="O205" s="37"/>
      <c r="P205" s="37"/>
      <c r="Q205" s="37"/>
      <c r="R205" s="37"/>
      <c r="S205" s="37"/>
      <c r="T205" s="37"/>
      <c r="U205" s="3"/>
      <c r="W205" s="3"/>
      <c r="X205" s="3"/>
      <c r="Y205" s="3"/>
      <c r="Z205" s="3"/>
    </row>
    <row r="206" spans="1:26" ht="15.75" customHeight="1" outlineLevel="1" x14ac:dyDescent="0.3">
      <c r="A206" s="3"/>
      <c r="B206" s="10" t="s">
        <v>50</v>
      </c>
      <c r="C206" s="62"/>
      <c r="D206" s="62"/>
      <c r="E206" s="12">
        <v>0</v>
      </c>
      <c r="F206" s="12">
        <v>0</v>
      </c>
      <c r="G206" s="65"/>
      <c r="H206" s="65"/>
      <c r="I206" s="89"/>
      <c r="J206" s="65"/>
      <c r="K206" s="37"/>
      <c r="L206" s="37"/>
      <c r="M206" s="37"/>
      <c r="N206" s="37"/>
      <c r="O206" s="37"/>
      <c r="P206" s="37"/>
      <c r="Q206" s="37"/>
      <c r="R206" s="37"/>
      <c r="S206" s="37"/>
      <c r="T206" s="37"/>
      <c r="U206" s="3"/>
      <c r="W206" s="3"/>
      <c r="X206" s="3"/>
      <c r="Y206" s="3"/>
      <c r="Z206" s="3"/>
    </row>
    <row r="207" spans="1:26" ht="15.75" customHeight="1" outlineLevel="1" x14ac:dyDescent="0.3">
      <c r="A207" s="3"/>
      <c r="B207" s="10" t="s">
        <v>50</v>
      </c>
      <c r="C207" s="62"/>
      <c r="D207" s="62"/>
      <c r="E207" s="12">
        <v>0</v>
      </c>
      <c r="F207" s="12">
        <v>0</v>
      </c>
      <c r="G207" s="65"/>
      <c r="H207" s="65"/>
      <c r="I207" s="89"/>
      <c r="J207" s="65"/>
      <c r="K207" s="37"/>
      <c r="L207" s="37"/>
      <c r="M207" s="37"/>
      <c r="N207" s="37"/>
      <c r="O207" s="37"/>
      <c r="P207" s="37"/>
      <c r="Q207" s="37"/>
      <c r="R207" s="37"/>
      <c r="S207" s="37"/>
      <c r="T207" s="37"/>
      <c r="U207" s="3"/>
      <c r="W207" s="3"/>
      <c r="X207" s="3"/>
      <c r="Y207" s="3"/>
      <c r="Z207" s="3"/>
    </row>
    <row r="208" spans="1:26" ht="15.75" customHeight="1" outlineLevel="1" x14ac:dyDescent="0.3">
      <c r="A208" s="3"/>
      <c r="B208" s="10" t="s">
        <v>50</v>
      </c>
      <c r="C208" s="62"/>
      <c r="D208" s="62"/>
      <c r="E208" s="12">
        <v>0</v>
      </c>
      <c r="F208" s="12">
        <v>0</v>
      </c>
      <c r="G208" s="65"/>
      <c r="H208" s="65"/>
      <c r="I208" s="89"/>
      <c r="J208" s="65"/>
      <c r="K208" s="37"/>
      <c r="L208" s="37"/>
      <c r="M208" s="37"/>
      <c r="N208" s="37"/>
      <c r="O208" s="37"/>
      <c r="P208" s="37"/>
      <c r="Q208" s="37"/>
      <c r="R208" s="37"/>
      <c r="S208" s="37"/>
      <c r="T208" s="37"/>
      <c r="U208" s="3"/>
      <c r="W208" s="3"/>
      <c r="X208" s="3"/>
      <c r="Y208" s="3"/>
      <c r="Z208" s="3"/>
    </row>
    <row r="209" spans="1:26" ht="15.75" customHeight="1" outlineLevel="1" x14ac:dyDescent="0.3">
      <c r="A209" s="3"/>
      <c r="B209" s="10" t="s">
        <v>50</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5.75" customHeight="1" outlineLevel="1" x14ac:dyDescent="0.3">
      <c r="A210" s="3"/>
      <c r="B210" s="10" t="s">
        <v>50</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5.75" customHeight="1" x14ac:dyDescent="0.3">
      <c r="A211" s="3"/>
      <c r="B211" s="84" t="s">
        <v>394</v>
      </c>
      <c r="C211" s="85" t="s">
        <v>43</v>
      </c>
      <c r="D211" s="85" t="s">
        <v>43</v>
      </c>
      <c r="E211" s="86">
        <f>SUM(E212:E220)</f>
        <v>0</v>
      </c>
      <c r="F211" s="86">
        <f>SUMIF(D212:D220,"OK",F212:F220)</f>
        <v>0</v>
      </c>
      <c r="G211" s="87"/>
      <c r="H211" s="87"/>
      <c r="I211" s="88"/>
      <c r="J211" s="87"/>
      <c r="K211" s="37"/>
      <c r="L211" s="37"/>
      <c r="M211" s="37"/>
      <c r="N211" s="37"/>
      <c r="O211" s="37"/>
      <c r="P211" s="37"/>
      <c r="Q211" s="37"/>
      <c r="R211" s="37"/>
      <c r="S211" s="37"/>
      <c r="T211" s="37"/>
      <c r="U211" s="3"/>
      <c r="W211" s="3"/>
      <c r="X211" s="3"/>
      <c r="Y211" s="3"/>
      <c r="Z211" s="3"/>
    </row>
    <row r="212" spans="1:26" ht="15.75" customHeight="1" outlineLevel="1" x14ac:dyDescent="0.3">
      <c r="A212" s="3"/>
      <c r="B212" s="10" t="s">
        <v>1569</v>
      </c>
      <c r="C212" s="62"/>
      <c r="D212" s="62"/>
      <c r="E212" s="12">
        <v>0</v>
      </c>
      <c r="F212" s="12">
        <v>0</v>
      </c>
      <c r="G212" s="89"/>
      <c r="H212" s="65"/>
      <c r="I212" s="112"/>
      <c r="J212" s="65"/>
      <c r="K212" s="37"/>
      <c r="L212" s="37"/>
      <c r="M212" s="37"/>
      <c r="N212" s="37"/>
      <c r="O212" s="37"/>
      <c r="P212" s="37"/>
      <c r="Q212" s="37"/>
      <c r="R212" s="37"/>
      <c r="S212" s="37"/>
      <c r="T212" s="37"/>
      <c r="U212" s="3"/>
      <c r="W212" s="3"/>
      <c r="X212" s="3"/>
      <c r="Y212" s="3"/>
      <c r="Z212" s="3"/>
    </row>
    <row r="213" spans="1:26" ht="15.75" customHeight="1" outlineLevel="1" x14ac:dyDescent="0.3">
      <c r="A213" s="3"/>
      <c r="B213" s="10" t="s">
        <v>354</v>
      </c>
      <c r="C213" s="62"/>
      <c r="D213" s="62"/>
      <c r="E213" s="12">
        <v>0</v>
      </c>
      <c r="F213" s="12">
        <v>0</v>
      </c>
      <c r="G213" s="65"/>
      <c r="H213" s="65"/>
      <c r="I213" s="156"/>
      <c r="J213" s="65"/>
      <c r="K213" s="37"/>
      <c r="L213" s="37"/>
      <c r="M213" s="37"/>
      <c r="N213" s="37"/>
      <c r="O213" s="37"/>
      <c r="P213" s="37"/>
      <c r="Q213" s="37"/>
      <c r="R213" s="37"/>
      <c r="S213" s="37"/>
      <c r="T213" s="37"/>
      <c r="U213" s="3"/>
      <c r="W213" s="3"/>
      <c r="X213" s="3"/>
      <c r="Y213" s="3"/>
      <c r="Z213" s="3"/>
    </row>
    <row r="214" spans="1:26" ht="15.75" customHeight="1" outlineLevel="1" x14ac:dyDescent="0.3">
      <c r="A214" s="3"/>
      <c r="B214" s="10" t="s">
        <v>355</v>
      </c>
      <c r="C214" s="62"/>
      <c r="D214" s="62"/>
      <c r="E214" s="12">
        <v>0</v>
      </c>
      <c r="F214" s="12">
        <v>0</v>
      </c>
      <c r="G214" s="65"/>
      <c r="H214" s="65"/>
      <c r="I214" s="156"/>
      <c r="J214" s="65"/>
      <c r="K214" s="37"/>
      <c r="L214" s="37"/>
      <c r="M214" s="37"/>
      <c r="N214" s="37"/>
      <c r="O214" s="37"/>
      <c r="P214" s="37"/>
      <c r="Q214" s="37"/>
      <c r="R214" s="37"/>
      <c r="S214" s="37"/>
      <c r="T214" s="37"/>
      <c r="U214" s="3"/>
      <c r="W214" s="3"/>
      <c r="X214" s="3"/>
      <c r="Y214" s="3"/>
      <c r="Z214" s="3"/>
    </row>
    <row r="215" spans="1:26" ht="15.75" customHeight="1" outlineLevel="1" x14ac:dyDescent="0.3">
      <c r="A215" s="3"/>
      <c r="B215" s="10" t="s">
        <v>369</v>
      </c>
      <c r="C215" s="62"/>
      <c r="D215" s="62"/>
      <c r="E215" s="12">
        <v>0</v>
      </c>
      <c r="F215" s="12">
        <v>0</v>
      </c>
      <c r="G215" s="65"/>
      <c r="H215" s="65"/>
      <c r="I215" s="156"/>
      <c r="J215" s="65"/>
      <c r="K215" s="37"/>
      <c r="L215" s="37"/>
      <c r="M215" s="37"/>
      <c r="N215" s="37"/>
      <c r="O215" s="37"/>
      <c r="P215" s="37"/>
      <c r="Q215" s="37"/>
      <c r="R215" s="37"/>
      <c r="S215" s="37"/>
      <c r="T215" s="37"/>
      <c r="U215" s="3"/>
      <c r="W215" s="3"/>
      <c r="X215" s="3"/>
      <c r="Y215" s="3"/>
      <c r="Z215" s="3"/>
    </row>
    <row r="216" spans="1:26" ht="15.75" customHeight="1" outlineLevel="1" x14ac:dyDescent="0.3">
      <c r="A216" s="3"/>
      <c r="B216" s="10" t="s">
        <v>327</v>
      </c>
      <c r="C216" s="62"/>
      <c r="D216" s="62"/>
      <c r="E216" s="12">
        <v>0</v>
      </c>
      <c r="F216" s="12">
        <v>0</v>
      </c>
      <c r="G216" s="65"/>
      <c r="H216" s="65"/>
      <c r="I216" s="156"/>
      <c r="J216" s="65"/>
      <c r="K216" s="37"/>
      <c r="L216" s="37"/>
      <c r="M216" s="37"/>
      <c r="N216" s="37"/>
      <c r="O216" s="37"/>
      <c r="P216" s="37"/>
      <c r="Q216" s="37"/>
      <c r="R216" s="37"/>
      <c r="S216" s="37"/>
      <c r="T216" s="37"/>
      <c r="U216" s="3"/>
      <c r="W216" s="3"/>
      <c r="X216" s="3"/>
      <c r="Y216" s="3"/>
      <c r="Z216" s="3"/>
    </row>
    <row r="217" spans="1:26" ht="15.75" customHeight="1" outlineLevel="1" x14ac:dyDescent="0.3">
      <c r="A217" s="3"/>
      <c r="B217" s="10" t="s">
        <v>328</v>
      </c>
      <c r="C217" s="62"/>
      <c r="D217" s="62"/>
      <c r="E217" s="12">
        <v>0</v>
      </c>
      <c r="F217" s="12">
        <v>0</v>
      </c>
      <c r="G217" s="65"/>
      <c r="H217" s="65"/>
      <c r="I217" s="156"/>
      <c r="J217" s="65"/>
      <c r="K217" s="37"/>
      <c r="L217" s="37"/>
      <c r="M217" s="37"/>
      <c r="N217" s="37"/>
      <c r="O217" s="37"/>
      <c r="P217" s="37"/>
      <c r="Q217" s="37"/>
      <c r="R217" s="37"/>
      <c r="S217" s="37"/>
      <c r="T217" s="37"/>
      <c r="U217" s="3"/>
      <c r="W217" s="3"/>
      <c r="X217" s="3"/>
      <c r="Y217" s="3"/>
      <c r="Z217" s="3"/>
    </row>
    <row r="218" spans="1:26" ht="15.75" customHeight="1" outlineLevel="1" x14ac:dyDescent="0.3">
      <c r="A218" s="3"/>
      <c r="B218" s="10" t="s">
        <v>370</v>
      </c>
      <c r="C218" s="62"/>
      <c r="D218" s="62"/>
      <c r="E218" s="12">
        <v>0</v>
      </c>
      <c r="F218" s="12">
        <v>0</v>
      </c>
      <c r="G218" s="65"/>
      <c r="H218" s="65"/>
      <c r="I218" s="156"/>
      <c r="J218" s="65"/>
      <c r="K218" s="37"/>
      <c r="L218" s="37"/>
      <c r="M218" s="37"/>
      <c r="N218" s="37"/>
      <c r="O218" s="37"/>
      <c r="P218" s="37"/>
      <c r="Q218" s="37"/>
      <c r="R218" s="37"/>
      <c r="S218" s="37"/>
      <c r="T218" s="37"/>
      <c r="U218" s="3"/>
      <c r="W218" s="3"/>
      <c r="X218" s="3"/>
      <c r="Y218" s="3"/>
      <c r="Z218" s="3"/>
    </row>
    <row r="219" spans="1:26" ht="15.75" customHeight="1" outlineLevel="1" x14ac:dyDescent="0.3">
      <c r="A219" s="3"/>
      <c r="B219" s="10" t="s">
        <v>371</v>
      </c>
      <c r="C219" s="62"/>
      <c r="D219" s="62"/>
      <c r="E219" s="12">
        <v>0</v>
      </c>
      <c r="F219" s="12">
        <v>0</v>
      </c>
      <c r="G219" s="65"/>
      <c r="H219" s="65"/>
      <c r="I219" s="89"/>
      <c r="J219" s="65"/>
      <c r="K219" s="37"/>
      <c r="L219" s="37"/>
      <c r="M219" s="37"/>
      <c r="N219" s="37"/>
      <c r="O219" s="37"/>
      <c r="P219" s="37"/>
      <c r="Q219" s="37"/>
      <c r="R219" s="37"/>
      <c r="S219" s="37"/>
      <c r="T219" s="37"/>
      <c r="U219" s="3"/>
      <c r="W219" s="3"/>
      <c r="X219" s="3"/>
      <c r="Y219" s="3"/>
      <c r="Z219" s="3"/>
    </row>
    <row r="220" spans="1:26" ht="15.75" customHeight="1" outlineLevel="1" x14ac:dyDescent="0.3">
      <c r="A220" s="3"/>
      <c r="B220" s="10" t="s">
        <v>372</v>
      </c>
      <c r="C220" s="62"/>
      <c r="D220" s="62"/>
      <c r="E220" s="12">
        <v>0</v>
      </c>
      <c r="F220" s="12">
        <v>0</v>
      </c>
      <c r="G220" s="65"/>
      <c r="H220" s="65"/>
      <c r="I220" s="89"/>
      <c r="J220" s="65"/>
      <c r="K220" s="37"/>
      <c r="L220" s="37"/>
      <c r="M220" s="37"/>
      <c r="N220" s="37"/>
      <c r="O220" s="37"/>
      <c r="P220" s="37"/>
      <c r="Q220" s="37"/>
      <c r="R220" s="37"/>
      <c r="S220" s="37"/>
      <c r="T220" s="37"/>
      <c r="U220" s="3"/>
      <c r="W220" s="3"/>
      <c r="X220" s="3"/>
      <c r="Y220" s="3"/>
      <c r="Z220" s="3"/>
    </row>
    <row r="221" spans="1:26" ht="15.75" customHeight="1" x14ac:dyDescent="0.3">
      <c r="A221" s="3"/>
      <c r="B221" s="84" t="s">
        <v>401</v>
      </c>
      <c r="C221" s="85" t="s">
        <v>43</v>
      </c>
      <c r="D221" s="85" t="s">
        <v>43</v>
      </c>
      <c r="E221" s="86">
        <f>SUM(E222:E230)</f>
        <v>0</v>
      </c>
      <c r="F221" s="86">
        <f>SUMIF(D222:D230,"OK",F222:F230)</f>
        <v>0</v>
      </c>
      <c r="G221" s="87"/>
      <c r="H221" s="87"/>
      <c r="I221" s="88"/>
      <c r="J221" s="87"/>
      <c r="K221" s="37"/>
      <c r="L221" s="37"/>
      <c r="M221" s="37"/>
      <c r="N221" s="37"/>
      <c r="O221" s="37"/>
      <c r="P221" s="37"/>
      <c r="Q221" s="37"/>
      <c r="R221" s="37"/>
      <c r="S221" s="37"/>
      <c r="T221" s="37"/>
      <c r="U221" s="3"/>
      <c r="W221" s="3"/>
      <c r="X221" s="3"/>
      <c r="Y221" s="3"/>
      <c r="Z221" s="3"/>
    </row>
    <row r="222" spans="1:26" ht="15.75" customHeight="1" outlineLevel="1" x14ac:dyDescent="0.3">
      <c r="A222" s="3"/>
      <c r="B222" s="10" t="s">
        <v>1575</v>
      </c>
      <c r="C222" s="62"/>
      <c r="D222" s="62"/>
      <c r="E222" s="12">
        <v>0</v>
      </c>
      <c r="F222" s="12">
        <v>0</v>
      </c>
      <c r="G222" s="65"/>
      <c r="H222" s="65"/>
      <c r="I222" s="112"/>
      <c r="J222" s="65"/>
      <c r="K222" s="37"/>
      <c r="L222" s="37"/>
      <c r="M222" s="37"/>
      <c r="N222" s="37"/>
      <c r="O222" s="37"/>
      <c r="P222" s="37"/>
      <c r="Q222" s="37"/>
      <c r="R222" s="37"/>
      <c r="S222" s="37"/>
      <c r="T222" s="37"/>
      <c r="U222" s="3"/>
      <c r="W222" s="3"/>
      <c r="X222" s="3"/>
      <c r="Y222" s="3"/>
      <c r="Z222" s="3"/>
    </row>
    <row r="223" spans="1:26" ht="15.75" customHeight="1" outlineLevel="1" x14ac:dyDescent="0.3">
      <c r="A223" s="3"/>
      <c r="B223" s="10" t="s">
        <v>1575</v>
      </c>
      <c r="C223" s="62"/>
      <c r="D223" s="62"/>
      <c r="E223" s="12">
        <v>0</v>
      </c>
      <c r="F223" s="12">
        <v>0</v>
      </c>
      <c r="G223" s="65"/>
      <c r="H223" s="65"/>
      <c r="I223" s="112"/>
      <c r="J223" s="65"/>
      <c r="K223" s="37"/>
      <c r="L223" s="37"/>
      <c r="M223" s="37"/>
      <c r="N223" s="37"/>
      <c r="O223" s="37"/>
      <c r="P223" s="37"/>
      <c r="Q223" s="37"/>
      <c r="R223" s="37"/>
      <c r="S223" s="37"/>
      <c r="T223" s="37"/>
      <c r="U223" s="3"/>
      <c r="W223" s="3"/>
      <c r="X223" s="3"/>
      <c r="Y223" s="3"/>
      <c r="Z223" s="3"/>
    </row>
    <row r="224" spans="1:26" ht="15.75" customHeight="1" outlineLevel="1" x14ac:dyDescent="0.3">
      <c r="A224" s="3"/>
      <c r="B224" s="10" t="s">
        <v>355</v>
      </c>
      <c r="C224" s="62"/>
      <c r="D224" s="62"/>
      <c r="E224" s="12">
        <v>0</v>
      </c>
      <c r="F224" s="12">
        <v>0</v>
      </c>
      <c r="G224" s="65"/>
      <c r="H224" s="65"/>
      <c r="I224" s="156"/>
      <c r="J224" s="65"/>
      <c r="K224" s="37"/>
      <c r="L224" s="37"/>
      <c r="M224" s="37"/>
      <c r="N224" s="37"/>
      <c r="O224" s="37"/>
      <c r="P224" s="37"/>
      <c r="Q224" s="37"/>
      <c r="R224" s="37"/>
      <c r="S224" s="37"/>
      <c r="T224" s="37"/>
      <c r="U224" s="3"/>
      <c r="W224" s="3"/>
      <c r="X224" s="3"/>
      <c r="Y224" s="3"/>
      <c r="Z224" s="3"/>
    </row>
    <row r="225" spans="1:26" ht="15.75" customHeight="1" outlineLevel="1" x14ac:dyDescent="0.3">
      <c r="A225" s="3"/>
      <c r="B225" s="10" t="s">
        <v>369</v>
      </c>
      <c r="C225" s="62"/>
      <c r="D225" s="62"/>
      <c r="E225" s="12">
        <v>0</v>
      </c>
      <c r="F225" s="12">
        <v>0</v>
      </c>
      <c r="G225" s="65"/>
      <c r="H225" s="65"/>
      <c r="I225" s="156"/>
      <c r="J225" s="65"/>
      <c r="K225" s="37"/>
      <c r="L225" s="37"/>
      <c r="M225" s="37"/>
      <c r="N225" s="37"/>
      <c r="O225" s="37"/>
      <c r="P225" s="37"/>
      <c r="Q225" s="37"/>
      <c r="R225" s="37"/>
      <c r="S225" s="37"/>
      <c r="T225" s="37"/>
      <c r="U225" s="3"/>
      <c r="W225" s="3"/>
      <c r="X225" s="3"/>
      <c r="Y225" s="3"/>
      <c r="Z225" s="3"/>
    </row>
    <row r="226" spans="1:26" ht="15.75" customHeight="1" outlineLevel="1" x14ac:dyDescent="0.3">
      <c r="A226" s="3"/>
      <c r="B226" s="10" t="s">
        <v>327</v>
      </c>
      <c r="C226" s="62"/>
      <c r="D226" s="62"/>
      <c r="E226" s="12">
        <v>0</v>
      </c>
      <c r="F226" s="12">
        <v>0</v>
      </c>
      <c r="G226" s="65"/>
      <c r="H226" s="65"/>
      <c r="I226" s="157"/>
      <c r="J226" s="65"/>
      <c r="K226" s="37"/>
      <c r="L226" s="37"/>
      <c r="M226" s="37"/>
      <c r="N226" s="37"/>
      <c r="O226" s="37"/>
      <c r="P226" s="37"/>
      <c r="Q226" s="37"/>
      <c r="R226" s="37"/>
      <c r="S226" s="37"/>
      <c r="T226" s="37"/>
      <c r="U226" s="3"/>
      <c r="W226" s="3"/>
      <c r="X226" s="3"/>
      <c r="Y226" s="3"/>
      <c r="Z226" s="3"/>
    </row>
    <row r="227" spans="1:26" ht="15.75" customHeight="1" outlineLevel="1" x14ac:dyDescent="0.3">
      <c r="A227" s="3"/>
      <c r="B227" s="10" t="s">
        <v>328</v>
      </c>
      <c r="C227" s="62"/>
      <c r="D227" s="62"/>
      <c r="E227" s="12">
        <v>0</v>
      </c>
      <c r="F227" s="12">
        <v>0</v>
      </c>
      <c r="G227" s="65"/>
      <c r="H227" s="65"/>
      <c r="I227" s="157"/>
      <c r="J227" s="65"/>
      <c r="K227" s="37"/>
      <c r="L227" s="37"/>
      <c r="M227" s="37"/>
      <c r="N227" s="37"/>
      <c r="O227" s="37"/>
      <c r="P227" s="37"/>
      <c r="Q227" s="37"/>
      <c r="R227" s="37"/>
      <c r="S227" s="37"/>
      <c r="T227" s="37"/>
      <c r="U227" s="3"/>
      <c r="W227" s="3"/>
      <c r="X227" s="3"/>
      <c r="Y227" s="3"/>
      <c r="Z227" s="3"/>
    </row>
    <row r="228" spans="1:26" ht="15.75" customHeight="1" outlineLevel="1" x14ac:dyDescent="0.3">
      <c r="A228" s="3"/>
      <c r="B228" s="10" t="s">
        <v>370</v>
      </c>
      <c r="C228" s="62"/>
      <c r="D228" s="62"/>
      <c r="E228" s="12">
        <v>0</v>
      </c>
      <c r="F228" s="12">
        <v>0</v>
      </c>
      <c r="G228" s="65"/>
      <c r="H228" s="65"/>
      <c r="I228" s="157"/>
      <c r="J228" s="65"/>
      <c r="K228" s="37"/>
      <c r="L228" s="37"/>
      <c r="M228" s="37"/>
      <c r="N228" s="37"/>
      <c r="O228" s="37"/>
      <c r="P228" s="37"/>
      <c r="Q228" s="37"/>
      <c r="R228" s="37"/>
      <c r="S228" s="37"/>
      <c r="T228" s="37"/>
      <c r="U228" s="3"/>
      <c r="W228" s="3"/>
      <c r="X228" s="3"/>
      <c r="Y228" s="3"/>
      <c r="Z228" s="3"/>
    </row>
    <row r="229" spans="1:26" ht="15.75" customHeight="1" outlineLevel="1" x14ac:dyDescent="0.3">
      <c r="A229" s="3"/>
      <c r="B229" s="10" t="s">
        <v>371</v>
      </c>
      <c r="C229" s="62"/>
      <c r="D229" s="62"/>
      <c r="E229" s="12">
        <v>0</v>
      </c>
      <c r="F229" s="12">
        <v>0</v>
      </c>
      <c r="G229" s="89"/>
      <c r="H229" s="65"/>
      <c r="I229" s="157"/>
      <c r="J229" s="65"/>
      <c r="K229" s="37"/>
      <c r="L229" s="37"/>
      <c r="M229" s="37"/>
      <c r="N229" s="37"/>
      <c r="O229" s="37"/>
      <c r="P229" s="37"/>
      <c r="Q229" s="37"/>
      <c r="R229" s="37"/>
      <c r="S229" s="37"/>
      <c r="T229" s="37"/>
      <c r="U229" s="3"/>
      <c r="W229" s="3"/>
      <c r="X229" s="3"/>
      <c r="Y229" s="3"/>
      <c r="Z229" s="3"/>
    </row>
    <row r="230" spans="1:26" ht="15.75" customHeight="1" outlineLevel="1" x14ac:dyDescent="0.3">
      <c r="A230" s="3"/>
      <c r="B230" s="10" t="s">
        <v>372</v>
      </c>
      <c r="C230" s="62"/>
      <c r="D230" s="62"/>
      <c r="E230" s="12">
        <v>0</v>
      </c>
      <c r="F230" s="12">
        <v>0</v>
      </c>
      <c r="G230" s="89"/>
      <c r="H230" s="65"/>
      <c r="I230" s="157"/>
      <c r="J230" s="65"/>
      <c r="K230" s="37"/>
      <c r="L230" s="37"/>
      <c r="M230" s="37"/>
      <c r="N230" s="37"/>
      <c r="O230" s="37"/>
      <c r="P230" s="37"/>
      <c r="Q230" s="37"/>
      <c r="R230" s="37"/>
      <c r="S230" s="37"/>
      <c r="T230" s="37"/>
      <c r="U230" s="3"/>
      <c r="W230" s="3"/>
      <c r="X230" s="3"/>
      <c r="Y230" s="3"/>
      <c r="Z230" s="3"/>
    </row>
    <row r="231" spans="1:26" ht="15.75" customHeight="1" x14ac:dyDescent="0.3">
      <c r="A231" s="3"/>
      <c r="B231" s="84" t="s">
        <v>402</v>
      </c>
      <c r="C231" s="85" t="s">
        <v>43</v>
      </c>
      <c r="D231" s="85" t="s">
        <v>43</v>
      </c>
      <c r="E231" s="86">
        <f>SUM(E232:E240)</f>
        <v>0</v>
      </c>
      <c r="F231" s="86">
        <f>SUMIF(D232:D240,"OK",F232:F240)</f>
        <v>0</v>
      </c>
      <c r="G231" s="87"/>
      <c r="H231" s="87"/>
      <c r="I231" s="88"/>
      <c r="J231" s="87"/>
      <c r="K231" s="37"/>
      <c r="L231" s="37"/>
      <c r="M231" s="37"/>
      <c r="N231" s="37"/>
      <c r="O231" s="37"/>
      <c r="P231" s="37"/>
      <c r="Q231" s="37"/>
      <c r="R231" s="37"/>
      <c r="S231" s="37"/>
      <c r="T231" s="37"/>
      <c r="U231" s="3"/>
      <c r="W231" s="3"/>
      <c r="X231" s="3"/>
      <c r="Y231" s="3"/>
      <c r="Z231" s="3"/>
    </row>
    <row r="232" spans="1:26" ht="15.75" customHeight="1" outlineLevel="1" x14ac:dyDescent="0.3">
      <c r="A232" s="3"/>
      <c r="B232" s="10" t="s">
        <v>353</v>
      </c>
      <c r="C232" s="62"/>
      <c r="D232" s="62"/>
      <c r="E232" s="12">
        <v>0</v>
      </c>
      <c r="F232" s="12">
        <v>0</v>
      </c>
      <c r="G232" s="65"/>
      <c r="H232" s="65"/>
      <c r="I232" s="157"/>
      <c r="J232" s="65"/>
      <c r="K232" s="37"/>
      <c r="L232" s="37"/>
      <c r="M232" s="37"/>
      <c r="N232" s="37"/>
      <c r="O232" s="37"/>
      <c r="P232" s="37"/>
      <c r="Q232" s="37"/>
      <c r="R232" s="37"/>
      <c r="S232" s="37"/>
      <c r="T232" s="37"/>
      <c r="U232" s="3"/>
      <c r="W232" s="3"/>
      <c r="X232" s="3"/>
      <c r="Y232" s="3"/>
      <c r="Z232" s="3"/>
    </row>
    <row r="233" spans="1:26" ht="15.75" customHeight="1" outlineLevel="1" x14ac:dyDescent="0.3">
      <c r="A233" s="3"/>
      <c r="B233" s="10" t="s">
        <v>354</v>
      </c>
      <c r="C233" s="62"/>
      <c r="D233" s="62"/>
      <c r="E233" s="12">
        <v>0</v>
      </c>
      <c r="F233" s="12">
        <v>0</v>
      </c>
      <c r="G233" s="65"/>
      <c r="H233" s="65"/>
      <c r="I233" s="157"/>
      <c r="J233" s="65"/>
      <c r="K233" s="37"/>
      <c r="L233" s="37"/>
      <c r="M233" s="37"/>
      <c r="N233" s="37"/>
      <c r="O233" s="37"/>
      <c r="P233" s="37"/>
      <c r="Q233" s="37"/>
      <c r="R233" s="37"/>
      <c r="S233" s="37"/>
      <c r="T233" s="37"/>
      <c r="U233" s="3"/>
      <c r="W233" s="3"/>
      <c r="X233" s="3"/>
      <c r="Y233" s="3"/>
      <c r="Z233" s="3"/>
    </row>
    <row r="234" spans="1:26" ht="15.75" customHeight="1" outlineLevel="1" x14ac:dyDescent="0.3">
      <c r="A234" s="3"/>
      <c r="B234" s="10" t="s">
        <v>355</v>
      </c>
      <c r="C234" s="62"/>
      <c r="D234" s="62"/>
      <c r="E234" s="12">
        <v>0</v>
      </c>
      <c r="F234" s="12">
        <v>0</v>
      </c>
      <c r="G234" s="65"/>
      <c r="H234" s="65"/>
      <c r="I234" s="89"/>
      <c r="J234" s="65"/>
      <c r="K234" s="37"/>
      <c r="L234" s="37"/>
      <c r="M234" s="37"/>
      <c r="N234" s="37"/>
      <c r="O234" s="37"/>
      <c r="P234" s="37"/>
      <c r="Q234" s="37"/>
      <c r="R234" s="37"/>
      <c r="S234" s="37"/>
      <c r="T234" s="37"/>
      <c r="U234" s="3"/>
      <c r="W234" s="3"/>
      <c r="X234" s="3"/>
      <c r="Y234" s="3"/>
      <c r="Z234" s="3"/>
    </row>
    <row r="235" spans="1:26" ht="15.75" customHeight="1" outlineLevel="1" x14ac:dyDescent="0.3">
      <c r="A235" s="3"/>
      <c r="B235" s="10" t="s">
        <v>369</v>
      </c>
      <c r="C235" s="62"/>
      <c r="D235" s="62"/>
      <c r="E235" s="12">
        <v>0</v>
      </c>
      <c r="F235" s="12">
        <v>0</v>
      </c>
      <c r="G235" s="65"/>
      <c r="H235" s="65"/>
      <c r="I235" s="89"/>
      <c r="J235" s="65"/>
      <c r="K235" s="37"/>
      <c r="L235" s="37"/>
      <c r="M235" s="37"/>
      <c r="N235" s="37"/>
      <c r="O235" s="37"/>
      <c r="P235" s="37"/>
      <c r="Q235" s="37"/>
      <c r="R235" s="37"/>
      <c r="S235" s="37"/>
      <c r="T235" s="37"/>
      <c r="U235" s="3"/>
      <c r="W235" s="3"/>
      <c r="X235" s="3"/>
      <c r="Y235" s="3"/>
      <c r="Z235" s="3"/>
    </row>
    <row r="236" spans="1:26" ht="15.75" customHeight="1" outlineLevel="1" x14ac:dyDescent="0.3">
      <c r="A236" s="3"/>
      <c r="B236" s="10" t="s">
        <v>327</v>
      </c>
      <c r="C236" s="62"/>
      <c r="D236" s="62"/>
      <c r="E236" s="12">
        <v>0</v>
      </c>
      <c r="F236" s="12">
        <v>0</v>
      </c>
      <c r="G236" s="65"/>
      <c r="H236" s="65"/>
      <c r="I236" s="89"/>
      <c r="J236" s="65"/>
      <c r="K236" s="37"/>
      <c r="L236" s="37"/>
      <c r="M236" s="37"/>
      <c r="N236" s="37"/>
      <c r="O236" s="37"/>
      <c r="P236" s="37"/>
      <c r="Q236" s="37"/>
      <c r="R236" s="37"/>
      <c r="S236" s="37"/>
      <c r="T236" s="37"/>
      <c r="U236" s="3"/>
      <c r="W236" s="3"/>
      <c r="X236" s="3"/>
      <c r="Y236" s="3"/>
      <c r="Z236" s="3"/>
    </row>
    <row r="237" spans="1:26" ht="15.75" customHeight="1" outlineLevel="1" x14ac:dyDescent="0.3">
      <c r="A237" s="3"/>
      <c r="B237" s="10" t="s">
        <v>328</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5.75" customHeight="1" outlineLevel="1" x14ac:dyDescent="0.3">
      <c r="A238" s="3"/>
      <c r="B238" s="10" t="s">
        <v>370</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5.75" customHeight="1" outlineLevel="1" x14ac:dyDescent="0.3">
      <c r="A239" s="3"/>
      <c r="B239" s="10" t="s">
        <v>371</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5.75" customHeight="1" outlineLevel="1" x14ac:dyDescent="0.3">
      <c r="A240" s="3"/>
      <c r="B240" s="10" t="s">
        <v>372</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5.75" customHeight="1" x14ac:dyDescent="0.3">
      <c r="A241" s="3"/>
      <c r="B241" s="84" t="s">
        <v>403</v>
      </c>
      <c r="C241" s="85" t="s">
        <v>43</v>
      </c>
      <c r="D241" s="85" t="s">
        <v>43</v>
      </c>
      <c r="E241" s="86">
        <f>SUM(E242:E250)</f>
        <v>0</v>
      </c>
      <c r="F241" s="86">
        <f>SUMIF(D242:D250,"OK",F242:F250)</f>
        <v>0</v>
      </c>
      <c r="G241" s="87"/>
      <c r="H241" s="87"/>
      <c r="I241" s="88"/>
      <c r="J241" s="87"/>
      <c r="K241" s="37"/>
      <c r="L241" s="37"/>
      <c r="M241" s="37"/>
      <c r="N241" s="37"/>
      <c r="O241" s="37"/>
      <c r="P241" s="37"/>
      <c r="Q241" s="37"/>
      <c r="R241" s="37"/>
      <c r="S241" s="37"/>
      <c r="T241" s="37"/>
      <c r="U241" s="3"/>
      <c r="W241" s="3"/>
      <c r="X241" s="3"/>
      <c r="Y241" s="3"/>
      <c r="Z241" s="3"/>
    </row>
    <row r="242" spans="1:26" ht="15.75" customHeight="1" outlineLevel="1" x14ac:dyDescent="0.3">
      <c r="A242" s="3"/>
      <c r="B242" s="10" t="s">
        <v>1506</v>
      </c>
      <c r="C242" s="62"/>
      <c r="D242" s="62"/>
      <c r="E242" s="12">
        <v>0</v>
      </c>
      <c r="F242" s="12">
        <v>0</v>
      </c>
      <c r="G242" s="89"/>
      <c r="H242" s="65"/>
      <c r="I242" s="112"/>
      <c r="J242" s="65"/>
      <c r="K242" s="37"/>
      <c r="L242" s="37"/>
      <c r="M242" s="37"/>
      <c r="N242" s="37"/>
      <c r="O242" s="37"/>
      <c r="P242" s="37"/>
      <c r="Q242" s="37"/>
      <c r="R242" s="37"/>
      <c r="S242" s="37"/>
      <c r="T242" s="37"/>
      <c r="U242" s="3"/>
      <c r="W242" s="3"/>
      <c r="X242" s="3"/>
      <c r="Y242" s="3"/>
      <c r="Z242" s="3"/>
    </row>
    <row r="243" spans="1:26" ht="15.75" customHeight="1" outlineLevel="1" x14ac:dyDescent="0.3">
      <c r="A243" s="3"/>
      <c r="B243" s="10" t="s">
        <v>354</v>
      </c>
      <c r="C243" s="62"/>
      <c r="D243" s="62"/>
      <c r="E243" s="12">
        <v>0</v>
      </c>
      <c r="F243" s="12">
        <v>0</v>
      </c>
      <c r="G243" s="65"/>
      <c r="H243" s="65"/>
      <c r="I243" s="157"/>
      <c r="J243" s="65"/>
      <c r="K243" s="37"/>
      <c r="L243" s="37"/>
      <c r="M243" s="37"/>
      <c r="N243" s="37"/>
      <c r="O243" s="37"/>
      <c r="P243" s="37"/>
      <c r="Q243" s="37"/>
      <c r="R243" s="37"/>
      <c r="S243" s="37"/>
      <c r="T243" s="37"/>
      <c r="U243" s="3"/>
      <c r="W243" s="3"/>
      <c r="X243" s="3"/>
      <c r="Y243" s="3"/>
      <c r="Z243" s="3"/>
    </row>
    <row r="244" spans="1:26" ht="15.75" customHeight="1" outlineLevel="1" x14ac:dyDescent="0.3">
      <c r="A244" s="3"/>
      <c r="B244" s="10" t="s">
        <v>355</v>
      </c>
      <c r="C244" s="62"/>
      <c r="D244" s="62"/>
      <c r="E244" s="12">
        <v>0</v>
      </c>
      <c r="F244" s="12">
        <v>0</v>
      </c>
      <c r="G244" s="65"/>
      <c r="H244" s="65"/>
      <c r="I244" s="89"/>
      <c r="J244" s="65"/>
      <c r="K244" s="37"/>
      <c r="L244" s="37"/>
      <c r="M244" s="37"/>
      <c r="N244" s="37"/>
      <c r="O244" s="37"/>
      <c r="P244" s="37"/>
      <c r="Q244" s="37"/>
      <c r="R244" s="37"/>
      <c r="S244" s="37"/>
      <c r="T244" s="37"/>
      <c r="U244" s="3"/>
      <c r="W244" s="3"/>
      <c r="X244" s="3"/>
      <c r="Y244" s="3"/>
      <c r="Z244" s="3"/>
    </row>
    <row r="245" spans="1:26" ht="15.75" customHeight="1" outlineLevel="1" x14ac:dyDescent="0.3">
      <c r="A245" s="3"/>
      <c r="B245" s="10" t="s">
        <v>369</v>
      </c>
      <c r="C245" s="62"/>
      <c r="D245" s="62"/>
      <c r="E245" s="12">
        <v>0</v>
      </c>
      <c r="F245" s="12">
        <v>0</v>
      </c>
      <c r="G245" s="65"/>
      <c r="H245" s="65"/>
      <c r="I245" s="89"/>
      <c r="J245" s="65"/>
      <c r="K245" s="37"/>
      <c r="L245" s="37"/>
      <c r="M245" s="37"/>
      <c r="N245" s="37"/>
      <c r="O245" s="37"/>
      <c r="P245" s="37"/>
      <c r="Q245" s="37"/>
      <c r="R245" s="37"/>
      <c r="S245" s="37"/>
      <c r="T245" s="37"/>
      <c r="U245" s="3"/>
      <c r="W245" s="3"/>
      <c r="X245" s="3"/>
      <c r="Y245" s="3"/>
      <c r="Z245" s="3"/>
    </row>
    <row r="246" spans="1:26" ht="15.75" customHeight="1" outlineLevel="1" x14ac:dyDescent="0.3">
      <c r="A246" s="3"/>
      <c r="B246" s="10" t="s">
        <v>327</v>
      </c>
      <c r="C246" s="62"/>
      <c r="D246" s="62"/>
      <c r="E246" s="12">
        <v>0</v>
      </c>
      <c r="F246" s="12">
        <v>0</v>
      </c>
      <c r="G246" s="65"/>
      <c r="H246" s="65"/>
      <c r="I246" s="89"/>
      <c r="J246" s="65"/>
      <c r="K246" s="37"/>
      <c r="L246" s="37"/>
      <c r="M246" s="37"/>
      <c r="N246" s="37"/>
      <c r="O246" s="37"/>
      <c r="P246" s="37"/>
      <c r="Q246" s="37"/>
      <c r="R246" s="37"/>
      <c r="S246" s="37"/>
      <c r="T246" s="37"/>
      <c r="U246" s="3"/>
      <c r="W246" s="3"/>
      <c r="X246" s="3"/>
      <c r="Y246" s="3"/>
      <c r="Z246" s="3"/>
    </row>
    <row r="247" spans="1:26" ht="15.75" customHeight="1" outlineLevel="1" x14ac:dyDescent="0.3">
      <c r="A247" s="3"/>
      <c r="B247" s="10" t="s">
        <v>328</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15.75" customHeight="1" outlineLevel="1" x14ac:dyDescent="0.3">
      <c r="A248" s="3"/>
      <c r="B248" s="10" t="s">
        <v>370</v>
      </c>
      <c r="C248" s="62"/>
      <c r="D248" s="62"/>
      <c r="E248" s="12">
        <v>0</v>
      </c>
      <c r="F248" s="12">
        <v>0</v>
      </c>
      <c r="G248" s="65"/>
      <c r="H248" s="65"/>
      <c r="I248" s="89"/>
      <c r="J248" s="65"/>
      <c r="K248" s="37"/>
      <c r="L248" s="37"/>
      <c r="M248" s="37"/>
      <c r="N248" s="37"/>
      <c r="O248" s="37"/>
      <c r="P248" s="37"/>
      <c r="Q248" s="37"/>
      <c r="R248" s="37"/>
      <c r="S248" s="37"/>
      <c r="T248" s="37"/>
      <c r="U248" s="3"/>
      <c r="W248" s="3"/>
      <c r="X248" s="3"/>
      <c r="Y248" s="3"/>
      <c r="Z248" s="3"/>
    </row>
    <row r="249" spans="1:26" ht="15.75" customHeight="1" outlineLevel="1" x14ac:dyDescent="0.3">
      <c r="A249" s="3"/>
      <c r="B249" s="10" t="s">
        <v>371</v>
      </c>
      <c r="C249" s="62"/>
      <c r="D249" s="62"/>
      <c r="E249" s="12">
        <v>0</v>
      </c>
      <c r="F249" s="12">
        <v>0</v>
      </c>
      <c r="G249" s="65"/>
      <c r="H249" s="65"/>
      <c r="I249" s="89"/>
      <c r="J249" s="65"/>
      <c r="K249" s="37"/>
      <c r="L249" s="37"/>
      <c r="M249" s="37"/>
      <c r="N249" s="37"/>
      <c r="O249" s="37"/>
      <c r="P249" s="37"/>
      <c r="Q249" s="37"/>
      <c r="R249" s="37"/>
      <c r="S249" s="37"/>
      <c r="T249" s="37"/>
      <c r="U249" s="3"/>
      <c r="W249" s="3"/>
      <c r="X249" s="3"/>
      <c r="Y249" s="3"/>
      <c r="Z249" s="3"/>
    </row>
    <row r="250" spans="1:26" ht="15.75" customHeight="1" outlineLevel="1" x14ac:dyDescent="0.3">
      <c r="A250" s="3"/>
      <c r="B250" s="10" t="s">
        <v>372</v>
      </c>
      <c r="C250" s="62"/>
      <c r="D250" s="62"/>
      <c r="E250" s="12">
        <v>0</v>
      </c>
      <c r="F250" s="12">
        <v>0</v>
      </c>
      <c r="G250" s="65"/>
      <c r="H250" s="65"/>
      <c r="I250" s="89"/>
      <c r="J250" s="65"/>
      <c r="K250" s="37"/>
      <c r="L250" s="37"/>
      <c r="M250" s="37"/>
      <c r="N250" s="37"/>
      <c r="O250" s="37"/>
      <c r="P250" s="37"/>
      <c r="Q250" s="37"/>
      <c r="R250" s="37"/>
      <c r="S250" s="37"/>
      <c r="T250" s="37"/>
      <c r="U250" s="3"/>
      <c r="W250" s="3"/>
      <c r="X250" s="3"/>
      <c r="Y250" s="3"/>
      <c r="Z250" s="3"/>
    </row>
    <row r="251" spans="1:26" ht="15.75" customHeight="1" x14ac:dyDescent="0.3">
      <c r="A251" s="3"/>
      <c r="B251" s="84" t="s">
        <v>405</v>
      </c>
      <c r="C251" s="85" t="s">
        <v>43</v>
      </c>
      <c r="D251" s="85" t="s">
        <v>43</v>
      </c>
      <c r="E251" s="86">
        <f>SUM(E252:E260)</f>
        <v>0</v>
      </c>
      <c r="F251" s="86">
        <f>SUMIF(D252:D260,"OK",F252:F260)</f>
        <v>0</v>
      </c>
      <c r="G251" s="87"/>
      <c r="H251" s="87"/>
      <c r="I251" s="88"/>
      <c r="J251" s="87"/>
      <c r="K251" s="37"/>
      <c r="L251" s="37"/>
      <c r="M251" s="37"/>
      <c r="N251" s="37"/>
      <c r="O251" s="37"/>
      <c r="P251" s="37"/>
      <c r="Q251" s="37"/>
      <c r="R251" s="37"/>
      <c r="S251" s="37"/>
      <c r="T251" s="37"/>
      <c r="U251" s="3"/>
      <c r="W251" s="3"/>
      <c r="X251" s="3"/>
      <c r="Y251" s="3"/>
      <c r="Z251" s="3"/>
    </row>
    <row r="252" spans="1:26" ht="15.75" customHeight="1" outlineLevel="1" x14ac:dyDescent="0.3">
      <c r="A252" s="3"/>
      <c r="B252" s="10" t="s">
        <v>1591</v>
      </c>
      <c r="C252" s="62"/>
      <c r="D252" s="62"/>
      <c r="E252" s="12">
        <v>0</v>
      </c>
      <c r="F252" s="12">
        <v>0</v>
      </c>
      <c r="G252" s="65"/>
      <c r="H252" s="65"/>
      <c r="I252" s="112"/>
      <c r="J252" s="65"/>
      <c r="K252" s="37"/>
      <c r="L252" s="37"/>
      <c r="M252" s="37"/>
      <c r="N252" s="37"/>
      <c r="O252" s="37"/>
      <c r="P252" s="37"/>
      <c r="Q252" s="37"/>
      <c r="R252" s="37"/>
      <c r="S252" s="37"/>
      <c r="T252" s="37"/>
      <c r="U252" s="3"/>
      <c r="W252" s="3"/>
      <c r="X252" s="3"/>
      <c r="Y252" s="3"/>
      <c r="Z252" s="3"/>
    </row>
    <row r="253" spans="1:26" ht="15.75" customHeight="1" outlineLevel="1" x14ac:dyDescent="0.3">
      <c r="A253" s="3"/>
      <c r="B253" s="10" t="s">
        <v>1592</v>
      </c>
      <c r="C253" s="62"/>
      <c r="D253" s="62"/>
      <c r="E253" s="12">
        <v>0</v>
      </c>
      <c r="F253" s="12">
        <v>0</v>
      </c>
      <c r="G253" s="65"/>
      <c r="H253" s="65"/>
      <c r="I253" s="112"/>
      <c r="J253" s="65"/>
      <c r="K253" s="37"/>
      <c r="L253" s="37"/>
      <c r="M253" s="37"/>
      <c r="N253" s="37"/>
      <c r="O253" s="37"/>
      <c r="P253" s="37"/>
      <c r="Q253" s="37"/>
      <c r="R253" s="37"/>
      <c r="S253" s="37"/>
      <c r="T253" s="37"/>
      <c r="U253" s="3"/>
      <c r="W253" s="3"/>
      <c r="X253" s="3"/>
      <c r="Y253" s="3"/>
      <c r="Z253" s="3"/>
    </row>
    <row r="254" spans="1:26" ht="15.75" customHeight="1" outlineLevel="1" x14ac:dyDescent="0.3">
      <c r="A254" s="3"/>
      <c r="B254" s="10" t="s">
        <v>355</v>
      </c>
      <c r="C254" s="62"/>
      <c r="D254" s="62"/>
      <c r="E254" s="12">
        <v>0</v>
      </c>
      <c r="F254" s="12">
        <v>0</v>
      </c>
      <c r="G254" s="65"/>
      <c r="H254" s="65"/>
      <c r="I254" s="89"/>
      <c r="J254" s="65"/>
      <c r="K254" s="37"/>
      <c r="L254" s="37"/>
      <c r="M254" s="37"/>
      <c r="N254" s="37"/>
      <c r="O254" s="37"/>
      <c r="P254" s="37"/>
      <c r="Q254" s="37"/>
      <c r="R254" s="37"/>
      <c r="S254" s="37"/>
      <c r="T254" s="37"/>
      <c r="U254" s="3"/>
      <c r="W254" s="3"/>
      <c r="X254" s="3"/>
      <c r="Y254" s="3"/>
      <c r="Z254" s="3"/>
    </row>
    <row r="255" spans="1:26" ht="15.75" customHeight="1" outlineLevel="1" x14ac:dyDescent="0.3">
      <c r="A255" s="3"/>
      <c r="B255" s="10" t="s">
        <v>369</v>
      </c>
      <c r="C255" s="62"/>
      <c r="D255" s="62"/>
      <c r="E255" s="12">
        <v>0</v>
      </c>
      <c r="F255" s="12">
        <v>0</v>
      </c>
      <c r="G255" s="65"/>
      <c r="H255" s="65"/>
      <c r="I255" s="89"/>
      <c r="J255" s="65"/>
      <c r="K255" s="37"/>
      <c r="L255" s="37"/>
      <c r="M255" s="37"/>
      <c r="N255" s="37"/>
      <c r="O255" s="37"/>
      <c r="P255" s="37"/>
      <c r="Q255" s="37"/>
      <c r="R255" s="37"/>
      <c r="S255" s="37"/>
      <c r="T255" s="37"/>
      <c r="U255" s="3"/>
      <c r="W255" s="3"/>
      <c r="X255" s="3"/>
      <c r="Y255" s="3"/>
      <c r="Z255" s="3"/>
    </row>
    <row r="256" spans="1:26" ht="15.75" customHeight="1" outlineLevel="1" x14ac:dyDescent="0.3">
      <c r="A256" s="3"/>
      <c r="B256" s="10" t="s">
        <v>327</v>
      </c>
      <c r="C256" s="62"/>
      <c r="D256" s="62"/>
      <c r="E256" s="12">
        <v>0</v>
      </c>
      <c r="F256" s="12">
        <v>0</v>
      </c>
      <c r="G256" s="65"/>
      <c r="H256" s="65"/>
      <c r="I256" s="89"/>
      <c r="J256" s="65"/>
      <c r="K256" s="37"/>
      <c r="L256" s="37"/>
      <c r="M256" s="37"/>
      <c r="N256" s="37"/>
      <c r="O256" s="37"/>
      <c r="P256" s="37"/>
      <c r="Q256" s="37"/>
      <c r="R256" s="37"/>
      <c r="S256" s="37"/>
      <c r="T256" s="37"/>
      <c r="U256" s="3"/>
      <c r="W256" s="3"/>
      <c r="X256" s="3"/>
      <c r="Y256" s="3"/>
      <c r="Z256" s="3"/>
    </row>
    <row r="257" spans="1:26" ht="15.75" customHeight="1" outlineLevel="1" x14ac:dyDescent="0.3">
      <c r="A257" s="3"/>
      <c r="B257" s="10" t="s">
        <v>328</v>
      </c>
      <c r="C257" s="62"/>
      <c r="D257" s="62"/>
      <c r="E257" s="12">
        <v>0</v>
      </c>
      <c r="F257" s="12">
        <v>0</v>
      </c>
      <c r="G257" s="65"/>
      <c r="H257" s="65"/>
      <c r="I257" s="89"/>
      <c r="J257" s="65"/>
      <c r="K257" s="37"/>
      <c r="L257" s="37"/>
      <c r="M257" s="37"/>
      <c r="N257" s="37"/>
      <c r="O257" s="37"/>
      <c r="P257" s="37"/>
      <c r="Q257" s="37"/>
      <c r="R257" s="37"/>
      <c r="S257" s="37"/>
      <c r="T257" s="37"/>
      <c r="U257" s="3"/>
      <c r="W257" s="3"/>
      <c r="X257" s="3"/>
      <c r="Y257" s="3"/>
      <c r="Z257" s="3"/>
    </row>
    <row r="258" spans="1:26" ht="15.75" customHeight="1" outlineLevel="1" x14ac:dyDescent="0.3">
      <c r="A258" s="3"/>
      <c r="B258" s="10" t="s">
        <v>370</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15.75" customHeight="1" outlineLevel="1" x14ac:dyDescent="0.3">
      <c r="A259" s="3"/>
      <c r="B259" s="10" t="s">
        <v>371</v>
      </c>
      <c r="C259" s="62"/>
      <c r="D259" s="62"/>
      <c r="E259" s="12">
        <v>0</v>
      </c>
      <c r="F259" s="12">
        <v>0</v>
      </c>
      <c r="G259" s="65"/>
      <c r="H259" s="65"/>
      <c r="I259" s="89"/>
      <c r="J259" s="65"/>
      <c r="K259" s="37"/>
      <c r="L259" s="37"/>
      <c r="M259" s="37"/>
      <c r="N259" s="37"/>
      <c r="O259" s="37"/>
      <c r="P259" s="37"/>
      <c r="Q259" s="37"/>
      <c r="R259" s="37"/>
      <c r="S259" s="37"/>
      <c r="T259" s="37"/>
      <c r="U259" s="3"/>
      <c r="W259" s="3"/>
      <c r="X259" s="3"/>
      <c r="Y259" s="3"/>
      <c r="Z259" s="3"/>
    </row>
    <row r="260" spans="1:26" ht="15.75" customHeight="1" outlineLevel="1" x14ac:dyDescent="0.3">
      <c r="A260" s="3"/>
      <c r="B260" s="10" t="s">
        <v>372</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5.75" customHeight="1" x14ac:dyDescent="0.3">
      <c r="A261" s="3"/>
      <c r="B261" s="84" t="s">
        <v>408</v>
      </c>
      <c r="C261" s="85" t="s">
        <v>43</v>
      </c>
      <c r="D261" s="85" t="s">
        <v>43</v>
      </c>
      <c r="E261" s="86">
        <f>SUM(E262,E272,E282,E292)</f>
        <v>0</v>
      </c>
      <c r="F261" s="86">
        <f>SUM(F262,F272,F282,F292,F314)</f>
        <v>0</v>
      </c>
      <c r="G261" s="87"/>
      <c r="H261" s="87"/>
      <c r="I261" s="88"/>
      <c r="J261" s="87"/>
      <c r="K261" s="37"/>
      <c r="L261" s="37"/>
      <c r="M261" s="37"/>
      <c r="N261" s="37"/>
      <c r="O261" s="37"/>
      <c r="P261" s="37"/>
      <c r="Q261" s="37"/>
      <c r="R261" s="37"/>
      <c r="S261" s="37"/>
      <c r="T261" s="37"/>
      <c r="U261" s="3"/>
      <c r="W261" s="3"/>
      <c r="X261" s="3"/>
      <c r="Y261" s="3"/>
      <c r="Z261" s="3"/>
    </row>
    <row r="262" spans="1:26" ht="15.75" customHeight="1" outlineLevel="1" x14ac:dyDescent="0.3">
      <c r="A262" s="3"/>
      <c r="B262" s="91" t="s">
        <v>232</v>
      </c>
      <c r="C262" s="92"/>
      <c r="D262" s="92"/>
      <c r="E262" s="93">
        <f>SUM(E263:E271)</f>
        <v>0</v>
      </c>
      <c r="F262" s="93">
        <f>SUMIF(D263:D271,"OK",F263:F271)</f>
        <v>0</v>
      </c>
      <c r="G262" s="94"/>
      <c r="H262" s="94"/>
      <c r="I262" s="95"/>
      <c r="J262" s="94"/>
      <c r="K262" s="37"/>
      <c r="L262" s="37"/>
      <c r="M262" s="37"/>
      <c r="N262" s="37"/>
      <c r="O262" s="37"/>
      <c r="P262" s="37"/>
      <c r="Q262" s="37"/>
      <c r="R262" s="37"/>
      <c r="S262" s="37"/>
      <c r="T262" s="37"/>
      <c r="U262" s="3"/>
      <c r="W262" s="3"/>
      <c r="X262" s="3"/>
      <c r="Y262" s="3"/>
      <c r="Z262" s="3"/>
    </row>
    <row r="263" spans="1:26" ht="15.75" customHeight="1" outlineLevel="1" x14ac:dyDescent="0.3">
      <c r="A263" s="3"/>
      <c r="B263" s="10" t="s">
        <v>353</v>
      </c>
      <c r="C263" s="62"/>
      <c r="D263" s="62"/>
      <c r="E263" s="12">
        <v>0</v>
      </c>
      <c r="F263" s="12">
        <v>0</v>
      </c>
      <c r="G263" s="65"/>
      <c r="H263" s="65"/>
      <c r="I263" s="159"/>
      <c r="J263" s="65"/>
      <c r="K263" s="37"/>
      <c r="L263" s="37"/>
      <c r="M263" s="37"/>
      <c r="N263" s="37"/>
      <c r="O263" s="37"/>
      <c r="P263" s="37"/>
      <c r="Q263" s="37"/>
      <c r="R263" s="37"/>
      <c r="S263" s="37"/>
      <c r="T263" s="37"/>
      <c r="U263" s="3"/>
      <c r="W263" s="3"/>
      <c r="X263" s="3"/>
      <c r="Y263" s="3"/>
      <c r="Z263" s="3"/>
    </row>
    <row r="264" spans="1:26" ht="15.75" customHeight="1" outlineLevel="1" x14ac:dyDescent="0.3">
      <c r="A264" s="3"/>
      <c r="B264" s="10" t="s">
        <v>354</v>
      </c>
      <c r="C264" s="62"/>
      <c r="D264" s="62"/>
      <c r="E264" s="12">
        <v>0</v>
      </c>
      <c r="F264" s="12">
        <v>0</v>
      </c>
      <c r="G264" s="65"/>
      <c r="H264" s="65"/>
      <c r="I264" s="159"/>
      <c r="J264" s="65"/>
      <c r="K264" s="37"/>
      <c r="L264" s="37"/>
      <c r="M264" s="37"/>
      <c r="N264" s="37"/>
      <c r="O264" s="37"/>
      <c r="P264" s="37"/>
      <c r="Q264" s="37"/>
      <c r="R264" s="37"/>
      <c r="S264" s="37"/>
      <c r="T264" s="37"/>
      <c r="U264" s="3"/>
      <c r="W264" s="3"/>
      <c r="X264" s="3"/>
      <c r="Y264" s="3"/>
      <c r="Z264" s="3"/>
    </row>
    <row r="265" spans="1:26" ht="15.75" customHeight="1" outlineLevel="1" x14ac:dyDescent="0.3">
      <c r="A265" s="3"/>
      <c r="B265" s="10" t="s">
        <v>355</v>
      </c>
      <c r="C265" s="62"/>
      <c r="D265" s="62"/>
      <c r="E265" s="12">
        <v>0</v>
      </c>
      <c r="F265" s="12">
        <v>0</v>
      </c>
      <c r="G265" s="65"/>
      <c r="H265" s="65"/>
      <c r="I265" s="159"/>
      <c r="J265" s="65"/>
      <c r="K265" s="37"/>
      <c r="L265" s="37"/>
      <c r="M265" s="37"/>
      <c r="N265" s="37"/>
      <c r="O265" s="37"/>
      <c r="P265" s="37"/>
      <c r="Q265" s="37"/>
      <c r="R265" s="37"/>
      <c r="S265" s="37"/>
      <c r="T265" s="37"/>
      <c r="U265" s="3"/>
      <c r="W265" s="3"/>
      <c r="X265" s="3"/>
      <c r="Y265" s="3"/>
      <c r="Z265" s="3"/>
    </row>
    <row r="266" spans="1:26" ht="15.75" customHeight="1" outlineLevel="1" x14ac:dyDescent="0.3">
      <c r="A266" s="3"/>
      <c r="B266" s="10" t="s">
        <v>369</v>
      </c>
      <c r="C266" s="62"/>
      <c r="D266" s="62"/>
      <c r="E266" s="12">
        <v>0</v>
      </c>
      <c r="F266" s="12">
        <v>0</v>
      </c>
      <c r="G266" s="65"/>
      <c r="H266" s="65"/>
      <c r="I266" s="157"/>
      <c r="J266" s="65"/>
      <c r="K266" s="37"/>
      <c r="L266" s="37"/>
      <c r="M266" s="37"/>
      <c r="N266" s="37"/>
      <c r="O266" s="37"/>
      <c r="P266" s="37"/>
      <c r="Q266" s="37"/>
      <c r="R266" s="37"/>
      <c r="S266" s="37"/>
      <c r="T266" s="37"/>
      <c r="U266" s="3"/>
      <c r="W266" s="3"/>
      <c r="X266" s="3"/>
      <c r="Y266" s="3"/>
      <c r="Z266" s="3"/>
    </row>
    <row r="267" spans="1:26" ht="15.75" customHeight="1" outlineLevel="1" x14ac:dyDescent="0.3">
      <c r="A267" s="3"/>
      <c r="B267" s="10" t="s">
        <v>327</v>
      </c>
      <c r="C267" s="62"/>
      <c r="D267" s="62"/>
      <c r="E267" s="12">
        <v>0</v>
      </c>
      <c r="F267" s="12">
        <v>0</v>
      </c>
      <c r="G267" s="65"/>
      <c r="H267" s="65"/>
      <c r="I267" s="157"/>
      <c r="J267" s="65"/>
      <c r="K267" s="37"/>
      <c r="L267" s="37"/>
      <c r="M267" s="37"/>
      <c r="N267" s="37"/>
      <c r="O267" s="37"/>
      <c r="P267" s="37"/>
      <c r="Q267" s="37"/>
      <c r="R267" s="37"/>
      <c r="S267" s="37"/>
      <c r="T267" s="37"/>
      <c r="U267" s="3"/>
      <c r="W267" s="3"/>
      <c r="X267" s="3"/>
      <c r="Y267" s="3"/>
      <c r="Z267" s="3"/>
    </row>
    <row r="268" spans="1:26" ht="15.75" customHeight="1" outlineLevel="1" x14ac:dyDescent="0.3">
      <c r="A268" s="3"/>
      <c r="B268" s="10" t="s">
        <v>328</v>
      </c>
      <c r="C268" s="62"/>
      <c r="D268" s="62"/>
      <c r="E268" s="12">
        <v>0</v>
      </c>
      <c r="F268" s="12">
        <v>0</v>
      </c>
      <c r="G268" s="65"/>
      <c r="H268" s="65"/>
      <c r="I268" s="89"/>
      <c r="J268" s="65"/>
      <c r="K268" s="37"/>
      <c r="L268" s="37"/>
      <c r="M268" s="37"/>
      <c r="N268" s="37"/>
      <c r="O268" s="37"/>
      <c r="P268" s="37"/>
      <c r="Q268" s="37"/>
      <c r="R268" s="37"/>
      <c r="S268" s="37"/>
      <c r="T268" s="37"/>
      <c r="U268" s="3"/>
      <c r="W268" s="3"/>
      <c r="X268" s="3"/>
      <c r="Y268" s="3"/>
      <c r="Z268" s="3"/>
    </row>
    <row r="269" spans="1:26" ht="15.75" customHeight="1" outlineLevel="1" x14ac:dyDescent="0.3">
      <c r="A269" s="3"/>
      <c r="B269" s="10" t="s">
        <v>370</v>
      </c>
      <c r="C269" s="62"/>
      <c r="D269" s="62"/>
      <c r="E269" s="12">
        <v>0</v>
      </c>
      <c r="F269" s="12">
        <v>0</v>
      </c>
      <c r="G269" s="65"/>
      <c r="H269" s="65"/>
      <c r="I269" s="89"/>
      <c r="J269" s="65"/>
      <c r="K269" s="37"/>
      <c r="L269" s="37"/>
      <c r="M269" s="37"/>
      <c r="N269" s="37"/>
      <c r="O269" s="37"/>
      <c r="P269" s="37"/>
      <c r="Q269" s="37"/>
      <c r="R269" s="37"/>
      <c r="S269" s="37"/>
      <c r="T269" s="37"/>
      <c r="U269" s="3"/>
      <c r="W269" s="3"/>
      <c r="X269" s="3"/>
      <c r="Y269" s="3"/>
      <c r="Z269" s="3"/>
    </row>
    <row r="270" spans="1:26" ht="15.75" customHeight="1" outlineLevel="1" x14ac:dyDescent="0.3">
      <c r="A270" s="3"/>
      <c r="B270" s="10" t="s">
        <v>371</v>
      </c>
      <c r="C270" s="62"/>
      <c r="D270" s="62"/>
      <c r="E270" s="12">
        <v>0</v>
      </c>
      <c r="F270" s="12">
        <v>0</v>
      </c>
      <c r="G270" s="65"/>
      <c r="H270" s="65"/>
      <c r="I270" s="89"/>
      <c r="J270" s="65"/>
      <c r="K270" s="37"/>
      <c r="L270" s="37"/>
      <c r="M270" s="37"/>
      <c r="N270" s="37"/>
      <c r="O270" s="37"/>
      <c r="P270" s="37"/>
      <c r="Q270" s="37"/>
      <c r="R270" s="37"/>
      <c r="S270" s="37"/>
      <c r="T270" s="37"/>
      <c r="U270" s="3"/>
      <c r="W270" s="3"/>
      <c r="X270" s="3"/>
      <c r="Y270" s="3"/>
      <c r="Z270" s="3"/>
    </row>
    <row r="271" spans="1:26" ht="15.75" customHeight="1" outlineLevel="1" x14ac:dyDescent="0.3">
      <c r="A271" s="3"/>
      <c r="B271" s="10" t="s">
        <v>372</v>
      </c>
      <c r="C271" s="62"/>
      <c r="D271" s="62"/>
      <c r="E271" s="12">
        <v>0</v>
      </c>
      <c r="F271" s="12">
        <v>0</v>
      </c>
      <c r="G271" s="65"/>
      <c r="H271" s="65"/>
      <c r="I271" s="89"/>
      <c r="J271" s="65"/>
      <c r="K271" s="37"/>
      <c r="L271" s="37"/>
      <c r="M271" s="37"/>
      <c r="N271" s="37"/>
      <c r="O271" s="37"/>
      <c r="P271" s="37"/>
      <c r="Q271" s="37"/>
      <c r="R271" s="37"/>
      <c r="S271" s="37"/>
      <c r="T271" s="37"/>
      <c r="U271" s="3"/>
      <c r="W271" s="3"/>
      <c r="X271" s="3"/>
      <c r="Y271" s="3"/>
      <c r="Z271" s="3"/>
    </row>
    <row r="272" spans="1:26" ht="15.75" customHeight="1" outlineLevel="1" x14ac:dyDescent="0.3">
      <c r="A272" s="3"/>
      <c r="B272" s="91" t="s">
        <v>651</v>
      </c>
      <c r="C272" s="92"/>
      <c r="D272" s="92"/>
      <c r="E272" s="93">
        <f>SUM(E273:E281)</f>
        <v>0</v>
      </c>
      <c r="F272" s="93">
        <f>SUMIF(D273:D281,"OK",F273:F281)</f>
        <v>0</v>
      </c>
      <c r="G272" s="94"/>
      <c r="H272" s="94"/>
      <c r="I272" s="95"/>
      <c r="J272" s="94"/>
      <c r="K272" s="37"/>
      <c r="L272" s="37"/>
      <c r="M272" s="37"/>
      <c r="N272" s="37"/>
      <c r="O272" s="37"/>
      <c r="P272" s="37"/>
      <c r="Q272" s="37"/>
      <c r="R272" s="37"/>
      <c r="S272" s="37"/>
      <c r="T272" s="37"/>
      <c r="U272" s="3"/>
      <c r="W272" s="3"/>
      <c r="X272" s="3"/>
      <c r="Y272" s="3"/>
      <c r="Z272" s="3"/>
    </row>
    <row r="273" spans="1:26" ht="15.75" customHeight="1" outlineLevel="1" x14ac:dyDescent="0.3">
      <c r="A273" s="3"/>
      <c r="B273" s="10" t="s">
        <v>353</v>
      </c>
      <c r="C273" s="62"/>
      <c r="D273" s="62"/>
      <c r="E273" s="12">
        <v>0</v>
      </c>
      <c r="F273" s="12">
        <v>0</v>
      </c>
      <c r="G273" s="65"/>
      <c r="H273" s="65"/>
      <c r="I273" s="157"/>
      <c r="J273" s="65"/>
      <c r="K273" s="37"/>
      <c r="L273" s="37"/>
      <c r="M273" s="37"/>
      <c r="N273" s="37"/>
      <c r="O273" s="37"/>
      <c r="P273" s="37"/>
      <c r="Q273" s="37"/>
      <c r="R273" s="37"/>
      <c r="S273" s="37"/>
      <c r="T273" s="37"/>
      <c r="U273" s="3"/>
      <c r="W273" s="3"/>
      <c r="X273" s="3"/>
      <c r="Y273" s="3"/>
      <c r="Z273" s="3"/>
    </row>
    <row r="274" spans="1:26" ht="15.75" customHeight="1" outlineLevel="1" x14ac:dyDescent="0.3">
      <c r="A274" s="3"/>
      <c r="B274" s="10" t="s">
        <v>354</v>
      </c>
      <c r="C274" s="62"/>
      <c r="D274" s="62"/>
      <c r="E274" s="12">
        <v>0</v>
      </c>
      <c r="F274" s="12">
        <v>0</v>
      </c>
      <c r="G274" s="65"/>
      <c r="H274" s="65"/>
      <c r="I274" s="157"/>
      <c r="J274" s="65"/>
      <c r="K274" s="37"/>
      <c r="L274" s="37"/>
      <c r="M274" s="37"/>
      <c r="N274" s="37"/>
      <c r="O274" s="37"/>
      <c r="P274" s="37"/>
      <c r="Q274" s="37"/>
      <c r="R274" s="37"/>
      <c r="S274" s="37"/>
      <c r="T274" s="37"/>
      <c r="U274" s="3"/>
      <c r="W274" s="3"/>
      <c r="X274" s="3"/>
      <c r="Y274" s="3"/>
      <c r="Z274" s="3"/>
    </row>
    <row r="275" spans="1:26" ht="15.75" customHeight="1" outlineLevel="1" x14ac:dyDescent="0.3">
      <c r="A275" s="3"/>
      <c r="B275" s="10" t="s">
        <v>355</v>
      </c>
      <c r="C275" s="62"/>
      <c r="D275" s="62"/>
      <c r="E275" s="12">
        <v>0</v>
      </c>
      <c r="F275" s="12">
        <v>0</v>
      </c>
      <c r="G275" s="65"/>
      <c r="H275" s="65"/>
      <c r="I275" s="157"/>
      <c r="J275" s="65"/>
      <c r="K275" s="37"/>
      <c r="L275" s="37"/>
      <c r="M275" s="37"/>
      <c r="N275" s="37"/>
      <c r="O275" s="37"/>
      <c r="P275" s="37"/>
      <c r="Q275" s="37"/>
      <c r="R275" s="37"/>
      <c r="S275" s="37"/>
      <c r="T275" s="37"/>
      <c r="U275" s="3"/>
      <c r="W275" s="3"/>
      <c r="X275" s="3"/>
      <c r="Y275" s="3"/>
      <c r="Z275" s="3"/>
    </row>
    <row r="276" spans="1:26" ht="15.75" customHeight="1" outlineLevel="1" x14ac:dyDescent="0.3">
      <c r="A276" s="3"/>
      <c r="B276" s="10" t="s">
        <v>369</v>
      </c>
      <c r="C276" s="62"/>
      <c r="D276" s="62"/>
      <c r="E276" s="12">
        <v>0</v>
      </c>
      <c r="F276" s="12">
        <v>0</v>
      </c>
      <c r="G276" s="65"/>
      <c r="H276" s="65"/>
      <c r="I276" s="157"/>
      <c r="J276" s="65"/>
      <c r="K276" s="37"/>
      <c r="L276" s="37"/>
      <c r="M276" s="37"/>
      <c r="N276" s="37"/>
      <c r="O276" s="37"/>
      <c r="P276" s="37"/>
      <c r="Q276" s="37"/>
      <c r="R276" s="37"/>
      <c r="S276" s="37"/>
      <c r="T276" s="37"/>
      <c r="U276" s="3"/>
      <c r="W276" s="3"/>
      <c r="X276" s="3"/>
      <c r="Y276" s="3"/>
      <c r="Z276" s="3"/>
    </row>
    <row r="277" spans="1:26" ht="15.75" customHeight="1" outlineLevel="1" x14ac:dyDescent="0.3">
      <c r="A277" s="3"/>
      <c r="B277" s="10" t="s">
        <v>327</v>
      </c>
      <c r="C277" s="62"/>
      <c r="D277" s="62"/>
      <c r="E277" s="12">
        <v>0</v>
      </c>
      <c r="F277" s="12">
        <v>0</v>
      </c>
      <c r="G277" s="65"/>
      <c r="H277" s="65"/>
      <c r="I277" s="157"/>
      <c r="J277" s="65"/>
      <c r="K277" s="37"/>
      <c r="L277" s="37"/>
      <c r="M277" s="37"/>
      <c r="N277" s="37"/>
      <c r="O277" s="37"/>
      <c r="P277" s="37"/>
      <c r="Q277" s="37"/>
      <c r="R277" s="37"/>
      <c r="S277" s="37"/>
      <c r="T277" s="37"/>
      <c r="U277" s="3"/>
      <c r="W277" s="3"/>
      <c r="X277" s="3"/>
      <c r="Y277" s="3"/>
      <c r="Z277" s="3"/>
    </row>
    <row r="278" spans="1:26" ht="15.75" customHeight="1" outlineLevel="1" x14ac:dyDescent="0.3">
      <c r="A278" s="3"/>
      <c r="B278" s="10" t="s">
        <v>328</v>
      </c>
      <c r="C278" s="62"/>
      <c r="D278" s="62"/>
      <c r="E278" s="12">
        <v>0</v>
      </c>
      <c r="F278" s="12">
        <v>0</v>
      </c>
      <c r="G278" s="65"/>
      <c r="H278" s="65"/>
      <c r="I278" s="157"/>
      <c r="J278" s="65"/>
      <c r="K278" s="37"/>
      <c r="L278" s="37"/>
      <c r="M278" s="37"/>
      <c r="N278" s="37"/>
      <c r="O278" s="37"/>
      <c r="P278" s="37"/>
      <c r="Q278" s="37"/>
      <c r="R278" s="37"/>
      <c r="S278" s="37"/>
      <c r="T278" s="37"/>
      <c r="U278" s="3"/>
      <c r="W278" s="3"/>
      <c r="X278" s="3"/>
      <c r="Y278" s="3"/>
      <c r="Z278" s="3"/>
    </row>
    <row r="279" spans="1:26" ht="15.75" customHeight="1" outlineLevel="1" x14ac:dyDescent="0.3">
      <c r="A279" s="3"/>
      <c r="B279" s="10" t="s">
        <v>370</v>
      </c>
      <c r="C279" s="62"/>
      <c r="D279" s="62"/>
      <c r="E279" s="12">
        <v>0</v>
      </c>
      <c r="F279" s="12">
        <v>0</v>
      </c>
      <c r="G279" s="65"/>
      <c r="H279" s="65"/>
      <c r="I279" s="157"/>
      <c r="J279" s="65"/>
      <c r="K279" s="37"/>
      <c r="L279" s="37"/>
      <c r="M279" s="37"/>
      <c r="N279" s="37"/>
      <c r="O279" s="37"/>
      <c r="P279" s="37"/>
      <c r="Q279" s="37"/>
      <c r="R279" s="37"/>
      <c r="S279" s="37"/>
      <c r="T279" s="37"/>
      <c r="U279" s="3"/>
      <c r="W279" s="3"/>
      <c r="X279" s="3"/>
      <c r="Y279" s="3"/>
      <c r="Z279" s="3"/>
    </row>
    <row r="280" spans="1:26" ht="15.75" customHeight="1" outlineLevel="1" x14ac:dyDescent="0.3">
      <c r="A280" s="3"/>
      <c r="B280" s="10" t="s">
        <v>371</v>
      </c>
      <c r="C280" s="62"/>
      <c r="D280" s="62"/>
      <c r="E280" s="12">
        <v>0</v>
      </c>
      <c r="F280" s="12">
        <v>0</v>
      </c>
      <c r="G280" s="65"/>
      <c r="H280" s="65"/>
      <c r="I280" s="157"/>
      <c r="J280" s="65"/>
      <c r="K280" s="37"/>
      <c r="L280" s="37"/>
      <c r="M280" s="37"/>
      <c r="N280" s="37"/>
      <c r="O280" s="37"/>
      <c r="P280" s="37"/>
      <c r="Q280" s="37"/>
      <c r="R280" s="37"/>
      <c r="S280" s="37"/>
      <c r="T280" s="37"/>
      <c r="U280" s="3"/>
      <c r="W280" s="3"/>
      <c r="X280" s="3"/>
      <c r="Y280" s="3"/>
      <c r="Z280" s="3"/>
    </row>
    <row r="281" spans="1:26" ht="15.75" customHeight="1" outlineLevel="1" x14ac:dyDescent="0.3">
      <c r="A281" s="3"/>
      <c r="B281" s="10" t="s">
        <v>372</v>
      </c>
      <c r="C281" s="62"/>
      <c r="D281" s="62"/>
      <c r="E281" s="12">
        <v>0</v>
      </c>
      <c r="F281" s="12">
        <v>0</v>
      </c>
      <c r="G281" s="65"/>
      <c r="H281" s="65"/>
      <c r="I281" s="89"/>
      <c r="J281" s="65"/>
      <c r="K281" s="37"/>
      <c r="L281" s="37"/>
      <c r="M281" s="37"/>
      <c r="N281" s="37"/>
      <c r="O281" s="37"/>
      <c r="P281" s="37"/>
      <c r="Q281" s="37"/>
      <c r="R281" s="37"/>
      <c r="S281" s="37"/>
      <c r="T281" s="37"/>
      <c r="U281" s="3"/>
      <c r="W281" s="3"/>
      <c r="X281" s="3"/>
      <c r="Y281" s="3"/>
      <c r="Z281" s="3"/>
    </row>
    <row r="282" spans="1:26" ht="15.75" customHeight="1" outlineLevel="1" x14ac:dyDescent="0.3">
      <c r="A282" s="3"/>
      <c r="B282" s="91" t="s">
        <v>1024</v>
      </c>
      <c r="C282" s="92"/>
      <c r="D282" s="92"/>
      <c r="E282" s="93">
        <f>SUM(E283:E291)</f>
        <v>0</v>
      </c>
      <c r="F282" s="93">
        <f>SUMIF(D283:D291,"OK",F283:F291)</f>
        <v>0</v>
      </c>
      <c r="G282" s="94"/>
      <c r="H282" s="94"/>
      <c r="I282" s="95"/>
      <c r="J282" s="94"/>
      <c r="K282" s="37"/>
      <c r="L282" s="37"/>
      <c r="M282" s="37"/>
      <c r="N282" s="37"/>
      <c r="O282" s="37"/>
      <c r="P282" s="37"/>
      <c r="Q282" s="37"/>
      <c r="R282" s="37"/>
      <c r="S282" s="37"/>
      <c r="T282" s="37"/>
      <c r="U282" s="3"/>
      <c r="W282" s="3"/>
      <c r="X282" s="3"/>
      <c r="Y282" s="3"/>
      <c r="Z282" s="3"/>
    </row>
    <row r="283" spans="1:26" ht="15.75" customHeight="1" outlineLevel="1" x14ac:dyDescent="0.3">
      <c r="A283" s="3"/>
      <c r="B283" s="10" t="s">
        <v>353</v>
      </c>
      <c r="C283" s="62"/>
      <c r="D283" s="62"/>
      <c r="E283" s="12">
        <v>0</v>
      </c>
      <c r="F283" s="12">
        <v>0</v>
      </c>
      <c r="G283" s="65"/>
      <c r="H283" s="65"/>
      <c r="I283" s="89"/>
      <c r="J283" s="65"/>
      <c r="K283" s="37"/>
      <c r="L283" s="37"/>
      <c r="M283" s="37"/>
      <c r="N283" s="37"/>
      <c r="O283" s="37"/>
      <c r="P283" s="37"/>
      <c r="Q283" s="37"/>
      <c r="R283" s="37"/>
      <c r="S283" s="37"/>
      <c r="T283" s="37"/>
      <c r="U283" s="3"/>
      <c r="W283" s="3"/>
      <c r="X283" s="3"/>
      <c r="Y283" s="3"/>
      <c r="Z283" s="3"/>
    </row>
    <row r="284" spans="1:26" ht="15.75" customHeight="1" outlineLevel="1" x14ac:dyDescent="0.3">
      <c r="A284" s="3"/>
      <c r="B284" s="10" t="s">
        <v>354</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5.75" customHeight="1" outlineLevel="1" x14ac:dyDescent="0.3">
      <c r="A285" s="3"/>
      <c r="B285" s="10" t="s">
        <v>355</v>
      </c>
      <c r="C285" s="62"/>
      <c r="D285" s="62"/>
      <c r="E285" s="12">
        <v>0</v>
      </c>
      <c r="F285" s="12">
        <v>0</v>
      </c>
      <c r="G285" s="65"/>
      <c r="H285" s="65"/>
      <c r="I285" s="89"/>
      <c r="J285" s="65"/>
      <c r="K285" s="37"/>
      <c r="L285" s="37"/>
      <c r="M285" s="37"/>
      <c r="N285" s="37"/>
      <c r="O285" s="37"/>
      <c r="P285" s="37"/>
      <c r="Q285" s="37"/>
      <c r="R285" s="37"/>
      <c r="S285" s="37"/>
      <c r="T285" s="37"/>
      <c r="U285" s="3"/>
      <c r="W285" s="3"/>
      <c r="X285" s="3"/>
      <c r="Y285" s="3"/>
      <c r="Z285" s="3"/>
    </row>
    <row r="286" spans="1:26" ht="15.75" customHeight="1" outlineLevel="1" x14ac:dyDescent="0.3">
      <c r="A286" s="3"/>
      <c r="B286" s="10" t="s">
        <v>369</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5.75" customHeight="1" outlineLevel="1" x14ac:dyDescent="0.3">
      <c r="A287" s="3"/>
      <c r="B287" s="10" t="s">
        <v>327</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5.75" customHeight="1" outlineLevel="1" x14ac:dyDescent="0.3">
      <c r="A288" s="3"/>
      <c r="B288" s="10" t="s">
        <v>328</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5.75" customHeight="1" outlineLevel="1" x14ac:dyDescent="0.3">
      <c r="A289" s="3"/>
      <c r="B289" s="10" t="s">
        <v>370</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t="15.75" customHeight="1" outlineLevel="1" x14ac:dyDescent="0.3">
      <c r="A290" s="3"/>
      <c r="B290" s="10" t="s">
        <v>371</v>
      </c>
      <c r="C290" s="62"/>
      <c r="D290" s="62"/>
      <c r="E290" s="12">
        <v>0</v>
      </c>
      <c r="F290" s="12">
        <v>0</v>
      </c>
      <c r="G290" s="65"/>
      <c r="H290" s="65"/>
      <c r="I290" s="89"/>
      <c r="J290" s="65"/>
      <c r="K290" s="37"/>
      <c r="L290" s="37"/>
      <c r="M290" s="37"/>
      <c r="N290" s="37"/>
      <c r="O290" s="37"/>
      <c r="P290" s="37"/>
      <c r="Q290" s="37"/>
      <c r="R290" s="37"/>
      <c r="S290" s="37"/>
      <c r="T290" s="37"/>
      <c r="U290" s="3"/>
      <c r="W290" s="3"/>
      <c r="X290" s="3"/>
      <c r="Y290" s="3"/>
      <c r="Z290" s="3"/>
    </row>
    <row r="291" spans="1:26" ht="15.75" customHeight="1" outlineLevel="1" x14ac:dyDescent="0.3">
      <c r="A291" s="3"/>
      <c r="B291" s="10" t="s">
        <v>372</v>
      </c>
      <c r="C291" s="62"/>
      <c r="D291" s="62"/>
      <c r="E291" s="12">
        <v>0</v>
      </c>
      <c r="F291" s="12">
        <v>0</v>
      </c>
      <c r="G291" s="65"/>
      <c r="H291" s="65"/>
      <c r="I291" s="89"/>
      <c r="J291" s="65"/>
      <c r="K291" s="37"/>
      <c r="L291" s="37"/>
      <c r="M291" s="37"/>
      <c r="N291" s="37"/>
      <c r="O291" s="37"/>
      <c r="P291" s="37"/>
      <c r="Q291" s="37"/>
      <c r="R291" s="37"/>
      <c r="S291" s="37"/>
      <c r="T291" s="37"/>
      <c r="U291" s="3"/>
      <c r="W291" s="3"/>
      <c r="X291" s="3"/>
      <c r="Y291" s="3"/>
      <c r="Z291" s="3"/>
    </row>
    <row r="292" spans="1:26" ht="15.75" customHeight="1" outlineLevel="1" x14ac:dyDescent="0.3">
      <c r="A292" s="3"/>
      <c r="B292" s="91" t="s">
        <v>64</v>
      </c>
      <c r="C292" s="92"/>
      <c r="D292" s="92"/>
      <c r="E292" s="93">
        <f>SUM(E293:E313)</f>
        <v>0</v>
      </c>
      <c r="F292" s="93">
        <f>SUMIF(D293:D313,"OK",F293:F313)</f>
        <v>0</v>
      </c>
      <c r="G292" s="94"/>
      <c r="H292" s="94"/>
      <c r="I292" s="95"/>
      <c r="J292" s="94"/>
      <c r="K292" s="37"/>
      <c r="L292" s="37"/>
      <c r="M292" s="37"/>
      <c r="N292" s="37"/>
      <c r="O292" s="37"/>
      <c r="P292" s="37"/>
      <c r="Q292" s="37"/>
      <c r="R292" s="37"/>
      <c r="S292" s="37"/>
      <c r="T292" s="37"/>
      <c r="U292" s="3"/>
      <c r="W292" s="3"/>
      <c r="X292" s="3"/>
      <c r="Y292" s="3"/>
      <c r="Z292" s="3"/>
    </row>
    <row r="293" spans="1:26" ht="15.75" customHeight="1" outlineLevel="1" x14ac:dyDescent="0.3">
      <c r="A293" s="3"/>
      <c r="B293" s="10" t="s">
        <v>353</v>
      </c>
      <c r="C293" s="62"/>
      <c r="D293" s="62"/>
      <c r="E293" s="12">
        <v>0</v>
      </c>
      <c r="F293" s="12">
        <v>0</v>
      </c>
      <c r="G293" s="65"/>
      <c r="H293" s="65"/>
      <c r="I293" s="157"/>
      <c r="J293" s="65"/>
      <c r="K293" s="37"/>
      <c r="L293" s="37"/>
      <c r="M293" s="37"/>
      <c r="N293" s="37"/>
      <c r="O293" s="37"/>
      <c r="P293" s="37"/>
      <c r="Q293" s="37"/>
      <c r="R293" s="37"/>
      <c r="S293" s="37"/>
      <c r="T293" s="37"/>
      <c r="U293" s="3"/>
      <c r="W293" s="3"/>
      <c r="X293" s="3"/>
      <c r="Y293" s="3"/>
      <c r="Z293" s="3"/>
    </row>
    <row r="294" spans="1:26" ht="15.75" customHeight="1" outlineLevel="1" x14ac:dyDescent="0.3">
      <c r="A294" s="3"/>
      <c r="B294" s="10" t="s">
        <v>354</v>
      </c>
      <c r="C294" s="62"/>
      <c r="D294" s="62"/>
      <c r="E294" s="12">
        <v>0</v>
      </c>
      <c r="F294" s="12">
        <v>0</v>
      </c>
      <c r="G294" s="65"/>
      <c r="H294" s="65"/>
      <c r="I294" s="157"/>
      <c r="J294" s="65"/>
      <c r="K294" s="37"/>
      <c r="L294" s="37"/>
      <c r="M294" s="37"/>
      <c r="N294" s="37"/>
      <c r="O294" s="37"/>
      <c r="P294" s="37"/>
      <c r="Q294" s="37"/>
      <c r="R294" s="37"/>
      <c r="S294" s="37"/>
      <c r="T294" s="37"/>
      <c r="U294" s="3"/>
      <c r="W294" s="3"/>
      <c r="X294" s="3"/>
      <c r="Y294" s="3"/>
      <c r="Z294" s="3"/>
    </row>
    <row r="295" spans="1:26" ht="15.75" customHeight="1" outlineLevel="1" x14ac:dyDescent="0.3">
      <c r="A295" s="3"/>
      <c r="B295" s="10" t="s">
        <v>355</v>
      </c>
      <c r="C295" s="62"/>
      <c r="D295" s="62"/>
      <c r="E295" s="12">
        <v>0</v>
      </c>
      <c r="F295" s="12">
        <v>0</v>
      </c>
      <c r="G295" s="65"/>
      <c r="H295" s="65"/>
      <c r="I295" s="157"/>
      <c r="J295" s="65"/>
      <c r="K295" s="37"/>
      <c r="L295" s="37"/>
      <c r="M295" s="37"/>
      <c r="N295" s="37"/>
      <c r="O295" s="37"/>
      <c r="P295" s="37"/>
      <c r="Q295" s="37"/>
      <c r="R295" s="37"/>
      <c r="S295" s="37"/>
      <c r="T295" s="37"/>
      <c r="U295" s="3"/>
      <c r="W295" s="3"/>
      <c r="X295" s="3"/>
      <c r="Y295" s="3"/>
      <c r="Z295" s="3"/>
    </row>
    <row r="296" spans="1:26" ht="15.75" customHeight="1" outlineLevel="1" x14ac:dyDescent="0.3">
      <c r="A296" s="3"/>
      <c r="B296" s="10" t="s">
        <v>369</v>
      </c>
      <c r="C296" s="62"/>
      <c r="D296" s="62"/>
      <c r="E296" s="12">
        <v>0</v>
      </c>
      <c r="F296" s="12">
        <v>0</v>
      </c>
      <c r="G296" s="65"/>
      <c r="H296" s="65"/>
      <c r="I296" s="157"/>
      <c r="J296" s="65"/>
      <c r="K296" s="37"/>
      <c r="L296" s="37"/>
      <c r="M296" s="37"/>
      <c r="N296" s="37"/>
      <c r="O296" s="37"/>
      <c r="P296" s="37"/>
      <c r="Q296" s="37"/>
      <c r="R296" s="37"/>
      <c r="S296" s="37"/>
      <c r="T296" s="37"/>
      <c r="U296" s="3"/>
      <c r="W296" s="3"/>
      <c r="X296" s="3"/>
      <c r="Y296" s="3"/>
      <c r="Z296" s="3"/>
    </row>
    <row r="297" spans="1:26" ht="15.75" customHeight="1" outlineLevel="1" x14ac:dyDescent="0.3">
      <c r="A297" s="3"/>
      <c r="B297" s="10" t="s">
        <v>327</v>
      </c>
      <c r="C297" s="62"/>
      <c r="D297" s="62"/>
      <c r="E297" s="12">
        <v>0</v>
      </c>
      <c r="F297" s="12">
        <v>0</v>
      </c>
      <c r="G297" s="89"/>
      <c r="H297" s="65"/>
      <c r="I297" s="157"/>
      <c r="J297" s="65"/>
      <c r="K297" s="37"/>
      <c r="L297" s="37"/>
      <c r="M297" s="37"/>
      <c r="N297" s="37"/>
      <c r="O297" s="37"/>
      <c r="P297" s="37"/>
      <c r="Q297" s="37"/>
      <c r="R297" s="37"/>
      <c r="S297" s="37"/>
      <c r="T297" s="37"/>
      <c r="U297" s="3"/>
      <c r="W297" s="3"/>
      <c r="X297" s="3"/>
      <c r="Y297" s="3"/>
      <c r="Z297" s="3"/>
    </row>
    <row r="298" spans="1:26" ht="15.75" customHeight="1" outlineLevel="1" x14ac:dyDescent="0.3">
      <c r="A298" s="3"/>
      <c r="B298" s="10" t="s">
        <v>328</v>
      </c>
      <c r="C298" s="62"/>
      <c r="D298" s="62"/>
      <c r="E298" s="12">
        <v>0</v>
      </c>
      <c r="F298" s="12">
        <v>0</v>
      </c>
      <c r="G298" s="65"/>
      <c r="H298" s="65"/>
      <c r="I298" s="157"/>
      <c r="J298" s="65"/>
      <c r="K298" s="37"/>
      <c r="L298" s="37"/>
      <c r="M298" s="37"/>
      <c r="N298" s="37"/>
      <c r="O298" s="37"/>
      <c r="P298" s="37"/>
      <c r="Q298" s="37"/>
      <c r="R298" s="37"/>
      <c r="S298" s="37"/>
      <c r="T298" s="37"/>
      <c r="U298" s="3"/>
      <c r="W298" s="3"/>
      <c r="X298" s="3"/>
      <c r="Y298" s="3"/>
      <c r="Z298" s="3"/>
    </row>
    <row r="299" spans="1:26" ht="15.75" customHeight="1" outlineLevel="1" x14ac:dyDescent="0.3">
      <c r="A299" s="3"/>
      <c r="B299" s="10" t="s">
        <v>370</v>
      </c>
      <c r="C299" s="62"/>
      <c r="D299" s="62"/>
      <c r="E299" s="12">
        <v>0</v>
      </c>
      <c r="F299" s="12">
        <v>0</v>
      </c>
      <c r="G299" s="65"/>
      <c r="H299" s="65"/>
      <c r="I299" s="157"/>
      <c r="J299" s="65"/>
      <c r="K299" s="37"/>
      <c r="L299" s="37"/>
      <c r="M299" s="37"/>
      <c r="N299" s="37"/>
      <c r="O299" s="37"/>
      <c r="P299" s="37"/>
      <c r="Q299" s="37"/>
      <c r="R299" s="37"/>
      <c r="S299" s="37"/>
      <c r="T299" s="37"/>
      <c r="U299" s="3"/>
      <c r="W299" s="3"/>
      <c r="X299" s="3"/>
      <c r="Y299" s="3"/>
      <c r="Z299" s="3"/>
    </row>
    <row r="300" spans="1:26" ht="15.75" customHeight="1" outlineLevel="1" x14ac:dyDescent="0.3">
      <c r="A300" s="3"/>
      <c r="B300" s="10" t="s">
        <v>371</v>
      </c>
      <c r="C300" s="62"/>
      <c r="D300" s="62"/>
      <c r="E300" s="12">
        <v>0</v>
      </c>
      <c r="F300" s="12">
        <v>0</v>
      </c>
      <c r="G300" s="65"/>
      <c r="H300" s="65"/>
      <c r="I300" s="157"/>
      <c r="J300" s="65"/>
      <c r="K300" s="37"/>
      <c r="L300" s="37"/>
      <c r="M300" s="37"/>
      <c r="N300" s="37"/>
      <c r="O300" s="37"/>
      <c r="P300" s="37"/>
      <c r="Q300" s="37"/>
      <c r="R300" s="37"/>
      <c r="S300" s="37"/>
      <c r="T300" s="37"/>
      <c r="U300" s="3"/>
      <c r="W300" s="3"/>
      <c r="X300" s="3"/>
      <c r="Y300" s="3"/>
      <c r="Z300" s="3"/>
    </row>
    <row r="301" spans="1:26" ht="15.75" customHeight="1" outlineLevel="1" x14ac:dyDescent="0.3">
      <c r="A301" s="3"/>
      <c r="B301" s="10" t="s">
        <v>372</v>
      </c>
      <c r="C301" s="62"/>
      <c r="D301" s="62"/>
      <c r="E301" s="12">
        <v>0</v>
      </c>
      <c r="F301" s="12">
        <v>0</v>
      </c>
      <c r="G301" s="65"/>
      <c r="H301" s="65"/>
      <c r="I301" s="157"/>
      <c r="J301" s="65"/>
      <c r="K301" s="37"/>
      <c r="L301" s="37"/>
      <c r="M301" s="37"/>
      <c r="N301" s="37"/>
      <c r="O301" s="37"/>
      <c r="P301" s="37"/>
      <c r="Q301" s="37"/>
      <c r="R301" s="37"/>
      <c r="S301" s="37"/>
      <c r="T301" s="37"/>
      <c r="U301" s="3"/>
      <c r="W301" s="3"/>
      <c r="X301" s="3"/>
      <c r="Y301" s="3"/>
      <c r="Z301" s="3"/>
    </row>
    <row r="302" spans="1:26" ht="15.75" customHeight="1" outlineLevel="1" x14ac:dyDescent="0.3">
      <c r="A302" s="3"/>
      <c r="B302" s="10" t="s">
        <v>1547</v>
      </c>
      <c r="C302" s="62"/>
      <c r="D302" s="62"/>
      <c r="E302" s="12">
        <v>0</v>
      </c>
      <c r="F302" s="12">
        <v>0</v>
      </c>
      <c r="G302" s="65"/>
      <c r="H302" s="65"/>
      <c r="I302" s="157"/>
      <c r="J302" s="65"/>
      <c r="K302" s="37"/>
      <c r="L302" s="37"/>
      <c r="M302" s="37"/>
      <c r="N302" s="37"/>
      <c r="O302" s="37"/>
      <c r="P302" s="37"/>
      <c r="Q302" s="37"/>
      <c r="R302" s="37"/>
      <c r="S302" s="37"/>
      <c r="T302" s="37"/>
      <c r="U302" s="3"/>
      <c r="W302" s="3"/>
      <c r="X302" s="3"/>
      <c r="Y302" s="3"/>
      <c r="Z302" s="3"/>
    </row>
    <row r="303" spans="1:26" ht="15.75" customHeight="1" outlineLevel="1" x14ac:dyDescent="0.3">
      <c r="A303" s="3"/>
      <c r="B303" s="10" t="s">
        <v>1548</v>
      </c>
      <c r="C303" s="62"/>
      <c r="D303" s="62"/>
      <c r="E303" s="12">
        <v>0</v>
      </c>
      <c r="F303" s="12">
        <v>0</v>
      </c>
      <c r="G303" s="65"/>
      <c r="H303" s="65"/>
      <c r="I303" s="157"/>
      <c r="J303" s="65"/>
      <c r="K303" s="37"/>
      <c r="L303" s="37"/>
      <c r="M303" s="37"/>
      <c r="N303" s="37"/>
      <c r="O303" s="37"/>
      <c r="P303" s="37"/>
      <c r="Q303" s="37"/>
      <c r="R303" s="37"/>
      <c r="S303" s="37"/>
      <c r="T303" s="37"/>
      <c r="U303" s="3"/>
      <c r="W303" s="3"/>
      <c r="X303" s="3"/>
      <c r="Y303" s="3"/>
      <c r="Z303" s="3"/>
    </row>
    <row r="304" spans="1:26" ht="15.75" customHeight="1" outlineLevel="1" x14ac:dyDescent="0.3">
      <c r="A304" s="3"/>
      <c r="B304" s="10" t="s">
        <v>1549</v>
      </c>
      <c r="C304" s="62"/>
      <c r="D304" s="62"/>
      <c r="E304" s="12">
        <v>0</v>
      </c>
      <c r="F304" s="12">
        <v>0</v>
      </c>
      <c r="G304" s="65"/>
      <c r="H304" s="65"/>
      <c r="I304" s="157"/>
      <c r="J304" s="65"/>
      <c r="K304" s="37"/>
      <c r="L304" s="37"/>
      <c r="M304" s="37"/>
      <c r="N304" s="37"/>
      <c r="O304" s="37"/>
      <c r="P304" s="37"/>
      <c r="Q304" s="37"/>
      <c r="R304" s="37"/>
      <c r="S304" s="37"/>
      <c r="T304" s="37"/>
      <c r="U304" s="3"/>
      <c r="W304" s="3"/>
      <c r="X304" s="3"/>
      <c r="Y304" s="3"/>
      <c r="Z304" s="3"/>
    </row>
    <row r="305" spans="1:26" ht="15.75" customHeight="1" outlineLevel="1" x14ac:dyDescent="0.3">
      <c r="A305" s="3"/>
      <c r="B305" s="10" t="s">
        <v>1550</v>
      </c>
      <c r="C305" s="62"/>
      <c r="D305" s="62"/>
      <c r="E305" s="12">
        <v>0</v>
      </c>
      <c r="F305" s="12">
        <v>0</v>
      </c>
      <c r="G305" s="65"/>
      <c r="H305" s="65"/>
      <c r="I305" s="157"/>
      <c r="J305" s="65"/>
      <c r="K305" s="37"/>
      <c r="L305" s="37"/>
      <c r="M305" s="37"/>
      <c r="N305" s="37"/>
      <c r="O305" s="37"/>
      <c r="P305" s="37"/>
      <c r="Q305" s="37"/>
      <c r="R305" s="37"/>
      <c r="S305" s="37"/>
      <c r="T305" s="37"/>
      <c r="U305" s="3"/>
      <c r="W305" s="3"/>
      <c r="X305" s="3"/>
      <c r="Y305" s="3"/>
      <c r="Z305" s="3"/>
    </row>
    <row r="306" spans="1:26" ht="15.75" customHeight="1" outlineLevel="1" x14ac:dyDescent="0.3">
      <c r="A306" s="3"/>
      <c r="B306" s="10" t="s">
        <v>1551</v>
      </c>
      <c r="C306" s="62"/>
      <c r="D306" s="62"/>
      <c r="E306" s="12">
        <v>0</v>
      </c>
      <c r="F306" s="12">
        <v>0</v>
      </c>
      <c r="G306" s="65"/>
      <c r="H306" s="65"/>
      <c r="I306" s="157"/>
      <c r="J306" s="65"/>
      <c r="K306" s="37"/>
      <c r="L306" s="37"/>
      <c r="M306" s="37"/>
      <c r="N306" s="37"/>
      <c r="O306" s="37"/>
      <c r="P306" s="37"/>
      <c r="Q306" s="37"/>
      <c r="R306" s="37"/>
      <c r="S306" s="37"/>
      <c r="T306" s="37"/>
      <c r="U306" s="3"/>
      <c r="W306" s="3"/>
      <c r="X306" s="3"/>
      <c r="Y306" s="3"/>
      <c r="Z306" s="3"/>
    </row>
    <row r="307" spans="1:26" ht="15.75" customHeight="1" outlineLevel="1" x14ac:dyDescent="0.3">
      <c r="A307" s="3"/>
      <c r="B307" s="10" t="s">
        <v>1552</v>
      </c>
      <c r="C307" s="62"/>
      <c r="D307" s="62"/>
      <c r="E307" s="12">
        <v>0</v>
      </c>
      <c r="F307" s="12">
        <v>0</v>
      </c>
      <c r="G307" s="65"/>
      <c r="H307" s="65"/>
      <c r="I307" s="157"/>
      <c r="J307" s="65"/>
      <c r="K307" s="37"/>
      <c r="L307" s="37"/>
      <c r="M307" s="37"/>
      <c r="N307" s="37"/>
      <c r="O307" s="37"/>
      <c r="P307" s="37"/>
      <c r="Q307" s="37"/>
      <c r="R307" s="37"/>
      <c r="S307" s="37"/>
      <c r="T307" s="37"/>
      <c r="U307" s="3"/>
      <c r="W307" s="3"/>
      <c r="X307" s="3"/>
      <c r="Y307" s="3"/>
      <c r="Z307" s="3"/>
    </row>
    <row r="308" spans="1:26" ht="15.75" customHeight="1" outlineLevel="1" x14ac:dyDescent="0.3">
      <c r="A308" s="3"/>
      <c r="B308" s="10" t="s">
        <v>1553</v>
      </c>
      <c r="C308" s="62"/>
      <c r="D308" s="62"/>
      <c r="E308" s="12">
        <v>0</v>
      </c>
      <c r="F308" s="12">
        <v>0</v>
      </c>
      <c r="G308" s="65"/>
      <c r="H308" s="65"/>
      <c r="I308" s="157"/>
      <c r="J308" s="65"/>
      <c r="K308" s="37"/>
      <c r="L308" s="37"/>
      <c r="M308" s="37"/>
      <c r="N308" s="37"/>
      <c r="O308" s="37"/>
      <c r="P308" s="37"/>
      <c r="Q308" s="37"/>
      <c r="R308" s="37"/>
      <c r="S308" s="37"/>
      <c r="T308" s="37"/>
      <c r="U308" s="3"/>
      <c r="W308" s="3"/>
      <c r="X308" s="3"/>
      <c r="Y308" s="3"/>
      <c r="Z308" s="3"/>
    </row>
    <row r="309" spans="1:26" ht="15.75" customHeight="1" outlineLevel="1" x14ac:dyDescent="0.3">
      <c r="A309" s="3"/>
      <c r="B309" s="10" t="s">
        <v>1554</v>
      </c>
      <c r="C309" s="62"/>
      <c r="D309" s="62"/>
      <c r="E309" s="12">
        <v>0</v>
      </c>
      <c r="F309" s="12">
        <v>0</v>
      </c>
      <c r="G309" s="65"/>
      <c r="H309" s="65"/>
      <c r="I309" s="157"/>
      <c r="J309" s="65"/>
      <c r="K309" s="37"/>
      <c r="L309" s="37"/>
      <c r="M309" s="37"/>
      <c r="N309" s="37"/>
      <c r="O309" s="37"/>
      <c r="P309" s="37"/>
      <c r="Q309" s="37"/>
      <c r="R309" s="37"/>
      <c r="S309" s="37"/>
      <c r="T309" s="37"/>
      <c r="U309" s="3"/>
      <c r="W309" s="3"/>
      <c r="X309" s="3"/>
      <c r="Y309" s="3"/>
      <c r="Z309" s="3"/>
    </row>
    <row r="310" spans="1:26" ht="15.75" customHeight="1" outlineLevel="1" x14ac:dyDescent="0.3">
      <c r="A310" s="3"/>
      <c r="B310" s="10" t="s">
        <v>1555</v>
      </c>
      <c r="C310" s="62"/>
      <c r="D310" s="62"/>
      <c r="E310" s="12">
        <v>0</v>
      </c>
      <c r="F310" s="12">
        <v>0</v>
      </c>
      <c r="G310" s="65"/>
      <c r="H310" s="65"/>
      <c r="I310" s="157"/>
      <c r="J310" s="65"/>
      <c r="K310" s="37"/>
      <c r="L310" s="37"/>
      <c r="M310" s="37"/>
      <c r="N310" s="37"/>
      <c r="O310" s="37"/>
      <c r="P310" s="37"/>
      <c r="Q310" s="37"/>
      <c r="R310" s="37"/>
      <c r="S310" s="37"/>
      <c r="T310" s="37"/>
      <c r="U310" s="3"/>
      <c r="W310" s="3"/>
      <c r="X310" s="3"/>
      <c r="Y310" s="3"/>
      <c r="Z310" s="3"/>
    </row>
    <row r="311" spans="1:26" ht="15.75" customHeight="1" outlineLevel="1" x14ac:dyDescent="0.3">
      <c r="A311" s="3"/>
      <c r="B311" s="10" t="s">
        <v>1556</v>
      </c>
      <c r="C311" s="62"/>
      <c r="D311" s="62"/>
      <c r="E311" s="12">
        <v>0</v>
      </c>
      <c r="F311" s="12">
        <v>0</v>
      </c>
      <c r="G311" s="65"/>
      <c r="H311" s="65"/>
      <c r="I311" s="157"/>
      <c r="J311" s="65"/>
      <c r="K311" s="37"/>
      <c r="L311" s="37"/>
      <c r="M311" s="37"/>
      <c r="N311" s="37"/>
      <c r="O311" s="37"/>
      <c r="P311" s="37"/>
      <c r="Q311" s="37"/>
      <c r="R311" s="37"/>
      <c r="S311" s="37"/>
      <c r="T311" s="37"/>
      <c r="U311" s="3"/>
      <c r="W311" s="3"/>
      <c r="X311" s="3"/>
      <c r="Y311" s="3"/>
      <c r="Z311" s="3"/>
    </row>
    <row r="312" spans="1:26" ht="15.75" customHeight="1" outlineLevel="1" x14ac:dyDescent="0.3">
      <c r="A312" s="3"/>
      <c r="B312" s="10" t="s">
        <v>1557</v>
      </c>
      <c r="C312" s="62"/>
      <c r="D312" s="62"/>
      <c r="E312" s="12">
        <v>0</v>
      </c>
      <c r="F312" s="12">
        <v>0</v>
      </c>
      <c r="G312" s="65"/>
      <c r="H312" s="65"/>
      <c r="I312" s="157"/>
      <c r="J312" s="65"/>
      <c r="K312" s="37"/>
      <c r="L312" s="37"/>
      <c r="M312" s="37"/>
      <c r="N312" s="37"/>
      <c r="O312" s="37"/>
      <c r="P312" s="37"/>
      <c r="Q312" s="37"/>
      <c r="R312" s="37"/>
      <c r="S312" s="37"/>
      <c r="T312" s="37"/>
      <c r="U312" s="3"/>
      <c r="W312" s="3"/>
      <c r="X312" s="3"/>
      <c r="Y312" s="3"/>
      <c r="Z312" s="3"/>
    </row>
    <row r="313" spans="1:26" ht="15.75" customHeight="1" outlineLevel="1" x14ac:dyDescent="0.3">
      <c r="A313" s="3"/>
      <c r="B313" s="10" t="s">
        <v>1558</v>
      </c>
      <c r="C313" s="62"/>
      <c r="D313" s="62"/>
      <c r="E313" s="12">
        <v>0</v>
      </c>
      <c r="F313" s="12">
        <v>0</v>
      </c>
      <c r="G313" s="65"/>
      <c r="H313" s="65"/>
      <c r="I313" s="89"/>
      <c r="J313" s="65"/>
      <c r="K313" s="37"/>
      <c r="L313" s="37"/>
      <c r="M313" s="37"/>
      <c r="N313" s="37"/>
      <c r="O313" s="37"/>
      <c r="P313" s="37"/>
      <c r="Q313" s="37"/>
      <c r="R313" s="37"/>
      <c r="S313" s="37"/>
      <c r="T313" s="37"/>
      <c r="U313" s="3"/>
      <c r="W313" s="3"/>
      <c r="X313" s="3"/>
      <c r="Y313" s="3"/>
      <c r="Z313" s="3"/>
    </row>
    <row r="314" spans="1:26" ht="15.75" customHeight="1" outlineLevel="1" x14ac:dyDescent="0.3">
      <c r="A314" s="3"/>
      <c r="B314" s="91" t="s">
        <v>689</v>
      </c>
      <c r="C314" s="92"/>
      <c r="D314" s="92"/>
      <c r="E314" s="93">
        <f>SUM(E315:E323)</f>
        <v>0</v>
      </c>
      <c r="F314" s="93">
        <f>SUMIF(D315:D323,"OK",F315:F323)</f>
        <v>0</v>
      </c>
      <c r="G314" s="94"/>
      <c r="H314" s="94"/>
      <c r="I314" s="95"/>
      <c r="J314" s="94"/>
      <c r="K314" s="37"/>
      <c r="L314" s="37"/>
      <c r="M314" s="37"/>
      <c r="N314" s="37"/>
      <c r="O314" s="37"/>
      <c r="P314" s="37"/>
      <c r="Q314" s="37"/>
      <c r="R314" s="37"/>
      <c r="S314" s="37"/>
      <c r="T314" s="37"/>
      <c r="U314" s="3"/>
      <c r="W314" s="3"/>
      <c r="X314" s="3"/>
      <c r="Y314" s="3"/>
      <c r="Z314" s="3"/>
    </row>
    <row r="315" spans="1:26" ht="15.75" customHeight="1" outlineLevel="1" x14ac:dyDescent="0.3">
      <c r="A315" s="3"/>
      <c r="B315" s="10" t="s">
        <v>353</v>
      </c>
      <c r="C315" s="62"/>
      <c r="D315" s="62"/>
      <c r="E315" s="12">
        <v>0</v>
      </c>
      <c r="F315" s="12">
        <v>0</v>
      </c>
      <c r="G315" s="65"/>
      <c r="H315" s="65"/>
      <c r="I315" s="157"/>
      <c r="J315" s="65"/>
      <c r="K315" s="37"/>
      <c r="L315" s="37"/>
      <c r="M315" s="37"/>
      <c r="N315" s="37"/>
      <c r="O315" s="37"/>
      <c r="P315" s="37"/>
      <c r="Q315" s="37"/>
      <c r="R315" s="37"/>
      <c r="S315" s="37"/>
      <c r="T315" s="37"/>
      <c r="U315" s="3"/>
      <c r="W315" s="3"/>
      <c r="X315" s="3"/>
      <c r="Y315" s="3"/>
      <c r="Z315" s="3"/>
    </row>
    <row r="316" spans="1:26" ht="15.75" customHeight="1" outlineLevel="1" x14ac:dyDescent="0.3">
      <c r="A316" s="3"/>
      <c r="B316" s="10" t="s">
        <v>354</v>
      </c>
      <c r="C316" s="62"/>
      <c r="D316" s="62"/>
      <c r="E316" s="12">
        <v>0</v>
      </c>
      <c r="F316" s="12">
        <v>0</v>
      </c>
      <c r="G316" s="65"/>
      <c r="H316" s="65"/>
      <c r="I316" s="157"/>
      <c r="J316" s="65"/>
      <c r="K316" s="37"/>
      <c r="L316" s="37"/>
      <c r="M316" s="37"/>
      <c r="N316" s="37"/>
      <c r="O316" s="37"/>
      <c r="P316" s="37"/>
      <c r="Q316" s="37"/>
      <c r="R316" s="37"/>
      <c r="S316" s="37"/>
      <c r="T316" s="37"/>
      <c r="U316" s="3"/>
      <c r="W316" s="3"/>
      <c r="X316" s="3"/>
      <c r="Y316" s="3"/>
      <c r="Z316" s="3"/>
    </row>
    <row r="317" spans="1:26" ht="15.75" customHeight="1" outlineLevel="1" x14ac:dyDescent="0.3">
      <c r="A317" s="3"/>
      <c r="B317" s="10" t="s">
        <v>355</v>
      </c>
      <c r="C317" s="62"/>
      <c r="D317" s="62"/>
      <c r="E317" s="12">
        <v>0</v>
      </c>
      <c r="F317" s="12">
        <v>0</v>
      </c>
      <c r="G317" s="65"/>
      <c r="H317" s="65"/>
      <c r="I317" s="89"/>
      <c r="J317" s="65"/>
      <c r="K317" s="37"/>
      <c r="L317" s="37"/>
      <c r="M317" s="37"/>
      <c r="N317" s="37"/>
      <c r="O317" s="37"/>
      <c r="P317" s="37"/>
      <c r="Q317" s="37"/>
      <c r="R317" s="37"/>
      <c r="S317" s="37"/>
      <c r="T317" s="37"/>
      <c r="U317" s="3"/>
      <c r="W317" s="3"/>
      <c r="X317" s="3"/>
      <c r="Y317" s="3"/>
      <c r="Z317" s="3"/>
    </row>
    <row r="318" spans="1:26" ht="15.75" customHeight="1" outlineLevel="1" x14ac:dyDescent="0.3">
      <c r="A318" s="3"/>
      <c r="B318" s="10" t="s">
        <v>369</v>
      </c>
      <c r="C318" s="62"/>
      <c r="D318" s="62"/>
      <c r="E318" s="12">
        <v>0</v>
      </c>
      <c r="F318" s="12">
        <v>0</v>
      </c>
      <c r="G318" s="65"/>
      <c r="H318" s="65"/>
      <c r="I318" s="89"/>
      <c r="J318" s="65"/>
      <c r="K318" s="37"/>
      <c r="L318" s="37"/>
      <c r="M318" s="37"/>
      <c r="N318" s="37"/>
      <c r="O318" s="37"/>
      <c r="P318" s="37"/>
      <c r="Q318" s="37"/>
      <c r="R318" s="37"/>
      <c r="S318" s="37"/>
      <c r="T318" s="37"/>
      <c r="U318" s="3"/>
      <c r="W318" s="3"/>
      <c r="X318" s="3"/>
      <c r="Y318" s="3"/>
      <c r="Z318" s="3"/>
    </row>
    <row r="319" spans="1:26" ht="15.75" customHeight="1" outlineLevel="1" x14ac:dyDescent="0.3">
      <c r="A319" s="3"/>
      <c r="B319" s="10" t="s">
        <v>327</v>
      </c>
      <c r="C319" s="62"/>
      <c r="D319" s="62"/>
      <c r="E319" s="12">
        <v>0</v>
      </c>
      <c r="F319" s="12">
        <v>0</v>
      </c>
      <c r="G319" s="65"/>
      <c r="H319" s="65"/>
      <c r="I319" s="89"/>
      <c r="J319" s="65"/>
      <c r="K319" s="37"/>
      <c r="L319" s="37"/>
      <c r="M319" s="37"/>
      <c r="N319" s="37"/>
      <c r="O319" s="37"/>
      <c r="P319" s="37"/>
      <c r="Q319" s="37"/>
      <c r="R319" s="37"/>
      <c r="S319" s="37"/>
      <c r="T319" s="37"/>
      <c r="U319" s="3"/>
      <c r="W319" s="3"/>
      <c r="X319" s="3"/>
      <c r="Y319" s="3"/>
      <c r="Z319" s="3"/>
    </row>
    <row r="320" spans="1:26" ht="15.75" customHeight="1" outlineLevel="1" x14ac:dyDescent="0.3">
      <c r="A320" s="3"/>
      <c r="B320" s="10" t="s">
        <v>328</v>
      </c>
      <c r="C320" s="62"/>
      <c r="D320" s="62"/>
      <c r="E320" s="12">
        <v>0</v>
      </c>
      <c r="F320" s="12">
        <v>0</v>
      </c>
      <c r="G320" s="65"/>
      <c r="H320" s="65"/>
      <c r="I320" s="89"/>
      <c r="J320" s="65"/>
      <c r="K320" s="37"/>
      <c r="L320" s="37"/>
      <c r="M320" s="37"/>
      <c r="N320" s="37"/>
      <c r="O320" s="37"/>
      <c r="P320" s="37"/>
      <c r="Q320" s="37"/>
      <c r="R320" s="37"/>
      <c r="S320" s="37"/>
      <c r="T320" s="37"/>
      <c r="U320" s="3"/>
      <c r="W320" s="3"/>
      <c r="X320" s="3"/>
      <c r="Y320" s="3"/>
      <c r="Z320" s="3"/>
    </row>
    <row r="321" spans="1:26" ht="15.75" customHeight="1" outlineLevel="1" x14ac:dyDescent="0.3">
      <c r="A321" s="3"/>
      <c r="B321" s="10" t="s">
        <v>370</v>
      </c>
      <c r="C321" s="62"/>
      <c r="D321" s="62"/>
      <c r="E321" s="12">
        <v>0</v>
      </c>
      <c r="F321" s="12">
        <v>0</v>
      </c>
      <c r="G321" s="65"/>
      <c r="H321" s="65"/>
      <c r="I321" s="89"/>
      <c r="J321" s="65"/>
      <c r="K321" s="37"/>
      <c r="L321" s="37"/>
      <c r="M321" s="37"/>
      <c r="N321" s="37"/>
      <c r="O321" s="37"/>
      <c r="P321" s="37"/>
      <c r="Q321" s="37"/>
      <c r="R321" s="37"/>
      <c r="S321" s="37"/>
      <c r="T321" s="37"/>
      <c r="U321" s="3"/>
      <c r="W321" s="3"/>
      <c r="X321" s="3"/>
      <c r="Y321" s="3"/>
      <c r="Z321" s="3"/>
    </row>
    <row r="322" spans="1:26" ht="15.75" customHeight="1" outlineLevel="1" x14ac:dyDescent="0.3">
      <c r="A322" s="3"/>
      <c r="B322" s="10" t="s">
        <v>371</v>
      </c>
      <c r="C322" s="62"/>
      <c r="D322" s="62"/>
      <c r="E322" s="12">
        <v>0</v>
      </c>
      <c r="F322" s="12">
        <v>0</v>
      </c>
      <c r="G322" s="65"/>
      <c r="H322" s="65"/>
      <c r="I322" s="89"/>
      <c r="J322" s="65"/>
      <c r="K322" s="37"/>
      <c r="L322" s="37"/>
      <c r="M322" s="37"/>
      <c r="N322" s="37"/>
      <c r="O322" s="37"/>
      <c r="P322" s="37"/>
      <c r="Q322" s="37"/>
      <c r="R322" s="37"/>
      <c r="S322" s="37"/>
      <c r="T322" s="37"/>
      <c r="U322" s="3"/>
      <c r="W322" s="3"/>
      <c r="X322" s="3"/>
      <c r="Y322" s="3"/>
      <c r="Z322" s="3"/>
    </row>
    <row r="323" spans="1:26" ht="15.75" customHeight="1" outlineLevel="1" x14ac:dyDescent="0.3">
      <c r="A323" s="3"/>
      <c r="B323" s="10" t="s">
        <v>372</v>
      </c>
      <c r="C323" s="62"/>
      <c r="D323" s="62"/>
      <c r="E323" s="12">
        <v>0</v>
      </c>
      <c r="F323" s="12">
        <v>0</v>
      </c>
      <c r="G323" s="65"/>
      <c r="H323" s="65"/>
      <c r="I323" s="89"/>
      <c r="J323" s="65"/>
      <c r="K323" s="37"/>
      <c r="L323" s="37"/>
      <c r="M323" s="37"/>
      <c r="N323" s="37"/>
      <c r="O323" s="37"/>
      <c r="P323" s="37"/>
      <c r="Q323" s="37"/>
      <c r="R323" s="37"/>
      <c r="S323" s="37"/>
      <c r="T323" s="37"/>
      <c r="U323" s="3"/>
      <c r="W323" s="3"/>
      <c r="X323" s="3"/>
      <c r="Y323" s="3"/>
      <c r="Z323" s="3"/>
    </row>
    <row r="324" spans="1:26" ht="15.75" customHeight="1" x14ac:dyDescent="0.3">
      <c r="A324" s="3"/>
      <c r="B324" s="84" t="s">
        <v>411</v>
      </c>
      <c r="C324" s="85" t="s">
        <v>43</v>
      </c>
      <c r="D324" s="85" t="s">
        <v>43</v>
      </c>
      <c r="E324" s="86">
        <f>SUM(E325:E346)</f>
        <v>0</v>
      </c>
      <c r="F324" s="86">
        <f>SUMIF(D325:D346,"OK",F325:F346)</f>
        <v>0</v>
      </c>
      <c r="G324" s="87"/>
      <c r="H324" s="87"/>
      <c r="I324" s="88"/>
      <c r="J324" s="87"/>
      <c r="K324" s="37"/>
      <c r="L324" s="37"/>
      <c r="M324" s="37"/>
      <c r="N324" s="37"/>
      <c r="O324" s="37"/>
      <c r="P324" s="37"/>
      <c r="Q324" s="37"/>
      <c r="R324" s="37"/>
      <c r="S324" s="37"/>
      <c r="T324" s="37"/>
      <c r="U324" s="3"/>
      <c r="W324" s="3"/>
      <c r="X324" s="3"/>
      <c r="Y324" s="3"/>
      <c r="Z324" s="3"/>
    </row>
    <row r="325" spans="1:26" ht="14.25" customHeight="1" outlineLevel="1" x14ac:dyDescent="0.3">
      <c r="A325" s="3"/>
      <c r="B325" s="10" t="s">
        <v>412</v>
      </c>
      <c r="C325" s="62"/>
      <c r="D325" s="62"/>
      <c r="E325" s="12">
        <v>0</v>
      </c>
      <c r="F325" s="12">
        <v>0</v>
      </c>
      <c r="G325" s="65"/>
      <c r="H325" s="65"/>
      <c r="I325" s="89"/>
      <c r="J325" s="65"/>
      <c r="K325" s="37"/>
      <c r="L325" s="37"/>
      <c r="M325" s="37"/>
      <c r="N325" s="37"/>
      <c r="O325" s="37"/>
      <c r="P325" s="37"/>
      <c r="Q325" s="37"/>
      <c r="R325" s="37"/>
      <c r="S325" s="37"/>
      <c r="T325" s="37"/>
      <c r="U325" s="3"/>
      <c r="W325" s="3"/>
      <c r="X325" s="3"/>
      <c r="Y325" s="3"/>
      <c r="Z325" s="3"/>
    </row>
    <row r="326" spans="1:26" ht="14.25" customHeight="1" outlineLevel="1" x14ac:dyDescent="0.3">
      <c r="A326" s="3"/>
      <c r="B326" s="10" t="s">
        <v>413</v>
      </c>
      <c r="C326" s="62"/>
      <c r="D326" s="62"/>
      <c r="E326" s="12">
        <v>0</v>
      </c>
      <c r="F326" s="12">
        <v>0</v>
      </c>
      <c r="G326" s="89"/>
      <c r="H326" s="65"/>
      <c r="I326" s="157"/>
      <c r="J326" s="65"/>
      <c r="K326" s="37"/>
      <c r="L326" s="37"/>
      <c r="M326" s="37"/>
      <c r="N326" s="37"/>
      <c r="O326" s="37"/>
      <c r="P326" s="37"/>
      <c r="Q326" s="37"/>
      <c r="R326" s="37"/>
      <c r="S326" s="37"/>
      <c r="T326" s="37"/>
      <c r="U326" s="3"/>
      <c r="W326" s="3"/>
      <c r="X326" s="3"/>
      <c r="Y326" s="3"/>
      <c r="Z326" s="3"/>
    </row>
    <row r="327" spans="1:26" ht="14.25" customHeight="1" outlineLevel="1" x14ac:dyDescent="0.3">
      <c r="A327" s="3"/>
      <c r="B327" s="10" t="s">
        <v>413</v>
      </c>
      <c r="C327" s="62"/>
      <c r="D327" s="62"/>
      <c r="E327" s="12">
        <v>0</v>
      </c>
      <c r="F327" s="12">
        <v>0</v>
      </c>
      <c r="G327" s="65"/>
      <c r="H327" s="65"/>
      <c r="I327" s="157"/>
      <c r="J327" s="65"/>
      <c r="K327" s="37"/>
      <c r="L327" s="37"/>
      <c r="M327" s="37"/>
      <c r="N327" s="37"/>
      <c r="O327" s="37"/>
      <c r="P327" s="37"/>
      <c r="Q327" s="37"/>
      <c r="R327" s="37"/>
      <c r="S327" s="37"/>
      <c r="T327" s="37"/>
      <c r="U327" s="3"/>
      <c r="W327" s="3"/>
      <c r="X327" s="3"/>
      <c r="Y327" s="3"/>
      <c r="Z327" s="3"/>
    </row>
    <row r="328" spans="1:26" ht="14.25" customHeight="1" outlineLevel="1" x14ac:dyDescent="0.3">
      <c r="A328" s="3"/>
      <c r="B328" s="10" t="s">
        <v>414</v>
      </c>
      <c r="C328" s="62"/>
      <c r="D328" s="62"/>
      <c r="E328" s="12">
        <v>0</v>
      </c>
      <c r="F328" s="12">
        <v>0</v>
      </c>
      <c r="G328" s="65"/>
      <c r="H328" s="65"/>
      <c r="I328" s="89"/>
      <c r="J328" s="65"/>
      <c r="K328" s="37"/>
      <c r="L328" s="37"/>
      <c r="M328" s="37"/>
      <c r="N328" s="37"/>
      <c r="O328" s="37"/>
      <c r="P328" s="37"/>
      <c r="Q328" s="37"/>
      <c r="R328" s="37"/>
      <c r="S328" s="37"/>
      <c r="T328" s="37"/>
      <c r="U328" s="3"/>
      <c r="W328" s="3"/>
      <c r="X328" s="3"/>
      <c r="Y328" s="3"/>
      <c r="Z328" s="3"/>
    </row>
    <row r="329" spans="1:26" ht="14.25" customHeight="1" outlineLevel="1" x14ac:dyDescent="0.3">
      <c r="A329" s="3"/>
      <c r="B329" s="10" t="s">
        <v>414</v>
      </c>
      <c r="C329" s="62"/>
      <c r="D329" s="62"/>
      <c r="E329" s="12">
        <v>0</v>
      </c>
      <c r="F329" s="12">
        <v>0</v>
      </c>
      <c r="G329" s="65"/>
      <c r="H329" s="65"/>
      <c r="I329" s="89"/>
      <c r="J329" s="65"/>
      <c r="K329" s="37"/>
      <c r="L329" s="37"/>
      <c r="M329" s="37"/>
      <c r="N329" s="37"/>
      <c r="O329" s="37"/>
      <c r="P329" s="37"/>
      <c r="Q329" s="37"/>
      <c r="R329" s="37"/>
      <c r="S329" s="37"/>
      <c r="T329" s="37"/>
      <c r="U329" s="3"/>
      <c r="W329" s="3"/>
      <c r="X329" s="3"/>
      <c r="Y329" s="3"/>
      <c r="Z329" s="3"/>
    </row>
    <row r="330" spans="1:26" ht="14.25" customHeight="1" outlineLevel="1" x14ac:dyDescent="0.3">
      <c r="A330" s="3"/>
      <c r="B330" s="10" t="s">
        <v>414</v>
      </c>
      <c r="C330" s="62"/>
      <c r="D330" s="62"/>
      <c r="E330" s="12">
        <v>0</v>
      </c>
      <c r="F330" s="12">
        <v>0</v>
      </c>
      <c r="G330" s="65"/>
      <c r="H330" s="65"/>
      <c r="I330" s="89"/>
      <c r="J330" s="65"/>
      <c r="K330" s="37"/>
      <c r="L330" s="37"/>
      <c r="M330" s="37"/>
      <c r="N330" s="37"/>
      <c r="O330" s="37"/>
      <c r="P330" s="37"/>
      <c r="Q330" s="37"/>
      <c r="R330" s="37"/>
      <c r="S330" s="37"/>
      <c r="T330" s="37"/>
      <c r="U330" s="3"/>
      <c r="W330" s="3"/>
      <c r="X330" s="3"/>
      <c r="Y330" s="3"/>
      <c r="Z330" s="3"/>
    </row>
    <row r="331" spans="1:26" ht="14.25" customHeight="1" outlineLevel="1" x14ac:dyDescent="0.3">
      <c r="A331" s="3"/>
      <c r="B331" s="10" t="s">
        <v>415</v>
      </c>
      <c r="C331" s="62"/>
      <c r="D331" s="62"/>
      <c r="E331" s="12">
        <v>0</v>
      </c>
      <c r="F331" s="12">
        <v>0</v>
      </c>
      <c r="G331" s="65"/>
      <c r="H331" s="65"/>
      <c r="I331" s="157"/>
      <c r="J331" s="65"/>
      <c r="K331" s="37"/>
      <c r="L331" s="37"/>
      <c r="M331" s="37"/>
      <c r="N331" s="37"/>
      <c r="O331" s="37"/>
      <c r="P331" s="37"/>
      <c r="Q331" s="37"/>
      <c r="R331" s="37"/>
      <c r="S331" s="37"/>
      <c r="T331" s="37"/>
      <c r="U331" s="3"/>
      <c r="W331" s="3"/>
      <c r="X331" s="3"/>
      <c r="Y331" s="3"/>
      <c r="Z331" s="3"/>
    </row>
    <row r="332" spans="1:26" ht="14.25" customHeight="1" outlineLevel="1" x14ac:dyDescent="0.3">
      <c r="A332" s="3"/>
      <c r="B332" s="10" t="s">
        <v>415</v>
      </c>
      <c r="C332" s="62"/>
      <c r="D332" s="62"/>
      <c r="E332" s="12">
        <v>0</v>
      </c>
      <c r="F332" s="12">
        <v>0</v>
      </c>
      <c r="G332" s="65"/>
      <c r="H332" s="65"/>
      <c r="I332" s="157"/>
      <c r="J332" s="65"/>
      <c r="K332" s="37"/>
      <c r="L332" s="37"/>
      <c r="M332" s="37"/>
      <c r="N332" s="37"/>
      <c r="O332" s="37"/>
      <c r="P332" s="37"/>
      <c r="Q332" s="37"/>
      <c r="R332" s="37"/>
      <c r="S332" s="37"/>
      <c r="T332" s="37"/>
      <c r="U332" s="3"/>
      <c r="W332" s="3"/>
      <c r="X332" s="3"/>
      <c r="Y332" s="3"/>
      <c r="Z332" s="3"/>
    </row>
    <row r="333" spans="1:26" ht="14.25" customHeight="1" outlineLevel="1" x14ac:dyDescent="0.3">
      <c r="A333" s="3"/>
      <c r="B333" s="10" t="s">
        <v>415</v>
      </c>
      <c r="C333" s="62"/>
      <c r="D333" s="62"/>
      <c r="E333" s="12">
        <v>0</v>
      </c>
      <c r="F333" s="12">
        <v>0</v>
      </c>
      <c r="G333" s="65"/>
      <c r="H333" s="65"/>
      <c r="I333" s="157"/>
      <c r="J333" s="65"/>
      <c r="K333" s="37"/>
      <c r="L333" s="37"/>
      <c r="M333" s="37"/>
      <c r="N333" s="37"/>
      <c r="O333" s="37"/>
      <c r="P333" s="37"/>
      <c r="Q333" s="37"/>
      <c r="R333" s="37"/>
      <c r="S333" s="37"/>
      <c r="T333" s="37"/>
      <c r="U333" s="3"/>
      <c r="W333" s="3"/>
      <c r="X333" s="3"/>
      <c r="Y333" s="3"/>
      <c r="Z333" s="3"/>
    </row>
    <row r="334" spans="1:26" ht="14.25" customHeight="1" outlineLevel="1" x14ac:dyDescent="0.3">
      <c r="A334" s="3"/>
      <c r="B334" s="10" t="s">
        <v>416</v>
      </c>
      <c r="C334" s="62"/>
      <c r="D334" s="62"/>
      <c r="E334" s="12">
        <v>0</v>
      </c>
      <c r="F334" s="12">
        <v>0</v>
      </c>
      <c r="G334" s="65"/>
      <c r="H334" s="65"/>
      <c r="I334" s="157"/>
      <c r="J334" s="65"/>
      <c r="K334" s="37"/>
      <c r="L334" s="37"/>
      <c r="M334" s="37"/>
      <c r="N334" s="37"/>
      <c r="O334" s="37"/>
      <c r="P334" s="37"/>
      <c r="Q334" s="37"/>
      <c r="R334" s="37"/>
      <c r="S334" s="37"/>
      <c r="T334" s="37"/>
      <c r="U334" s="3"/>
      <c r="W334" s="3"/>
      <c r="X334" s="3"/>
      <c r="Y334" s="3"/>
      <c r="Z334" s="3"/>
    </row>
    <row r="335" spans="1:26" ht="14.25" customHeight="1" outlineLevel="1" x14ac:dyDescent="0.3">
      <c r="A335" s="3"/>
      <c r="B335" s="10" t="s">
        <v>416</v>
      </c>
      <c r="C335" s="62"/>
      <c r="D335" s="62"/>
      <c r="E335" s="12">
        <v>0</v>
      </c>
      <c r="F335" s="12">
        <v>0</v>
      </c>
      <c r="G335" s="65"/>
      <c r="H335" s="65"/>
      <c r="I335" s="157"/>
      <c r="J335" s="65"/>
      <c r="K335" s="37"/>
      <c r="L335" s="37"/>
      <c r="M335" s="37"/>
      <c r="N335" s="37"/>
      <c r="O335" s="37"/>
      <c r="P335" s="37"/>
      <c r="Q335" s="37"/>
      <c r="R335" s="37"/>
      <c r="S335" s="37"/>
      <c r="T335" s="37"/>
      <c r="U335" s="3"/>
      <c r="W335" s="3"/>
      <c r="X335" s="3"/>
      <c r="Y335" s="3"/>
      <c r="Z335" s="3"/>
    </row>
    <row r="336" spans="1:26" ht="14.25" customHeight="1" outlineLevel="1" x14ac:dyDescent="0.3">
      <c r="A336" s="3"/>
      <c r="B336" s="10" t="s">
        <v>416</v>
      </c>
      <c r="C336" s="62"/>
      <c r="D336" s="62"/>
      <c r="E336" s="12">
        <v>0</v>
      </c>
      <c r="F336" s="12">
        <v>0</v>
      </c>
      <c r="G336" s="65"/>
      <c r="H336" s="65"/>
      <c r="I336" s="157"/>
      <c r="J336" s="65"/>
      <c r="K336" s="37"/>
      <c r="L336" s="37"/>
      <c r="M336" s="37"/>
      <c r="N336" s="37"/>
      <c r="O336" s="37"/>
      <c r="P336" s="37"/>
      <c r="Q336" s="37"/>
      <c r="R336" s="37"/>
      <c r="S336" s="37"/>
      <c r="T336" s="37"/>
      <c r="U336" s="3"/>
      <c r="W336" s="3"/>
      <c r="X336" s="3"/>
      <c r="Y336" s="3"/>
      <c r="Z336" s="3"/>
    </row>
    <row r="337" spans="1:26" ht="14.25" customHeight="1" outlineLevel="1" x14ac:dyDescent="0.3">
      <c r="A337" s="3"/>
      <c r="B337" s="10" t="s">
        <v>416</v>
      </c>
      <c r="C337" s="62"/>
      <c r="D337" s="62"/>
      <c r="E337" s="12">
        <v>0</v>
      </c>
      <c r="F337" s="12">
        <v>0</v>
      </c>
      <c r="G337" s="65"/>
      <c r="H337" s="65"/>
      <c r="I337" s="157"/>
      <c r="J337" s="65"/>
      <c r="K337" s="37"/>
      <c r="L337" s="37"/>
      <c r="M337" s="37"/>
      <c r="N337" s="37"/>
      <c r="O337" s="37"/>
      <c r="P337" s="37"/>
      <c r="Q337" s="37"/>
      <c r="R337" s="37"/>
      <c r="S337" s="37"/>
      <c r="T337" s="37"/>
      <c r="U337" s="3"/>
      <c r="W337" s="3"/>
      <c r="X337" s="3"/>
      <c r="Y337" s="3"/>
      <c r="Z337" s="3"/>
    </row>
    <row r="338" spans="1:26" ht="14.25" customHeight="1" outlineLevel="1" x14ac:dyDescent="0.3">
      <c r="A338" s="3"/>
      <c r="B338" s="10" t="s">
        <v>417</v>
      </c>
      <c r="C338" s="62"/>
      <c r="D338" s="62"/>
      <c r="E338" s="12">
        <v>0</v>
      </c>
      <c r="F338" s="12">
        <v>0</v>
      </c>
      <c r="G338" s="65"/>
      <c r="H338" s="65"/>
      <c r="I338" s="157"/>
      <c r="J338" s="65"/>
      <c r="K338" s="37"/>
      <c r="L338" s="37"/>
      <c r="M338" s="37"/>
      <c r="N338" s="37"/>
      <c r="O338" s="37"/>
      <c r="P338" s="37"/>
      <c r="Q338" s="37"/>
      <c r="R338" s="37"/>
      <c r="S338" s="37"/>
      <c r="T338" s="37"/>
      <c r="U338" s="3"/>
      <c r="W338" s="3"/>
      <c r="X338" s="3"/>
      <c r="Y338" s="3"/>
      <c r="Z338" s="3"/>
    </row>
    <row r="339" spans="1:26" ht="14.25" customHeight="1" outlineLevel="1" x14ac:dyDescent="0.3">
      <c r="A339" s="3"/>
      <c r="B339" s="10" t="s">
        <v>417</v>
      </c>
      <c r="C339" s="62"/>
      <c r="D339" s="62"/>
      <c r="E339" s="12">
        <v>0</v>
      </c>
      <c r="F339" s="12">
        <v>0</v>
      </c>
      <c r="G339" s="65"/>
      <c r="H339" s="65"/>
      <c r="I339" s="157"/>
      <c r="J339" s="65"/>
      <c r="K339" s="37"/>
      <c r="L339" s="37"/>
      <c r="M339" s="37"/>
      <c r="N339" s="37"/>
      <c r="O339" s="37"/>
      <c r="P339" s="37"/>
      <c r="Q339" s="37"/>
      <c r="R339" s="37"/>
      <c r="S339" s="37"/>
      <c r="T339" s="37"/>
      <c r="U339" s="3"/>
      <c r="W339" s="3"/>
      <c r="X339" s="3"/>
      <c r="Y339" s="3"/>
      <c r="Z339" s="3"/>
    </row>
    <row r="340" spans="1:26" ht="14.25" customHeight="1" outlineLevel="1" x14ac:dyDescent="0.3">
      <c r="A340" s="3"/>
      <c r="B340" s="10" t="s">
        <v>417</v>
      </c>
      <c r="C340" s="62"/>
      <c r="D340" s="62"/>
      <c r="E340" s="12">
        <v>0</v>
      </c>
      <c r="F340" s="12">
        <v>0</v>
      </c>
      <c r="G340" s="65"/>
      <c r="H340" s="65"/>
      <c r="I340" s="157"/>
      <c r="J340" s="65"/>
      <c r="K340" s="37"/>
      <c r="L340" s="37"/>
      <c r="M340" s="37"/>
      <c r="N340" s="37"/>
      <c r="O340" s="37"/>
      <c r="P340" s="37"/>
      <c r="Q340" s="37"/>
      <c r="R340" s="37"/>
      <c r="S340" s="37"/>
      <c r="T340" s="37"/>
      <c r="U340" s="3"/>
      <c r="W340" s="3"/>
      <c r="X340" s="3"/>
      <c r="Y340" s="3"/>
      <c r="Z340" s="3"/>
    </row>
    <row r="341" spans="1:26" ht="14.25" customHeight="1" outlineLevel="1" x14ac:dyDescent="0.3">
      <c r="A341" s="3"/>
      <c r="B341" s="10" t="s">
        <v>417</v>
      </c>
      <c r="C341" s="62"/>
      <c r="D341" s="62"/>
      <c r="E341" s="12">
        <v>0</v>
      </c>
      <c r="F341" s="12">
        <v>0</v>
      </c>
      <c r="G341" s="65"/>
      <c r="H341" s="65"/>
      <c r="I341" s="157"/>
      <c r="J341" s="65"/>
      <c r="K341" s="37"/>
      <c r="L341" s="37"/>
      <c r="M341" s="37"/>
      <c r="N341" s="37"/>
      <c r="O341" s="37"/>
      <c r="P341" s="37"/>
      <c r="Q341" s="37"/>
      <c r="R341" s="37"/>
      <c r="S341" s="37"/>
      <c r="T341" s="37"/>
      <c r="U341" s="3"/>
      <c r="W341" s="3"/>
      <c r="X341" s="3"/>
      <c r="Y341" s="3"/>
      <c r="Z341" s="3"/>
    </row>
    <row r="342" spans="1:26" ht="14.25" customHeight="1" outlineLevel="1" x14ac:dyDescent="0.3">
      <c r="A342" s="3"/>
      <c r="B342" s="10" t="s">
        <v>418</v>
      </c>
      <c r="C342" s="62"/>
      <c r="D342" s="62"/>
      <c r="E342" s="12">
        <v>0</v>
      </c>
      <c r="F342" s="12">
        <v>0</v>
      </c>
      <c r="G342" s="65"/>
      <c r="H342" s="65"/>
      <c r="I342" s="156"/>
      <c r="J342" s="65"/>
      <c r="K342" s="37"/>
      <c r="L342" s="37"/>
      <c r="M342" s="37"/>
      <c r="N342" s="37"/>
      <c r="O342" s="37"/>
      <c r="P342" s="37"/>
      <c r="Q342" s="37"/>
      <c r="R342" s="37"/>
      <c r="S342" s="37"/>
      <c r="T342" s="37"/>
      <c r="U342" s="3"/>
      <c r="W342" s="3"/>
      <c r="X342" s="3"/>
      <c r="Y342" s="3"/>
      <c r="Z342" s="3"/>
    </row>
    <row r="343" spans="1:26" ht="14.25" customHeight="1" outlineLevel="1" x14ac:dyDescent="0.3">
      <c r="A343" s="3"/>
      <c r="B343" s="10" t="s">
        <v>419</v>
      </c>
      <c r="C343" s="62"/>
      <c r="D343" s="62"/>
      <c r="E343" s="12">
        <v>0</v>
      </c>
      <c r="F343" s="12">
        <v>0</v>
      </c>
      <c r="G343" s="65"/>
      <c r="H343" s="65"/>
      <c r="I343" s="112"/>
      <c r="J343" s="65"/>
      <c r="K343" s="37"/>
      <c r="L343" s="37"/>
      <c r="M343" s="37"/>
      <c r="N343" s="37"/>
      <c r="O343" s="37"/>
      <c r="P343" s="37"/>
      <c r="Q343" s="37"/>
      <c r="R343" s="37"/>
      <c r="S343" s="37"/>
      <c r="T343" s="37"/>
      <c r="U343" s="3"/>
      <c r="W343" s="3"/>
      <c r="X343" s="3"/>
      <c r="Y343" s="3"/>
      <c r="Z343" s="3"/>
    </row>
    <row r="344" spans="1:26" ht="14.25" customHeight="1" outlineLevel="1" x14ac:dyDescent="0.3">
      <c r="A344" s="3"/>
      <c r="B344" s="10" t="s">
        <v>419</v>
      </c>
      <c r="C344" s="62"/>
      <c r="D344" s="62"/>
      <c r="E344" s="12">
        <v>0</v>
      </c>
      <c r="F344" s="12">
        <v>0</v>
      </c>
      <c r="G344" s="65"/>
      <c r="H344" s="65"/>
      <c r="I344" s="112"/>
      <c r="J344" s="65"/>
      <c r="K344" s="37"/>
      <c r="L344" s="37"/>
      <c r="M344" s="37"/>
      <c r="N344" s="37"/>
      <c r="O344" s="37"/>
      <c r="P344" s="37"/>
      <c r="Q344" s="37"/>
      <c r="R344" s="37"/>
      <c r="S344" s="37"/>
      <c r="T344" s="37"/>
      <c r="U344" s="3"/>
      <c r="W344" s="3"/>
      <c r="X344" s="3"/>
      <c r="Y344" s="3"/>
      <c r="Z344" s="3"/>
    </row>
    <row r="345" spans="1:26" ht="14.25" customHeight="1" outlineLevel="1" x14ac:dyDescent="0.3">
      <c r="A345" s="3"/>
      <c r="B345" s="10" t="s">
        <v>420</v>
      </c>
      <c r="C345" s="62"/>
      <c r="D345" s="62"/>
      <c r="E345" s="12">
        <v>0</v>
      </c>
      <c r="F345" s="12">
        <v>0</v>
      </c>
      <c r="G345" s="65"/>
      <c r="H345" s="65"/>
      <c r="I345" s="89"/>
      <c r="J345" s="65"/>
      <c r="K345" s="37"/>
      <c r="L345" s="37"/>
      <c r="M345" s="37"/>
      <c r="N345" s="37"/>
      <c r="O345" s="37"/>
      <c r="P345" s="37"/>
      <c r="Q345" s="37"/>
      <c r="R345" s="37"/>
      <c r="S345" s="37"/>
      <c r="T345" s="37"/>
      <c r="U345" s="3"/>
      <c r="W345" s="3"/>
      <c r="X345" s="3"/>
      <c r="Y345" s="3"/>
      <c r="Z345" s="3"/>
    </row>
    <row r="346" spans="1:26" ht="14.25" customHeight="1" outlineLevel="1" x14ac:dyDescent="0.3">
      <c r="A346" s="3"/>
      <c r="B346" s="10" t="s">
        <v>65</v>
      </c>
      <c r="C346" s="62"/>
      <c r="D346" s="62"/>
      <c r="E346" s="12">
        <v>0</v>
      </c>
      <c r="F346" s="12">
        <v>0</v>
      </c>
      <c r="G346" s="65"/>
      <c r="H346" s="65"/>
      <c r="I346" s="89"/>
      <c r="J346" s="65"/>
      <c r="K346" s="37"/>
      <c r="L346" s="37"/>
      <c r="M346" s="37"/>
      <c r="N346" s="37"/>
      <c r="O346" s="37"/>
      <c r="P346" s="37"/>
      <c r="Q346" s="37"/>
      <c r="R346" s="37"/>
      <c r="S346" s="37"/>
      <c r="T346" s="37"/>
      <c r="U346" s="3"/>
      <c r="W346" s="3"/>
      <c r="X346" s="3"/>
      <c r="Y346" s="3"/>
      <c r="Z346" s="3"/>
    </row>
    <row r="347" spans="1:26" ht="14.25" customHeight="1" x14ac:dyDescent="0.3">
      <c r="A347" s="3"/>
      <c r="B347" s="3"/>
      <c r="C347" s="37"/>
      <c r="D347" s="37"/>
      <c r="E347" s="37"/>
      <c r="F347" s="37"/>
      <c r="G347" s="98"/>
      <c r="H347" s="98"/>
      <c r="I347" s="99"/>
      <c r="J347" s="98"/>
      <c r="K347" s="37"/>
      <c r="L347" s="37"/>
      <c r="M347" s="37"/>
      <c r="N347" s="37"/>
      <c r="O347" s="37"/>
      <c r="P347" s="37"/>
      <c r="Q347" s="37"/>
      <c r="R347" s="37"/>
      <c r="S347" s="37"/>
      <c r="T347" s="37"/>
      <c r="U347" s="3"/>
    </row>
    <row r="348" spans="1:26" ht="14.25" customHeight="1" x14ac:dyDescent="0.3">
      <c r="A348" s="3"/>
      <c r="B348" s="3"/>
      <c r="C348" s="37"/>
      <c r="D348" s="37"/>
      <c r="E348" s="37"/>
      <c r="F348" s="37"/>
      <c r="G348" s="98"/>
      <c r="H348" s="98"/>
      <c r="I348" s="99"/>
      <c r="J348" s="98"/>
      <c r="K348" s="37"/>
      <c r="L348" s="37"/>
      <c r="M348" s="37"/>
      <c r="N348" s="37"/>
      <c r="O348" s="37"/>
      <c r="P348" s="37"/>
      <c r="Q348" s="37"/>
      <c r="R348" s="37"/>
      <c r="S348" s="37"/>
      <c r="T348" s="37"/>
      <c r="U348" s="3"/>
    </row>
    <row r="349" spans="1:26" ht="57" customHeight="1" x14ac:dyDescent="0.3">
      <c r="A349" s="3"/>
      <c r="B349" s="223" t="s">
        <v>54</v>
      </c>
      <c r="C349" s="224"/>
      <c r="D349" s="224"/>
      <c r="E349" s="224"/>
      <c r="F349" s="224"/>
      <c r="G349" s="224"/>
      <c r="H349" s="224"/>
      <c r="I349" s="198"/>
      <c r="J349" s="98"/>
      <c r="K349" s="37"/>
      <c r="L349" s="37"/>
      <c r="M349" s="37"/>
      <c r="N349" s="37"/>
      <c r="O349" s="37"/>
      <c r="P349" s="37"/>
      <c r="Q349" s="37"/>
      <c r="R349" s="37"/>
      <c r="S349" s="37"/>
      <c r="T349" s="37"/>
      <c r="U349" s="3"/>
    </row>
    <row r="350" spans="1:26" ht="14.25" customHeight="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6" ht="14.2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6" ht="14.25" customHeight="1" x14ac:dyDescent="0.3">
      <c r="A352" s="3"/>
      <c r="B352" s="3"/>
      <c r="C352" s="37"/>
      <c r="D352" s="37"/>
      <c r="E352" s="37"/>
      <c r="F352" s="37"/>
      <c r="G352" s="98"/>
      <c r="H352" s="98"/>
      <c r="I352" s="99"/>
      <c r="J352" s="98"/>
      <c r="K352" s="37"/>
      <c r="L352" s="37"/>
      <c r="M352" s="37"/>
      <c r="N352" s="37"/>
      <c r="O352" s="37"/>
      <c r="P352" s="37"/>
      <c r="Q352" s="37"/>
      <c r="R352" s="37"/>
      <c r="S352" s="37"/>
      <c r="T352" s="37"/>
      <c r="U352" s="3"/>
    </row>
    <row r="353" spans="1:21" ht="14.2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4.2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4.2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4.2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4.2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4.2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4.2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4.2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4.2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4.2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4.2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4.2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4.2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4.2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4.2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4.2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4.2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4.2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4.2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4.2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4.2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4.2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4.2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4.2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4.2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4.2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4.2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4.2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4.2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4.2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4.2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4.2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4.2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4.2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4.2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4.2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4.2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4.2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4.2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4.2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4.2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4.2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4.2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4.2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4.2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4.2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4.2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4.2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4.2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4.2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4.2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4.2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4.2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4.2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4.2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4.2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4.2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4.2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4.2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4.2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4.2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4.2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4.2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4.2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4.2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4.2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4.2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4.2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4.2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4.2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4.2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4.2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4.2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4.2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4.2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4.2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4.2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4.2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4.2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4.2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4.2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4.2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4.2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4.2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4.2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4.2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4.2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4.2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4.2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4.2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4.2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4.2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4.2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4.2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4.2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4.2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4.2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4.2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4.2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4.2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4.2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4.2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4.2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4.2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4.2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4.2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4.2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4.2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4.2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4.2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4.2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4.2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4.2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4.2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4.2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4.2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4.2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4.2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4.2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4.2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4.2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4.2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4.2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4.2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4.2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4.2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4.2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4.2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4.2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4.2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4.2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4.2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4.2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4.2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4.2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4.2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4.2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4.2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4.2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4.2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4.2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4.2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4.2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4.2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4.2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4.2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4.2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4.2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4.2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4.2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4.2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4.2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4.2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4.2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4.2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4.2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4.2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4.2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4.2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4.2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4.2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4.2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4.2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4.2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4.2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4.2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4.2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4.2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4.25" customHeight="1" x14ac:dyDescent="0.3">
      <c r="A521" s="3"/>
      <c r="B521" s="3"/>
      <c r="C521" s="37"/>
      <c r="D521" s="37"/>
      <c r="E521" s="37"/>
      <c r="F521" s="37"/>
      <c r="G521" s="98"/>
      <c r="H521" s="98"/>
      <c r="I521" s="99"/>
      <c r="J521" s="98"/>
      <c r="K521" s="37"/>
      <c r="L521" s="37"/>
      <c r="M521" s="37"/>
      <c r="N521" s="37"/>
      <c r="O521" s="37"/>
      <c r="P521" s="37"/>
      <c r="Q521" s="37"/>
      <c r="R521" s="37"/>
      <c r="S521" s="37"/>
      <c r="T521" s="37"/>
      <c r="U521" s="3"/>
    </row>
    <row r="522" spans="1:21" ht="14.25" customHeight="1" x14ac:dyDescent="0.3">
      <c r="A522" s="3"/>
      <c r="B522" s="3"/>
      <c r="C522" s="37"/>
      <c r="D522" s="37"/>
      <c r="E522" s="37"/>
      <c r="F522" s="37"/>
      <c r="G522" s="98"/>
      <c r="H522" s="98"/>
      <c r="I522" s="99"/>
      <c r="J522" s="98"/>
      <c r="K522" s="37"/>
      <c r="L522" s="37"/>
      <c r="M522" s="37"/>
      <c r="N522" s="37"/>
      <c r="O522" s="37"/>
      <c r="P522" s="37"/>
      <c r="Q522" s="37"/>
      <c r="R522" s="37"/>
      <c r="S522" s="37"/>
      <c r="T522" s="37"/>
      <c r="U522" s="3"/>
    </row>
    <row r="523" spans="1:21" ht="14.25" customHeight="1" x14ac:dyDescent="0.3">
      <c r="A523" s="3"/>
      <c r="B523" s="3"/>
      <c r="C523" s="37"/>
      <c r="D523" s="37"/>
      <c r="E523" s="37"/>
      <c r="F523" s="37"/>
      <c r="G523" s="98"/>
      <c r="H523" s="98"/>
      <c r="I523" s="99"/>
      <c r="J523" s="98"/>
      <c r="K523" s="37"/>
      <c r="L523" s="37"/>
      <c r="M523" s="37"/>
      <c r="N523" s="37"/>
      <c r="O523" s="37"/>
      <c r="P523" s="37"/>
      <c r="Q523" s="37"/>
      <c r="R523" s="37"/>
      <c r="S523" s="37"/>
      <c r="T523" s="37"/>
      <c r="U523" s="3"/>
    </row>
    <row r="524" spans="1:21" ht="14.25" customHeight="1" x14ac:dyDescent="0.3">
      <c r="A524" s="3"/>
      <c r="B524" s="3"/>
      <c r="C524" s="37"/>
      <c r="D524" s="37"/>
      <c r="E524" s="37"/>
      <c r="F524" s="37"/>
      <c r="G524" s="98"/>
      <c r="H524" s="98"/>
      <c r="I524" s="99"/>
      <c r="J524" s="98"/>
      <c r="K524" s="37"/>
      <c r="L524" s="37"/>
      <c r="M524" s="37"/>
      <c r="N524" s="37"/>
      <c r="O524" s="37"/>
      <c r="P524" s="37"/>
      <c r="Q524" s="37"/>
      <c r="R524" s="37"/>
      <c r="S524" s="37"/>
      <c r="T524" s="37"/>
      <c r="U524" s="3"/>
    </row>
    <row r="525" spans="1:21" ht="14.25" customHeight="1" x14ac:dyDescent="0.3">
      <c r="A525" s="3"/>
      <c r="B525" s="3"/>
      <c r="C525" s="37"/>
      <c r="D525" s="37"/>
      <c r="E525" s="37"/>
      <c r="F525" s="37"/>
      <c r="G525" s="98"/>
      <c r="H525" s="98"/>
      <c r="I525" s="99"/>
      <c r="J525" s="98"/>
      <c r="K525" s="37"/>
      <c r="L525" s="37"/>
      <c r="M525" s="37"/>
      <c r="N525" s="37"/>
      <c r="O525" s="37"/>
      <c r="P525" s="37"/>
      <c r="Q525" s="37"/>
      <c r="R525" s="37"/>
      <c r="S525" s="37"/>
      <c r="T525" s="37"/>
      <c r="U525" s="3"/>
    </row>
    <row r="526" spans="1:21" ht="14.25" customHeight="1" x14ac:dyDescent="0.3">
      <c r="A526" s="3"/>
      <c r="B526" s="3"/>
      <c r="C526" s="37"/>
      <c r="D526" s="37"/>
      <c r="E526" s="37"/>
      <c r="F526" s="37"/>
      <c r="G526" s="98"/>
      <c r="H526" s="98"/>
      <c r="I526" s="99"/>
      <c r="J526" s="98"/>
      <c r="K526" s="37"/>
      <c r="L526" s="37"/>
      <c r="M526" s="37"/>
      <c r="N526" s="37"/>
      <c r="O526" s="37"/>
      <c r="P526" s="37"/>
      <c r="Q526" s="37"/>
      <c r="R526" s="37"/>
      <c r="S526" s="37"/>
      <c r="T526" s="37"/>
      <c r="U526" s="3"/>
    </row>
    <row r="527" spans="1:21" ht="14.25" customHeight="1" x14ac:dyDescent="0.3">
      <c r="A527" s="3"/>
      <c r="B527" s="3"/>
      <c r="C527" s="37"/>
      <c r="D527" s="37"/>
      <c r="E527" s="37"/>
      <c r="F527" s="37"/>
      <c r="G527" s="98"/>
      <c r="H527" s="98"/>
      <c r="I527" s="99"/>
      <c r="J527" s="98"/>
      <c r="K527" s="37"/>
      <c r="L527" s="37"/>
      <c r="M527" s="37"/>
      <c r="N527" s="37"/>
      <c r="O527" s="37"/>
      <c r="P527" s="37"/>
      <c r="Q527" s="37"/>
      <c r="R527" s="37"/>
      <c r="S527" s="37"/>
      <c r="T527" s="37"/>
      <c r="U527" s="3"/>
    </row>
    <row r="528" spans="1:21" ht="14.25" customHeight="1" x14ac:dyDescent="0.3">
      <c r="A528" s="3"/>
      <c r="B528" s="3"/>
      <c r="C528" s="37"/>
      <c r="D528" s="37"/>
      <c r="E528" s="37"/>
      <c r="F528" s="37"/>
      <c r="G528" s="98"/>
      <c r="H528" s="98"/>
      <c r="I528" s="99"/>
      <c r="J528" s="98"/>
      <c r="K528" s="37"/>
      <c r="L528" s="37"/>
      <c r="M528" s="37"/>
      <c r="N528" s="37"/>
      <c r="O528" s="37"/>
      <c r="P528" s="37"/>
      <c r="Q528" s="37"/>
      <c r="R528" s="37"/>
      <c r="S528" s="37"/>
      <c r="T528" s="37"/>
      <c r="U528" s="3"/>
    </row>
    <row r="529" spans="1:21" ht="14.25" customHeight="1" x14ac:dyDescent="0.3">
      <c r="A529" s="3"/>
      <c r="B529" s="3"/>
      <c r="C529" s="37"/>
      <c r="D529" s="37"/>
      <c r="E529" s="37"/>
      <c r="F529" s="37"/>
      <c r="G529" s="98"/>
      <c r="H529" s="98"/>
      <c r="I529" s="99"/>
      <c r="J529" s="98"/>
      <c r="K529" s="37"/>
      <c r="L529" s="37"/>
      <c r="M529" s="37"/>
      <c r="N529" s="37"/>
      <c r="O529" s="37"/>
      <c r="P529" s="37"/>
      <c r="Q529" s="37"/>
      <c r="R529" s="37"/>
      <c r="S529" s="37"/>
      <c r="T529" s="37"/>
      <c r="U529" s="3"/>
    </row>
    <row r="530" spans="1:21" ht="14.25" customHeight="1" x14ac:dyDescent="0.3">
      <c r="A530" s="3"/>
      <c r="B530" s="3"/>
      <c r="C530" s="37"/>
      <c r="D530" s="37"/>
      <c r="E530" s="37"/>
      <c r="F530" s="37"/>
      <c r="G530" s="98"/>
      <c r="H530" s="98"/>
      <c r="I530" s="99"/>
      <c r="J530" s="98"/>
      <c r="K530" s="37"/>
      <c r="L530" s="37"/>
      <c r="M530" s="37"/>
      <c r="N530" s="37"/>
      <c r="O530" s="37"/>
      <c r="P530" s="37"/>
      <c r="Q530" s="37"/>
      <c r="R530" s="37"/>
      <c r="S530" s="37"/>
      <c r="T530" s="37"/>
      <c r="U530" s="3"/>
    </row>
    <row r="531" spans="1:21" ht="14.25" customHeight="1" x14ac:dyDescent="0.3">
      <c r="A531" s="3"/>
      <c r="B531" s="3"/>
      <c r="C531" s="37"/>
      <c r="D531" s="37"/>
      <c r="E531" s="37"/>
      <c r="F531" s="37"/>
      <c r="G531" s="98"/>
      <c r="H531" s="98"/>
      <c r="I531" s="99"/>
      <c r="J531" s="98"/>
      <c r="K531" s="37"/>
      <c r="L531" s="37"/>
      <c r="M531" s="37"/>
      <c r="N531" s="37"/>
      <c r="O531" s="37"/>
      <c r="P531" s="37"/>
      <c r="Q531" s="37"/>
      <c r="R531" s="37"/>
      <c r="S531" s="37"/>
      <c r="T531" s="37"/>
      <c r="U531" s="3"/>
    </row>
    <row r="532" spans="1:21" ht="14.25" customHeight="1" x14ac:dyDescent="0.3">
      <c r="A532" s="3"/>
      <c r="B532" s="3"/>
      <c r="C532" s="37"/>
      <c r="D532" s="37"/>
      <c r="E532" s="37"/>
      <c r="F532" s="37"/>
      <c r="G532" s="98"/>
      <c r="H532" s="98"/>
      <c r="I532" s="99"/>
      <c r="J532" s="98"/>
      <c r="K532" s="37"/>
      <c r="L532" s="37"/>
      <c r="M532" s="37"/>
      <c r="N532" s="37"/>
      <c r="O532" s="37"/>
      <c r="P532" s="37"/>
      <c r="Q532" s="37"/>
      <c r="R532" s="37"/>
      <c r="S532" s="37"/>
      <c r="T532" s="37"/>
      <c r="U532" s="3"/>
    </row>
    <row r="533" spans="1:21" ht="14.25" customHeight="1" x14ac:dyDescent="0.3">
      <c r="A533" s="3"/>
      <c r="B533" s="3"/>
      <c r="C533" s="37"/>
      <c r="D533" s="37"/>
      <c r="E533" s="37"/>
      <c r="F533" s="37"/>
      <c r="G533" s="98"/>
      <c r="H533" s="98"/>
      <c r="I533" s="99"/>
      <c r="J533" s="98"/>
      <c r="K533" s="37"/>
      <c r="L533" s="37"/>
      <c r="M533" s="37"/>
      <c r="N533" s="37"/>
      <c r="O533" s="37"/>
      <c r="P533" s="37"/>
      <c r="Q533" s="37"/>
      <c r="R533" s="37"/>
      <c r="S533" s="37"/>
      <c r="T533" s="37"/>
      <c r="U533" s="3"/>
    </row>
    <row r="534" spans="1:21" ht="14.25" customHeight="1" x14ac:dyDescent="0.3">
      <c r="A534" s="3"/>
      <c r="B534" s="3"/>
      <c r="C534" s="37"/>
      <c r="D534" s="37"/>
      <c r="E534" s="37"/>
      <c r="F534" s="37"/>
      <c r="G534" s="98"/>
      <c r="H534" s="98"/>
      <c r="I534" s="99"/>
      <c r="J534" s="98"/>
      <c r="K534" s="37"/>
      <c r="L534" s="37"/>
      <c r="M534" s="37"/>
      <c r="N534" s="37"/>
      <c r="O534" s="37"/>
      <c r="P534" s="37"/>
      <c r="Q534" s="37"/>
      <c r="R534" s="37"/>
      <c r="S534" s="37"/>
      <c r="T534" s="37"/>
      <c r="U534" s="3"/>
    </row>
    <row r="535" spans="1:21" ht="14.25" customHeight="1" x14ac:dyDescent="0.3">
      <c r="A535" s="3"/>
      <c r="B535" s="3"/>
      <c r="C535" s="37"/>
      <c r="D535" s="37"/>
      <c r="E535" s="37"/>
      <c r="F535" s="37"/>
      <c r="G535" s="98"/>
      <c r="H535" s="98"/>
      <c r="I535" s="99"/>
      <c r="J535" s="98"/>
      <c r="K535" s="37"/>
      <c r="L535" s="37"/>
      <c r="M535" s="37"/>
      <c r="N535" s="37"/>
      <c r="O535" s="37"/>
      <c r="P535" s="37"/>
      <c r="Q535" s="37"/>
      <c r="R535" s="37"/>
      <c r="S535" s="37"/>
      <c r="T535" s="37"/>
      <c r="U535" s="3"/>
    </row>
    <row r="536" spans="1:21" ht="14.25" customHeight="1" x14ac:dyDescent="0.3">
      <c r="A536" s="3"/>
      <c r="B536" s="3"/>
      <c r="C536" s="37"/>
      <c r="D536" s="37"/>
      <c r="E536" s="37"/>
      <c r="F536" s="37"/>
      <c r="G536" s="98"/>
      <c r="H536" s="98"/>
      <c r="I536" s="99"/>
      <c r="J536" s="98"/>
      <c r="K536" s="37"/>
      <c r="L536" s="37"/>
      <c r="M536" s="37"/>
      <c r="N536" s="37"/>
      <c r="O536" s="37"/>
      <c r="P536" s="37"/>
      <c r="Q536" s="37"/>
      <c r="R536" s="37"/>
      <c r="S536" s="37"/>
      <c r="T536" s="37"/>
      <c r="U536" s="3"/>
    </row>
    <row r="537" spans="1:21" ht="14.25" customHeight="1" x14ac:dyDescent="0.3">
      <c r="A537" s="3"/>
      <c r="B537" s="3"/>
      <c r="C537" s="37"/>
      <c r="D537" s="37"/>
      <c r="E537" s="37"/>
      <c r="F537" s="37"/>
      <c r="G537" s="98"/>
      <c r="H537" s="98"/>
      <c r="I537" s="99"/>
      <c r="J537" s="98"/>
      <c r="K537" s="37"/>
      <c r="L537" s="37"/>
      <c r="M537" s="37"/>
      <c r="N537" s="37"/>
      <c r="O537" s="37"/>
      <c r="P537" s="37"/>
      <c r="Q537" s="37"/>
      <c r="R537" s="37"/>
      <c r="S537" s="37"/>
      <c r="T537" s="37"/>
      <c r="U537" s="3"/>
    </row>
    <row r="538" spans="1:21" ht="14.25" customHeight="1" x14ac:dyDescent="0.3">
      <c r="A538" s="3"/>
      <c r="B538" s="3"/>
      <c r="C538" s="37"/>
      <c r="D538" s="37"/>
      <c r="E538" s="37"/>
      <c r="F538" s="37"/>
      <c r="G538" s="98"/>
      <c r="H538" s="98"/>
      <c r="I538" s="99"/>
      <c r="J538" s="98"/>
      <c r="K538" s="37"/>
      <c r="L538" s="37"/>
      <c r="M538" s="37"/>
      <c r="N538" s="37"/>
      <c r="O538" s="37"/>
      <c r="P538" s="37"/>
      <c r="Q538" s="37"/>
      <c r="R538" s="37"/>
      <c r="S538" s="37"/>
      <c r="T538" s="37"/>
      <c r="U538" s="3"/>
    </row>
    <row r="539" spans="1:21" ht="14.25" customHeight="1" x14ac:dyDescent="0.3">
      <c r="A539" s="3"/>
      <c r="B539" s="3"/>
      <c r="C539" s="37"/>
      <c r="D539" s="37"/>
      <c r="E539" s="37"/>
      <c r="F539" s="37"/>
      <c r="G539" s="98"/>
      <c r="H539" s="98"/>
      <c r="I539" s="99"/>
      <c r="J539" s="98"/>
      <c r="K539" s="37"/>
      <c r="L539" s="37"/>
      <c r="M539" s="37"/>
      <c r="N539" s="37"/>
      <c r="O539" s="37"/>
      <c r="P539" s="37"/>
      <c r="Q539" s="37"/>
      <c r="R539" s="37"/>
      <c r="S539" s="37"/>
      <c r="T539" s="37"/>
      <c r="U539" s="3"/>
    </row>
    <row r="540" spans="1:21" ht="14.25" customHeight="1" x14ac:dyDescent="0.3">
      <c r="A540" s="3"/>
      <c r="B540" s="3"/>
      <c r="C540" s="37"/>
      <c r="D540" s="37"/>
      <c r="E540" s="37"/>
      <c r="F540" s="37"/>
      <c r="G540" s="98"/>
      <c r="H540" s="98"/>
      <c r="I540" s="99"/>
      <c r="J540" s="98"/>
      <c r="K540" s="37"/>
      <c r="L540" s="37"/>
      <c r="M540" s="37"/>
      <c r="N540" s="37"/>
      <c r="O540" s="37"/>
      <c r="P540" s="37"/>
      <c r="Q540" s="37"/>
      <c r="R540" s="37"/>
      <c r="S540" s="37"/>
      <c r="T540" s="37"/>
      <c r="U540" s="3"/>
    </row>
    <row r="541" spans="1:21" ht="14.25" customHeight="1" x14ac:dyDescent="0.3">
      <c r="A541" s="3"/>
      <c r="B541" s="3"/>
      <c r="C541" s="37"/>
      <c r="D541" s="37"/>
      <c r="E541" s="37"/>
      <c r="F541" s="37"/>
      <c r="G541" s="98"/>
      <c r="H541" s="98"/>
      <c r="I541" s="99"/>
      <c r="J541" s="98"/>
      <c r="K541" s="37"/>
      <c r="L541" s="37"/>
      <c r="M541" s="37"/>
      <c r="N541" s="37"/>
      <c r="O541" s="37"/>
      <c r="P541" s="37"/>
      <c r="Q541" s="37"/>
      <c r="R541" s="37"/>
      <c r="S541" s="37"/>
      <c r="T541" s="37"/>
      <c r="U541" s="3"/>
    </row>
    <row r="542" spans="1:21" ht="14.25" customHeight="1" x14ac:dyDescent="0.3">
      <c r="A542" s="3"/>
      <c r="B542" s="3"/>
      <c r="C542" s="37"/>
      <c r="D542" s="37"/>
      <c r="E542" s="37"/>
      <c r="F542" s="37"/>
      <c r="G542" s="98"/>
      <c r="H542" s="98"/>
      <c r="I542" s="99"/>
      <c r="J542" s="98"/>
      <c r="K542" s="37"/>
      <c r="L542" s="37"/>
      <c r="M542" s="37"/>
      <c r="N542" s="37"/>
      <c r="O542" s="37"/>
      <c r="P542" s="37"/>
      <c r="Q542" s="37"/>
      <c r="R542" s="37"/>
      <c r="S542" s="37"/>
      <c r="T542" s="37"/>
      <c r="U542" s="3"/>
    </row>
    <row r="543" spans="1:21" ht="14.25" customHeight="1" x14ac:dyDescent="0.3">
      <c r="A543" s="3"/>
      <c r="B543" s="3"/>
      <c r="C543" s="37"/>
      <c r="D543" s="37"/>
      <c r="E543" s="37"/>
      <c r="F543" s="37"/>
      <c r="G543" s="98"/>
      <c r="H543" s="98"/>
      <c r="I543" s="99"/>
      <c r="J543" s="98"/>
      <c r="K543" s="37"/>
      <c r="L543" s="37"/>
      <c r="M543" s="37"/>
      <c r="N543" s="37"/>
      <c r="O543" s="37"/>
      <c r="P543" s="37"/>
      <c r="Q543" s="37"/>
      <c r="R543" s="37"/>
      <c r="S543" s="37"/>
      <c r="T543" s="37"/>
      <c r="U543" s="3"/>
    </row>
    <row r="544" spans="1:21" ht="14.25" customHeight="1" x14ac:dyDescent="0.3">
      <c r="A544" s="3"/>
      <c r="B544" s="3"/>
      <c r="C544" s="37"/>
      <c r="D544" s="37"/>
      <c r="E544" s="37"/>
      <c r="F544" s="37"/>
      <c r="G544" s="98"/>
      <c r="H544" s="98"/>
      <c r="I544" s="99"/>
      <c r="J544" s="98"/>
      <c r="K544" s="37"/>
      <c r="L544" s="37"/>
      <c r="M544" s="37"/>
      <c r="N544" s="37"/>
      <c r="O544" s="37"/>
      <c r="P544" s="37"/>
      <c r="Q544" s="37"/>
      <c r="R544" s="37"/>
      <c r="S544" s="37"/>
      <c r="T544" s="37"/>
      <c r="U544" s="3"/>
    </row>
    <row r="545" spans="1:21" ht="14.25" customHeight="1" x14ac:dyDescent="0.3">
      <c r="A545" s="3"/>
      <c r="B545" s="3"/>
      <c r="C545" s="37"/>
      <c r="D545" s="37"/>
      <c r="E545" s="37"/>
      <c r="F545" s="37"/>
      <c r="G545" s="98"/>
      <c r="H545" s="98"/>
      <c r="I545" s="99"/>
      <c r="J545" s="98"/>
      <c r="K545" s="37"/>
      <c r="L545" s="37"/>
      <c r="M545" s="37"/>
      <c r="N545" s="37"/>
      <c r="O545" s="37"/>
      <c r="P545" s="37"/>
      <c r="Q545" s="37"/>
      <c r="R545" s="37"/>
      <c r="S545" s="37"/>
      <c r="T545" s="37"/>
      <c r="U545" s="3"/>
    </row>
    <row r="546" spans="1:21" ht="14.25" customHeight="1" x14ac:dyDescent="0.3">
      <c r="A546" s="3"/>
      <c r="B546" s="3"/>
      <c r="C546" s="37"/>
      <c r="D546" s="37"/>
      <c r="E546" s="37"/>
      <c r="F546" s="37"/>
      <c r="G546" s="98"/>
      <c r="H546" s="98"/>
      <c r="I546" s="99"/>
      <c r="J546" s="98"/>
      <c r="K546" s="37"/>
      <c r="L546" s="37"/>
      <c r="M546" s="37"/>
      <c r="N546" s="37"/>
      <c r="O546" s="37"/>
      <c r="P546" s="37"/>
      <c r="Q546" s="37"/>
      <c r="R546" s="37"/>
      <c r="S546" s="37"/>
      <c r="T546" s="37"/>
      <c r="U546" s="3"/>
    </row>
    <row r="547" spans="1:21" ht="14.25" customHeight="1" x14ac:dyDescent="0.3"/>
    <row r="548" spans="1:21" ht="14.25" customHeight="1" x14ac:dyDescent="0.3"/>
    <row r="549" spans="1:21" ht="14.25" customHeight="1" x14ac:dyDescent="0.3"/>
    <row r="550" spans="1:21" ht="15.75" customHeight="1" x14ac:dyDescent="0.3"/>
    <row r="551" spans="1:21" ht="15.75" customHeight="1" x14ac:dyDescent="0.3"/>
    <row r="552" spans="1:21" ht="15.75" customHeight="1" x14ac:dyDescent="0.3"/>
    <row r="553" spans="1:21" ht="15.7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346" xr:uid="{00000000-0009-0000-0000-00001B000000}"/>
  <mergeCells count="11">
    <mergeCell ref="J4:J5"/>
    <mergeCell ref="I17:I20"/>
    <mergeCell ref="G17:G20"/>
    <mergeCell ref="G21:G27"/>
    <mergeCell ref="I21:I27"/>
    <mergeCell ref="B349:I349"/>
    <mergeCell ref="B2:B3"/>
    <mergeCell ref="C2:F3"/>
    <mergeCell ref="B4:B5"/>
    <mergeCell ref="H4:H5"/>
    <mergeCell ref="I4:I5"/>
  </mergeCells>
  <dataValidations count="1">
    <dataValidation type="list" allowBlank="1" showErrorMessage="1" sqref="D7:D36 D38:D61 D63:D140 D142:D150 D153:D157 D159:D163 D165:D169 D171:D175 D177:D181 D183:D260 D263:D271 D273:D281 D283:D291 D293:D313 D315:D323 D325:D346" xr:uid="{00000000-0002-0000-1B00-000001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B00-000000000000}">
          <x14:formula1>
            <xm:f>Caixa!$B$5:$B$8</xm:f>
          </x14:formula1>
          <xm:sqref>H7:H15 H17:H32 H34:H36 H38:H61 H63:H88 H91:H105 H107:H110 H112:H114 H117:H121 H123:H140 H142:H150 H153:H157 H159:H163 H165:H169 H171:H175 H177:H181 H183:H210 H212:H220 H222:H230 H232:H240 H242:H250 H252:H260 H263:H271 H273:H281 H283:H291 H293:H313 H315:H323 H325:H346</xm:sqref>
        </x14:dataValidation>
        <x14:dataValidation type="list" allowBlank="1" showErrorMessage="1" xr:uid="{00000000-0002-0000-1B00-000002000000}">
          <x14:formula1>
            <xm:f>'Plano de contas DG'!$C$43:$C$145</xm:f>
          </x14:formula1>
          <xm:sqref>J243</xm:sqref>
        </x14:dataValidation>
        <x14:dataValidation type="list" allowBlank="1" showErrorMessage="1" xr:uid="{00000000-0002-0000-1B00-000003000000}">
          <x14:formula1>
            <xm:f>'Plano de contas DG'!$C$5:$C$145</xm:f>
          </x14:formula1>
          <xm:sqref>J6:J242 J244:J346</xm:sqref>
        </x14:dataValidation>
        <x14:dataValidation type="list" allowBlank="1" showErrorMessage="1" xr:uid="{00000000-0002-0000-1B00-000004000000}">
          <x14:formula1>
            <xm:f>Caixa!$B$5:$B$7</xm:f>
          </x14:formula1>
          <xm:sqref>H16 H33 H89:H90 H106 H111 H115:H116 H122 H211 H221 H231 H241 H251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6"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6"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6" ht="14.4" x14ac:dyDescent="0.3">
      <c r="A4" s="3"/>
      <c r="B4" s="227" t="s">
        <v>73</v>
      </c>
      <c r="C4" s="48"/>
      <c r="D4" s="48"/>
      <c r="E4" s="26">
        <f t="shared" ref="E4:F4" si="0">SUM(E6,E125,E153,E183,E187)</f>
        <v>0</v>
      </c>
      <c r="F4" s="26">
        <f t="shared" si="0"/>
        <v>0</v>
      </c>
      <c r="G4" s="49"/>
      <c r="H4" s="229" t="s">
        <v>1</v>
      </c>
      <c r="I4" s="243" t="s">
        <v>74</v>
      </c>
      <c r="J4" s="50"/>
      <c r="K4" s="48"/>
      <c r="L4" s="48"/>
      <c r="M4" s="26"/>
      <c r="N4" s="26"/>
      <c r="O4" s="26"/>
      <c r="P4" s="26"/>
      <c r="Q4" s="26"/>
      <c r="R4" s="26"/>
      <c r="S4" s="26"/>
      <c r="T4" s="26"/>
      <c r="U4" s="26"/>
      <c r="V4" s="48"/>
      <c r="W4" s="51"/>
      <c r="X4" s="41"/>
      <c r="Y4" s="3"/>
      <c r="Z4" s="3"/>
    </row>
    <row r="5" spans="1:26"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6" ht="20.399999999999999" x14ac:dyDescent="0.3">
      <c r="A6" s="3"/>
      <c r="B6" s="55" t="s">
        <v>92</v>
      </c>
      <c r="C6" s="56">
        <v>10</v>
      </c>
      <c r="D6" s="56" t="s">
        <v>43</v>
      </c>
      <c r="E6" s="57">
        <f>SUM(E7:E124)</f>
        <v>0</v>
      </c>
      <c r="F6" s="57">
        <f>SUMIF(D7:D124,"OK",F7:F124)+SUMIF(D7:D124,"Parcial",F7:F124)</f>
        <v>0</v>
      </c>
      <c r="G6" s="118" t="s">
        <v>43</v>
      </c>
      <c r="H6" s="59"/>
      <c r="I6" s="59"/>
      <c r="J6" s="60">
        <f>(COUNTIF(D7:D124,"Pendente")+COUNTIF(D7:D124,"Parcial"))/COUNTA(B7:B124)</f>
        <v>0</v>
      </c>
      <c r="K6" s="60" t="str">
        <f>IFERROR(-(X6/E6),"Pendente info")</f>
        <v>Pendente info</v>
      </c>
      <c r="L6" s="100">
        <f>SUM(L7:L103)/COUNTA(B7:B103)</f>
        <v>0</v>
      </c>
      <c r="M6" s="57">
        <f t="shared" ref="M6:U6" si="1">SUMIF($D$7:$D$124,"OK",M7:M124)+SUMIF($D$7:$D$124,"Parcial",M7:M124)</f>
        <v>0</v>
      </c>
      <c r="N6" s="57">
        <f t="shared" si="1"/>
        <v>0</v>
      </c>
      <c r="O6" s="57">
        <f t="shared" si="1"/>
        <v>0</v>
      </c>
      <c r="P6" s="57">
        <f t="shared" si="1"/>
        <v>0</v>
      </c>
      <c r="Q6" s="57">
        <f t="shared" si="1"/>
        <v>0</v>
      </c>
      <c r="R6" s="57">
        <f t="shared" si="1"/>
        <v>0</v>
      </c>
      <c r="S6" s="57">
        <f t="shared" si="1"/>
        <v>0</v>
      </c>
      <c r="T6" s="57">
        <f t="shared" si="1"/>
        <v>0</v>
      </c>
      <c r="U6" s="57">
        <f t="shared" si="1"/>
        <v>0</v>
      </c>
      <c r="V6" s="56" t="s">
        <v>43</v>
      </c>
      <c r="W6" s="44" t="str">
        <f t="shared" ref="W6:W124" si="2">IF(F6=SUM(M6:U6),"OK","Diferente")</f>
        <v>OK</v>
      </c>
      <c r="X6" s="47">
        <f>SUM(X7:X124)</f>
        <v>0</v>
      </c>
      <c r="Y6" s="18">
        <f>SUM(M6:U6)-F6</f>
        <v>0</v>
      </c>
      <c r="Z6" s="3"/>
    </row>
    <row r="7" spans="1:26" ht="14.4" hidden="1" outlineLevel="1" x14ac:dyDescent="0.3">
      <c r="A7" s="3"/>
      <c r="B7" s="150" t="s">
        <v>422</v>
      </c>
      <c r="C7" s="62"/>
      <c r="D7" s="62"/>
      <c r="E7" s="12"/>
      <c r="F7" s="101"/>
      <c r="G7" s="250"/>
      <c r="H7" s="103"/>
      <c r="I7" s="63"/>
      <c r="J7" s="64"/>
      <c r="K7" s="62"/>
      <c r="L7" s="62" t="str">
        <f t="shared" ref="L7:L124" si="3">IF(C7&gt;=13,1,"")</f>
        <v/>
      </c>
      <c r="M7" s="12"/>
      <c r="N7" s="12"/>
      <c r="O7" s="12"/>
      <c r="P7" s="12"/>
      <c r="Q7" s="12"/>
      <c r="R7" s="12"/>
      <c r="S7" s="12"/>
      <c r="T7" s="12"/>
      <c r="U7" s="12"/>
      <c r="V7" s="65"/>
      <c r="W7" s="44" t="str">
        <f t="shared" si="2"/>
        <v>OK</v>
      </c>
      <c r="X7" s="47" t="str">
        <f t="shared" ref="X7:X124" si="4">IF(W7="Diferente",F7-SUM(M7:U7),"")</f>
        <v/>
      </c>
      <c r="Y7" s="3"/>
      <c r="Z7" s="127"/>
    </row>
    <row r="8" spans="1:26" ht="14.4" hidden="1" outlineLevel="1" x14ac:dyDescent="0.3">
      <c r="A8" s="3"/>
      <c r="B8" s="150" t="s">
        <v>424</v>
      </c>
      <c r="C8" s="62"/>
      <c r="D8" s="62"/>
      <c r="E8" s="12"/>
      <c r="F8" s="101"/>
      <c r="G8" s="251"/>
      <c r="H8" s="103"/>
      <c r="I8" s="63"/>
      <c r="J8" s="64"/>
      <c r="K8" s="62"/>
      <c r="L8" s="62" t="str">
        <f t="shared" si="3"/>
        <v/>
      </c>
      <c r="M8" s="12"/>
      <c r="N8" s="12"/>
      <c r="O8" s="12"/>
      <c r="P8" s="12"/>
      <c r="Q8" s="12"/>
      <c r="R8" s="12"/>
      <c r="S8" s="12"/>
      <c r="T8" s="12"/>
      <c r="U8" s="12"/>
      <c r="V8" s="65"/>
      <c r="W8" s="44" t="str">
        <f t="shared" si="2"/>
        <v>OK</v>
      </c>
      <c r="X8" s="47" t="str">
        <f t="shared" si="4"/>
        <v/>
      </c>
      <c r="Y8" s="3"/>
      <c r="Z8" s="127"/>
    </row>
    <row r="9" spans="1:26" ht="14.4" hidden="1" outlineLevel="1" x14ac:dyDescent="0.3">
      <c r="A9" s="3"/>
      <c r="B9" s="150" t="s">
        <v>425</v>
      </c>
      <c r="C9" s="62"/>
      <c r="D9" s="62"/>
      <c r="E9" s="12"/>
      <c r="F9" s="101"/>
      <c r="G9" s="251"/>
      <c r="H9" s="103"/>
      <c r="I9" s="63"/>
      <c r="J9" s="64"/>
      <c r="K9" s="62"/>
      <c r="L9" s="62" t="str">
        <f t="shared" si="3"/>
        <v/>
      </c>
      <c r="M9" s="12"/>
      <c r="N9" s="12"/>
      <c r="O9" s="12"/>
      <c r="P9" s="12"/>
      <c r="Q9" s="12"/>
      <c r="R9" s="12"/>
      <c r="S9" s="12"/>
      <c r="T9" s="12"/>
      <c r="U9" s="12"/>
      <c r="V9" s="65"/>
      <c r="W9" s="44" t="str">
        <f t="shared" si="2"/>
        <v>OK</v>
      </c>
      <c r="X9" s="47" t="str">
        <f t="shared" si="4"/>
        <v/>
      </c>
      <c r="Y9" s="3"/>
      <c r="Z9" s="127"/>
    </row>
    <row r="10" spans="1:26" ht="14.4" hidden="1" outlineLevel="1" x14ac:dyDescent="0.3">
      <c r="A10" s="3"/>
      <c r="B10" s="150" t="s">
        <v>426</v>
      </c>
      <c r="C10" s="62"/>
      <c r="D10" s="62"/>
      <c r="E10" s="12"/>
      <c r="F10" s="101"/>
      <c r="G10" s="252"/>
      <c r="H10" s="103"/>
      <c r="I10" s="63"/>
      <c r="J10" s="64"/>
      <c r="K10" s="62"/>
      <c r="L10" s="62" t="str">
        <f t="shared" si="3"/>
        <v/>
      </c>
      <c r="M10" s="12"/>
      <c r="N10" s="12"/>
      <c r="O10" s="12"/>
      <c r="P10" s="12"/>
      <c r="Q10" s="12"/>
      <c r="R10" s="12"/>
      <c r="S10" s="12"/>
      <c r="T10" s="12"/>
      <c r="U10" s="12"/>
      <c r="V10" s="65"/>
      <c r="W10" s="44" t="str">
        <f t="shared" si="2"/>
        <v>OK</v>
      </c>
      <c r="X10" s="47" t="str">
        <f t="shared" si="4"/>
        <v/>
      </c>
      <c r="Y10" s="3"/>
      <c r="Z10" s="127"/>
    </row>
    <row r="11" spans="1:26" ht="14.4" hidden="1" outlineLevel="1" x14ac:dyDescent="0.3">
      <c r="A11" s="3"/>
      <c r="B11" s="109" t="s">
        <v>427</v>
      </c>
      <c r="C11" s="62"/>
      <c r="D11" s="62"/>
      <c r="E11" s="12"/>
      <c r="F11" s="101"/>
      <c r="G11" s="250"/>
      <c r="H11" s="103"/>
      <c r="I11" s="63"/>
      <c r="J11" s="64"/>
      <c r="K11" s="62"/>
      <c r="L11" s="62" t="str">
        <f t="shared" si="3"/>
        <v/>
      </c>
      <c r="M11" s="12"/>
      <c r="N11" s="12"/>
      <c r="O11" s="12"/>
      <c r="P11" s="12"/>
      <c r="Q11" s="12"/>
      <c r="R11" s="12"/>
      <c r="S11" s="12"/>
      <c r="T11" s="12"/>
      <c r="U11" s="12"/>
      <c r="V11" s="65"/>
      <c r="W11" s="44" t="str">
        <f t="shared" si="2"/>
        <v>OK</v>
      </c>
      <c r="X11" s="47" t="str">
        <f t="shared" si="4"/>
        <v/>
      </c>
      <c r="Y11" s="3"/>
      <c r="Z11" s="127"/>
    </row>
    <row r="12" spans="1:26" ht="14.4" hidden="1" outlineLevel="1" x14ac:dyDescent="0.3">
      <c r="A12" s="3"/>
      <c r="B12" s="109" t="s">
        <v>428</v>
      </c>
      <c r="C12" s="62"/>
      <c r="D12" s="62"/>
      <c r="E12" s="12"/>
      <c r="F12" s="101"/>
      <c r="G12" s="252"/>
      <c r="H12" s="103"/>
      <c r="I12" s="63"/>
      <c r="J12" s="64"/>
      <c r="K12" s="62"/>
      <c r="L12" s="62" t="str">
        <f t="shared" si="3"/>
        <v/>
      </c>
      <c r="M12" s="12"/>
      <c r="N12" s="12"/>
      <c r="O12" s="12"/>
      <c r="P12" s="12"/>
      <c r="Q12" s="12"/>
      <c r="R12" s="12"/>
      <c r="S12" s="12"/>
      <c r="T12" s="12"/>
      <c r="U12" s="12"/>
      <c r="V12" s="65"/>
      <c r="W12" s="44" t="str">
        <f t="shared" si="2"/>
        <v>OK</v>
      </c>
      <c r="X12" s="47" t="str">
        <f t="shared" si="4"/>
        <v/>
      </c>
      <c r="Y12" s="3"/>
      <c r="Z12" s="127"/>
    </row>
    <row r="13" spans="1:26" ht="14.4" hidden="1" outlineLevel="1" x14ac:dyDescent="0.3">
      <c r="A13" s="3"/>
      <c r="B13" s="150" t="s">
        <v>429</v>
      </c>
      <c r="C13" s="62"/>
      <c r="D13" s="62"/>
      <c r="E13" s="12"/>
      <c r="F13" s="101"/>
      <c r="G13" s="253"/>
      <c r="H13" s="103"/>
      <c r="I13" s="63"/>
      <c r="J13" s="64"/>
      <c r="K13" s="62"/>
      <c r="L13" s="62" t="str">
        <f t="shared" si="3"/>
        <v/>
      </c>
      <c r="M13" s="12"/>
      <c r="N13" s="12"/>
      <c r="O13" s="12"/>
      <c r="P13" s="12"/>
      <c r="Q13" s="12"/>
      <c r="R13" s="12"/>
      <c r="S13" s="12"/>
      <c r="T13" s="12"/>
      <c r="U13" s="12"/>
      <c r="V13" s="65"/>
      <c r="W13" s="44" t="str">
        <f t="shared" si="2"/>
        <v>OK</v>
      </c>
      <c r="X13" s="47" t="str">
        <f t="shared" si="4"/>
        <v/>
      </c>
      <c r="Y13" s="3"/>
      <c r="Z13" s="127"/>
    </row>
    <row r="14" spans="1:26" ht="14.4" hidden="1" outlineLevel="1" x14ac:dyDescent="0.3">
      <c r="A14" s="3"/>
      <c r="B14" s="150" t="s">
        <v>431</v>
      </c>
      <c r="C14" s="62"/>
      <c r="D14" s="62"/>
      <c r="E14" s="12"/>
      <c r="F14" s="101"/>
      <c r="G14" s="252"/>
      <c r="H14" s="103"/>
      <c r="I14" s="63"/>
      <c r="J14" s="64"/>
      <c r="K14" s="62"/>
      <c r="L14" s="62" t="str">
        <f t="shared" si="3"/>
        <v/>
      </c>
      <c r="M14" s="12"/>
      <c r="N14" s="12"/>
      <c r="O14" s="12"/>
      <c r="P14" s="12"/>
      <c r="Q14" s="12"/>
      <c r="R14" s="12"/>
      <c r="S14" s="12"/>
      <c r="T14" s="12"/>
      <c r="U14" s="12"/>
      <c r="V14" s="65"/>
      <c r="W14" s="44" t="str">
        <f t="shared" si="2"/>
        <v>OK</v>
      </c>
      <c r="X14" s="47" t="str">
        <f t="shared" si="4"/>
        <v/>
      </c>
      <c r="Y14" s="3"/>
      <c r="Z14" s="127"/>
    </row>
    <row r="15" spans="1:26" ht="18" hidden="1" customHeight="1" outlineLevel="1" x14ac:dyDescent="0.3">
      <c r="A15" s="3"/>
      <c r="B15" s="109" t="s">
        <v>432</v>
      </c>
      <c r="C15" s="62"/>
      <c r="D15" s="62"/>
      <c r="E15" s="12"/>
      <c r="F15" s="101"/>
      <c r="G15" s="253"/>
      <c r="H15" s="103"/>
      <c r="I15" s="63"/>
      <c r="J15" s="64"/>
      <c r="K15" s="62"/>
      <c r="L15" s="62" t="str">
        <f t="shared" si="3"/>
        <v/>
      </c>
      <c r="M15" s="12"/>
      <c r="N15" s="12"/>
      <c r="O15" s="12"/>
      <c r="P15" s="12"/>
      <c r="Q15" s="12"/>
      <c r="R15" s="12"/>
      <c r="S15" s="12"/>
      <c r="T15" s="12"/>
      <c r="U15" s="12"/>
      <c r="V15" s="65"/>
      <c r="W15" s="44" t="str">
        <f t="shared" si="2"/>
        <v>OK</v>
      </c>
      <c r="X15" s="47" t="str">
        <f t="shared" si="4"/>
        <v/>
      </c>
      <c r="Y15" s="3"/>
      <c r="Z15" s="127"/>
    </row>
    <row r="16" spans="1:26" ht="18" hidden="1" customHeight="1" outlineLevel="1" x14ac:dyDescent="0.3">
      <c r="A16" s="3"/>
      <c r="B16" s="109" t="s">
        <v>433</v>
      </c>
      <c r="C16" s="62"/>
      <c r="D16" s="62"/>
      <c r="E16" s="12"/>
      <c r="F16" s="101"/>
      <c r="G16" s="252"/>
      <c r="H16" s="103"/>
      <c r="I16" s="63"/>
      <c r="J16" s="64"/>
      <c r="K16" s="62"/>
      <c r="L16" s="62" t="str">
        <f t="shared" si="3"/>
        <v/>
      </c>
      <c r="M16" s="12"/>
      <c r="N16" s="12"/>
      <c r="O16" s="12"/>
      <c r="P16" s="12"/>
      <c r="Q16" s="12"/>
      <c r="R16" s="12"/>
      <c r="S16" s="12"/>
      <c r="T16" s="12"/>
      <c r="U16" s="12"/>
      <c r="V16" s="65"/>
      <c r="W16" s="44" t="str">
        <f t="shared" si="2"/>
        <v>OK</v>
      </c>
      <c r="X16" s="47" t="str">
        <f t="shared" si="4"/>
        <v/>
      </c>
      <c r="Y16" s="3"/>
      <c r="Z16" s="127"/>
    </row>
    <row r="17" spans="1:26" ht="14.4" hidden="1" outlineLevel="1" x14ac:dyDescent="0.3">
      <c r="A17" s="3"/>
      <c r="B17" s="150" t="s">
        <v>434</v>
      </c>
      <c r="C17" s="62"/>
      <c r="D17" s="62"/>
      <c r="E17" s="12"/>
      <c r="F17" s="101"/>
      <c r="G17" s="250"/>
      <c r="H17" s="103"/>
      <c r="I17" s="63"/>
      <c r="J17" s="64"/>
      <c r="K17" s="62"/>
      <c r="L17" s="62" t="str">
        <f t="shared" si="3"/>
        <v/>
      </c>
      <c r="M17" s="12"/>
      <c r="N17" s="12"/>
      <c r="O17" s="12"/>
      <c r="P17" s="12"/>
      <c r="Q17" s="12"/>
      <c r="R17" s="12"/>
      <c r="S17" s="12"/>
      <c r="T17" s="12"/>
      <c r="U17" s="12"/>
      <c r="V17" s="65"/>
      <c r="W17" s="44" t="str">
        <f t="shared" si="2"/>
        <v>OK</v>
      </c>
      <c r="X17" s="47" t="str">
        <f t="shared" si="4"/>
        <v/>
      </c>
      <c r="Y17" s="3"/>
      <c r="Z17" s="127"/>
    </row>
    <row r="18" spans="1:26" ht="14.4" hidden="1" outlineLevel="1" x14ac:dyDescent="0.3">
      <c r="A18" s="3"/>
      <c r="B18" s="150" t="s">
        <v>435</v>
      </c>
      <c r="C18" s="62"/>
      <c r="D18" s="62"/>
      <c r="E18" s="12"/>
      <c r="F18" s="101"/>
      <c r="G18" s="252"/>
      <c r="H18" s="103"/>
      <c r="I18" s="63"/>
      <c r="J18" s="64"/>
      <c r="K18" s="62"/>
      <c r="L18" s="62" t="str">
        <f t="shared" si="3"/>
        <v/>
      </c>
      <c r="M18" s="12"/>
      <c r="N18" s="12"/>
      <c r="O18" s="12"/>
      <c r="P18" s="12"/>
      <c r="Q18" s="12"/>
      <c r="R18" s="12"/>
      <c r="S18" s="12"/>
      <c r="T18" s="12"/>
      <c r="U18" s="12"/>
      <c r="V18" s="65"/>
      <c r="W18" s="44" t="str">
        <f t="shared" si="2"/>
        <v>OK</v>
      </c>
      <c r="X18" s="47" t="str">
        <f t="shared" si="4"/>
        <v/>
      </c>
      <c r="Y18" s="3"/>
      <c r="Z18" s="127"/>
    </row>
    <row r="19" spans="1:26" ht="14.4" hidden="1" outlineLevel="1" x14ac:dyDescent="0.3">
      <c r="A19" s="3"/>
      <c r="B19" s="109" t="s">
        <v>436</v>
      </c>
      <c r="C19" s="62"/>
      <c r="D19" s="62"/>
      <c r="E19" s="12"/>
      <c r="F19" s="101"/>
      <c r="G19" s="250"/>
      <c r="H19" s="103"/>
      <c r="I19" s="63"/>
      <c r="J19" s="64"/>
      <c r="K19" s="62"/>
      <c r="L19" s="62" t="str">
        <f t="shared" si="3"/>
        <v/>
      </c>
      <c r="M19" s="12"/>
      <c r="N19" s="12"/>
      <c r="O19" s="12"/>
      <c r="P19" s="12"/>
      <c r="Q19" s="12"/>
      <c r="R19" s="12"/>
      <c r="S19" s="12"/>
      <c r="T19" s="12"/>
      <c r="U19" s="12"/>
      <c r="V19" s="65"/>
      <c r="W19" s="44" t="str">
        <f t="shared" si="2"/>
        <v>OK</v>
      </c>
      <c r="X19" s="47" t="str">
        <f t="shared" si="4"/>
        <v/>
      </c>
      <c r="Y19" s="3"/>
      <c r="Z19" s="127"/>
    </row>
    <row r="20" spans="1:26" ht="14.4" hidden="1" outlineLevel="1" x14ac:dyDescent="0.3">
      <c r="A20" s="3"/>
      <c r="B20" s="109" t="s">
        <v>437</v>
      </c>
      <c r="C20" s="62"/>
      <c r="D20" s="62"/>
      <c r="E20" s="12"/>
      <c r="F20" s="101"/>
      <c r="G20" s="252"/>
      <c r="H20" s="103"/>
      <c r="I20" s="63"/>
      <c r="J20" s="64"/>
      <c r="K20" s="62"/>
      <c r="L20" s="62" t="str">
        <f t="shared" si="3"/>
        <v/>
      </c>
      <c r="M20" s="12"/>
      <c r="N20" s="12"/>
      <c r="O20" s="12"/>
      <c r="P20" s="12"/>
      <c r="Q20" s="12"/>
      <c r="R20" s="12"/>
      <c r="S20" s="12"/>
      <c r="T20" s="12"/>
      <c r="U20" s="12"/>
      <c r="V20" s="65"/>
      <c r="W20" s="44" t="str">
        <f t="shared" si="2"/>
        <v>OK</v>
      </c>
      <c r="X20" s="47" t="str">
        <f t="shared" si="4"/>
        <v/>
      </c>
      <c r="Y20" s="3"/>
      <c r="Z20" s="127"/>
    </row>
    <row r="21" spans="1:26" ht="15.75" hidden="1" customHeight="1" outlineLevel="1" x14ac:dyDescent="0.3">
      <c r="A21" s="3"/>
      <c r="B21" s="150" t="s">
        <v>438</v>
      </c>
      <c r="C21" s="62"/>
      <c r="D21" s="62"/>
      <c r="E21" s="12"/>
      <c r="F21" s="101"/>
      <c r="G21" s="253"/>
      <c r="H21" s="103"/>
      <c r="I21" s="63"/>
      <c r="J21" s="64"/>
      <c r="K21" s="62"/>
      <c r="L21" s="62" t="str">
        <f t="shared" si="3"/>
        <v/>
      </c>
      <c r="M21" s="12"/>
      <c r="N21" s="12"/>
      <c r="O21" s="12"/>
      <c r="P21" s="12"/>
      <c r="Q21" s="12"/>
      <c r="R21" s="12"/>
      <c r="S21" s="12"/>
      <c r="T21" s="12"/>
      <c r="U21" s="12"/>
      <c r="V21" s="65"/>
      <c r="W21" s="44" t="str">
        <f t="shared" si="2"/>
        <v>OK</v>
      </c>
      <c r="X21" s="47" t="str">
        <f t="shared" si="4"/>
        <v/>
      </c>
      <c r="Y21" s="3"/>
      <c r="Z21" s="127"/>
    </row>
    <row r="22" spans="1:26" ht="15.75" hidden="1" customHeight="1" outlineLevel="1" x14ac:dyDescent="0.3">
      <c r="A22" s="3"/>
      <c r="B22" s="150" t="s">
        <v>439</v>
      </c>
      <c r="C22" s="62"/>
      <c r="D22" s="62"/>
      <c r="E22" s="12"/>
      <c r="F22" s="101"/>
      <c r="G22" s="252"/>
      <c r="H22" s="103"/>
      <c r="I22" s="63"/>
      <c r="J22" s="64"/>
      <c r="K22" s="62"/>
      <c r="L22" s="62" t="str">
        <f t="shared" si="3"/>
        <v/>
      </c>
      <c r="M22" s="12"/>
      <c r="N22" s="12"/>
      <c r="O22" s="12"/>
      <c r="P22" s="12"/>
      <c r="Q22" s="12"/>
      <c r="R22" s="12"/>
      <c r="S22" s="12"/>
      <c r="T22" s="12"/>
      <c r="U22" s="12"/>
      <c r="V22" s="65"/>
      <c r="W22" s="44" t="str">
        <f t="shared" si="2"/>
        <v>OK</v>
      </c>
      <c r="X22" s="47" t="str">
        <f t="shared" si="4"/>
        <v/>
      </c>
      <c r="Y22" s="3"/>
      <c r="Z22" s="127"/>
    </row>
    <row r="23" spans="1:26" ht="15.75" hidden="1" customHeight="1" outlineLevel="1" x14ac:dyDescent="0.3">
      <c r="A23" s="3"/>
      <c r="B23" s="109" t="s">
        <v>440</v>
      </c>
      <c r="C23" s="62"/>
      <c r="D23" s="62"/>
      <c r="E23" s="12"/>
      <c r="F23" s="101"/>
      <c r="G23" s="253"/>
      <c r="H23" s="103"/>
      <c r="I23" s="63"/>
      <c r="J23" s="64"/>
      <c r="K23" s="12"/>
      <c r="L23" s="62" t="str">
        <f t="shared" si="3"/>
        <v/>
      </c>
      <c r="M23" s="12"/>
      <c r="N23" s="12"/>
      <c r="O23" s="12"/>
      <c r="P23" s="12"/>
      <c r="Q23" s="12"/>
      <c r="R23" s="12"/>
      <c r="S23" s="12"/>
      <c r="T23" s="12"/>
      <c r="U23" s="12"/>
      <c r="V23" s="65"/>
      <c r="W23" s="44" t="str">
        <f t="shared" si="2"/>
        <v>OK</v>
      </c>
      <c r="X23" s="47" t="str">
        <f t="shared" si="4"/>
        <v/>
      </c>
      <c r="Y23" s="3"/>
      <c r="Z23" s="127"/>
    </row>
    <row r="24" spans="1:26" ht="15.75" hidden="1" customHeight="1" outlineLevel="1" x14ac:dyDescent="0.3">
      <c r="A24" s="3"/>
      <c r="B24" s="109" t="s">
        <v>441</v>
      </c>
      <c r="C24" s="62"/>
      <c r="D24" s="62"/>
      <c r="E24" s="12"/>
      <c r="F24" s="101"/>
      <c r="G24" s="252"/>
      <c r="H24" s="103"/>
      <c r="I24" s="63"/>
      <c r="J24" s="64"/>
      <c r="K24" s="12"/>
      <c r="L24" s="62" t="str">
        <f t="shared" si="3"/>
        <v/>
      </c>
      <c r="M24" s="12"/>
      <c r="N24" s="12"/>
      <c r="O24" s="12"/>
      <c r="P24" s="12"/>
      <c r="Q24" s="12"/>
      <c r="R24" s="12"/>
      <c r="S24" s="12"/>
      <c r="T24" s="12"/>
      <c r="U24" s="12"/>
      <c r="V24" s="65"/>
      <c r="W24" s="44" t="str">
        <f t="shared" si="2"/>
        <v>OK</v>
      </c>
      <c r="X24" s="47" t="str">
        <f t="shared" si="4"/>
        <v/>
      </c>
      <c r="Y24" s="3"/>
      <c r="Z24" s="127"/>
    </row>
    <row r="25" spans="1:26" ht="15.75" hidden="1" customHeight="1" outlineLevel="1" x14ac:dyDescent="0.3">
      <c r="A25" s="3"/>
      <c r="B25" s="150" t="s">
        <v>442</v>
      </c>
      <c r="C25" s="62"/>
      <c r="D25" s="62"/>
      <c r="E25" s="12"/>
      <c r="F25" s="101"/>
      <c r="G25" s="121"/>
      <c r="H25" s="103"/>
      <c r="I25" s="63"/>
      <c r="J25" s="64"/>
      <c r="K25" s="12"/>
      <c r="L25" s="62" t="str">
        <f t="shared" si="3"/>
        <v/>
      </c>
      <c r="M25" s="12"/>
      <c r="N25" s="12"/>
      <c r="O25" s="12"/>
      <c r="P25" s="12"/>
      <c r="Q25" s="12"/>
      <c r="R25" s="12"/>
      <c r="S25" s="12"/>
      <c r="T25" s="12"/>
      <c r="U25" s="12"/>
      <c r="V25" s="65"/>
      <c r="W25" s="44" t="str">
        <f t="shared" si="2"/>
        <v>OK</v>
      </c>
      <c r="X25" s="47" t="str">
        <f t="shared" si="4"/>
        <v/>
      </c>
      <c r="Y25" s="3"/>
      <c r="Z25" s="127"/>
    </row>
    <row r="26" spans="1:26" ht="15.75" hidden="1" customHeight="1" outlineLevel="1" x14ac:dyDescent="0.3">
      <c r="A26" s="3"/>
      <c r="B26" s="109" t="s">
        <v>443</v>
      </c>
      <c r="C26" s="62"/>
      <c r="D26" s="62"/>
      <c r="E26" s="12"/>
      <c r="F26" s="101"/>
      <c r="G26" s="119"/>
      <c r="H26" s="103"/>
      <c r="I26" s="63"/>
      <c r="J26" s="64"/>
      <c r="K26" s="12"/>
      <c r="L26" s="62" t="str">
        <f t="shared" si="3"/>
        <v/>
      </c>
      <c r="M26" s="12"/>
      <c r="N26" s="12"/>
      <c r="O26" s="12"/>
      <c r="P26" s="12"/>
      <c r="Q26" s="12"/>
      <c r="R26" s="12"/>
      <c r="S26" s="12"/>
      <c r="T26" s="12"/>
      <c r="U26" s="12"/>
      <c r="V26" s="65"/>
      <c r="W26" s="44" t="str">
        <f t="shared" si="2"/>
        <v>OK</v>
      </c>
      <c r="X26" s="47" t="str">
        <f t="shared" si="4"/>
        <v/>
      </c>
      <c r="Y26" s="3"/>
      <c r="Z26" s="127"/>
    </row>
    <row r="27" spans="1:26" ht="15.75" hidden="1" customHeight="1" outlineLevel="1" x14ac:dyDescent="0.3">
      <c r="A27" s="3"/>
      <c r="B27" s="150" t="s">
        <v>444</v>
      </c>
      <c r="C27" s="62"/>
      <c r="D27" s="62"/>
      <c r="E27" s="12"/>
      <c r="F27" s="101"/>
      <c r="G27" s="253"/>
      <c r="H27" s="103"/>
      <c r="I27" s="63"/>
      <c r="J27" s="64"/>
      <c r="K27" s="12"/>
      <c r="L27" s="62" t="str">
        <f t="shared" si="3"/>
        <v/>
      </c>
      <c r="M27" s="12"/>
      <c r="N27" s="12"/>
      <c r="O27" s="12"/>
      <c r="P27" s="12"/>
      <c r="Q27" s="12"/>
      <c r="R27" s="12"/>
      <c r="S27" s="12"/>
      <c r="T27" s="12"/>
      <c r="U27" s="12"/>
      <c r="V27" s="65"/>
      <c r="W27" s="44" t="str">
        <f t="shared" si="2"/>
        <v>OK</v>
      </c>
      <c r="X27" s="47" t="str">
        <f t="shared" si="4"/>
        <v/>
      </c>
      <c r="Y27" s="3"/>
      <c r="Z27" s="127"/>
    </row>
    <row r="28" spans="1:26" ht="15.75" hidden="1" customHeight="1" outlineLevel="1" x14ac:dyDescent="0.3">
      <c r="A28" s="3"/>
      <c r="B28" s="150" t="s">
        <v>446</v>
      </c>
      <c r="C28" s="62"/>
      <c r="D28" s="62"/>
      <c r="E28" s="12"/>
      <c r="F28" s="101"/>
      <c r="G28" s="252"/>
      <c r="H28" s="103"/>
      <c r="I28" s="63"/>
      <c r="J28" s="64"/>
      <c r="K28" s="12"/>
      <c r="L28" s="62" t="str">
        <f t="shared" si="3"/>
        <v/>
      </c>
      <c r="M28" s="12"/>
      <c r="N28" s="12"/>
      <c r="O28" s="12"/>
      <c r="P28" s="12"/>
      <c r="Q28" s="12"/>
      <c r="R28" s="12"/>
      <c r="S28" s="12"/>
      <c r="T28" s="12"/>
      <c r="U28" s="12"/>
      <c r="V28" s="65"/>
      <c r="W28" s="44" t="str">
        <f t="shared" si="2"/>
        <v>OK</v>
      </c>
      <c r="X28" s="47" t="str">
        <f t="shared" si="4"/>
        <v/>
      </c>
      <c r="Y28" s="3"/>
      <c r="Z28" s="127"/>
    </row>
    <row r="29" spans="1:26" ht="15.75" hidden="1" customHeight="1" outlineLevel="1" x14ac:dyDescent="0.3">
      <c r="A29" s="3"/>
      <c r="B29" s="109" t="s">
        <v>447</v>
      </c>
      <c r="C29" s="62"/>
      <c r="D29" s="62"/>
      <c r="E29" s="12"/>
      <c r="F29" s="101"/>
      <c r="G29" s="253"/>
      <c r="H29" s="103"/>
      <c r="I29" s="63"/>
      <c r="J29" s="64"/>
      <c r="K29" s="12"/>
      <c r="L29" s="62" t="str">
        <f t="shared" si="3"/>
        <v/>
      </c>
      <c r="M29" s="12"/>
      <c r="N29" s="12"/>
      <c r="O29" s="12"/>
      <c r="P29" s="12"/>
      <c r="Q29" s="12"/>
      <c r="R29" s="12"/>
      <c r="S29" s="12"/>
      <c r="T29" s="12"/>
      <c r="U29" s="12"/>
      <c r="V29" s="65"/>
      <c r="W29" s="44" t="str">
        <f t="shared" si="2"/>
        <v>OK</v>
      </c>
      <c r="X29" s="47" t="str">
        <f t="shared" si="4"/>
        <v/>
      </c>
      <c r="Y29" s="3"/>
      <c r="Z29" s="127"/>
    </row>
    <row r="30" spans="1:26" ht="15.75" hidden="1" customHeight="1" outlineLevel="1" x14ac:dyDescent="0.3">
      <c r="A30" s="3"/>
      <c r="B30" s="109" t="s">
        <v>448</v>
      </c>
      <c r="C30" s="62"/>
      <c r="D30" s="62"/>
      <c r="E30" s="12"/>
      <c r="F30" s="101"/>
      <c r="G30" s="252"/>
      <c r="H30" s="103"/>
      <c r="I30" s="63"/>
      <c r="J30" s="64"/>
      <c r="K30" s="12"/>
      <c r="L30" s="62" t="str">
        <f t="shared" si="3"/>
        <v/>
      </c>
      <c r="M30" s="12"/>
      <c r="N30" s="12"/>
      <c r="O30" s="12"/>
      <c r="P30" s="12"/>
      <c r="Q30" s="12"/>
      <c r="R30" s="12"/>
      <c r="S30" s="12"/>
      <c r="T30" s="12"/>
      <c r="U30" s="12"/>
      <c r="V30" s="65"/>
      <c r="W30" s="44" t="str">
        <f t="shared" si="2"/>
        <v>OK</v>
      </c>
      <c r="X30" s="47" t="str">
        <f t="shared" si="4"/>
        <v/>
      </c>
      <c r="Y30" s="3"/>
      <c r="Z30" s="127"/>
    </row>
    <row r="31" spans="1:26" ht="15.75" hidden="1" customHeight="1" outlineLevel="1" x14ac:dyDescent="0.3">
      <c r="A31" s="3"/>
      <c r="B31" s="150" t="s">
        <v>449</v>
      </c>
      <c r="C31" s="62"/>
      <c r="D31" s="62"/>
      <c r="E31" s="12"/>
      <c r="F31" s="101"/>
      <c r="G31" s="253"/>
      <c r="H31" s="103"/>
      <c r="I31" s="63"/>
      <c r="J31" s="64"/>
      <c r="K31" s="12"/>
      <c r="L31" s="62" t="str">
        <f t="shared" si="3"/>
        <v/>
      </c>
      <c r="M31" s="12"/>
      <c r="N31" s="12"/>
      <c r="O31" s="12"/>
      <c r="P31" s="12"/>
      <c r="Q31" s="12"/>
      <c r="R31" s="12"/>
      <c r="S31" s="12"/>
      <c r="T31" s="12"/>
      <c r="U31" s="12"/>
      <c r="V31" s="65"/>
      <c r="W31" s="44" t="str">
        <f t="shared" si="2"/>
        <v>OK</v>
      </c>
      <c r="X31" s="47" t="str">
        <f t="shared" si="4"/>
        <v/>
      </c>
      <c r="Y31" s="3"/>
      <c r="Z31" s="127"/>
    </row>
    <row r="32" spans="1:26" ht="15.75" hidden="1" customHeight="1" outlineLevel="1" x14ac:dyDescent="0.3">
      <c r="A32" s="3"/>
      <c r="B32" s="150" t="s">
        <v>450</v>
      </c>
      <c r="C32" s="62"/>
      <c r="D32" s="62"/>
      <c r="E32" s="12"/>
      <c r="F32" s="101"/>
      <c r="G32" s="252"/>
      <c r="H32" s="103"/>
      <c r="I32" s="63"/>
      <c r="J32" s="64"/>
      <c r="K32" s="12"/>
      <c r="L32" s="62" t="str">
        <f t="shared" si="3"/>
        <v/>
      </c>
      <c r="M32" s="12"/>
      <c r="N32" s="12"/>
      <c r="O32" s="12"/>
      <c r="P32" s="12"/>
      <c r="Q32" s="12"/>
      <c r="R32" s="12"/>
      <c r="S32" s="12"/>
      <c r="T32" s="12"/>
      <c r="U32" s="12"/>
      <c r="V32" s="65"/>
      <c r="W32" s="44" t="str">
        <f t="shared" si="2"/>
        <v>OK</v>
      </c>
      <c r="X32" s="47" t="str">
        <f t="shared" si="4"/>
        <v/>
      </c>
      <c r="Y32" s="3"/>
      <c r="Z32" s="127"/>
    </row>
    <row r="33" spans="1:26" ht="15.75" hidden="1" customHeight="1" outlineLevel="1" x14ac:dyDescent="0.3">
      <c r="A33" s="3"/>
      <c r="B33" s="109" t="s">
        <v>451</v>
      </c>
      <c r="C33" s="62"/>
      <c r="D33" s="62"/>
      <c r="E33" s="12"/>
      <c r="F33" s="101"/>
      <c r="G33" s="253"/>
      <c r="H33" s="103"/>
      <c r="I33" s="63"/>
      <c r="J33" s="64"/>
      <c r="K33" s="12"/>
      <c r="L33" s="62" t="str">
        <f t="shared" si="3"/>
        <v/>
      </c>
      <c r="M33" s="12"/>
      <c r="N33" s="12"/>
      <c r="O33" s="12"/>
      <c r="P33" s="12"/>
      <c r="Q33" s="12"/>
      <c r="R33" s="12"/>
      <c r="S33" s="12"/>
      <c r="T33" s="12"/>
      <c r="U33" s="12"/>
      <c r="V33" s="65"/>
      <c r="W33" s="44" t="str">
        <f t="shared" si="2"/>
        <v>OK</v>
      </c>
      <c r="X33" s="47" t="str">
        <f t="shared" si="4"/>
        <v/>
      </c>
      <c r="Y33" s="3"/>
      <c r="Z33" s="127"/>
    </row>
    <row r="34" spans="1:26" ht="15.75" hidden="1" customHeight="1" outlineLevel="1" x14ac:dyDescent="0.3">
      <c r="A34" s="3"/>
      <c r="B34" s="109" t="s">
        <v>452</v>
      </c>
      <c r="C34" s="62"/>
      <c r="D34" s="62"/>
      <c r="E34" s="12"/>
      <c r="F34" s="101"/>
      <c r="G34" s="252"/>
      <c r="H34" s="103"/>
      <c r="I34" s="63"/>
      <c r="J34" s="64"/>
      <c r="K34" s="12"/>
      <c r="L34" s="62" t="str">
        <f t="shared" si="3"/>
        <v/>
      </c>
      <c r="M34" s="12"/>
      <c r="N34" s="12"/>
      <c r="O34" s="12"/>
      <c r="P34" s="12"/>
      <c r="Q34" s="12"/>
      <c r="R34" s="12"/>
      <c r="S34" s="12"/>
      <c r="T34" s="12"/>
      <c r="U34" s="12"/>
      <c r="V34" s="65"/>
      <c r="W34" s="44" t="str">
        <f t="shared" si="2"/>
        <v>OK</v>
      </c>
      <c r="X34" s="47" t="str">
        <f t="shared" si="4"/>
        <v/>
      </c>
      <c r="Y34" s="3"/>
      <c r="Z34" s="127"/>
    </row>
    <row r="35" spans="1:26" ht="15.75" hidden="1" customHeight="1" outlineLevel="1" x14ac:dyDescent="0.3">
      <c r="A35" s="3"/>
      <c r="B35" s="150" t="s">
        <v>453</v>
      </c>
      <c r="C35" s="62"/>
      <c r="D35" s="62"/>
      <c r="E35" s="12"/>
      <c r="F35" s="101"/>
      <c r="G35" s="120"/>
      <c r="H35" s="103"/>
      <c r="I35" s="63"/>
      <c r="J35" s="64"/>
      <c r="K35" s="12"/>
      <c r="L35" s="62" t="str">
        <f t="shared" si="3"/>
        <v/>
      </c>
      <c r="M35" s="12"/>
      <c r="N35" s="12"/>
      <c r="O35" s="12"/>
      <c r="P35" s="12"/>
      <c r="Q35" s="12"/>
      <c r="R35" s="12"/>
      <c r="S35" s="12"/>
      <c r="T35" s="12"/>
      <c r="U35" s="12"/>
      <c r="V35" s="65"/>
      <c r="W35" s="44" t="str">
        <f t="shared" si="2"/>
        <v>OK</v>
      </c>
      <c r="X35" s="47" t="str">
        <f t="shared" si="4"/>
        <v/>
      </c>
      <c r="Y35" s="3"/>
      <c r="Z35" s="127"/>
    </row>
    <row r="36" spans="1:26" ht="15.75" hidden="1" customHeight="1" outlineLevel="1" x14ac:dyDescent="0.3">
      <c r="A36" s="3"/>
      <c r="B36" s="109" t="s">
        <v>454</v>
      </c>
      <c r="C36" s="62"/>
      <c r="D36" s="62"/>
      <c r="E36" s="12"/>
      <c r="F36" s="101"/>
      <c r="G36" s="119"/>
      <c r="H36" s="103"/>
      <c r="I36" s="63"/>
      <c r="J36" s="64"/>
      <c r="K36" s="12"/>
      <c r="L36" s="62" t="str">
        <f t="shared" si="3"/>
        <v/>
      </c>
      <c r="M36" s="12"/>
      <c r="N36" s="12"/>
      <c r="O36" s="12"/>
      <c r="P36" s="12"/>
      <c r="Q36" s="12"/>
      <c r="R36" s="12"/>
      <c r="S36" s="12"/>
      <c r="T36" s="12"/>
      <c r="U36" s="12"/>
      <c r="V36" s="65"/>
      <c r="W36" s="44" t="str">
        <f t="shared" si="2"/>
        <v>OK</v>
      </c>
      <c r="X36" s="47" t="str">
        <f t="shared" si="4"/>
        <v/>
      </c>
      <c r="Y36" s="3"/>
      <c r="Z36" s="127"/>
    </row>
    <row r="37" spans="1:26" ht="15.75" hidden="1" customHeight="1" outlineLevel="1" x14ac:dyDescent="0.3">
      <c r="A37" s="3"/>
      <c r="B37" s="150" t="s">
        <v>455</v>
      </c>
      <c r="C37" s="62"/>
      <c r="D37" s="62"/>
      <c r="E37" s="12"/>
      <c r="F37" s="101"/>
      <c r="G37" s="253"/>
      <c r="H37" s="103"/>
      <c r="I37" s="63"/>
      <c r="J37" s="64"/>
      <c r="K37" s="12"/>
      <c r="L37" s="62" t="str">
        <f t="shared" si="3"/>
        <v/>
      </c>
      <c r="M37" s="12"/>
      <c r="N37" s="12"/>
      <c r="O37" s="12"/>
      <c r="P37" s="12"/>
      <c r="Q37" s="12"/>
      <c r="R37" s="12"/>
      <c r="S37" s="12"/>
      <c r="T37" s="12"/>
      <c r="U37" s="12"/>
      <c r="V37" s="65"/>
      <c r="W37" s="44" t="str">
        <f t="shared" si="2"/>
        <v>OK</v>
      </c>
      <c r="X37" s="47" t="str">
        <f t="shared" si="4"/>
        <v/>
      </c>
      <c r="Y37" s="3"/>
      <c r="Z37" s="127"/>
    </row>
    <row r="38" spans="1:26" ht="15.75" hidden="1" customHeight="1" outlineLevel="1" x14ac:dyDescent="0.3">
      <c r="A38" s="3"/>
      <c r="B38" s="150" t="s">
        <v>456</v>
      </c>
      <c r="C38" s="62"/>
      <c r="D38" s="62"/>
      <c r="E38" s="12"/>
      <c r="F38" s="101"/>
      <c r="G38" s="252"/>
      <c r="H38" s="103"/>
      <c r="I38" s="63"/>
      <c r="J38" s="64"/>
      <c r="K38" s="12"/>
      <c r="L38" s="62" t="str">
        <f t="shared" si="3"/>
        <v/>
      </c>
      <c r="M38" s="12"/>
      <c r="N38" s="12"/>
      <c r="O38" s="12"/>
      <c r="P38" s="12"/>
      <c r="Q38" s="12"/>
      <c r="R38" s="12"/>
      <c r="S38" s="12"/>
      <c r="T38" s="12"/>
      <c r="U38" s="12"/>
      <c r="V38" s="65"/>
      <c r="W38" s="44" t="str">
        <f t="shared" si="2"/>
        <v>OK</v>
      </c>
      <c r="X38" s="47" t="str">
        <f t="shared" si="4"/>
        <v/>
      </c>
      <c r="Y38" s="3"/>
      <c r="Z38" s="127"/>
    </row>
    <row r="39" spans="1:26" ht="15.75" hidden="1" customHeight="1" outlineLevel="1" x14ac:dyDescent="0.3">
      <c r="A39" s="3"/>
      <c r="B39" s="109" t="s">
        <v>457</v>
      </c>
      <c r="C39" s="62"/>
      <c r="D39" s="62"/>
      <c r="E39" s="12"/>
      <c r="F39" s="101"/>
      <c r="G39" s="253"/>
      <c r="H39" s="103"/>
      <c r="I39" s="63"/>
      <c r="J39" s="64"/>
      <c r="K39" s="12"/>
      <c r="L39" s="62" t="str">
        <f t="shared" si="3"/>
        <v/>
      </c>
      <c r="M39" s="12"/>
      <c r="N39" s="12"/>
      <c r="O39" s="12"/>
      <c r="P39" s="12"/>
      <c r="Q39" s="12"/>
      <c r="R39" s="12"/>
      <c r="S39" s="12"/>
      <c r="T39" s="12"/>
      <c r="U39" s="12"/>
      <c r="V39" s="65"/>
      <c r="W39" s="44" t="str">
        <f t="shared" si="2"/>
        <v>OK</v>
      </c>
      <c r="X39" s="47" t="str">
        <f t="shared" si="4"/>
        <v/>
      </c>
      <c r="Y39" s="3"/>
      <c r="Z39" s="127"/>
    </row>
    <row r="40" spans="1:26" ht="15.75" hidden="1" customHeight="1" outlineLevel="1" x14ac:dyDescent="0.3">
      <c r="A40" s="3"/>
      <c r="B40" s="109" t="s">
        <v>458</v>
      </c>
      <c r="C40" s="62"/>
      <c r="D40" s="62"/>
      <c r="E40" s="12"/>
      <c r="F40" s="101"/>
      <c r="G40" s="251"/>
      <c r="H40" s="103"/>
      <c r="I40" s="63"/>
      <c r="J40" s="64"/>
      <c r="K40" s="12"/>
      <c r="L40" s="62" t="str">
        <f t="shared" si="3"/>
        <v/>
      </c>
      <c r="M40" s="12"/>
      <c r="N40" s="12"/>
      <c r="O40" s="12"/>
      <c r="P40" s="12"/>
      <c r="Q40" s="12"/>
      <c r="R40" s="12"/>
      <c r="S40" s="12"/>
      <c r="T40" s="12"/>
      <c r="U40" s="12"/>
      <c r="V40" s="65"/>
      <c r="W40" s="44" t="str">
        <f t="shared" si="2"/>
        <v>OK</v>
      </c>
      <c r="X40" s="47" t="str">
        <f t="shared" si="4"/>
        <v/>
      </c>
      <c r="Y40" s="3"/>
      <c r="Z40" s="127"/>
    </row>
    <row r="41" spans="1:26" ht="15.75" hidden="1" customHeight="1" outlineLevel="1" x14ac:dyDescent="0.3">
      <c r="A41" s="3"/>
      <c r="B41" s="109" t="s">
        <v>459</v>
      </c>
      <c r="C41" s="62"/>
      <c r="D41" s="62"/>
      <c r="E41" s="12"/>
      <c r="F41" s="101"/>
      <c r="G41" s="251"/>
      <c r="H41" s="103"/>
      <c r="I41" s="63"/>
      <c r="J41" s="64"/>
      <c r="K41" s="12"/>
      <c r="L41" s="62" t="str">
        <f t="shared" si="3"/>
        <v/>
      </c>
      <c r="M41" s="12"/>
      <c r="N41" s="12"/>
      <c r="O41" s="12"/>
      <c r="P41" s="12"/>
      <c r="Q41" s="12"/>
      <c r="R41" s="12"/>
      <c r="S41" s="12"/>
      <c r="T41" s="12"/>
      <c r="U41" s="12"/>
      <c r="V41" s="65"/>
      <c r="W41" s="44" t="str">
        <f t="shared" si="2"/>
        <v>OK</v>
      </c>
      <c r="X41" s="47" t="str">
        <f t="shared" si="4"/>
        <v/>
      </c>
      <c r="Y41" s="3"/>
      <c r="Z41" s="127"/>
    </row>
    <row r="42" spans="1:26" ht="15.75" hidden="1" customHeight="1" outlineLevel="1" x14ac:dyDescent="0.3">
      <c r="A42" s="3"/>
      <c r="B42" s="109" t="s">
        <v>460</v>
      </c>
      <c r="C42" s="62"/>
      <c r="D42" s="62"/>
      <c r="E42" s="12"/>
      <c r="F42" s="101"/>
      <c r="G42" s="252"/>
      <c r="H42" s="103"/>
      <c r="I42" s="63"/>
      <c r="J42" s="64"/>
      <c r="K42" s="12"/>
      <c r="L42" s="62" t="str">
        <f t="shared" si="3"/>
        <v/>
      </c>
      <c r="M42" s="12"/>
      <c r="N42" s="12"/>
      <c r="O42" s="12"/>
      <c r="P42" s="12"/>
      <c r="Q42" s="12"/>
      <c r="R42" s="12"/>
      <c r="S42" s="12"/>
      <c r="T42" s="12"/>
      <c r="U42" s="12"/>
      <c r="V42" s="65"/>
      <c r="W42" s="44" t="str">
        <f t="shared" si="2"/>
        <v>OK</v>
      </c>
      <c r="X42" s="47" t="str">
        <f t="shared" si="4"/>
        <v/>
      </c>
      <c r="Y42" s="3"/>
      <c r="Z42" s="127"/>
    </row>
    <row r="43" spans="1:26" ht="15.75" hidden="1" customHeight="1" outlineLevel="1" x14ac:dyDescent="0.3">
      <c r="A43" s="3"/>
      <c r="B43" s="150" t="s">
        <v>461</v>
      </c>
      <c r="C43" s="62"/>
      <c r="D43" s="62"/>
      <c r="E43" s="12"/>
      <c r="F43" s="101"/>
      <c r="G43" s="121"/>
      <c r="H43" s="63"/>
      <c r="I43" s="63"/>
      <c r="J43" s="64"/>
      <c r="K43" s="12"/>
      <c r="L43" s="62" t="str">
        <f t="shared" si="3"/>
        <v/>
      </c>
      <c r="M43" s="12"/>
      <c r="N43" s="12"/>
      <c r="O43" s="12"/>
      <c r="P43" s="12"/>
      <c r="Q43" s="12"/>
      <c r="R43" s="12"/>
      <c r="S43" s="12"/>
      <c r="T43" s="12"/>
      <c r="U43" s="12"/>
      <c r="V43" s="65"/>
      <c r="W43" s="44" t="str">
        <f t="shared" si="2"/>
        <v>OK</v>
      </c>
      <c r="X43" s="47" t="str">
        <f t="shared" si="4"/>
        <v/>
      </c>
      <c r="Y43" s="3"/>
      <c r="Z43" s="127"/>
    </row>
    <row r="44" spans="1:26" ht="15.75" hidden="1" customHeight="1" outlineLevel="1" x14ac:dyDescent="0.3">
      <c r="A44" s="3"/>
      <c r="B44" s="109" t="s">
        <v>462</v>
      </c>
      <c r="C44" s="62"/>
      <c r="D44" s="62"/>
      <c r="E44" s="12"/>
      <c r="F44" s="101"/>
      <c r="G44" s="250"/>
      <c r="H44" s="63"/>
      <c r="I44" s="63"/>
      <c r="J44" s="64"/>
      <c r="K44" s="12"/>
      <c r="L44" s="62" t="str">
        <f t="shared" si="3"/>
        <v/>
      </c>
      <c r="M44" s="12"/>
      <c r="N44" s="12"/>
      <c r="O44" s="12"/>
      <c r="P44" s="12"/>
      <c r="Q44" s="12"/>
      <c r="R44" s="12"/>
      <c r="S44" s="12"/>
      <c r="T44" s="12"/>
      <c r="U44" s="12"/>
      <c r="V44" s="65"/>
      <c r="W44" s="44" t="str">
        <f t="shared" si="2"/>
        <v>OK</v>
      </c>
      <c r="X44" s="47" t="str">
        <f t="shared" si="4"/>
        <v/>
      </c>
      <c r="Y44" s="3"/>
      <c r="Z44" s="127"/>
    </row>
    <row r="45" spans="1:26" ht="15.75" hidden="1" customHeight="1" outlineLevel="1" x14ac:dyDescent="0.3">
      <c r="A45" s="3"/>
      <c r="B45" s="109" t="s">
        <v>463</v>
      </c>
      <c r="C45" s="62"/>
      <c r="D45" s="62"/>
      <c r="E45" s="12"/>
      <c r="F45" s="101"/>
      <c r="G45" s="252"/>
      <c r="H45" s="63"/>
      <c r="I45" s="63"/>
      <c r="J45" s="64"/>
      <c r="K45" s="12"/>
      <c r="L45" s="62" t="str">
        <f t="shared" si="3"/>
        <v/>
      </c>
      <c r="M45" s="12"/>
      <c r="N45" s="12"/>
      <c r="O45" s="12"/>
      <c r="P45" s="12"/>
      <c r="Q45" s="12"/>
      <c r="R45" s="12"/>
      <c r="S45" s="12"/>
      <c r="T45" s="12"/>
      <c r="U45" s="12"/>
      <c r="V45" s="65"/>
      <c r="W45" s="44" t="str">
        <f t="shared" si="2"/>
        <v>OK</v>
      </c>
      <c r="X45" s="47" t="str">
        <f t="shared" si="4"/>
        <v/>
      </c>
      <c r="Y45" s="3"/>
      <c r="Z45" s="127"/>
    </row>
    <row r="46" spans="1:26" ht="15.75" hidden="1" customHeight="1" outlineLevel="1" x14ac:dyDescent="0.3">
      <c r="A46" s="3"/>
      <c r="B46" s="150" t="s">
        <v>464</v>
      </c>
      <c r="C46" s="62"/>
      <c r="D46" s="62"/>
      <c r="E46" s="12"/>
      <c r="F46" s="101"/>
      <c r="G46" s="232"/>
      <c r="H46" s="63"/>
      <c r="I46" s="63"/>
      <c r="J46" s="64"/>
      <c r="K46" s="12"/>
      <c r="L46" s="62" t="str">
        <f t="shared" si="3"/>
        <v/>
      </c>
      <c r="M46" s="12"/>
      <c r="N46" s="12"/>
      <c r="O46" s="12"/>
      <c r="P46" s="12"/>
      <c r="Q46" s="12"/>
      <c r="R46" s="12"/>
      <c r="S46" s="12"/>
      <c r="T46" s="12"/>
      <c r="U46" s="12"/>
      <c r="V46" s="65"/>
      <c r="W46" s="44" t="str">
        <f t="shared" si="2"/>
        <v>OK</v>
      </c>
      <c r="X46" s="47" t="str">
        <f t="shared" si="4"/>
        <v/>
      </c>
      <c r="Y46" s="3"/>
      <c r="Z46" s="127"/>
    </row>
    <row r="47" spans="1:26" ht="15.75" hidden="1" customHeight="1" outlineLevel="1" x14ac:dyDescent="0.3">
      <c r="A47" s="3"/>
      <c r="B47" s="150" t="s">
        <v>465</v>
      </c>
      <c r="C47" s="62"/>
      <c r="D47" s="62"/>
      <c r="E47" s="12"/>
      <c r="F47" s="101"/>
      <c r="G47" s="234"/>
      <c r="H47" s="63"/>
      <c r="I47" s="63"/>
      <c r="J47" s="64"/>
      <c r="K47" s="12"/>
      <c r="L47" s="62" t="str">
        <f t="shared" si="3"/>
        <v/>
      </c>
      <c r="M47" s="12"/>
      <c r="N47" s="12"/>
      <c r="O47" s="12"/>
      <c r="P47" s="12"/>
      <c r="Q47" s="12"/>
      <c r="R47" s="12"/>
      <c r="S47" s="12"/>
      <c r="T47" s="12"/>
      <c r="U47" s="12"/>
      <c r="V47" s="65"/>
      <c r="W47" s="44" t="str">
        <f t="shared" si="2"/>
        <v>OK</v>
      </c>
      <c r="X47" s="47" t="str">
        <f t="shared" si="4"/>
        <v/>
      </c>
      <c r="Y47" s="3"/>
      <c r="Z47" s="127"/>
    </row>
    <row r="48" spans="1:26" ht="15.75" hidden="1" customHeight="1" outlineLevel="1" x14ac:dyDescent="0.3">
      <c r="A48" s="3"/>
      <c r="B48" s="109" t="s">
        <v>466</v>
      </c>
      <c r="C48" s="62"/>
      <c r="D48" s="62"/>
      <c r="E48" s="12"/>
      <c r="F48" s="101"/>
      <c r="G48" s="232"/>
      <c r="H48" s="63"/>
      <c r="I48" s="63"/>
      <c r="J48" s="64"/>
      <c r="K48" s="12"/>
      <c r="L48" s="62" t="str">
        <f t="shared" si="3"/>
        <v/>
      </c>
      <c r="M48" s="12"/>
      <c r="N48" s="12"/>
      <c r="O48" s="12"/>
      <c r="P48" s="12"/>
      <c r="Q48" s="12"/>
      <c r="R48" s="12"/>
      <c r="S48" s="12"/>
      <c r="T48" s="12"/>
      <c r="U48" s="12"/>
      <c r="V48" s="65"/>
      <c r="W48" s="44" t="str">
        <f t="shared" si="2"/>
        <v>OK</v>
      </c>
      <c r="X48" s="47" t="str">
        <f t="shared" si="4"/>
        <v/>
      </c>
      <c r="Y48" s="3"/>
      <c r="Z48" s="127"/>
    </row>
    <row r="49" spans="1:26" ht="15.75" hidden="1" customHeight="1" outlineLevel="1" x14ac:dyDescent="0.3">
      <c r="A49" s="3"/>
      <c r="B49" s="109" t="s">
        <v>467</v>
      </c>
      <c r="C49" s="62"/>
      <c r="D49" s="62"/>
      <c r="E49" s="12"/>
      <c r="F49" s="101"/>
      <c r="G49" s="234"/>
      <c r="H49" s="63"/>
      <c r="I49" s="63"/>
      <c r="J49" s="64"/>
      <c r="K49" s="12"/>
      <c r="L49" s="62" t="str">
        <f t="shared" si="3"/>
        <v/>
      </c>
      <c r="M49" s="12"/>
      <c r="N49" s="12"/>
      <c r="O49" s="12"/>
      <c r="P49" s="12"/>
      <c r="Q49" s="12"/>
      <c r="R49" s="12"/>
      <c r="S49" s="12"/>
      <c r="T49" s="12"/>
      <c r="U49" s="12"/>
      <c r="V49" s="65"/>
      <c r="W49" s="44" t="str">
        <f t="shared" si="2"/>
        <v>OK</v>
      </c>
      <c r="X49" s="47" t="str">
        <f t="shared" si="4"/>
        <v/>
      </c>
      <c r="Y49" s="3"/>
      <c r="Z49" s="127"/>
    </row>
    <row r="50" spans="1:26" ht="15.75" hidden="1" customHeight="1" outlineLevel="1" x14ac:dyDescent="0.3">
      <c r="A50" s="3"/>
      <c r="B50" s="150" t="s">
        <v>468</v>
      </c>
      <c r="C50" s="62"/>
      <c r="D50" s="62"/>
      <c r="E50" s="12"/>
      <c r="F50" s="101"/>
      <c r="G50" s="232"/>
      <c r="H50" s="63"/>
      <c r="I50" s="63"/>
      <c r="J50" s="64"/>
      <c r="K50" s="12"/>
      <c r="L50" s="62" t="str">
        <f t="shared" si="3"/>
        <v/>
      </c>
      <c r="M50" s="12"/>
      <c r="N50" s="12"/>
      <c r="O50" s="12"/>
      <c r="P50" s="12"/>
      <c r="Q50" s="12"/>
      <c r="R50" s="12"/>
      <c r="S50" s="12"/>
      <c r="T50" s="12"/>
      <c r="U50" s="12"/>
      <c r="V50" s="65"/>
      <c r="W50" s="44" t="str">
        <f t="shared" si="2"/>
        <v>OK</v>
      </c>
      <c r="X50" s="47" t="str">
        <f t="shared" si="4"/>
        <v/>
      </c>
      <c r="Y50" s="3"/>
      <c r="Z50" s="127"/>
    </row>
    <row r="51" spans="1:26" ht="15.75" hidden="1" customHeight="1" outlineLevel="1" x14ac:dyDescent="0.3">
      <c r="A51" s="3"/>
      <c r="B51" s="150" t="s">
        <v>469</v>
      </c>
      <c r="C51" s="62"/>
      <c r="D51" s="62"/>
      <c r="E51" s="12"/>
      <c r="F51" s="101"/>
      <c r="G51" s="234"/>
      <c r="H51" s="63"/>
      <c r="I51" s="63"/>
      <c r="J51" s="64"/>
      <c r="K51" s="12"/>
      <c r="L51" s="62" t="str">
        <f t="shared" si="3"/>
        <v/>
      </c>
      <c r="M51" s="12"/>
      <c r="N51" s="12"/>
      <c r="O51" s="12"/>
      <c r="P51" s="12"/>
      <c r="Q51" s="12"/>
      <c r="R51" s="12"/>
      <c r="S51" s="12"/>
      <c r="T51" s="12"/>
      <c r="U51" s="12"/>
      <c r="V51" s="65"/>
      <c r="W51" s="44" t="str">
        <f t="shared" si="2"/>
        <v>OK</v>
      </c>
      <c r="X51" s="47" t="str">
        <f t="shared" si="4"/>
        <v/>
      </c>
      <c r="Y51" s="3"/>
      <c r="Z51" s="127"/>
    </row>
    <row r="52" spans="1:26" ht="15.75" hidden="1" customHeight="1" outlineLevel="1" x14ac:dyDescent="0.3">
      <c r="A52" s="3"/>
      <c r="B52" s="109" t="s">
        <v>470</v>
      </c>
      <c r="C52" s="62"/>
      <c r="D52" s="62"/>
      <c r="E52" s="12"/>
      <c r="F52" s="101"/>
      <c r="G52" s="253"/>
      <c r="H52" s="63"/>
      <c r="I52" s="63"/>
      <c r="J52" s="64"/>
      <c r="K52" s="12"/>
      <c r="L52" s="62" t="str">
        <f t="shared" si="3"/>
        <v/>
      </c>
      <c r="M52" s="12"/>
      <c r="N52" s="12"/>
      <c r="O52" s="12"/>
      <c r="P52" s="12"/>
      <c r="Q52" s="12"/>
      <c r="R52" s="12"/>
      <c r="S52" s="12"/>
      <c r="T52" s="12"/>
      <c r="U52" s="12"/>
      <c r="V52" s="89"/>
      <c r="W52" s="44" t="str">
        <f t="shared" si="2"/>
        <v>OK</v>
      </c>
      <c r="X52" s="47" t="str">
        <f t="shared" si="4"/>
        <v/>
      </c>
      <c r="Y52" s="3"/>
      <c r="Z52" s="127"/>
    </row>
    <row r="53" spans="1:26" ht="15.75" hidden="1" customHeight="1" outlineLevel="1" x14ac:dyDescent="0.3">
      <c r="A53" s="3"/>
      <c r="B53" s="109" t="s">
        <v>472</v>
      </c>
      <c r="C53" s="62"/>
      <c r="D53" s="62"/>
      <c r="E53" s="12"/>
      <c r="F53" s="101"/>
      <c r="G53" s="252"/>
      <c r="H53" s="63"/>
      <c r="I53" s="63"/>
      <c r="J53" s="64"/>
      <c r="K53" s="12"/>
      <c r="L53" s="62" t="str">
        <f t="shared" si="3"/>
        <v/>
      </c>
      <c r="M53" s="12"/>
      <c r="N53" s="12"/>
      <c r="O53" s="12"/>
      <c r="P53" s="12"/>
      <c r="Q53" s="12"/>
      <c r="R53" s="12"/>
      <c r="S53" s="12"/>
      <c r="T53" s="12"/>
      <c r="U53" s="12"/>
      <c r="V53" s="65"/>
      <c r="W53" s="44" t="str">
        <f t="shared" si="2"/>
        <v>OK</v>
      </c>
      <c r="X53" s="47" t="str">
        <f t="shared" si="4"/>
        <v/>
      </c>
      <c r="Y53" s="3"/>
      <c r="Z53" s="127"/>
    </row>
    <row r="54" spans="1:26" ht="15.75" hidden="1" customHeight="1" outlineLevel="1" x14ac:dyDescent="0.3">
      <c r="A54" s="3"/>
      <c r="B54" s="150" t="s">
        <v>473</v>
      </c>
      <c r="C54" s="62"/>
      <c r="D54" s="62"/>
      <c r="E54" s="12"/>
      <c r="F54" s="101"/>
      <c r="G54" s="67"/>
      <c r="H54" s="63"/>
      <c r="I54" s="63"/>
      <c r="J54" s="64"/>
      <c r="K54" s="12"/>
      <c r="L54" s="62" t="str">
        <f t="shared" si="3"/>
        <v/>
      </c>
      <c r="M54" s="12"/>
      <c r="N54" s="12"/>
      <c r="O54" s="12"/>
      <c r="P54" s="12"/>
      <c r="Q54" s="12"/>
      <c r="R54" s="12"/>
      <c r="S54" s="12"/>
      <c r="T54" s="12"/>
      <c r="U54" s="12"/>
      <c r="V54" s="65"/>
      <c r="W54" s="44" t="str">
        <f t="shared" si="2"/>
        <v>OK</v>
      </c>
      <c r="X54" s="47" t="str">
        <f t="shared" si="4"/>
        <v/>
      </c>
      <c r="Y54" s="3"/>
      <c r="Z54" s="127"/>
    </row>
    <row r="55" spans="1:26" ht="21" hidden="1" customHeight="1" outlineLevel="1" x14ac:dyDescent="0.3">
      <c r="A55" s="3"/>
      <c r="B55" s="109" t="s">
        <v>474</v>
      </c>
      <c r="C55" s="62"/>
      <c r="D55" s="62"/>
      <c r="E55" s="12"/>
      <c r="F55" s="101"/>
      <c r="G55" s="235"/>
      <c r="H55" s="63"/>
      <c r="I55" s="63"/>
      <c r="J55" s="64"/>
      <c r="K55" s="12"/>
      <c r="L55" s="62" t="str">
        <f t="shared" si="3"/>
        <v/>
      </c>
      <c r="M55" s="12"/>
      <c r="N55" s="12"/>
      <c r="O55" s="12"/>
      <c r="P55" s="12"/>
      <c r="Q55" s="12"/>
      <c r="R55" s="12"/>
      <c r="S55" s="12"/>
      <c r="T55" s="12"/>
      <c r="U55" s="12"/>
      <c r="V55" s="65"/>
      <c r="W55" s="44" t="str">
        <f t="shared" si="2"/>
        <v>OK</v>
      </c>
      <c r="X55" s="47" t="str">
        <f t="shared" si="4"/>
        <v/>
      </c>
      <c r="Y55" s="3"/>
      <c r="Z55" s="127"/>
    </row>
    <row r="56" spans="1:26" ht="21" hidden="1" customHeight="1" outlineLevel="1" x14ac:dyDescent="0.3">
      <c r="A56" s="3"/>
      <c r="B56" s="109" t="s">
        <v>476</v>
      </c>
      <c r="C56" s="62"/>
      <c r="D56" s="62"/>
      <c r="E56" s="12"/>
      <c r="F56" s="101"/>
      <c r="G56" s="234"/>
      <c r="H56" s="63"/>
      <c r="I56" s="63"/>
      <c r="J56" s="64"/>
      <c r="K56" s="12"/>
      <c r="L56" s="62" t="str">
        <f t="shared" si="3"/>
        <v/>
      </c>
      <c r="M56" s="12"/>
      <c r="N56" s="12"/>
      <c r="O56" s="12"/>
      <c r="P56" s="12"/>
      <c r="Q56" s="12"/>
      <c r="R56" s="12"/>
      <c r="S56" s="12"/>
      <c r="T56" s="12"/>
      <c r="U56" s="12"/>
      <c r="V56" s="65"/>
      <c r="W56" s="44" t="str">
        <f t="shared" si="2"/>
        <v>OK</v>
      </c>
      <c r="X56" s="47" t="str">
        <f t="shared" si="4"/>
        <v/>
      </c>
      <c r="Y56" s="3"/>
      <c r="Z56" s="127"/>
    </row>
    <row r="57" spans="1:26" ht="15.75" hidden="1" customHeight="1" outlineLevel="1" x14ac:dyDescent="0.3">
      <c r="A57" s="3"/>
      <c r="B57" s="150" t="s">
        <v>477</v>
      </c>
      <c r="C57" s="62"/>
      <c r="D57" s="62"/>
      <c r="E57" s="12"/>
      <c r="F57" s="101"/>
      <c r="G57" s="69"/>
      <c r="H57" s="63"/>
      <c r="I57" s="63"/>
      <c r="J57" s="64"/>
      <c r="K57" s="12"/>
      <c r="L57" s="62" t="str">
        <f t="shared" si="3"/>
        <v/>
      </c>
      <c r="M57" s="12"/>
      <c r="N57" s="12"/>
      <c r="O57" s="12"/>
      <c r="P57" s="12"/>
      <c r="Q57" s="12"/>
      <c r="R57" s="12"/>
      <c r="S57" s="12"/>
      <c r="T57" s="12"/>
      <c r="U57" s="12"/>
      <c r="V57" s="65"/>
      <c r="W57" s="44" t="str">
        <f t="shared" si="2"/>
        <v>OK</v>
      </c>
      <c r="X57" s="47" t="str">
        <f t="shared" si="4"/>
        <v/>
      </c>
      <c r="Y57" s="3"/>
      <c r="Z57" s="127"/>
    </row>
    <row r="58" spans="1:26" ht="15.75" hidden="1" customHeight="1" outlineLevel="1" x14ac:dyDescent="0.3">
      <c r="A58" s="3"/>
      <c r="B58" s="109" t="s">
        <v>478</v>
      </c>
      <c r="C58" s="62"/>
      <c r="D58" s="62"/>
      <c r="E58" s="12"/>
      <c r="F58" s="101"/>
      <c r="G58" s="232"/>
      <c r="H58" s="63"/>
      <c r="I58" s="63"/>
      <c r="J58" s="64"/>
      <c r="K58" s="12"/>
      <c r="L58" s="62" t="str">
        <f t="shared" si="3"/>
        <v/>
      </c>
      <c r="M58" s="12"/>
      <c r="N58" s="12"/>
      <c r="O58" s="12"/>
      <c r="P58" s="12"/>
      <c r="Q58" s="12"/>
      <c r="R58" s="12"/>
      <c r="S58" s="12"/>
      <c r="T58" s="12"/>
      <c r="U58" s="12"/>
      <c r="V58" s="65"/>
      <c r="W58" s="44" t="str">
        <f t="shared" si="2"/>
        <v>OK</v>
      </c>
      <c r="X58" s="47" t="str">
        <f t="shared" si="4"/>
        <v/>
      </c>
      <c r="Y58" s="3"/>
      <c r="Z58" s="127"/>
    </row>
    <row r="59" spans="1:26" ht="15.75" hidden="1" customHeight="1" outlineLevel="1" x14ac:dyDescent="0.3">
      <c r="A59" s="3"/>
      <c r="B59" s="109" t="s">
        <v>479</v>
      </c>
      <c r="C59" s="62"/>
      <c r="D59" s="62"/>
      <c r="E59" s="12"/>
      <c r="F59" s="101"/>
      <c r="G59" s="234"/>
      <c r="H59" s="63"/>
      <c r="I59" s="63"/>
      <c r="J59" s="64"/>
      <c r="K59" s="12"/>
      <c r="L59" s="62" t="str">
        <f t="shared" si="3"/>
        <v/>
      </c>
      <c r="M59" s="12"/>
      <c r="N59" s="12"/>
      <c r="O59" s="12"/>
      <c r="P59" s="12"/>
      <c r="Q59" s="12"/>
      <c r="R59" s="12"/>
      <c r="S59" s="12"/>
      <c r="T59" s="12"/>
      <c r="U59" s="12"/>
      <c r="V59" s="65"/>
      <c r="W59" s="44" t="str">
        <f t="shared" si="2"/>
        <v>OK</v>
      </c>
      <c r="X59" s="47" t="str">
        <f t="shared" si="4"/>
        <v/>
      </c>
      <c r="Y59" s="3"/>
      <c r="Z59" s="127"/>
    </row>
    <row r="60" spans="1:26" ht="15.75" hidden="1" customHeight="1" outlineLevel="1" x14ac:dyDescent="0.3">
      <c r="A60" s="3"/>
      <c r="B60" s="150" t="s">
        <v>480</v>
      </c>
      <c r="C60" s="62"/>
      <c r="D60" s="62"/>
      <c r="E60" s="12"/>
      <c r="F60" s="101"/>
      <c r="G60" s="67"/>
      <c r="H60" s="63"/>
      <c r="I60" s="63"/>
      <c r="J60" s="64"/>
      <c r="K60" s="12"/>
      <c r="L60" s="62" t="str">
        <f t="shared" si="3"/>
        <v/>
      </c>
      <c r="M60" s="12"/>
      <c r="N60" s="12"/>
      <c r="O60" s="12"/>
      <c r="P60" s="12"/>
      <c r="Q60" s="12"/>
      <c r="R60" s="12"/>
      <c r="S60" s="12"/>
      <c r="T60" s="12"/>
      <c r="U60" s="12"/>
      <c r="V60" s="65"/>
      <c r="W60" s="44" t="str">
        <f t="shared" si="2"/>
        <v>OK</v>
      </c>
      <c r="X60" s="47" t="str">
        <f t="shared" si="4"/>
        <v/>
      </c>
      <c r="Y60" s="3"/>
      <c r="Z60" s="127"/>
    </row>
    <row r="61" spans="1:26" ht="15.75" hidden="1" customHeight="1" outlineLevel="1" x14ac:dyDescent="0.3">
      <c r="A61" s="3"/>
      <c r="B61" s="109" t="s">
        <v>481</v>
      </c>
      <c r="C61" s="62"/>
      <c r="D61" s="62"/>
      <c r="E61" s="12"/>
      <c r="F61" s="101"/>
      <c r="G61" s="69"/>
      <c r="H61" s="63"/>
      <c r="I61" s="63"/>
      <c r="J61" s="64"/>
      <c r="K61" s="12"/>
      <c r="L61" s="62" t="str">
        <f t="shared" si="3"/>
        <v/>
      </c>
      <c r="M61" s="12"/>
      <c r="N61" s="12"/>
      <c r="O61" s="12"/>
      <c r="P61" s="12"/>
      <c r="Q61" s="12"/>
      <c r="R61" s="12"/>
      <c r="S61" s="12"/>
      <c r="T61" s="12"/>
      <c r="U61" s="12"/>
      <c r="V61" s="89"/>
      <c r="W61" s="44" t="str">
        <f t="shared" si="2"/>
        <v>OK</v>
      </c>
      <c r="X61" s="47" t="str">
        <f t="shared" si="4"/>
        <v/>
      </c>
      <c r="Y61" s="127"/>
      <c r="Z61" s="127"/>
    </row>
    <row r="62" spans="1:26" ht="15.75" hidden="1" customHeight="1" outlineLevel="1" x14ac:dyDescent="0.3">
      <c r="A62" s="3"/>
      <c r="B62" s="150" t="s">
        <v>482</v>
      </c>
      <c r="C62" s="62"/>
      <c r="D62" s="62"/>
      <c r="E62" s="12"/>
      <c r="F62" s="101"/>
      <c r="G62" s="235"/>
      <c r="H62" s="63"/>
      <c r="I62" s="63"/>
      <c r="J62" s="64"/>
      <c r="K62" s="12"/>
      <c r="L62" s="62" t="str">
        <f t="shared" si="3"/>
        <v/>
      </c>
      <c r="M62" s="12"/>
      <c r="N62" s="12"/>
      <c r="O62" s="12"/>
      <c r="P62" s="12"/>
      <c r="Q62" s="12"/>
      <c r="R62" s="12"/>
      <c r="S62" s="12"/>
      <c r="T62" s="12"/>
      <c r="U62" s="12"/>
      <c r="V62" s="65"/>
      <c r="W62" s="44" t="str">
        <f t="shared" si="2"/>
        <v>OK</v>
      </c>
      <c r="X62" s="47" t="str">
        <f t="shared" si="4"/>
        <v/>
      </c>
      <c r="Y62" s="3"/>
      <c r="Z62" s="127"/>
    </row>
    <row r="63" spans="1:26" ht="15.75" hidden="1" customHeight="1" outlineLevel="1" x14ac:dyDescent="0.3">
      <c r="A63" s="3"/>
      <c r="B63" s="150" t="s">
        <v>483</v>
      </c>
      <c r="C63" s="62"/>
      <c r="D63" s="62"/>
      <c r="E63" s="12"/>
      <c r="F63" s="101"/>
      <c r="G63" s="234"/>
      <c r="H63" s="63"/>
      <c r="I63" s="63"/>
      <c r="J63" s="64"/>
      <c r="K63" s="12"/>
      <c r="L63" s="62" t="str">
        <f t="shared" si="3"/>
        <v/>
      </c>
      <c r="M63" s="12"/>
      <c r="N63" s="12"/>
      <c r="O63" s="12"/>
      <c r="P63" s="12"/>
      <c r="Q63" s="12"/>
      <c r="R63" s="12"/>
      <c r="S63" s="12"/>
      <c r="T63" s="12"/>
      <c r="U63" s="12"/>
      <c r="V63" s="65"/>
      <c r="W63" s="44" t="str">
        <f t="shared" si="2"/>
        <v>OK</v>
      </c>
      <c r="X63" s="47" t="str">
        <f t="shared" si="4"/>
        <v/>
      </c>
      <c r="Y63" s="3"/>
      <c r="Z63" s="127"/>
    </row>
    <row r="64" spans="1:26" ht="15.75" hidden="1" customHeight="1" outlineLevel="1" x14ac:dyDescent="0.3">
      <c r="A64" s="3"/>
      <c r="B64" s="109" t="s">
        <v>484</v>
      </c>
      <c r="C64" s="62"/>
      <c r="D64" s="62"/>
      <c r="E64" s="12"/>
      <c r="F64" s="101"/>
      <c r="G64" s="69"/>
      <c r="H64" s="63"/>
      <c r="I64" s="63"/>
      <c r="J64" s="64"/>
      <c r="K64" s="12"/>
      <c r="L64" s="62" t="str">
        <f t="shared" si="3"/>
        <v/>
      </c>
      <c r="M64" s="12"/>
      <c r="N64" s="12"/>
      <c r="O64" s="12"/>
      <c r="P64" s="12"/>
      <c r="Q64" s="12"/>
      <c r="R64" s="12"/>
      <c r="S64" s="12"/>
      <c r="T64" s="12"/>
      <c r="U64" s="12"/>
      <c r="V64" s="65"/>
      <c r="W64" s="44" t="str">
        <f t="shared" si="2"/>
        <v>OK</v>
      </c>
      <c r="X64" s="47" t="str">
        <f t="shared" si="4"/>
        <v/>
      </c>
      <c r="Y64" s="3"/>
      <c r="Z64" s="127"/>
    </row>
    <row r="65" spans="1:26" ht="15.75" hidden="1" customHeight="1" outlineLevel="1" x14ac:dyDescent="0.3">
      <c r="A65" s="3"/>
      <c r="B65" s="150" t="s">
        <v>486</v>
      </c>
      <c r="C65" s="62"/>
      <c r="D65" s="62"/>
      <c r="E65" s="12"/>
      <c r="F65" s="101"/>
      <c r="G65" s="69"/>
      <c r="H65" s="63"/>
      <c r="I65" s="63"/>
      <c r="J65" s="64"/>
      <c r="K65" s="12"/>
      <c r="L65" s="62" t="str">
        <f t="shared" si="3"/>
        <v/>
      </c>
      <c r="M65" s="12"/>
      <c r="N65" s="12"/>
      <c r="O65" s="12"/>
      <c r="P65" s="12"/>
      <c r="Q65" s="12"/>
      <c r="R65" s="12"/>
      <c r="S65" s="12"/>
      <c r="T65" s="12"/>
      <c r="U65" s="12"/>
      <c r="V65" s="65"/>
      <c r="W65" s="44" t="str">
        <f t="shared" si="2"/>
        <v>OK</v>
      </c>
      <c r="X65" s="47" t="str">
        <f t="shared" si="4"/>
        <v/>
      </c>
      <c r="Y65" s="3"/>
      <c r="Z65" s="127"/>
    </row>
    <row r="66" spans="1:26" ht="15.75" hidden="1" customHeight="1" outlineLevel="1" x14ac:dyDescent="0.3">
      <c r="A66" s="3"/>
      <c r="B66" s="150" t="s">
        <v>488</v>
      </c>
      <c r="C66" s="62"/>
      <c r="D66" s="62"/>
      <c r="E66" s="12"/>
      <c r="F66" s="101"/>
      <c r="G66" s="69"/>
      <c r="H66" s="63"/>
      <c r="I66" s="63"/>
      <c r="J66" s="64"/>
      <c r="K66" s="12"/>
      <c r="L66" s="62" t="str">
        <f t="shared" si="3"/>
        <v/>
      </c>
      <c r="M66" s="12"/>
      <c r="N66" s="12"/>
      <c r="O66" s="12"/>
      <c r="P66" s="12"/>
      <c r="Q66" s="12"/>
      <c r="R66" s="12"/>
      <c r="S66" s="12"/>
      <c r="T66" s="12"/>
      <c r="U66" s="12"/>
      <c r="V66" s="65"/>
      <c r="W66" s="44" t="str">
        <f t="shared" si="2"/>
        <v>OK</v>
      </c>
      <c r="X66" s="47" t="str">
        <f t="shared" si="4"/>
        <v/>
      </c>
      <c r="Y66" s="3"/>
      <c r="Z66" s="127"/>
    </row>
    <row r="67" spans="1:26" ht="15.75" hidden="1" customHeight="1" outlineLevel="1" x14ac:dyDescent="0.3">
      <c r="A67" s="3"/>
      <c r="B67" s="109" t="s">
        <v>489</v>
      </c>
      <c r="C67" s="62"/>
      <c r="D67" s="62"/>
      <c r="E67" s="12"/>
      <c r="F67" s="101"/>
      <c r="G67" s="232"/>
      <c r="H67" s="63"/>
      <c r="I67" s="63"/>
      <c r="J67" s="64"/>
      <c r="K67" s="12"/>
      <c r="L67" s="62" t="str">
        <f t="shared" si="3"/>
        <v/>
      </c>
      <c r="M67" s="12"/>
      <c r="N67" s="12"/>
      <c r="O67" s="12"/>
      <c r="P67" s="12"/>
      <c r="Q67" s="12"/>
      <c r="R67" s="12"/>
      <c r="S67" s="12"/>
      <c r="T67" s="12"/>
      <c r="U67" s="12"/>
      <c r="V67" s="65"/>
      <c r="W67" s="44" t="str">
        <f t="shared" si="2"/>
        <v>OK</v>
      </c>
      <c r="X67" s="47" t="str">
        <f t="shared" si="4"/>
        <v/>
      </c>
      <c r="Y67" s="3"/>
      <c r="Z67" s="127"/>
    </row>
    <row r="68" spans="1:26" ht="15.75" hidden="1" customHeight="1" outlineLevel="1" x14ac:dyDescent="0.3">
      <c r="A68" s="3"/>
      <c r="B68" s="109" t="s">
        <v>490</v>
      </c>
      <c r="C68" s="62"/>
      <c r="D68" s="62"/>
      <c r="E68" s="12"/>
      <c r="F68" s="101"/>
      <c r="G68" s="234"/>
      <c r="H68" s="63"/>
      <c r="I68" s="63"/>
      <c r="J68" s="64"/>
      <c r="K68" s="12"/>
      <c r="L68" s="62" t="str">
        <f t="shared" si="3"/>
        <v/>
      </c>
      <c r="M68" s="12"/>
      <c r="N68" s="12"/>
      <c r="O68" s="12"/>
      <c r="P68" s="12"/>
      <c r="Q68" s="12"/>
      <c r="R68" s="12"/>
      <c r="S68" s="12"/>
      <c r="T68" s="12"/>
      <c r="U68" s="12"/>
      <c r="V68" s="65"/>
      <c r="W68" s="44" t="str">
        <f t="shared" si="2"/>
        <v>OK</v>
      </c>
      <c r="X68" s="47" t="str">
        <f t="shared" si="4"/>
        <v/>
      </c>
      <c r="Y68" s="3"/>
      <c r="Z68" s="127"/>
    </row>
    <row r="69" spans="1:26" ht="15.75" hidden="1" customHeight="1" outlineLevel="1" x14ac:dyDescent="0.3">
      <c r="A69" s="3"/>
      <c r="B69" s="150" t="s">
        <v>491</v>
      </c>
      <c r="C69" s="62"/>
      <c r="D69" s="62"/>
      <c r="E69" s="12"/>
      <c r="F69" s="101"/>
      <c r="G69" s="69"/>
      <c r="H69" s="63"/>
      <c r="I69" s="63"/>
      <c r="J69" s="64"/>
      <c r="K69" s="12"/>
      <c r="L69" s="62" t="str">
        <f t="shared" si="3"/>
        <v/>
      </c>
      <c r="M69" s="12"/>
      <c r="N69" s="12"/>
      <c r="O69" s="12"/>
      <c r="P69" s="12"/>
      <c r="Q69" s="12"/>
      <c r="R69" s="12"/>
      <c r="S69" s="12"/>
      <c r="T69" s="12"/>
      <c r="U69" s="12"/>
      <c r="V69" s="65"/>
      <c r="W69" s="44" t="str">
        <f t="shared" si="2"/>
        <v>OK</v>
      </c>
      <c r="X69" s="47" t="str">
        <f t="shared" si="4"/>
        <v/>
      </c>
      <c r="Y69" s="3"/>
      <c r="Z69" s="127"/>
    </row>
    <row r="70" spans="1:26" ht="15.75" hidden="1" customHeight="1" outlineLevel="1" x14ac:dyDescent="0.3">
      <c r="A70" s="3"/>
      <c r="B70" s="109" t="s">
        <v>492</v>
      </c>
      <c r="C70" s="62"/>
      <c r="D70" s="62"/>
      <c r="E70" s="12"/>
      <c r="F70" s="101"/>
      <c r="G70" s="67"/>
      <c r="H70" s="63"/>
      <c r="I70" s="63"/>
      <c r="J70" s="64"/>
      <c r="K70" s="12"/>
      <c r="L70" s="62" t="str">
        <f t="shared" si="3"/>
        <v/>
      </c>
      <c r="M70" s="12"/>
      <c r="N70" s="12"/>
      <c r="O70" s="12"/>
      <c r="P70" s="12"/>
      <c r="Q70" s="12"/>
      <c r="R70" s="12"/>
      <c r="S70" s="12"/>
      <c r="T70" s="12"/>
      <c r="U70" s="12"/>
      <c r="V70" s="65"/>
      <c r="W70" s="44" t="str">
        <f t="shared" si="2"/>
        <v>OK</v>
      </c>
      <c r="X70" s="47" t="str">
        <f t="shared" si="4"/>
        <v/>
      </c>
      <c r="Y70" s="3"/>
      <c r="Z70" s="127"/>
    </row>
    <row r="71" spans="1:26" ht="15.75" hidden="1" customHeight="1" outlineLevel="1" x14ac:dyDescent="0.3">
      <c r="A71" s="3"/>
      <c r="B71" s="150" t="s">
        <v>493</v>
      </c>
      <c r="C71" s="62"/>
      <c r="D71" s="62"/>
      <c r="E71" s="12"/>
      <c r="F71" s="101"/>
      <c r="G71" s="67"/>
      <c r="H71" s="63"/>
      <c r="I71" s="63"/>
      <c r="J71" s="64"/>
      <c r="K71" s="12"/>
      <c r="L71" s="62" t="str">
        <f t="shared" si="3"/>
        <v/>
      </c>
      <c r="M71" s="12"/>
      <c r="N71" s="12"/>
      <c r="O71" s="12"/>
      <c r="P71" s="12"/>
      <c r="Q71" s="12"/>
      <c r="R71" s="12"/>
      <c r="S71" s="12"/>
      <c r="T71" s="12"/>
      <c r="U71" s="12"/>
      <c r="V71" s="65"/>
      <c r="W71" s="44" t="str">
        <f t="shared" si="2"/>
        <v>OK</v>
      </c>
      <c r="X71" s="47" t="str">
        <f t="shared" si="4"/>
        <v/>
      </c>
      <c r="Y71" s="3"/>
      <c r="Z71" s="127"/>
    </row>
    <row r="72" spans="1:26" ht="15.75" hidden="1" customHeight="1" outlineLevel="1" x14ac:dyDescent="0.3">
      <c r="A72" s="3"/>
      <c r="B72" s="109" t="s">
        <v>494</v>
      </c>
      <c r="C72" s="62"/>
      <c r="D72" s="62"/>
      <c r="E72" s="12"/>
      <c r="F72" s="101"/>
      <c r="G72" s="235"/>
      <c r="H72" s="63"/>
      <c r="I72" s="63"/>
      <c r="J72" s="64"/>
      <c r="K72" s="12"/>
      <c r="L72" s="62" t="str">
        <f t="shared" si="3"/>
        <v/>
      </c>
      <c r="M72" s="12"/>
      <c r="N72" s="12"/>
      <c r="O72" s="12"/>
      <c r="P72" s="12"/>
      <c r="Q72" s="12"/>
      <c r="R72" s="12"/>
      <c r="S72" s="12"/>
      <c r="T72" s="12"/>
      <c r="U72" s="12"/>
      <c r="V72" s="65"/>
      <c r="W72" s="44" t="str">
        <f t="shared" si="2"/>
        <v>OK</v>
      </c>
      <c r="X72" s="47" t="str">
        <f t="shared" si="4"/>
        <v/>
      </c>
      <c r="Y72" s="3"/>
      <c r="Z72" s="127"/>
    </row>
    <row r="73" spans="1:26" ht="15.75" hidden="1" customHeight="1" outlineLevel="1" x14ac:dyDescent="0.3">
      <c r="A73" s="3"/>
      <c r="B73" s="109" t="s">
        <v>495</v>
      </c>
      <c r="C73" s="62"/>
      <c r="D73" s="62"/>
      <c r="E73" s="12"/>
      <c r="F73" s="101"/>
      <c r="G73" s="234"/>
      <c r="H73" s="63"/>
      <c r="I73" s="63"/>
      <c r="J73" s="64"/>
      <c r="K73" s="12"/>
      <c r="L73" s="62" t="str">
        <f t="shared" si="3"/>
        <v/>
      </c>
      <c r="M73" s="12"/>
      <c r="N73" s="12"/>
      <c r="O73" s="12"/>
      <c r="P73" s="12"/>
      <c r="Q73" s="12"/>
      <c r="R73" s="12"/>
      <c r="S73" s="12"/>
      <c r="T73" s="12"/>
      <c r="U73" s="12"/>
      <c r="V73" s="65"/>
      <c r="W73" s="44" t="str">
        <f t="shared" si="2"/>
        <v>OK</v>
      </c>
      <c r="X73" s="47" t="str">
        <f t="shared" si="4"/>
        <v/>
      </c>
      <c r="Y73" s="3"/>
      <c r="Z73" s="127"/>
    </row>
    <row r="74" spans="1:26" ht="15.75" hidden="1" customHeight="1" outlineLevel="1" x14ac:dyDescent="0.3">
      <c r="A74" s="3"/>
      <c r="B74" s="150" t="s">
        <v>496</v>
      </c>
      <c r="C74" s="62"/>
      <c r="D74" s="62"/>
      <c r="E74" s="12"/>
      <c r="F74" s="101"/>
      <c r="G74" s="67"/>
      <c r="H74" s="63"/>
      <c r="I74" s="63"/>
      <c r="J74" s="64"/>
      <c r="K74" s="12"/>
      <c r="L74" s="62" t="str">
        <f t="shared" si="3"/>
        <v/>
      </c>
      <c r="M74" s="12"/>
      <c r="N74" s="12"/>
      <c r="O74" s="12"/>
      <c r="P74" s="12"/>
      <c r="Q74" s="12"/>
      <c r="R74" s="12"/>
      <c r="S74" s="12"/>
      <c r="T74" s="12"/>
      <c r="U74" s="12"/>
      <c r="V74" s="65"/>
      <c r="W74" s="44" t="str">
        <f t="shared" si="2"/>
        <v>OK</v>
      </c>
      <c r="X74" s="47" t="str">
        <f t="shared" si="4"/>
        <v/>
      </c>
      <c r="Y74" s="3"/>
      <c r="Z74" s="127"/>
    </row>
    <row r="75" spans="1:26" ht="15.75" hidden="1" customHeight="1" outlineLevel="1" x14ac:dyDescent="0.3">
      <c r="A75" s="3"/>
      <c r="B75" s="109" t="s">
        <v>497</v>
      </c>
      <c r="C75" s="62"/>
      <c r="D75" s="62"/>
      <c r="E75" s="12"/>
      <c r="F75" s="101"/>
      <c r="G75" s="67"/>
      <c r="H75" s="63"/>
      <c r="I75" s="63"/>
      <c r="J75" s="64"/>
      <c r="K75" s="12"/>
      <c r="L75" s="62" t="str">
        <f t="shared" si="3"/>
        <v/>
      </c>
      <c r="M75" s="12"/>
      <c r="N75" s="12"/>
      <c r="O75" s="12"/>
      <c r="P75" s="12"/>
      <c r="Q75" s="12"/>
      <c r="R75" s="12"/>
      <c r="S75" s="12"/>
      <c r="T75" s="12"/>
      <c r="U75" s="12"/>
      <c r="V75" s="65"/>
      <c r="W75" s="44" t="str">
        <f t="shared" si="2"/>
        <v>OK</v>
      </c>
      <c r="X75" s="47" t="str">
        <f t="shared" si="4"/>
        <v/>
      </c>
      <c r="Y75" s="3"/>
      <c r="Z75" s="127"/>
    </row>
    <row r="76" spans="1:26" ht="15.75" hidden="1" customHeight="1" outlineLevel="1" x14ac:dyDescent="0.3">
      <c r="A76" s="3"/>
      <c r="B76" s="150" t="s">
        <v>498</v>
      </c>
      <c r="C76" s="62"/>
      <c r="D76" s="62"/>
      <c r="E76" s="12"/>
      <c r="F76" s="101"/>
      <c r="G76" s="67"/>
      <c r="H76" s="63"/>
      <c r="I76" s="63"/>
      <c r="J76" s="64"/>
      <c r="K76" s="12"/>
      <c r="L76" s="62" t="str">
        <f t="shared" si="3"/>
        <v/>
      </c>
      <c r="M76" s="12"/>
      <c r="N76" s="12"/>
      <c r="O76" s="12"/>
      <c r="P76" s="12"/>
      <c r="Q76" s="12"/>
      <c r="R76" s="12"/>
      <c r="S76" s="12"/>
      <c r="T76" s="12"/>
      <c r="U76" s="12"/>
      <c r="V76" s="65"/>
      <c r="W76" s="44" t="str">
        <f t="shared" si="2"/>
        <v>OK</v>
      </c>
      <c r="X76" s="47" t="str">
        <f t="shared" si="4"/>
        <v/>
      </c>
      <c r="Y76" s="3"/>
      <c r="Z76" s="127"/>
    </row>
    <row r="77" spans="1:26" ht="15.75" hidden="1" customHeight="1" outlineLevel="1" x14ac:dyDescent="0.3">
      <c r="A77" s="3"/>
      <c r="B77" s="109" t="s">
        <v>499</v>
      </c>
      <c r="C77" s="62"/>
      <c r="D77" s="62"/>
      <c r="E77" s="12"/>
      <c r="F77" s="101"/>
      <c r="G77" s="69"/>
      <c r="H77" s="63"/>
      <c r="I77" s="63"/>
      <c r="J77" s="64"/>
      <c r="K77" s="12"/>
      <c r="L77" s="62" t="str">
        <f t="shared" si="3"/>
        <v/>
      </c>
      <c r="M77" s="12"/>
      <c r="N77" s="12"/>
      <c r="O77" s="12"/>
      <c r="P77" s="12"/>
      <c r="Q77" s="12"/>
      <c r="R77" s="12"/>
      <c r="S77" s="12"/>
      <c r="T77" s="12"/>
      <c r="U77" s="12"/>
      <c r="V77" s="65"/>
      <c r="W77" s="44" t="str">
        <f t="shared" si="2"/>
        <v>OK</v>
      </c>
      <c r="X77" s="47" t="str">
        <f t="shared" si="4"/>
        <v/>
      </c>
      <c r="Y77" s="3"/>
      <c r="Z77" s="127"/>
    </row>
    <row r="78" spans="1:26" ht="15.75" hidden="1" customHeight="1" outlineLevel="1" x14ac:dyDescent="0.3">
      <c r="A78" s="3"/>
      <c r="B78" s="150" t="s">
        <v>500</v>
      </c>
      <c r="C78" s="62"/>
      <c r="D78" s="62"/>
      <c r="E78" s="12"/>
      <c r="F78" s="101"/>
      <c r="G78" s="235"/>
      <c r="H78" s="63"/>
      <c r="I78" s="63"/>
      <c r="J78" s="64"/>
      <c r="K78" s="12"/>
      <c r="L78" s="62" t="str">
        <f t="shared" si="3"/>
        <v/>
      </c>
      <c r="M78" s="12"/>
      <c r="N78" s="12"/>
      <c r="O78" s="12"/>
      <c r="P78" s="12"/>
      <c r="Q78" s="12"/>
      <c r="R78" s="12"/>
      <c r="S78" s="12"/>
      <c r="T78" s="12"/>
      <c r="U78" s="12"/>
      <c r="V78" s="65"/>
      <c r="W78" s="44" t="str">
        <f t="shared" si="2"/>
        <v>OK</v>
      </c>
      <c r="X78" s="47" t="str">
        <f t="shared" si="4"/>
        <v/>
      </c>
      <c r="Y78" s="3"/>
      <c r="Z78" s="127"/>
    </row>
    <row r="79" spans="1:26" ht="15.75" hidden="1" customHeight="1" outlineLevel="1" x14ac:dyDescent="0.3">
      <c r="A79" s="3"/>
      <c r="B79" s="150" t="s">
        <v>501</v>
      </c>
      <c r="C79" s="62"/>
      <c r="D79" s="62"/>
      <c r="E79" s="12"/>
      <c r="F79" s="101"/>
      <c r="G79" s="234"/>
      <c r="H79" s="63"/>
      <c r="I79" s="63"/>
      <c r="J79" s="64"/>
      <c r="K79" s="12"/>
      <c r="L79" s="62" t="str">
        <f t="shared" si="3"/>
        <v/>
      </c>
      <c r="M79" s="12"/>
      <c r="N79" s="12"/>
      <c r="O79" s="12"/>
      <c r="P79" s="12"/>
      <c r="Q79" s="12"/>
      <c r="R79" s="12"/>
      <c r="S79" s="12"/>
      <c r="T79" s="12"/>
      <c r="U79" s="12"/>
      <c r="V79" s="65"/>
      <c r="W79" s="44" t="str">
        <f t="shared" si="2"/>
        <v>OK</v>
      </c>
      <c r="X79" s="47" t="str">
        <f t="shared" si="4"/>
        <v/>
      </c>
      <c r="Y79" s="3"/>
      <c r="Z79" s="127"/>
    </row>
    <row r="80" spans="1:26" ht="15.75" hidden="1" customHeight="1" outlineLevel="1" x14ac:dyDescent="0.3">
      <c r="A80" s="3"/>
      <c r="B80" s="109" t="s">
        <v>502</v>
      </c>
      <c r="C80" s="62"/>
      <c r="D80" s="62"/>
      <c r="E80" s="12"/>
      <c r="F80" s="101"/>
      <c r="G80" s="232"/>
      <c r="H80" s="63"/>
      <c r="I80" s="63"/>
      <c r="J80" s="64"/>
      <c r="K80" s="12"/>
      <c r="L80" s="62" t="str">
        <f t="shared" si="3"/>
        <v/>
      </c>
      <c r="M80" s="12"/>
      <c r="N80" s="12"/>
      <c r="O80" s="12"/>
      <c r="P80" s="12"/>
      <c r="Q80" s="12"/>
      <c r="R80" s="12"/>
      <c r="S80" s="12"/>
      <c r="T80" s="12"/>
      <c r="U80" s="12"/>
      <c r="V80" s="65"/>
      <c r="W80" s="44" t="str">
        <f t="shared" si="2"/>
        <v>OK</v>
      </c>
      <c r="X80" s="47" t="str">
        <f t="shared" si="4"/>
        <v/>
      </c>
      <c r="Y80" s="3"/>
      <c r="Z80" s="127"/>
    </row>
    <row r="81" spans="1:26" ht="15.75" hidden="1" customHeight="1" outlineLevel="1" x14ac:dyDescent="0.3">
      <c r="A81" s="3"/>
      <c r="B81" s="109" t="s">
        <v>503</v>
      </c>
      <c r="C81" s="62"/>
      <c r="D81" s="62"/>
      <c r="E81" s="12"/>
      <c r="F81" s="101"/>
      <c r="G81" s="234"/>
      <c r="H81" s="63"/>
      <c r="I81" s="63"/>
      <c r="J81" s="64"/>
      <c r="K81" s="12"/>
      <c r="L81" s="62" t="str">
        <f t="shared" si="3"/>
        <v/>
      </c>
      <c r="M81" s="12"/>
      <c r="N81" s="12"/>
      <c r="O81" s="12"/>
      <c r="P81" s="12"/>
      <c r="Q81" s="12"/>
      <c r="R81" s="12"/>
      <c r="S81" s="12"/>
      <c r="T81" s="12"/>
      <c r="U81" s="12"/>
      <c r="V81" s="65"/>
      <c r="W81" s="44" t="str">
        <f t="shared" si="2"/>
        <v>OK</v>
      </c>
      <c r="X81" s="47" t="str">
        <f t="shared" si="4"/>
        <v/>
      </c>
      <c r="Y81" s="3"/>
      <c r="Z81" s="127"/>
    </row>
    <row r="82" spans="1:26" ht="15.75" hidden="1" customHeight="1" outlineLevel="1" x14ac:dyDescent="0.3">
      <c r="A82" s="3"/>
      <c r="B82" s="150" t="s">
        <v>504</v>
      </c>
      <c r="C82" s="62"/>
      <c r="D82" s="62"/>
      <c r="E82" s="12"/>
      <c r="F82" s="101"/>
      <c r="G82" s="232"/>
      <c r="H82" s="63"/>
      <c r="I82" s="63"/>
      <c r="J82" s="64"/>
      <c r="K82" s="12"/>
      <c r="L82" s="62" t="str">
        <f t="shared" si="3"/>
        <v/>
      </c>
      <c r="M82" s="12"/>
      <c r="N82" s="12"/>
      <c r="O82" s="12"/>
      <c r="P82" s="12"/>
      <c r="Q82" s="12"/>
      <c r="R82" s="12"/>
      <c r="S82" s="12"/>
      <c r="T82" s="12"/>
      <c r="U82" s="12"/>
      <c r="V82" s="65"/>
      <c r="W82" s="44" t="str">
        <f t="shared" si="2"/>
        <v>OK</v>
      </c>
      <c r="X82" s="47" t="str">
        <f t="shared" si="4"/>
        <v/>
      </c>
      <c r="Y82" s="3"/>
      <c r="Z82" s="127"/>
    </row>
    <row r="83" spans="1:26" ht="15.75" hidden="1" customHeight="1" outlineLevel="1" x14ac:dyDescent="0.3">
      <c r="A83" s="3"/>
      <c r="B83" s="150" t="s">
        <v>506</v>
      </c>
      <c r="C83" s="62"/>
      <c r="D83" s="62"/>
      <c r="E83" s="12"/>
      <c r="F83" s="101"/>
      <c r="G83" s="234"/>
      <c r="H83" s="63"/>
      <c r="I83" s="63"/>
      <c r="J83" s="64"/>
      <c r="K83" s="12"/>
      <c r="L83" s="62" t="str">
        <f t="shared" si="3"/>
        <v/>
      </c>
      <c r="M83" s="12"/>
      <c r="N83" s="12"/>
      <c r="O83" s="12"/>
      <c r="P83" s="12"/>
      <c r="Q83" s="12"/>
      <c r="R83" s="12"/>
      <c r="S83" s="12"/>
      <c r="T83" s="12"/>
      <c r="U83" s="12"/>
      <c r="V83" s="65"/>
      <c r="W83" s="44" t="str">
        <f t="shared" si="2"/>
        <v>OK</v>
      </c>
      <c r="X83" s="47" t="str">
        <f t="shared" si="4"/>
        <v/>
      </c>
      <c r="Y83" s="3"/>
      <c r="Z83" s="127"/>
    </row>
    <row r="84" spans="1:26" ht="15.75" hidden="1" customHeight="1" outlineLevel="1" x14ac:dyDescent="0.3">
      <c r="A84" s="3"/>
      <c r="B84" s="109" t="s">
        <v>507</v>
      </c>
      <c r="C84" s="62"/>
      <c r="D84" s="62"/>
      <c r="E84" s="12"/>
      <c r="F84" s="101"/>
      <c r="G84" s="67"/>
      <c r="H84" s="63"/>
      <c r="I84" s="63"/>
      <c r="J84" s="64"/>
      <c r="K84" s="12"/>
      <c r="L84" s="62" t="str">
        <f t="shared" si="3"/>
        <v/>
      </c>
      <c r="M84" s="12"/>
      <c r="N84" s="12"/>
      <c r="O84" s="12"/>
      <c r="P84" s="12"/>
      <c r="Q84" s="12"/>
      <c r="R84" s="12"/>
      <c r="S84" s="12"/>
      <c r="T84" s="12"/>
      <c r="U84" s="12"/>
      <c r="V84" s="65"/>
      <c r="W84" s="44" t="str">
        <f t="shared" si="2"/>
        <v>OK</v>
      </c>
      <c r="X84" s="47" t="str">
        <f t="shared" si="4"/>
        <v/>
      </c>
      <c r="Y84" s="3"/>
      <c r="Z84" s="127"/>
    </row>
    <row r="85" spans="1:26" ht="15.75" hidden="1" customHeight="1" outlineLevel="1" x14ac:dyDescent="0.3">
      <c r="A85" s="3"/>
      <c r="B85" s="150" t="s">
        <v>508</v>
      </c>
      <c r="C85" s="62"/>
      <c r="D85" s="62"/>
      <c r="E85" s="12"/>
      <c r="F85" s="101"/>
      <c r="G85" s="232"/>
      <c r="H85" s="63"/>
      <c r="I85" s="63"/>
      <c r="J85" s="64"/>
      <c r="K85" s="12"/>
      <c r="L85" s="62" t="str">
        <f t="shared" si="3"/>
        <v/>
      </c>
      <c r="M85" s="12"/>
      <c r="N85" s="12"/>
      <c r="O85" s="12"/>
      <c r="P85" s="12"/>
      <c r="Q85" s="12"/>
      <c r="R85" s="12"/>
      <c r="S85" s="12"/>
      <c r="T85" s="12"/>
      <c r="U85" s="12"/>
      <c r="V85" s="65"/>
      <c r="W85" s="44" t="str">
        <f t="shared" si="2"/>
        <v>OK</v>
      </c>
      <c r="X85" s="47" t="str">
        <f t="shared" si="4"/>
        <v/>
      </c>
      <c r="Y85" s="3"/>
      <c r="Z85" s="127"/>
    </row>
    <row r="86" spans="1:26" ht="15.75" hidden="1" customHeight="1" outlineLevel="1" x14ac:dyDescent="0.3">
      <c r="A86" s="3"/>
      <c r="B86" s="150" t="s">
        <v>509</v>
      </c>
      <c r="C86" s="62"/>
      <c r="D86" s="62"/>
      <c r="E86" s="12"/>
      <c r="F86" s="101"/>
      <c r="G86" s="234"/>
      <c r="H86" s="63"/>
      <c r="I86" s="63"/>
      <c r="J86" s="64"/>
      <c r="K86" s="12"/>
      <c r="L86" s="62" t="str">
        <f t="shared" si="3"/>
        <v/>
      </c>
      <c r="M86" s="12"/>
      <c r="N86" s="12"/>
      <c r="O86" s="12"/>
      <c r="P86" s="12"/>
      <c r="Q86" s="12"/>
      <c r="R86" s="12"/>
      <c r="S86" s="12"/>
      <c r="T86" s="12"/>
      <c r="U86" s="12"/>
      <c r="V86" s="65"/>
      <c r="W86" s="44" t="str">
        <f t="shared" si="2"/>
        <v>OK</v>
      </c>
      <c r="X86" s="47" t="str">
        <f t="shared" si="4"/>
        <v/>
      </c>
      <c r="Y86" s="3"/>
      <c r="Z86" s="127"/>
    </row>
    <row r="87" spans="1:26" ht="15.75" hidden="1" customHeight="1" outlineLevel="1" x14ac:dyDescent="0.3">
      <c r="A87" s="3"/>
      <c r="B87" s="109" t="s">
        <v>1515</v>
      </c>
      <c r="C87" s="62"/>
      <c r="D87" s="62"/>
      <c r="E87" s="12"/>
      <c r="F87" s="101"/>
      <c r="G87" s="67"/>
      <c r="H87" s="63"/>
      <c r="I87" s="63"/>
      <c r="J87" s="64"/>
      <c r="K87" s="12"/>
      <c r="L87" s="62" t="str">
        <f t="shared" si="3"/>
        <v/>
      </c>
      <c r="M87" s="12"/>
      <c r="N87" s="12"/>
      <c r="O87" s="12"/>
      <c r="P87" s="12"/>
      <c r="Q87" s="12"/>
      <c r="R87" s="12"/>
      <c r="S87" s="12"/>
      <c r="T87" s="12"/>
      <c r="U87" s="12"/>
      <c r="V87" s="65"/>
      <c r="W87" s="44" t="str">
        <f t="shared" si="2"/>
        <v>OK</v>
      </c>
      <c r="X87" s="47" t="str">
        <f t="shared" si="4"/>
        <v/>
      </c>
      <c r="Y87" s="3"/>
      <c r="Z87" s="127"/>
    </row>
    <row r="88" spans="1:26" ht="15.75" hidden="1" customHeight="1" outlineLevel="1" x14ac:dyDescent="0.3">
      <c r="A88" s="3"/>
      <c r="B88" s="150" t="s">
        <v>510</v>
      </c>
      <c r="C88" s="62"/>
      <c r="D88" s="62"/>
      <c r="E88" s="12"/>
      <c r="F88" s="101"/>
      <c r="G88" s="67"/>
      <c r="H88" s="63"/>
      <c r="I88" s="63"/>
      <c r="J88" s="64"/>
      <c r="K88" s="12"/>
      <c r="L88" s="62" t="str">
        <f t="shared" si="3"/>
        <v/>
      </c>
      <c r="M88" s="12"/>
      <c r="N88" s="12"/>
      <c r="O88" s="12"/>
      <c r="P88" s="12"/>
      <c r="Q88" s="12"/>
      <c r="R88" s="12"/>
      <c r="S88" s="12"/>
      <c r="T88" s="12"/>
      <c r="U88" s="12"/>
      <c r="V88" s="65"/>
      <c r="W88" s="44" t="str">
        <f t="shared" si="2"/>
        <v>OK</v>
      </c>
      <c r="X88" s="47" t="str">
        <f t="shared" si="4"/>
        <v/>
      </c>
      <c r="Y88" s="3"/>
      <c r="Z88" s="127"/>
    </row>
    <row r="89" spans="1:26" ht="15.75" hidden="1" customHeight="1" outlineLevel="1" x14ac:dyDescent="0.3">
      <c r="A89" s="3"/>
      <c r="B89" s="109" t="s">
        <v>512</v>
      </c>
      <c r="C89" s="62"/>
      <c r="D89" s="62"/>
      <c r="E89" s="12"/>
      <c r="F89" s="101"/>
      <c r="G89" s="232"/>
      <c r="H89" s="63"/>
      <c r="I89" s="63"/>
      <c r="J89" s="64"/>
      <c r="K89" s="12"/>
      <c r="L89" s="62" t="str">
        <f t="shared" si="3"/>
        <v/>
      </c>
      <c r="M89" s="12"/>
      <c r="N89" s="12"/>
      <c r="O89" s="12"/>
      <c r="P89" s="12"/>
      <c r="Q89" s="12"/>
      <c r="R89" s="12"/>
      <c r="S89" s="12"/>
      <c r="T89" s="12"/>
      <c r="U89" s="12"/>
      <c r="V89" s="65"/>
      <c r="W89" s="44" t="str">
        <f t="shared" si="2"/>
        <v>OK</v>
      </c>
      <c r="X89" s="47" t="str">
        <f t="shared" si="4"/>
        <v/>
      </c>
      <c r="Y89" s="3"/>
      <c r="Z89" s="127"/>
    </row>
    <row r="90" spans="1:26" ht="15.75" hidden="1" customHeight="1" outlineLevel="1" x14ac:dyDescent="0.3">
      <c r="A90" s="3"/>
      <c r="B90" s="109" t="s">
        <v>513</v>
      </c>
      <c r="C90" s="62"/>
      <c r="D90" s="62"/>
      <c r="E90" s="12"/>
      <c r="F90" s="101"/>
      <c r="G90" s="234"/>
      <c r="H90" s="63"/>
      <c r="I90" s="63"/>
      <c r="J90" s="64"/>
      <c r="K90" s="12"/>
      <c r="L90" s="62" t="str">
        <f t="shared" si="3"/>
        <v/>
      </c>
      <c r="M90" s="12"/>
      <c r="N90" s="12"/>
      <c r="O90" s="12"/>
      <c r="P90" s="12"/>
      <c r="Q90" s="12"/>
      <c r="R90" s="12"/>
      <c r="S90" s="12"/>
      <c r="T90" s="12"/>
      <c r="U90" s="12"/>
      <c r="V90" s="65"/>
      <c r="W90" s="44" t="str">
        <f t="shared" si="2"/>
        <v>OK</v>
      </c>
      <c r="X90" s="47" t="str">
        <f t="shared" si="4"/>
        <v/>
      </c>
      <c r="Y90" s="3"/>
      <c r="Z90" s="127"/>
    </row>
    <row r="91" spans="1:26" ht="15.75" hidden="1" customHeight="1" outlineLevel="1" x14ac:dyDescent="0.3">
      <c r="A91" s="3"/>
      <c r="B91" s="150" t="s">
        <v>514</v>
      </c>
      <c r="C91" s="62"/>
      <c r="D91" s="62"/>
      <c r="E91" s="12"/>
      <c r="F91" s="101"/>
      <c r="G91" s="67"/>
      <c r="H91" s="63"/>
      <c r="I91" s="63"/>
      <c r="J91" s="64"/>
      <c r="K91" s="12"/>
      <c r="L91" s="62" t="str">
        <f t="shared" si="3"/>
        <v/>
      </c>
      <c r="M91" s="12"/>
      <c r="N91" s="12"/>
      <c r="O91" s="12"/>
      <c r="P91" s="12"/>
      <c r="Q91" s="12"/>
      <c r="R91" s="12"/>
      <c r="S91" s="12"/>
      <c r="T91" s="12"/>
      <c r="U91" s="12"/>
      <c r="V91" s="65"/>
      <c r="W91" s="44" t="str">
        <f t="shared" si="2"/>
        <v>OK</v>
      </c>
      <c r="X91" s="47" t="str">
        <f t="shared" si="4"/>
        <v/>
      </c>
      <c r="Y91" s="3"/>
      <c r="Z91" s="127"/>
    </row>
    <row r="92" spans="1:26" ht="15.75" hidden="1" customHeight="1" outlineLevel="1" x14ac:dyDescent="0.3">
      <c r="A92" s="3"/>
      <c r="B92" s="109" t="s">
        <v>515</v>
      </c>
      <c r="C92" s="62"/>
      <c r="D92" s="62"/>
      <c r="E92" s="12"/>
      <c r="F92" s="101"/>
      <c r="G92" s="232"/>
      <c r="H92" s="63"/>
      <c r="I92" s="63"/>
      <c r="J92" s="64"/>
      <c r="K92" s="12"/>
      <c r="L92" s="62" t="str">
        <f t="shared" si="3"/>
        <v/>
      </c>
      <c r="M92" s="12"/>
      <c r="N92" s="12"/>
      <c r="O92" s="12"/>
      <c r="P92" s="12"/>
      <c r="Q92" s="12"/>
      <c r="R92" s="12"/>
      <c r="S92" s="12"/>
      <c r="T92" s="12"/>
      <c r="U92" s="12"/>
      <c r="V92" s="65"/>
      <c r="W92" s="44" t="str">
        <f t="shared" si="2"/>
        <v>OK</v>
      </c>
      <c r="X92" s="47" t="str">
        <f t="shared" si="4"/>
        <v/>
      </c>
      <c r="Y92" s="3"/>
      <c r="Z92" s="127"/>
    </row>
    <row r="93" spans="1:26" ht="15.75" hidden="1" customHeight="1" outlineLevel="1" x14ac:dyDescent="0.3">
      <c r="A93" s="3"/>
      <c r="B93" s="109" t="s">
        <v>516</v>
      </c>
      <c r="C93" s="62"/>
      <c r="D93" s="62"/>
      <c r="E93" s="12"/>
      <c r="F93" s="101"/>
      <c r="G93" s="234"/>
      <c r="H93" s="63"/>
      <c r="I93" s="63"/>
      <c r="J93" s="64"/>
      <c r="K93" s="12"/>
      <c r="L93" s="62" t="str">
        <f t="shared" si="3"/>
        <v/>
      </c>
      <c r="M93" s="12"/>
      <c r="N93" s="12"/>
      <c r="O93" s="12"/>
      <c r="P93" s="12"/>
      <c r="Q93" s="12"/>
      <c r="R93" s="12"/>
      <c r="S93" s="12"/>
      <c r="T93" s="12"/>
      <c r="U93" s="12"/>
      <c r="V93" s="65"/>
      <c r="W93" s="44" t="str">
        <f t="shared" si="2"/>
        <v>OK</v>
      </c>
      <c r="X93" s="47" t="str">
        <f t="shared" si="4"/>
        <v/>
      </c>
      <c r="Y93" s="3"/>
      <c r="Z93" s="127"/>
    </row>
    <row r="94" spans="1:26" ht="15.75" hidden="1" customHeight="1" outlineLevel="1" x14ac:dyDescent="0.3">
      <c r="A94" s="3"/>
      <c r="B94" s="150" t="s">
        <v>517</v>
      </c>
      <c r="C94" s="62"/>
      <c r="D94" s="62"/>
      <c r="E94" s="12"/>
      <c r="F94" s="101"/>
      <c r="G94" s="67"/>
      <c r="H94" s="63"/>
      <c r="I94" s="63"/>
      <c r="J94" s="64"/>
      <c r="K94" s="12"/>
      <c r="L94" s="62" t="str">
        <f t="shared" si="3"/>
        <v/>
      </c>
      <c r="M94" s="12"/>
      <c r="N94" s="12"/>
      <c r="O94" s="12"/>
      <c r="P94" s="12"/>
      <c r="Q94" s="12"/>
      <c r="R94" s="12"/>
      <c r="S94" s="12"/>
      <c r="T94" s="12"/>
      <c r="U94" s="12"/>
      <c r="V94" s="65"/>
      <c r="W94" s="44" t="str">
        <f t="shared" si="2"/>
        <v>OK</v>
      </c>
      <c r="X94" s="47" t="str">
        <f t="shared" si="4"/>
        <v/>
      </c>
      <c r="Y94" s="3"/>
      <c r="Z94" s="127"/>
    </row>
    <row r="95" spans="1:26" ht="15.75" hidden="1" customHeight="1" outlineLevel="1" x14ac:dyDescent="0.3">
      <c r="A95" s="3"/>
      <c r="B95" s="109" t="s">
        <v>518</v>
      </c>
      <c r="C95" s="80"/>
      <c r="D95" s="62"/>
      <c r="E95" s="12"/>
      <c r="F95" s="101"/>
      <c r="G95" s="67"/>
      <c r="H95" s="63"/>
      <c r="I95" s="63"/>
      <c r="J95" s="64"/>
      <c r="K95" s="12"/>
      <c r="L95" s="62" t="str">
        <f t="shared" si="3"/>
        <v/>
      </c>
      <c r="M95" s="12"/>
      <c r="N95" s="12"/>
      <c r="O95" s="12"/>
      <c r="P95" s="12"/>
      <c r="Q95" s="12"/>
      <c r="R95" s="12"/>
      <c r="S95" s="12"/>
      <c r="T95" s="12"/>
      <c r="U95" s="12"/>
      <c r="V95" s="65"/>
      <c r="W95" s="44" t="str">
        <f t="shared" si="2"/>
        <v>OK</v>
      </c>
      <c r="X95" s="47" t="str">
        <f t="shared" si="4"/>
        <v/>
      </c>
      <c r="Y95" s="3"/>
      <c r="Z95" s="127"/>
    </row>
    <row r="96" spans="1:26" ht="15.75" hidden="1" customHeight="1" outlineLevel="1" x14ac:dyDescent="0.3">
      <c r="A96" s="3"/>
      <c r="B96" s="150" t="s">
        <v>519</v>
      </c>
      <c r="C96" s="62"/>
      <c r="D96" s="62"/>
      <c r="E96" s="12"/>
      <c r="F96" s="101"/>
      <c r="G96" s="67"/>
      <c r="H96" s="63"/>
      <c r="I96" s="63"/>
      <c r="J96" s="64"/>
      <c r="K96" s="12"/>
      <c r="L96" s="62" t="str">
        <f t="shared" si="3"/>
        <v/>
      </c>
      <c r="M96" s="12"/>
      <c r="N96" s="12"/>
      <c r="O96" s="12"/>
      <c r="P96" s="12"/>
      <c r="Q96" s="12"/>
      <c r="R96" s="12"/>
      <c r="S96" s="12"/>
      <c r="T96" s="12"/>
      <c r="U96" s="12"/>
      <c r="V96" s="65"/>
      <c r="W96" s="44" t="str">
        <f t="shared" si="2"/>
        <v>OK</v>
      </c>
      <c r="X96" s="47" t="str">
        <f t="shared" si="4"/>
        <v/>
      </c>
      <c r="Y96" s="3"/>
      <c r="Z96" s="127"/>
    </row>
    <row r="97" spans="1:26" ht="15.75" hidden="1" customHeight="1" outlineLevel="1" x14ac:dyDescent="0.3">
      <c r="A97" s="3"/>
      <c r="B97" s="109" t="s">
        <v>520</v>
      </c>
      <c r="C97" s="62"/>
      <c r="D97" s="62"/>
      <c r="E97" s="12"/>
      <c r="F97" s="101"/>
      <c r="G97" s="70"/>
      <c r="H97" s="63"/>
      <c r="I97" s="63"/>
      <c r="J97" s="64"/>
      <c r="K97" s="12"/>
      <c r="L97" s="62" t="str">
        <f t="shared" si="3"/>
        <v/>
      </c>
      <c r="M97" s="12"/>
      <c r="N97" s="12"/>
      <c r="O97" s="12"/>
      <c r="P97" s="12"/>
      <c r="Q97" s="12"/>
      <c r="R97" s="12"/>
      <c r="S97" s="12"/>
      <c r="T97" s="12"/>
      <c r="U97" s="12"/>
      <c r="V97" s="65"/>
      <c r="W97" s="44" t="str">
        <f t="shared" si="2"/>
        <v>OK</v>
      </c>
      <c r="X97" s="47" t="str">
        <f t="shared" si="4"/>
        <v/>
      </c>
      <c r="Y97" s="3"/>
      <c r="Z97" s="127"/>
    </row>
    <row r="98" spans="1:26" ht="15.75" hidden="1" customHeight="1" outlineLevel="1" x14ac:dyDescent="0.3">
      <c r="A98" s="3"/>
      <c r="B98" s="150" t="s">
        <v>522</v>
      </c>
      <c r="C98" s="62"/>
      <c r="D98" s="62"/>
      <c r="E98" s="12"/>
      <c r="F98" s="101"/>
      <c r="G98" s="67"/>
      <c r="H98" s="63"/>
      <c r="I98" s="63"/>
      <c r="J98" s="64"/>
      <c r="K98" s="12"/>
      <c r="L98" s="62" t="str">
        <f t="shared" si="3"/>
        <v/>
      </c>
      <c r="M98" s="12"/>
      <c r="N98" s="12"/>
      <c r="O98" s="12"/>
      <c r="P98" s="12"/>
      <c r="Q98" s="12"/>
      <c r="R98" s="12"/>
      <c r="S98" s="12"/>
      <c r="T98" s="12"/>
      <c r="U98" s="12"/>
      <c r="V98" s="65"/>
      <c r="W98" s="44" t="str">
        <f t="shared" si="2"/>
        <v>OK</v>
      </c>
      <c r="X98" s="47" t="str">
        <f t="shared" si="4"/>
        <v/>
      </c>
      <c r="Y98" s="3"/>
      <c r="Z98" s="3"/>
    </row>
    <row r="99" spans="1:26" ht="15.75" hidden="1" customHeight="1" outlineLevel="1" x14ac:dyDescent="0.3">
      <c r="A99" s="3"/>
      <c r="B99" s="109" t="s">
        <v>523</v>
      </c>
      <c r="C99" s="62"/>
      <c r="D99" s="62"/>
      <c r="E99" s="12"/>
      <c r="F99" s="101"/>
      <c r="G99" s="67"/>
      <c r="H99" s="63"/>
      <c r="I99" s="63"/>
      <c r="J99" s="64"/>
      <c r="K99" s="62"/>
      <c r="L99" s="62" t="str">
        <f t="shared" si="3"/>
        <v/>
      </c>
      <c r="M99" s="12"/>
      <c r="N99" s="12"/>
      <c r="O99" s="12"/>
      <c r="P99" s="12"/>
      <c r="Q99" s="12"/>
      <c r="R99" s="12"/>
      <c r="S99" s="12"/>
      <c r="T99" s="12"/>
      <c r="U99" s="12"/>
      <c r="V99" s="65"/>
      <c r="W99" s="44" t="str">
        <f t="shared" si="2"/>
        <v>OK</v>
      </c>
      <c r="X99" s="47" t="str">
        <f t="shared" si="4"/>
        <v/>
      </c>
      <c r="Y99" s="3"/>
      <c r="Z99" s="3"/>
    </row>
    <row r="100" spans="1:26" ht="15.75" hidden="1" customHeight="1" outlineLevel="1" x14ac:dyDescent="0.3">
      <c r="A100" s="3"/>
      <c r="B100" s="150" t="s">
        <v>524</v>
      </c>
      <c r="C100" s="62"/>
      <c r="D100" s="62"/>
      <c r="E100" s="12"/>
      <c r="F100" s="101"/>
      <c r="G100" s="235"/>
      <c r="H100" s="63"/>
      <c r="I100" s="63"/>
      <c r="J100" s="64"/>
      <c r="K100" s="62"/>
      <c r="L100" s="62" t="str">
        <f t="shared" si="3"/>
        <v/>
      </c>
      <c r="M100" s="12"/>
      <c r="N100" s="12"/>
      <c r="O100" s="12"/>
      <c r="P100" s="12"/>
      <c r="Q100" s="12"/>
      <c r="R100" s="12"/>
      <c r="S100" s="12"/>
      <c r="T100" s="12"/>
      <c r="U100" s="12"/>
      <c r="V100" s="65"/>
      <c r="W100" s="44" t="str">
        <f t="shared" si="2"/>
        <v>OK</v>
      </c>
      <c r="X100" s="47" t="str">
        <f t="shared" si="4"/>
        <v/>
      </c>
      <c r="Y100" s="3"/>
      <c r="Z100" s="3"/>
    </row>
    <row r="101" spans="1:26" ht="15.75" hidden="1" customHeight="1" outlineLevel="1" x14ac:dyDescent="0.3">
      <c r="A101" s="3"/>
      <c r="B101" s="150" t="s">
        <v>525</v>
      </c>
      <c r="C101" s="62"/>
      <c r="D101" s="62"/>
      <c r="E101" s="12"/>
      <c r="F101" s="101"/>
      <c r="G101" s="234"/>
      <c r="H101" s="63"/>
      <c r="I101" s="63"/>
      <c r="J101" s="64"/>
      <c r="K101" s="62"/>
      <c r="L101" s="62" t="str">
        <f t="shared" si="3"/>
        <v/>
      </c>
      <c r="M101" s="12"/>
      <c r="N101" s="12"/>
      <c r="O101" s="12"/>
      <c r="P101" s="12"/>
      <c r="Q101" s="12"/>
      <c r="R101" s="12"/>
      <c r="S101" s="12"/>
      <c r="T101" s="12"/>
      <c r="U101" s="12"/>
      <c r="V101" s="65"/>
      <c r="W101" s="44" t="str">
        <f t="shared" si="2"/>
        <v>OK</v>
      </c>
      <c r="X101" s="47" t="str">
        <f t="shared" si="4"/>
        <v/>
      </c>
      <c r="Y101" s="3"/>
      <c r="Z101" s="3"/>
    </row>
    <row r="102" spans="1:26" ht="15.75" hidden="1" customHeight="1" outlineLevel="1" x14ac:dyDescent="0.3">
      <c r="A102" s="3"/>
      <c r="B102" s="109" t="s">
        <v>526</v>
      </c>
      <c r="C102" s="62"/>
      <c r="D102" s="62"/>
      <c r="E102" s="12"/>
      <c r="F102" s="12"/>
      <c r="G102" s="67"/>
      <c r="H102" s="63"/>
      <c r="I102" s="63"/>
      <c r="J102" s="64"/>
      <c r="K102" s="62"/>
      <c r="L102" s="62" t="str">
        <f t="shared" si="3"/>
        <v/>
      </c>
      <c r="M102" s="12"/>
      <c r="N102" s="12"/>
      <c r="O102" s="12"/>
      <c r="P102" s="12"/>
      <c r="Q102" s="12"/>
      <c r="R102" s="12"/>
      <c r="S102" s="12"/>
      <c r="T102" s="12"/>
      <c r="U102" s="12"/>
      <c r="V102" s="65"/>
      <c r="W102" s="44" t="str">
        <f t="shared" si="2"/>
        <v>OK</v>
      </c>
      <c r="X102" s="47" t="str">
        <f t="shared" si="4"/>
        <v/>
      </c>
      <c r="Y102" s="3"/>
      <c r="Z102" s="3"/>
    </row>
    <row r="103" spans="1:26" ht="15.75" hidden="1" customHeight="1" outlineLevel="1" x14ac:dyDescent="0.3">
      <c r="A103" s="3"/>
      <c r="B103" s="150" t="s">
        <v>527</v>
      </c>
      <c r="C103" s="62"/>
      <c r="D103" s="62"/>
      <c r="E103" s="12"/>
      <c r="F103" s="12"/>
      <c r="G103" s="67"/>
      <c r="H103" s="63"/>
      <c r="I103" s="63"/>
      <c r="J103" s="64"/>
      <c r="K103" s="62"/>
      <c r="L103" s="62" t="str">
        <f t="shared" si="3"/>
        <v/>
      </c>
      <c r="M103" s="12"/>
      <c r="N103" s="12"/>
      <c r="O103" s="12"/>
      <c r="P103" s="12"/>
      <c r="Q103" s="12"/>
      <c r="R103" s="12"/>
      <c r="S103" s="12"/>
      <c r="T103" s="12"/>
      <c r="U103" s="12"/>
      <c r="V103" s="65"/>
      <c r="W103" s="44" t="str">
        <f t="shared" si="2"/>
        <v>OK</v>
      </c>
      <c r="X103" s="47" t="str">
        <f t="shared" si="4"/>
        <v/>
      </c>
      <c r="Y103" s="3"/>
      <c r="Z103" s="3"/>
    </row>
    <row r="104" spans="1:26" ht="15.75" hidden="1" customHeight="1" outlineLevel="1" x14ac:dyDescent="0.3">
      <c r="A104" s="3"/>
      <c r="B104" s="10"/>
      <c r="C104" s="62"/>
      <c r="D104" s="62"/>
      <c r="E104" s="12"/>
      <c r="F104" s="12"/>
      <c r="G104" s="67"/>
      <c r="H104" s="63"/>
      <c r="I104" s="63"/>
      <c r="J104" s="64"/>
      <c r="K104" s="62"/>
      <c r="L104" s="62" t="str">
        <f t="shared" si="3"/>
        <v/>
      </c>
      <c r="M104" s="12"/>
      <c r="N104" s="12"/>
      <c r="O104" s="12"/>
      <c r="P104" s="12"/>
      <c r="Q104" s="12"/>
      <c r="R104" s="12"/>
      <c r="S104" s="12"/>
      <c r="T104" s="12"/>
      <c r="U104" s="12"/>
      <c r="V104" s="62"/>
      <c r="W104" s="44" t="str">
        <f t="shared" si="2"/>
        <v>OK</v>
      </c>
      <c r="X104" s="47" t="str">
        <f t="shared" si="4"/>
        <v/>
      </c>
      <c r="Y104" s="3"/>
      <c r="Z104" s="3"/>
    </row>
    <row r="105" spans="1:26" ht="15.75" hidden="1" customHeight="1" outlineLevel="1" x14ac:dyDescent="0.3">
      <c r="A105" s="3"/>
      <c r="B105" s="10"/>
      <c r="C105" s="62"/>
      <c r="D105" s="62"/>
      <c r="E105" s="12"/>
      <c r="F105" s="12"/>
      <c r="G105" s="67"/>
      <c r="H105" s="63"/>
      <c r="I105" s="63"/>
      <c r="J105" s="64"/>
      <c r="K105" s="62"/>
      <c r="L105" s="62" t="str">
        <f t="shared" si="3"/>
        <v/>
      </c>
      <c r="M105" s="12"/>
      <c r="N105" s="12"/>
      <c r="O105" s="12"/>
      <c r="P105" s="12"/>
      <c r="Q105" s="12"/>
      <c r="R105" s="12"/>
      <c r="S105" s="12"/>
      <c r="T105" s="12"/>
      <c r="U105" s="12"/>
      <c r="V105" s="62"/>
      <c r="W105" s="44" t="str">
        <f t="shared" si="2"/>
        <v>OK</v>
      </c>
      <c r="X105" s="47" t="str">
        <f t="shared" si="4"/>
        <v/>
      </c>
      <c r="Y105" s="3"/>
      <c r="Z105" s="3"/>
    </row>
    <row r="106" spans="1:26" ht="15.75" hidden="1" customHeight="1" outlineLevel="1" x14ac:dyDescent="0.3">
      <c r="A106" s="3"/>
      <c r="B106" s="10"/>
      <c r="C106" s="62"/>
      <c r="D106" s="62"/>
      <c r="E106" s="12"/>
      <c r="F106" s="12"/>
      <c r="G106" s="67"/>
      <c r="H106" s="63"/>
      <c r="I106" s="63"/>
      <c r="J106" s="64" t="s">
        <v>96</v>
      </c>
      <c r="K106" s="62"/>
      <c r="L106" s="62" t="str">
        <f t="shared" si="3"/>
        <v/>
      </c>
      <c r="M106" s="12"/>
      <c r="N106" s="12"/>
      <c r="O106" s="12"/>
      <c r="P106" s="12"/>
      <c r="Q106" s="12"/>
      <c r="R106" s="12"/>
      <c r="S106" s="12"/>
      <c r="T106" s="12"/>
      <c r="U106" s="12"/>
      <c r="V106" s="62"/>
      <c r="W106" s="44" t="str">
        <f t="shared" si="2"/>
        <v>OK</v>
      </c>
      <c r="X106" s="47" t="str">
        <f t="shared" si="4"/>
        <v/>
      </c>
      <c r="Y106" s="3"/>
      <c r="Z106" s="3"/>
    </row>
    <row r="107" spans="1:26" ht="15.75" hidden="1" customHeight="1" outlineLevel="1" x14ac:dyDescent="0.3">
      <c r="A107" s="3"/>
      <c r="B107" s="10"/>
      <c r="C107" s="62"/>
      <c r="D107" s="62"/>
      <c r="E107" s="12"/>
      <c r="F107" s="12"/>
      <c r="G107" s="67"/>
      <c r="H107" s="63"/>
      <c r="I107" s="63"/>
      <c r="J107" s="64" t="s">
        <v>96</v>
      </c>
      <c r="K107" s="62"/>
      <c r="L107" s="62" t="str">
        <f t="shared" si="3"/>
        <v/>
      </c>
      <c r="M107" s="12"/>
      <c r="N107" s="12"/>
      <c r="O107" s="12"/>
      <c r="P107" s="12"/>
      <c r="Q107" s="12"/>
      <c r="R107" s="12"/>
      <c r="S107" s="12"/>
      <c r="T107" s="12"/>
      <c r="U107" s="12"/>
      <c r="V107" s="62"/>
      <c r="W107" s="44" t="str">
        <f t="shared" si="2"/>
        <v>OK</v>
      </c>
      <c r="X107" s="47" t="str">
        <f t="shared" si="4"/>
        <v/>
      </c>
      <c r="Y107" s="3"/>
      <c r="Z107" s="3"/>
    </row>
    <row r="108" spans="1:26" ht="15.75" hidden="1" customHeight="1" outlineLevel="1" x14ac:dyDescent="0.3">
      <c r="A108" s="3"/>
      <c r="B108" s="10"/>
      <c r="C108" s="62"/>
      <c r="D108" s="62"/>
      <c r="E108" s="12"/>
      <c r="F108" s="12"/>
      <c r="G108" s="67"/>
      <c r="H108" s="63"/>
      <c r="I108" s="63"/>
      <c r="J108" s="64" t="s">
        <v>96</v>
      </c>
      <c r="K108" s="62"/>
      <c r="L108" s="62" t="str">
        <f t="shared" si="3"/>
        <v/>
      </c>
      <c r="M108" s="12"/>
      <c r="N108" s="12"/>
      <c r="O108" s="12"/>
      <c r="P108" s="12"/>
      <c r="Q108" s="12"/>
      <c r="R108" s="12"/>
      <c r="S108" s="12"/>
      <c r="T108" s="12"/>
      <c r="U108" s="12"/>
      <c r="V108" s="62"/>
      <c r="W108" s="44" t="str">
        <f t="shared" si="2"/>
        <v>OK</v>
      </c>
      <c r="X108" s="47" t="str">
        <f t="shared" si="4"/>
        <v/>
      </c>
      <c r="Y108" s="3"/>
      <c r="Z108" s="3"/>
    </row>
    <row r="109" spans="1:26" ht="15.75" hidden="1" customHeight="1" outlineLevel="1" x14ac:dyDescent="0.3">
      <c r="A109" s="3"/>
      <c r="B109" s="10"/>
      <c r="C109" s="62"/>
      <c r="D109" s="62"/>
      <c r="E109" s="12"/>
      <c r="F109" s="12"/>
      <c r="G109" s="67"/>
      <c r="H109" s="63"/>
      <c r="I109" s="63"/>
      <c r="J109" s="64" t="s">
        <v>96</v>
      </c>
      <c r="K109" s="62"/>
      <c r="L109" s="62" t="str">
        <f t="shared" si="3"/>
        <v/>
      </c>
      <c r="M109" s="12"/>
      <c r="N109" s="12"/>
      <c r="O109" s="12"/>
      <c r="P109" s="12"/>
      <c r="Q109" s="12"/>
      <c r="R109" s="12"/>
      <c r="S109" s="12"/>
      <c r="T109" s="12"/>
      <c r="U109" s="12"/>
      <c r="V109" s="62"/>
      <c r="W109" s="44" t="str">
        <f t="shared" si="2"/>
        <v>OK</v>
      </c>
      <c r="X109" s="47" t="str">
        <f t="shared" si="4"/>
        <v/>
      </c>
      <c r="Y109" s="3"/>
      <c r="Z109" s="3"/>
    </row>
    <row r="110" spans="1:26" ht="15.75" hidden="1" customHeight="1" outlineLevel="1" x14ac:dyDescent="0.3">
      <c r="A110" s="3"/>
      <c r="B110" s="10"/>
      <c r="C110" s="62"/>
      <c r="D110" s="62"/>
      <c r="E110" s="12"/>
      <c r="F110" s="12"/>
      <c r="G110" s="67"/>
      <c r="H110" s="63"/>
      <c r="I110" s="63"/>
      <c r="J110" s="64" t="s">
        <v>96</v>
      </c>
      <c r="K110" s="62"/>
      <c r="L110" s="62" t="str">
        <f t="shared" si="3"/>
        <v/>
      </c>
      <c r="M110" s="12"/>
      <c r="N110" s="12"/>
      <c r="O110" s="12"/>
      <c r="P110" s="12"/>
      <c r="Q110" s="12"/>
      <c r="R110" s="12"/>
      <c r="S110" s="12"/>
      <c r="T110" s="12"/>
      <c r="U110" s="12"/>
      <c r="V110" s="62"/>
      <c r="W110" s="44" t="str">
        <f t="shared" si="2"/>
        <v>OK</v>
      </c>
      <c r="X110" s="47" t="str">
        <f t="shared" si="4"/>
        <v/>
      </c>
      <c r="Y110" s="3"/>
      <c r="Z110" s="3"/>
    </row>
    <row r="111" spans="1:26" ht="15.75" hidden="1" customHeight="1" outlineLevel="1" x14ac:dyDescent="0.3">
      <c r="A111" s="3"/>
      <c r="B111" s="10"/>
      <c r="C111" s="62"/>
      <c r="D111" s="62"/>
      <c r="E111" s="12"/>
      <c r="F111" s="12"/>
      <c r="G111" s="67"/>
      <c r="H111" s="63"/>
      <c r="I111" s="63"/>
      <c r="J111" s="64" t="s">
        <v>96</v>
      </c>
      <c r="K111" s="62"/>
      <c r="L111" s="62" t="str">
        <f t="shared" si="3"/>
        <v/>
      </c>
      <c r="M111" s="12"/>
      <c r="N111" s="12"/>
      <c r="O111" s="12"/>
      <c r="P111" s="12"/>
      <c r="Q111" s="12"/>
      <c r="R111" s="12"/>
      <c r="S111" s="12"/>
      <c r="T111" s="12"/>
      <c r="U111" s="12"/>
      <c r="V111" s="62"/>
      <c r="W111" s="44" t="str">
        <f t="shared" si="2"/>
        <v>OK</v>
      </c>
      <c r="X111" s="47" t="str">
        <f t="shared" si="4"/>
        <v/>
      </c>
      <c r="Y111" s="3"/>
      <c r="Z111" s="3"/>
    </row>
    <row r="112" spans="1:26" ht="15.75" hidden="1" customHeight="1" outlineLevel="1" x14ac:dyDescent="0.3">
      <c r="A112" s="3"/>
      <c r="B112" s="10"/>
      <c r="C112" s="62"/>
      <c r="D112" s="62"/>
      <c r="E112" s="12"/>
      <c r="F112" s="12"/>
      <c r="G112" s="67"/>
      <c r="H112" s="63"/>
      <c r="I112" s="63"/>
      <c r="J112" s="64" t="s">
        <v>96</v>
      </c>
      <c r="K112" s="62"/>
      <c r="L112" s="62" t="str">
        <f t="shared" si="3"/>
        <v/>
      </c>
      <c r="M112" s="12"/>
      <c r="N112" s="12"/>
      <c r="O112" s="12"/>
      <c r="P112" s="12"/>
      <c r="Q112" s="12"/>
      <c r="R112" s="12"/>
      <c r="S112" s="12"/>
      <c r="T112" s="12"/>
      <c r="U112" s="12"/>
      <c r="V112" s="62"/>
      <c r="W112" s="44" t="str">
        <f t="shared" si="2"/>
        <v>OK</v>
      </c>
      <c r="X112" s="47" t="str">
        <f t="shared" si="4"/>
        <v/>
      </c>
      <c r="Y112" s="3"/>
      <c r="Z112" s="3"/>
    </row>
    <row r="113" spans="1:26" ht="15.75" hidden="1" customHeight="1" outlineLevel="1" x14ac:dyDescent="0.3">
      <c r="A113" s="3"/>
      <c r="B113" s="10"/>
      <c r="C113" s="62"/>
      <c r="D113" s="62"/>
      <c r="E113" s="12"/>
      <c r="F113" s="12"/>
      <c r="G113" s="67"/>
      <c r="H113" s="63"/>
      <c r="I113" s="63"/>
      <c r="J113" s="64" t="s">
        <v>96</v>
      </c>
      <c r="K113" s="62"/>
      <c r="L113" s="62" t="str">
        <f t="shared" si="3"/>
        <v/>
      </c>
      <c r="M113" s="12"/>
      <c r="N113" s="12"/>
      <c r="O113" s="12"/>
      <c r="P113" s="12"/>
      <c r="Q113" s="12"/>
      <c r="R113" s="12"/>
      <c r="S113" s="12"/>
      <c r="T113" s="12"/>
      <c r="U113" s="12"/>
      <c r="V113" s="62"/>
      <c r="W113" s="44" t="str">
        <f t="shared" si="2"/>
        <v>OK</v>
      </c>
      <c r="X113" s="47" t="str">
        <f t="shared" si="4"/>
        <v/>
      </c>
      <c r="Y113" s="3"/>
      <c r="Z113" s="3"/>
    </row>
    <row r="114" spans="1:26" ht="15.75" hidden="1" customHeight="1" outlineLevel="1" x14ac:dyDescent="0.3">
      <c r="A114" s="3"/>
      <c r="B114" s="10"/>
      <c r="C114" s="62"/>
      <c r="D114" s="62"/>
      <c r="E114" s="12"/>
      <c r="F114" s="12"/>
      <c r="G114" s="67"/>
      <c r="H114" s="63"/>
      <c r="I114" s="63"/>
      <c r="J114" s="64" t="s">
        <v>96</v>
      </c>
      <c r="K114" s="62"/>
      <c r="L114" s="62" t="str">
        <f t="shared" si="3"/>
        <v/>
      </c>
      <c r="M114" s="12"/>
      <c r="N114" s="12"/>
      <c r="O114" s="12"/>
      <c r="P114" s="12"/>
      <c r="Q114" s="12"/>
      <c r="R114" s="12"/>
      <c r="S114" s="12"/>
      <c r="T114" s="12"/>
      <c r="U114" s="12"/>
      <c r="V114" s="62"/>
      <c r="W114" s="44" t="str">
        <f t="shared" si="2"/>
        <v>OK</v>
      </c>
      <c r="X114" s="47" t="str">
        <f t="shared" si="4"/>
        <v/>
      </c>
      <c r="Y114" s="3"/>
      <c r="Z114" s="3"/>
    </row>
    <row r="115" spans="1:26" ht="15.75" hidden="1" customHeight="1" outlineLevel="1" x14ac:dyDescent="0.3">
      <c r="A115" s="3"/>
      <c r="B115" s="10"/>
      <c r="C115" s="62"/>
      <c r="D115" s="62"/>
      <c r="E115" s="12"/>
      <c r="F115" s="12"/>
      <c r="G115" s="67"/>
      <c r="H115" s="63"/>
      <c r="I115" s="63"/>
      <c r="J115" s="64" t="s">
        <v>96</v>
      </c>
      <c r="K115" s="62"/>
      <c r="L115" s="62" t="str">
        <f t="shared" si="3"/>
        <v/>
      </c>
      <c r="M115" s="12"/>
      <c r="N115" s="12"/>
      <c r="O115" s="12"/>
      <c r="P115" s="12"/>
      <c r="Q115" s="12"/>
      <c r="R115" s="12"/>
      <c r="S115" s="12"/>
      <c r="T115" s="12"/>
      <c r="U115" s="12"/>
      <c r="V115" s="62"/>
      <c r="W115" s="44" t="str">
        <f t="shared" si="2"/>
        <v>OK</v>
      </c>
      <c r="X115" s="47" t="str">
        <f t="shared" si="4"/>
        <v/>
      </c>
      <c r="Y115" s="3"/>
      <c r="Z115" s="3"/>
    </row>
    <row r="116" spans="1:26" ht="15.75" hidden="1" customHeight="1" outlineLevel="1" x14ac:dyDescent="0.3">
      <c r="A116" s="3"/>
      <c r="B116" s="10"/>
      <c r="C116" s="62"/>
      <c r="D116" s="62"/>
      <c r="E116" s="12"/>
      <c r="F116" s="12"/>
      <c r="G116" s="67"/>
      <c r="H116" s="63"/>
      <c r="I116" s="63"/>
      <c r="J116" s="64" t="s">
        <v>96</v>
      </c>
      <c r="K116" s="62"/>
      <c r="L116" s="62" t="str">
        <f t="shared" si="3"/>
        <v/>
      </c>
      <c r="M116" s="12"/>
      <c r="N116" s="12"/>
      <c r="O116" s="12"/>
      <c r="P116" s="12"/>
      <c r="Q116" s="12"/>
      <c r="R116" s="12"/>
      <c r="S116" s="12"/>
      <c r="T116" s="12"/>
      <c r="U116" s="12"/>
      <c r="V116" s="62"/>
      <c r="W116" s="44" t="str">
        <f t="shared" si="2"/>
        <v>OK</v>
      </c>
      <c r="X116" s="47" t="str">
        <f t="shared" si="4"/>
        <v/>
      </c>
      <c r="Y116" s="3"/>
      <c r="Z116" s="3"/>
    </row>
    <row r="117" spans="1:26" ht="15.75" hidden="1" customHeight="1" outlineLevel="1" x14ac:dyDescent="0.3">
      <c r="A117" s="3"/>
      <c r="B117" s="10"/>
      <c r="C117" s="62"/>
      <c r="D117" s="62"/>
      <c r="E117" s="12"/>
      <c r="F117" s="12"/>
      <c r="G117" s="67"/>
      <c r="H117" s="63"/>
      <c r="I117" s="63"/>
      <c r="J117" s="64" t="s">
        <v>96</v>
      </c>
      <c r="K117" s="62"/>
      <c r="L117" s="62" t="str">
        <f t="shared" si="3"/>
        <v/>
      </c>
      <c r="M117" s="12"/>
      <c r="N117" s="12"/>
      <c r="O117" s="12"/>
      <c r="P117" s="12"/>
      <c r="Q117" s="12"/>
      <c r="R117" s="12"/>
      <c r="S117" s="12"/>
      <c r="T117" s="12"/>
      <c r="U117" s="12"/>
      <c r="V117" s="62"/>
      <c r="W117" s="44" t="str">
        <f t="shared" si="2"/>
        <v>OK</v>
      </c>
      <c r="X117" s="47" t="str">
        <f t="shared" si="4"/>
        <v/>
      </c>
      <c r="Y117" s="3"/>
      <c r="Z117" s="3"/>
    </row>
    <row r="118" spans="1:26" ht="15.75" hidden="1" customHeight="1" outlineLevel="1" x14ac:dyDescent="0.3">
      <c r="A118" s="3"/>
      <c r="B118" s="10"/>
      <c r="C118" s="62"/>
      <c r="D118" s="62"/>
      <c r="E118" s="12"/>
      <c r="F118" s="12"/>
      <c r="G118" s="67"/>
      <c r="H118" s="63"/>
      <c r="I118" s="63"/>
      <c r="J118" s="64"/>
      <c r="K118" s="62"/>
      <c r="L118" s="62" t="str">
        <f t="shared" si="3"/>
        <v/>
      </c>
      <c r="M118" s="12"/>
      <c r="N118" s="12"/>
      <c r="O118" s="12"/>
      <c r="P118" s="12"/>
      <c r="Q118" s="12"/>
      <c r="R118" s="12"/>
      <c r="S118" s="12"/>
      <c r="T118" s="12"/>
      <c r="U118" s="12"/>
      <c r="V118" s="62"/>
      <c r="W118" s="44" t="str">
        <f t="shared" si="2"/>
        <v>OK</v>
      </c>
      <c r="X118" s="47" t="str">
        <f t="shared" si="4"/>
        <v/>
      </c>
      <c r="Y118" s="3"/>
      <c r="Z118" s="3"/>
    </row>
    <row r="119" spans="1:26" ht="15.75" hidden="1" customHeight="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row>
    <row r="120" spans="1:26" ht="15.75" hidden="1" customHeight="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row>
    <row r="121" spans="1:26" ht="15.75" hidden="1" customHeight="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row>
    <row r="122" spans="1:26" ht="15.75" hidden="1" customHeight="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row>
    <row r="123" spans="1:26" ht="15.75" hidden="1" customHeight="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row>
    <row r="124" spans="1:26" ht="15.75" hidden="1" customHeight="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row>
    <row r="125" spans="1:26" ht="19.5" customHeight="1" collapsed="1" x14ac:dyDescent="0.3">
      <c r="A125" s="3"/>
      <c r="B125" s="73" t="s">
        <v>62</v>
      </c>
      <c r="C125" s="56" t="s">
        <v>43</v>
      </c>
      <c r="D125" s="56" t="s">
        <v>43</v>
      </c>
      <c r="E125" s="57">
        <f t="shared" ref="E125:F125" si="5">SUM(E126,E129,,E133,E138,E145)</f>
        <v>0</v>
      </c>
      <c r="F125" s="57">
        <f t="shared" si="5"/>
        <v>0</v>
      </c>
      <c r="G125" s="58" t="s">
        <v>43</v>
      </c>
      <c r="H125" s="74"/>
      <c r="I125" s="74"/>
      <c r="J125" s="3"/>
      <c r="K125" s="3"/>
      <c r="L125" s="3"/>
      <c r="M125" s="3"/>
      <c r="N125" s="3"/>
      <c r="O125" s="3"/>
      <c r="P125" s="3"/>
      <c r="Q125" s="3"/>
      <c r="R125" s="3"/>
      <c r="S125" s="3"/>
      <c r="T125" s="3"/>
      <c r="U125" s="3"/>
      <c r="V125" s="3"/>
      <c r="W125" s="44"/>
      <c r="X125" s="41"/>
      <c r="Y125" s="3"/>
      <c r="Z125" s="3"/>
    </row>
    <row r="126" spans="1:26" ht="15.75" hidden="1" customHeight="1" outlineLevel="1" x14ac:dyDescent="0.3">
      <c r="A126" s="3"/>
      <c r="B126" s="75" t="s">
        <v>230</v>
      </c>
      <c r="C126" s="76" t="s">
        <v>43</v>
      </c>
      <c r="D126" s="76" t="s">
        <v>43</v>
      </c>
      <c r="E126" s="77">
        <f>SUM(E127:E128)</f>
        <v>0</v>
      </c>
      <c r="F126" s="77">
        <f>SUMIF(D127:D128,"OK",F127:F128)</f>
        <v>0</v>
      </c>
      <c r="G126" s="78" t="s">
        <v>43</v>
      </c>
      <c r="H126" s="79"/>
      <c r="I126" s="79"/>
      <c r="J126" s="3"/>
      <c r="K126" s="3"/>
      <c r="L126" s="3"/>
      <c r="M126" s="3"/>
      <c r="N126" s="3"/>
      <c r="O126" s="3"/>
      <c r="P126" s="3"/>
      <c r="Q126" s="3"/>
      <c r="R126" s="3"/>
      <c r="S126" s="3"/>
      <c r="T126" s="3"/>
      <c r="U126" s="3"/>
      <c r="V126" s="3"/>
      <c r="W126" s="44"/>
      <c r="X126" s="41"/>
      <c r="Y126" s="3"/>
      <c r="Z126" s="3"/>
    </row>
    <row r="127" spans="1:26" ht="15.75" hidden="1" customHeight="1" outlineLevel="1" x14ac:dyDescent="0.3">
      <c r="A127" s="3"/>
      <c r="B127" s="10" t="s">
        <v>231</v>
      </c>
      <c r="C127" s="62"/>
      <c r="D127" s="62"/>
      <c r="E127" s="12">
        <v>0</v>
      </c>
      <c r="F127" s="12">
        <v>0</v>
      </c>
      <c r="G127" s="70"/>
      <c r="H127" s="63" t="s">
        <v>37</v>
      </c>
      <c r="I127" s="63"/>
      <c r="J127" s="3"/>
      <c r="K127" s="3"/>
      <c r="L127" s="3"/>
      <c r="M127" s="3"/>
      <c r="N127" s="3"/>
      <c r="O127" s="3"/>
      <c r="P127" s="3"/>
      <c r="Q127" s="3"/>
      <c r="R127" s="3"/>
      <c r="S127" s="3"/>
      <c r="T127" s="3"/>
      <c r="U127" s="3"/>
      <c r="V127" s="3"/>
      <c r="W127" s="44"/>
      <c r="X127" s="41"/>
      <c r="Y127" s="3"/>
      <c r="Z127" s="3"/>
    </row>
    <row r="128" spans="1:26" ht="15.75" hidden="1" customHeight="1" outlineLevel="1" x14ac:dyDescent="0.3">
      <c r="A128" s="3"/>
      <c r="B128" s="10" t="s">
        <v>61</v>
      </c>
      <c r="C128" s="62"/>
      <c r="D128" s="62"/>
      <c r="E128" s="12">
        <v>0</v>
      </c>
      <c r="F128" s="12">
        <v>0</v>
      </c>
      <c r="G128" s="67"/>
      <c r="H128" s="63"/>
      <c r="I128" s="63"/>
      <c r="J128" s="3"/>
      <c r="K128" s="3"/>
      <c r="L128" s="3"/>
      <c r="M128" s="3"/>
      <c r="N128" s="3"/>
      <c r="O128" s="3"/>
      <c r="P128" s="3"/>
      <c r="Q128" s="3"/>
      <c r="R128" s="3"/>
      <c r="S128" s="3"/>
      <c r="T128" s="3"/>
      <c r="U128" s="3"/>
      <c r="V128" s="3"/>
      <c r="W128" s="44"/>
      <c r="X128" s="41"/>
      <c r="Y128" s="3"/>
      <c r="Z128" s="3"/>
    </row>
    <row r="129" spans="1:26" ht="15.75" hidden="1" customHeight="1" outlineLevel="1" x14ac:dyDescent="0.3">
      <c r="A129" s="3"/>
      <c r="B129" s="75" t="s">
        <v>232</v>
      </c>
      <c r="C129" s="76" t="s">
        <v>43</v>
      </c>
      <c r="D129" s="76" t="s">
        <v>43</v>
      </c>
      <c r="E129" s="77">
        <f>SUM(E130:E132)</f>
        <v>0</v>
      </c>
      <c r="F129" s="77">
        <f>SUMIF(D130:D132,"OK",F130:F132)</f>
        <v>0</v>
      </c>
      <c r="G129" s="78" t="s">
        <v>43</v>
      </c>
      <c r="H129" s="79"/>
      <c r="I129" s="79"/>
      <c r="J129" s="3"/>
      <c r="K129" s="3"/>
      <c r="L129" s="3"/>
      <c r="M129" s="3"/>
      <c r="N129" s="3"/>
      <c r="O129" s="3"/>
      <c r="P129" s="3"/>
      <c r="Q129" s="3"/>
      <c r="R129" s="3"/>
      <c r="S129" s="3"/>
      <c r="T129" s="3"/>
      <c r="U129" s="3"/>
      <c r="V129" s="3"/>
      <c r="W129" s="44"/>
      <c r="X129" s="41"/>
      <c r="Y129" s="3"/>
      <c r="Z129" s="3"/>
    </row>
    <row r="130" spans="1:26" ht="15.75" hidden="1" customHeight="1" outlineLevel="1" x14ac:dyDescent="0.3">
      <c r="A130" s="3"/>
      <c r="B130" s="10" t="s">
        <v>715</v>
      </c>
      <c r="C130" s="62"/>
      <c r="D130" s="62"/>
      <c r="E130" s="12">
        <v>0</v>
      </c>
      <c r="F130" s="12">
        <v>0</v>
      </c>
      <c r="G130" s="69"/>
      <c r="H130" s="63"/>
      <c r="I130" s="63"/>
      <c r="J130" s="3"/>
      <c r="K130" s="3"/>
      <c r="L130" s="3"/>
      <c r="M130" s="3"/>
      <c r="N130" s="3"/>
      <c r="O130" s="3"/>
      <c r="P130" s="3"/>
      <c r="Q130" s="3"/>
      <c r="R130" s="3"/>
      <c r="S130" s="3"/>
      <c r="T130" s="3"/>
      <c r="U130" s="3"/>
      <c r="V130" s="3"/>
      <c r="W130" s="44"/>
      <c r="X130" s="41"/>
      <c r="Y130" s="3"/>
      <c r="Z130" s="3"/>
    </row>
    <row r="131" spans="1:26" ht="15.75" hidden="1" customHeight="1" outlineLevel="1" x14ac:dyDescent="0.3">
      <c r="A131" s="3"/>
      <c r="B131" s="10" t="s">
        <v>529</v>
      </c>
      <c r="C131" s="62"/>
      <c r="D131" s="62"/>
      <c r="E131" s="12">
        <v>0</v>
      </c>
      <c r="F131" s="12">
        <v>0</v>
      </c>
      <c r="G131" s="70"/>
      <c r="H131" s="63"/>
      <c r="I131" s="63"/>
      <c r="J131" s="3"/>
      <c r="K131" s="3"/>
      <c r="L131" s="3"/>
      <c r="M131" s="3"/>
      <c r="N131" s="3"/>
      <c r="O131" s="3"/>
      <c r="P131" s="3"/>
      <c r="Q131" s="3"/>
      <c r="R131" s="3"/>
      <c r="S131" s="3"/>
      <c r="T131" s="3"/>
      <c r="U131" s="3"/>
      <c r="V131" s="3"/>
      <c r="W131" s="44"/>
      <c r="X131" s="41"/>
      <c r="Y131" s="3"/>
      <c r="Z131" s="3"/>
    </row>
    <row r="132" spans="1:26" ht="15.75" hidden="1" customHeight="1" outlineLevel="1" x14ac:dyDescent="0.3">
      <c r="A132" s="3"/>
      <c r="B132" s="10" t="s">
        <v>532</v>
      </c>
      <c r="C132" s="62"/>
      <c r="D132" s="62"/>
      <c r="E132" s="12">
        <v>0</v>
      </c>
      <c r="F132" s="12">
        <v>0</v>
      </c>
      <c r="G132" s="69"/>
      <c r="H132" s="63"/>
      <c r="I132" s="63"/>
      <c r="J132" s="3"/>
      <c r="K132" s="3"/>
      <c r="L132" s="3"/>
      <c r="M132" s="3"/>
      <c r="N132" s="3"/>
      <c r="O132" s="3"/>
      <c r="P132" s="3"/>
      <c r="Q132" s="3"/>
      <c r="R132" s="3"/>
      <c r="S132" s="3"/>
      <c r="T132" s="3"/>
      <c r="U132" s="3"/>
      <c r="V132" s="3"/>
      <c r="W132" s="44"/>
      <c r="X132" s="41"/>
      <c r="Y132" s="3"/>
      <c r="Z132" s="3"/>
    </row>
    <row r="133" spans="1:26" ht="15.75" hidden="1" customHeight="1" outlineLevel="1" x14ac:dyDescent="0.3">
      <c r="A133" s="3"/>
      <c r="B133" s="75" t="s">
        <v>651</v>
      </c>
      <c r="C133" s="76" t="s">
        <v>43</v>
      </c>
      <c r="D133" s="76" t="s">
        <v>43</v>
      </c>
      <c r="E133" s="77">
        <f>SUM(E134:E137)</f>
        <v>0</v>
      </c>
      <c r="F133" s="77">
        <f>SUMIF(D134:D137,"OK",F134:F137)</f>
        <v>0</v>
      </c>
      <c r="G133" s="78" t="s">
        <v>43</v>
      </c>
      <c r="H133" s="79"/>
      <c r="I133" s="79"/>
      <c r="J133" s="3"/>
      <c r="K133" s="3"/>
      <c r="L133" s="3"/>
      <c r="M133" s="3"/>
      <c r="N133" s="3"/>
      <c r="O133" s="3"/>
      <c r="P133" s="3"/>
      <c r="Q133" s="3"/>
      <c r="R133" s="3"/>
      <c r="S133" s="3"/>
      <c r="T133" s="3"/>
      <c r="U133" s="3"/>
      <c r="V133" s="3"/>
      <c r="W133" s="44"/>
      <c r="X133" s="41"/>
      <c r="Y133" s="3"/>
      <c r="Z133" s="3"/>
    </row>
    <row r="134" spans="1:26" ht="15.75" hidden="1" customHeight="1" outlineLevel="1" x14ac:dyDescent="0.3">
      <c r="A134" s="3"/>
      <c r="B134" s="10" t="s">
        <v>715</v>
      </c>
      <c r="C134" s="62"/>
      <c r="D134" s="62"/>
      <c r="E134" s="12">
        <v>0</v>
      </c>
      <c r="F134" s="12">
        <v>0</v>
      </c>
      <c r="G134" s="69"/>
      <c r="H134" s="63"/>
      <c r="I134" s="63"/>
      <c r="J134" s="3"/>
      <c r="K134" s="3"/>
      <c r="L134" s="3"/>
      <c r="M134" s="3"/>
      <c r="N134" s="3"/>
      <c r="O134" s="3"/>
      <c r="P134" s="3"/>
      <c r="Q134" s="3"/>
      <c r="R134" s="3"/>
      <c r="S134" s="3"/>
      <c r="T134" s="3"/>
      <c r="U134" s="3"/>
      <c r="V134" s="3"/>
      <c r="W134" s="44"/>
      <c r="X134" s="41"/>
      <c r="Y134" s="3"/>
      <c r="Z134" s="3"/>
    </row>
    <row r="135" spans="1:26" ht="15.75" hidden="1" customHeight="1" outlineLevel="1" x14ac:dyDescent="0.3">
      <c r="A135" s="3"/>
      <c r="B135" s="10" t="s">
        <v>531</v>
      </c>
      <c r="C135" s="62"/>
      <c r="D135" s="62"/>
      <c r="E135" s="12">
        <v>0</v>
      </c>
      <c r="F135" s="12">
        <v>0</v>
      </c>
      <c r="G135" s="70"/>
      <c r="H135" s="63"/>
      <c r="I135" s="63"/>
      <c r="J135" s="3"/>
      <c r="K135" s="3"/>
      <c r="L135" s="3"/>
      <c r="M135" s="3"/>
      <c r="N135" s="3"/>
      <c r="O135" s="3"/>
      <c r="P135" s="3"/>
      <c r="Q135" s="3"/>
      <c r="R135" s="3"/>
      <c r="S135" s="3"/>
      <c r="T135" s="3"/>
      <c r="U135" s="3"/>
      <c r="V135" s="3"/>
      <c r="W135" s="44"/>
      <c r="X135" s="41"/>
      <c r="Y135" s="3"/>
      <c r="Z135" s="3"/>
    </row>
    <row r="136" spans="1:26" ht="15.75" hidden="1" customHeight="1" outlineLevel="1" x14ac:dyDescent="0.3">
      <c r="A136" s="3"/>
      <c r="B136" s="10" t="s">
        <v>532</v>
      </c>
      <c r="C136" s="62"/>
      <c r="D136" s="62"/>
      <c r="E136" s="12">
        <v>0</v>
      </c>
      <c r="F136" s="12">
        <v>0</v>
      </c>
      <c r="G136" s="69"/>
      <c r="H136" s="63"/>
      <c r="I136" s="63"/>
      <c r="J136" s="3"/>
      <c r="K136" s="3"/>
      <c r="L136" s="3"/>
      <c r="M136" s="3"/>
      <c r="N136" s="3"/>
      <c r="O136" s="3"/>
      <c r="P136" s="3"/>
      <c r="Q136" s="3"/>
      <c r="R136" s="3"/>
      <c r="S136" s="3"/>
      <c r="T136" s="3"/>
      <c r="U136" s="3"/>
      <c r="V136" s="3"/>
      <c r="W136" s="44"/>
      <c r="X136" s="41"/>
      <c r="Y136" s="3"/>
      <c r="Z136" s="3"/>
    </row>
    <row r="137" spans="1:26" ht="15.75" hidden="1" customHeight="1" outlineLevel="1" x14ac:dyDescent="0.3">
      <c r="A137" s="3"/>
      <c r="B137" s="10" t="s">
        <v>529</v>
      </c>
      <c r="C137" s="62"/>
      <c r="D137" s="62"/>
      <c r="E137" s="12">
        <v>0</v>
      </c>
      <c r="F137" s="12">
        <v>0</v>
      </c>
      <c r="G137" s="69"/>
      <c r="H137" s="63"/>
      <c r="I137" s="63"/>
      <c r="J137" s="3"/>
      <c r="K137" s="3"/>
      <c r="L137" s="3"/>
      <c r="M137" s="3"/>
      <c r="N137" s="3"/>
      <c r="O137" s="3"/>
      <c r="P137" s="3"/>
      <c r="Q137" s="3"/>
      <c r="R137" s="3"/>
      <c r="S137" s="3"/>
      <c r="T137" s="3"/>
      <c r="U137" s="3"/>
      <c r="V137" s="3"/>
      <c r="W137" s="44"/>
      <c r="X137" s="41"/>
      <c r="Y137" s="3"/>
      <c r="Z137" s="3"/>
    </row>
    <row r="138" spans="1:26" ht="15.75" hidden="1" customHeight="1" outlineLevel="1" x14ac:dyDescent="0.3">
      <c r="A138" s="3"/>
      <c r="B138" s="75" t="s">
        <v>901</v>
      </c>
      <c r="C138" s="76" t="s">
        <v>43</v>
      </c>
      <c r="D138" s="76" t="s">
        <v>43</v>
      </c>
      <c r="E138" s="77">
        <f>SUM(E139:E144)</f>
        <v>0</v>
      </c>
      <c r="F138" s="77">
        <f>SUMIF(D139:D144,"OK",F139:F144)</f>
        <v>0</v>
      </c>
      <c r="G138" s="78" t="s">
        <v>43</v>
      </c>
      <c r="H138" s="79"/>
      <c r="I138" s="79"/>
      <c r="J138" s="3"/>
      <c r="K138" s="3"/>
      <c r="L138" s="3"/>
      <c r="M138" s="3"/>
      <c r="N138" s="3"/>
      <c r="O138" s="3"/>
      <c r="P138" s="3"/>
      <c r="Q138" s="3"/>
      <c r="R138" s="3"/>
      <c r="S138" s="3"/>
      <c r="T138" s="3"/>
      <c r="U138" s="3"/>
      <c r="V138" s="3"/>
      <c r="W138" s="44"/>
      <c r="X138" s="41"/>
      <c r="Y138" s="3"/>
      <c r="Z138" s="3"/>
    </row>
    <row r="139" spans="1:26" ht="15.75" hidden="1" customHeight="1" outlineLevel="1" x14ac:dyDescent="0.3">
      <c r="A139" s="3"/>
      <c r="B139" s="10" t="s">
        <v>1036</v>
      </c>
      <c r="C139" s="62"/>
      <c r="D139" s="62"/>
      <c r="E139" s="12">
        <v>0</v>
      </c>
      <c r="F139" s="12">
        <v>0</v>
      </c>
      <c r="G139" s="67"/>
      <c r="H139" s="63"/>
      <c r="I139" s="63"/>
      <c r="J139" s="3"/>
      <c r="K139" s="3"/>
      <c r="L139" s="3"/>
      <c r="M139" s="3"/>
      <c r="N139" s="3"/>
      <c r="O139" s="3"/>
      <c r="P139" s="3"/>
      <c r="Q139" s="3"/>
      <c r="R139" s="3"/>
      <c r="S139" s="3"/>
      <c r="T139" s="3"/>
      <c r="U139" s="3"/>
      <c r="V139" s="3"/>
      <c r="W139" s="44"/>
      <c r="X139" s="41"/>
      <c r="Y139" s="3"/>
      <c r="Z139" s="3"/>
    </row>
    <row r="140" spans="1:26" ht="15.75" hidden="1" customHeight="1" outlineLevel="1" x14ac:dyDescent="0.3">
      <c r="A140" s="3"/>
      <c r="B140" s="10" t="s">
        <v>904</v>
      </c>
      <c r="C140" s="62"/>
      <c r="D140" s="62"/>
      <c r="E140" s="12">
        <v>0</v>
      </c>
      <c r="F140" s="12">
        <v>0</v>
      </c>
      <c r="G140" s="67"/>
      <c r="H140" s="63"/>
      <c r="I140" s="63"/>
      <c r="J140" s="3"/>
      <c r="K140" s="3"/>
      <c r="L140" s="3"/>
      <c r="M140" s="3"/>
      <c r="N140" s="3"/>
      <c r="O140" s="3"/>
      <c r="P140" s="3"/>
      <c r="Q140" s="3"/>
      <c r="R140" s="3"/>
      <c r="S140" s="3"/>
      <c r="T140" s="3"/>
      <c r="U140" s="3"/>
      <c r="V140" s="3"/>
      <c r="W140" s="44"/>
      <c r="X140" s="41"/>
      <c r="Y140" s="3"/>
      <c r="Z140" s="3"/>
    </row>
    <row r="141" spans="1:26" ht="15.75" hidden="1" customHeight="1" outlineLevel="1" x14ac:dyDescent="0.3">
      <c r="A141" s="3"/>
      <c r="B141" s="10" t="s">
        <v>905</v>
      </c>
      <c r="C141" s="62"/>
      <c r="D141" s="62"/>
      <c r="E141" s="12">
        <v>0</v>
      </c>
      <c r="F141" s="12">
        <v>0</v>
      </c>
      <c r="G141" s="67"/>
      <c r="H141" s="63"/>
      <c r="I141" s="63"/>
      <c r="J141" s="3"/>
      <c r="K141" s="3"/>
      <c r="L141" s="3"/>
      <c r="M141" s="3"/>
      <c r="N141" s="3"/>
      <c r="O141" s="3"/>
      <c r="P141" s="3"/>
      <c r="Q141" s="3"/>
      <c r="R141" s="3"/>
      <c r="S141" s="3"/>
      <c r="T141" s="3"/>
      <c r="U141" s="3"/>
      <c r="V141" s="3"/>
      <c r="W141" s="44"/>
      <c r="X141" s="41"/>
      <c r="Y141" s="3"/>
      <c r="Z141" s="3"/>
    </row>
    <row r="142" spans="1:26" ht="15.75" hidden="1" customHeight="1" outlineLevel="1" x14ac:dyDescent="0.3">
      <c r="A142" s="3"/>
      <c r="B142" s="10" t="s">
        <v>1040</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row>
    <row r="143" spans="1:26" ht="15.75" hidden="1" customHeight="1" outlineLevel="1" x14ac:dyDescent="0.3">
      <c r="A143" s="3"/>
      <c r="B143" s="10" t="s">
        <v>907</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row>
    <row r="144" spans="1:26" ht="15.75" hidden="1" customHeight="1" outlineLevel="1" x14ac:dyDescent="0.3">
      <c r="A144" s="3"/>
      <c r="B144" s="10" t="s">
        <v>908</v>
      </c>
      <c r="C144" s="62"/>
      <c r="D144" s="62"/>
      <c r="E144" s="12">
        <v>0</v>
      </c>
      <c r="F144" s="12">
        <v>0</v>
      </c>
      <c r="G144" s="67"/>
      <c r="H144" s="63"/>
      <c r="I144" s="63"/>
      <c r="J144" s="3"/>
      <c r="K144" s="3"/>
      <c r="L144" s="3"/>
      <c r="M144" s="3"/>
      <c r="N144" s="3"/>
      <c r="O144" s="3"/>
      <c r="P144" s="3"/>
      <c r="Q144" s="3"/>
      <c r="R144" s="3"/>
      <c r="S144" s="3"/>
      <c r="T144" s="3"/>
      <c r="U144" s="3"/>
      <c r="V144" s="3"/>
      <c r="W144" s="44"/>
      <c r="X144" s="41"/>
      <c r="Y144" s="3"/>
      <c r="Z144" s="3"/>
    </row>
    <row r="145" spans="1:26" ht="15.75" hidden="1" customHeight="1" outlineLevel="1" x14ac:dyDescent="0.3">
      <c r="A145" s="3"/>
      <c r="B145" s="75" t="s">
        <v>689</v>
      </c>
      <c r="C145" s="76" t="s">
        <v>43</v>
      </c>
      <c r="D145" s="76" t="s">
        <v>43</v>
      </c>
      <c r="E145" s="77">
        <f>SUM(E146:E152)</f>
        <v>0</v>
      </c>
      <c r="F145" s="77">
        <f>SUMIF(D146:D152,"OK",F146:F152)</f>
        <v>0</v>
      </c>
      <c r="G145" s="78" t="s">
        <v>43</v>
      </c>
      <c r="H145" s="79"/>
      <c r="I145" s="79"/>
      <c r="J145" s="3"/>
      <c r="K145" s="3"/>
      <c r="L145" s="3"/>
      <c r="M145" s="3"/>
      <c r="N145" s="3"/>
      <c r="O145" s="3"/>
      <c r="P145" s="3"/>
      <c r="Q145" s="3"/>
      <c r="R145" s="3"/>
      <c r="S145" s="3"/>
      <c r="T145" s="3"/>
      <c r="U145" s="3"/>
      <c r="V145" s="3"/>
      <c r="W145" s="44"/>
      <c r="X145" s="41"/>
      <c r="Y145" s="3"/>
      <c r="Z145" s="3"/>
    </row>
    <row r="146" spans="1:26" ht="15.75" hidden="1" customHeight="1" outlineLevel="1" x14ac:dyDescent="0.3">
      <c r="A146" s="3"/>
      <c r="B146" s="10" t="s">
        <v>537</v>
      </c>
      <c r="C146" s="62"/>
      <c r="D146" s="62"/>
      <c r="E146" s="12">
        <v>0</v>
      </c>
      <c r="F146" s="12">
        <v>0</v>
      </c>
      <c r="G146" s="69"/>
      <c r="H146" s="63"/>
      <c r="I146" s="63"/>
      <c r="J146" s="3"/>
      <c r="K146" s="3"/>
      <c r="L146" s="3"/>
      <c r="M146" s="3"/>
      <c r="N146" s="3"/>
      <c r="O146" s="3"/>
      <c r="P146" s="3"/>
      <c r="Q146" s="3"/>
      <c r="R146" s="3"/>
      <c r="S146" s="3"/>
      <c r="T146" s="3"/>
      <c r="U146" s="3"/>
      <c r="V146" s="3"/>
      <c r="W146" s="44"/>
      <c r="X146" s="41"/>
      <c r="Y146" s="3"/>
      <c r="Z146" s="3"/>
    </row>
    <row r="147" spans="1:26" ht="15.75" hidden="1" customHeight="1" outlineLevel="1" x14ac:dyDescent="0.3">
      <c r="A147" s="3"/>
      <c r="B147" s="10" t="s">
        <v>1401</v>
      </c>
      <c r="C147" s="62"/>
      <c r="D147" s="62"/>
      <c r="E147" s="12">
        <v>0</v>
      </c>
      <c r="F147" s="12">
        <v>0</v>
      </c>
      <c r="G147" s="69"/>
      <c r="H147" s="63"/>
      <c r="I147" s="63"/>
      <c r="J147" s="3"/>
      <c r="K147" s="3"/>
      <c r="L147" s="3"/>
      <c r="M147" s="3"/>
      <c r="N147" s="3"/>
      <c r="O147" s="3"/>
      <c r="P147" s="3"/>
      <c r="Q147" s="3"/>
      <c r="R147" s="3"/>
      <c r="S147" s="3"/>
      <c r="T147" s="3"/>
      <c r="U147" s="3"/>
      <c r="V147" s="3"/>
      <c r="W147" s="44"/>
      <c r="X147" s="41"/>
      <c r="Y147" s="3"/>
      <c r="Z147" s="3"/>
    </row>
    <row r="148" spans="1:26" ht="15.75" hidden="1" customHeight="1" outlineLevel="1" x14ac:dyDescent="0.3">
      <c r="A148" s="3"/>
      <c r="B148" s="10" t="s">
        <v>1401</v>
      </c>
      <c r="C148" s="62"/>
      <c r="D148" s="62"/>
      <c r="E148" s="12">
        <v>0</v>
      </c>
      <c r="F148" s="12">
        <v>0</v>
      </c>
      <c r="G148" s="69"/>
      <c r="H148" s="63"/>
      <c r="I148" s="63"/>
      <c r="J148" s="3"/>
      <c r="K148" s="3"/>
      <c r="L148" s="3"/>
      <c r="M148" s="3"/>
      <c r="N148" s="3"/>
      <c r="O148" s="3"/>
      <c r="P148" s="3"/>
      <c r="Q148" s="3"/>
      <c r="R148" s="3"/>
      <c r="S148" s="3"/>
      <c r="T148" s="3"/>
      <c r="U148" s="3"/>
      <c r="V148" s="3"/>
      <c r="W148" s="44"/>
      <c r="X148" s="41"/>
      <c r="Y148" s="3"/>
      <c r="Z148" s="3"/>
    </row>
    <row r="149" spans="1:26" ht="15.75" hidden="1" customHeight="1" outlineLevel="1" x14ac:dyDescent="0.3">
      <c r="A149" s="3"/>
      <c r="B149" s="10" t="s">
        <v>42</v>
      </c>
      <c r="C149" s="62"/>
      <c r="D149" s="62"/>
      <c r="E149" s="12">
        <v>0</v>
      </c>
      <c r="F149" s="12">
        <v>0</v>
      </c>
      <c r="G149" s="69"/>
      <c r="H149" s="63"/>
      <c r="I149" s="63"/>
      <c r="J149" s="3"/>
      <c r="K149" s="3"/>
      <c r="L149" s="3"/>
      <c r="M149" s="3"/>
      <c r="N149" s="3"/>
      <c r="O149" s="3"/>
      <c r="P149" s="3"/>
      <c r="Q149" s="3"/>
      <c r="R149" s="3"/>
      <c r="S149" s="3"/>
      <c r="T149" s="3"/>
      <c r="U149" s="3"/>
      <c r="V149" s="3"/>
      <c r="W149" s="44"/>
      <c r="X149" s="41"/>
      <c r="Y149" s="3"/>
      <c r="Z149" s="3"/>
    </row>
    <row r="150" spans="1:26" ht="15.75" hidden="1" customHeight="1" outlineLevel="1" x14ac:dyDescent="0.3">
      <c r="A150" s="3"/>
      <c r="B150" s="10" t="s">
        <v>42</v>
      </c>
      <c r="C150" s="62"/>
      <c r="D150" s="62"/>
      <c r="E150" s="12">
        <v>0</v>
      </c>
      <c r="F150" s="12">
        <v>0</v>
      </c>
      <c r="G150" s="69"/>
      <c r="H150" s="63"/>
      <c r="I150" s="63"/>
      <c r="J150" s="3"/>
      <c r="K150" s="3"/>
      <c r="L150" s="3"/>
      <c r="M150" s="3"/>
      <c r="N150" s="3"/>
      <c r="O150" s="3"/>
      <c r="P150" s="3"/>
      <c r="Q150" s="3"/>
      <c r="R150" s="3"/>
      <c r="S150" s="3"/>
      <c r="T150" s="3"/>
      <c r="U150" s="3"/>
      <c r="V150" s="3"/>
      <c r="W150" s="44"/>
      <c r="X150" s="41"/>
      <c r="Y150" s="3"/>
      <c r="Z150" s="3"/>
    </row>
    <row r="151" spans="1:26" ht="15.75" hidden="1" customHeight="1" outlineLevel="1" x14ac:dyDescent="0.3">
      <c r="A151" s="3"/>
      <c r="B151" s="10" t="s">
        <v>42</v>
      </c>
      <c r="C151" s="62"/>
      <c r="D151" s="62"/>
      <c r="E151" s="12">
        <v>0</v>
      </c>
      <c r="F151" s="12">
        <v>0</v>
      </c>
      <c r="G151" s="69"/>
      <c r="H151" s="63"/>
      <c r="I151" s="63"/>
      <c r="J151" s="127"/>
      <c r="K151" s="3"/>
      <c r="L151" s="3"/>
      <c r="M151" s="3"/>
      <c r="N151" s="3"/>
      <c r="O151" s="3"/>
      <c r="P151" s="3"/>
      <c r="Q151" s="3"/>
      <c r="R151" s="3"/>
      <c r="S151" s="3"/>
      <c r="T151" s="3"/>
      <c r="U151" s="3"/>
      <c r="V151" s="3"/>
      <c r="W151" s="44"/>
      <c r="X151" s="41"/>
      <c r="Y151" s="3"/>
      <c r="Z151" s="3"/>
    </row>
    <row r="152" spans="1:26" ht="15.75" hidden="1" customHeight="1" outlineLevel="1" x14ac:dyDescent="0.3">
      <c r="A152" s="3"/>
      <c r="B152" s="10" t="s">
        <v>42</v>
      </c>
      <c r="C152" s="62"/>
      <c r="D152" s="62"/>
      <c r="E152" s="12">
        <v>0</v>
      </c>
      <c r="F152" s="12">
        <v>0</v>
      </c>
      <c r="G152" s="69"/>
      <c r="H152" s="63"/>
      <c r="I152" s="63"/>
      <c r="J152" s="3"/>
      <c r="K152" s="3"/>
      <c r="L152" s="3"/>
      <c r="M152" s="3"/>
      <c r="N152" s="3"/>
      <c r="O152" s="3"/>
      <c r="P152" s="3"/>
      <c r="Q152" s="3"/>
      <c r="R152" s="3"/>
      <c r="S152" s="3"/>
      <c r="T152" s="3"/>
      <c r="U152" s="3"/>
      <c r="V152" s="3"/>
      <c r="W152" s="44"/>
      <c r="X152" s="41"/>
      <c r="Y152" s="3"/>
      <c r="Z152" s="3"/>
    </row>
    <row r="153" spans="1:26" ht="19.5" customHeight="1" collapsed="1" x14ac:dyDescent="0.3">
      <c r="A153" s="3"/>
      <c r="B153" s="73" t="s">
        <v>239</v>
      </c>
      <c r="C153" s="56" t="s">
        <v>43</v>
      </c>
      <c r="D153" s="56" t="s">
        <v>43</v>
      </c>
      <c r="E153" s="57">
        <f t="shared" ref="E153:F153" si="6">SUM(E154,E159,E164,E168)</f>
        <v>0</v>
      </c>
      <c r="F153" s="57">
        <f t="shared" si="6"/>
        <v>0</v>
      </c>
      <c r="G153" s="58" t="s">
        <v>43</v>
      </c>
      <c r="H153" s="74"/>
      <c r="I153" s="74"/>
      <c r="J153" s="3"/>
      <c r="K153" s="3"/>
      <c r="L153" s="3"/>
      <c r="M153" s="3"/>
      <c r="N153" s="3"/>
      <c r="O153" s="3"/>
      <c r="P153" s="3"/>
      <c r="Q153" s="3"/>
      <c r="R153" s="3"/>
      <c r="S153" s="3"/>
      <c r="T153" s="3"/>
      <c r="U153" s="3"/>
      <c r="V153" s="3"/>
      <c r="W153" s="44"/>
      <c r="X153" s="41"/>
      <c r="Y153" s="3"/>
      <c r="Z153" s="3"/>
    </row>
    <row r="154" spans="1:26" ht="15.75" hidden="1" customHeight="1" outlineLevel="1" x14ac:dyDescent="0.3">
      <c r="A154" s="3"/>
      <c r="B154" s="75" t="s">
        <v>240</v>
      </c>
      <c r="C154" s="76" t="s">
        <v>43</v>
      </c>
      <c r="D154" s="76" t="s">
        <v>43</v>
      </c>
      <c r="E154" s="77">
        <f>SUM(E155:E158)</f>
        <v>0</v>
      </c>
      <c r="F154" s="77">
        <f>SUMIF(D155:D158,"OK",F155:F158)</f>
        <v>0</v>
      </c>
      <c r="G154" s="78" t="s">
        <v>43</v>
      </c>
      <c r="H154" s="79"/>
      <c r="I154" s="79"/>
      <c r="J154" s="3"/>
      <c r="K154" s="3"/>
      <c r="L154" s="3"/>
      <c r="M154" s="3"/>
      <c r="N154" s="3"/>
      <c r="O154" s="3"/>
      <c r="P154" s="3"/>
      <c r="Q154" s="3"/>
      <c r="R154" s="3"/>
      <c r="S154" s="3"/>
      <c r="T154" s="3"/>
      <c r="U154" s="3"/>
      <c r="V154" s="3"/>
      <c r="W154" s="44"/>
      <c r="X154" s="41"/>
      <c r="Y154" s="3"/>
      <c r="Z154" s="3"/>
    </row>
    <row r="155" spans="1:26" ht="15.75" hidden="1" customHeight="1" outlineLevel="1" x14ac:dyDescent="0.3">
      <c r="A155" s="3"/>
      <c r="B155" s="10" t="s">
        <v>241</v>
      </c>
      <c r="C155" s="62"/>
      <c r="D155" s="62"/>
      <c r="E155" s="12">
        <v>0</v>
      </c>
      <c r="F155" s="12">
        <v>0</v>
      </c>
      <c r="G155" s="70"/>
      <c r="H155" s="63" t="s">
        <v>37</v>
      </c>
      <c r="I155" s="63"/>
      <c r="J155" s="3"/>
      <c r="K155" s="3"/>
      <c r="L155" s="3"/>
      <c r="M155" s="3"/>
      <c r="N155" s="3"/>
      <c r="O155" s="3"/>
      <c r="P155" s="3"/>
      <c r="Q155" s="3"/>
      <c r="R155" s="3"/>
      <c r="S155" s="3"/>
      <c r="T155" s="3"/>
      <c r="U155" s="3"/>
      <c r="V155" s="3"/>
      <c r="W155" s="44"/>
      <c r="X155" s="41"/>
      <c r="Y155" s="3"/>
      <c r="Z155" s="3"/>
    </row>
    <row r="156" spans="1:26" ht="15.75" hidden="1" customHeight="1" outlineLevel="1" x14ac:dyDescent="0.3">
      <c r="A156" s="3"/>
      <c r="B156" s="10" t="s">
        <v>242</v>
      </c>
      <c r="C156" s="62"/>
      <c r="D156" s="62"/>
      <c r="E156" s="12">
        <v>0</v>
      </c>
      <c r="F156" s="12">
        <v>0</v>
      </c>
      <c r="G156" s="67"/>
      <c r="H156" s="63" t="s">
        <v>36</v>
      </c>
      <c r="I156" s="63"/>
      <c r="J156" s="3"/>
      <c r="K156" s="3"/>
      <c r="L156" s="3"/>
      <c r="M156" s="3"/>
      <c r="N156" s="3"/>
      <c r="O156" s="3"/>
      <c r="P156" s="3"/>
      <c r="Q156" s="3"/>
      <c r="R156" s="3"/>
      <c r="S156" s="3"/>
      <c r="T156" s="3"/>
      <c r="U156" s="3"/>
      <c r="V156" s="3"/>
      <c r="W156" s="44"/>
      <c r="X156" s="41"/>
      <c r="Y156" s="3"/>
      <c r="Z156" s="3"/>
    </row>
    <row r="157" spans="1:26" ht="15.75" hidden="1" customHeight="1" outlineLevel="1" x14ac:dyDescent="0.3">
      <c r="A157" s="3"/>
      <c r="B157" s="10" t="s">
        <v>243</v>
      </c>
      <c r="C157" s="62"/>
      <c r="D157" s="62"/>
      <c r="E157" s="12">
        <v>0</v>
      </c>
      <c r="F157" s="12">
        <v>0</v>
      </c>
      <c r="G157" s="67"/>
      <c r="H157" s="63" t="s">
        <v>37</v>
      </c>
      <c r="I157" s="63"/>
      <c r="J157" s="3"/>
      <c r="K157" s="3"/>
      <c r="L157" s="3"/>
      <c r="M157" s="3"/>
      <c r="N157" s="3"/>
      <c r="O157" s="3"/>
      <c r="P157" s="3"/>
      <c r="Q157" s="3"/>
      <c r="R157" s="3"/>
      <c r="S157" s="3"/>
      <c r="T157" s="3"/>
      <c r="U157" s="3"/>
      <c r="V157" s="3"/>
      <c r="W157" s="44"/>
      <c r="X157" s="41"/>
      <c r="Y157" s="3"/>
      <c r="Z157" s="3"/>
    </row>
    <row r="158" spans="1:26" ht="15.75" hidden="1" customHeight="1" outlineLevel="1" x14ac:dyDescent="0.3">
      <c r="A158" s="3"/>
      <c r="B158" s="10" t="s">
        <v>244</v>
      </c>
      <c r="C158" s="62"/>
      <c r="D158" s="62"/>
      <c r="E158" s="12">
        <v>0</v>
      </c>
      <c r="F158" s="12">
        <v>0</v>
      </c>
      <c r="G158" s="131"/>
      <c r="H158" s="63" t="s">
        <v>36</v>
      </c>
      <c r="I158" s="63"/>
      <c r="J158" s="3"/>
      <c r="K158" s="3"/>
      <c r="L158" s="3"/>
      <c r="M158" s="3"/>
      <c r="N158" s="3"/>
      <c r="O158" s="3"/>
      <c r="P158" s="3"/>
      <c r="Q158" s="3"/>
      <c r="R158" s="3"/>
      <c r="S158" s="3"/>
      <c r="T158" s="3"/>
      <c r="U158" s="3"/>
      <c r="V158" s="3"/>
      <c r="W158" s="44"/>
      <c r="X158" s="41"/>
      <c r="Y158" s="3"/>
      <c r="Z158" s="3"/>
    </row>
    <row r="159" spans="1:26" ht="15.75" hidden="1" customHeight="1" outlineLevel="1" x14ac:dyDescent="0.3">
      <c r="A159" s="3"/>
      <c r="B159" s="75" t="s">
        <v>245</v>
      </c>
      <c r="C159" s="76" t="s">
        <v>43</v>
      </c>
      <c r="D159" s="76" t="s">
        <v>43</v>
      </c>
      <c r="E159" s="77">
        <f>SUM(E160:E163)</f>
        <v>0</v>
      </c>
      <c r="F159" s="77">
        <f>SUMIF(D160:D163,"OK",F160:F163)</f>
        <v>0</v>
      </c>
      <c r="G159" s="78" t="s">
        <v>43</v>
      </c>
      <c r="H159" s="79"/>
      <c r="I159" s="79"/>
      <c r="J159" s="3"/>
      <c r="K159" s="3"/>
      <c r="L159" s="3"/>
      <c r="M159" s="3"/>
      <c r="N159" s="3"/>
      <c r="O159" s="3"/>
      <c r="P159" s="3"/>
      <c r="Q159" s="3"/>
      <c r="R159" s="3"/>
      <c r="S159" s="3"/>
      <c r="T159" s="3"/>
      <c r="U159" s="3"/>
      <c r="V159" s="3"/>
      <c r="W159" s="44"/>
      <c r="X159" s="41"/>
      <c r="Y159" s="3"/>
      <c r="Z159" s="3"/>
    </row>
    <row r="160" spans="1:26" ht="15.75" hidden="1" customHeight="1" outlineLevel="1" x14ac:dyDescent="0.3">
      <c r="A160" s="3"/>
      <c r="B160" s="10" t="s">
        <v>241</v>
      </c>
      <c r="C160" s="62"/>
      <c r="D160" s="62"/>
      <c r="E160" s="12">
        <v>0</v>
      </c>
      <c r="F160" s="12">
        <v>0</v>
      </c>
      <c r="G160" s="69"/>
      <c r="H160" s="63" t="s">
        <v>37</v>
      </c>
      <c r="I160" s="63"/>
      <c r="J160" s="3"/>
      <c r="K160" s="3"/>
      <c r="L160" s="3"/>
      <c r="M160" s="3"/>
      <c r="N160" s="3"/>
      <c r="O160" s="3"/>
      <c r="P160" s="3"/>
      <c r="Q160" s="3"/>
      <c r="R160" s="3"/>
      <c r="S160" s="3"/>
      <c r="T160" s="3"/>
      <c r="U160" s="3"/>
      <c r="V160" s="3"/>
      <c r="W160" s="44"/>
      <c r="X160" s="41"/>
      <c r="Y160" s="3"/>
      <c r="Z160" s="3"/>
    </row>
    <row r="161" spans="1:26" ht="15.75" hidden="1" customHeight="1" outlineLevel="1" x14ac:dyDescent="0.3">
      <c r="A161" s="3"/>
      <c r="B161" s="10" t="s">
        <v>242</v>
      </c>
      <c r="C161" s="62"/>
      <c r="D161" s="62"/>
      <c r="E161" s="12">
        <v>0</v>
      </c>
      <c r="F161" s="12">
        <v>0</v>
      </c>
      <c r="G161" s="67"/>
      <c r="H161" s="63" t="s">
        <v>36</v>
      </c>
      <c r="I161" s="63"/>
      <c r="J161" s="3"/>
      <c r="K161" s="3"/>
      <c r="L161" s="3"/>
      <c r="M161" s="3"/>
      <c r="N161" s="3"/>
      <c r="O161" s="3"/>
      <c r="P161" s="3"/>
      <c r="Q161" s="3"/>
      <c r="R161" s="3"/>
      <c r="S161" s="3"/>
      <c r="T161" s="3"/>
      <c r="U161" s="3"/>
      <c r="V161" s="3"/>
      <c r="W161" s="44"/>
      <c r="X161" s="41"/>
      <c r="Y161" s="3"/>
      <c r="Z161" s="3"/>
    </row>
    <row r="162" spans="1:26" ht="15.75" hidden="1" customHeight="1" outlineLevel="1" x14ac:dyDescent="0.3">
      <c r="A162" s="3"/>
      <c r="B162" s="10" t="s">
        <v>243</v>
      </c>
      <c r="C162" s="62"/>
      <c r="D162" s="62"/>
      <c r="E162" s="12">
        <v>0</v>
      </c>
      <c r="F162" s="12">
        <v>0</v>
      </c>
      <c r="G162" s="67"/>
      <c r="H162" s="63" t="s">
        <v>37</v>
      </c>
      <c r="I162" s="63"/>
      <c r="J162" s="3"/>
      <c r="K162" s="3"/>
      <c r="L162" s="3"/>
      <c r="M162" s="3"/>
      <c r="N162" s="3"/>
      <c r="O162" s="3"/>
      <c r="P162" s="3"/>
      <c r="Q162" s="3"/>
      <c r="R162" s="3"/>
      <c r="S162" s="3"/>
      <c r="T162" s="3"/>
      <c r="U162" s="3"/>
      <c r="V162" s="3"/>
      <c r="W162" s="44"/>
      <c r="X162" s="41"/>
      <c r="Y162" s="3"/>
      <c r="Z162" s="3"/>
    </row>
    <row r="163" spans="1:26" ht="15.75" hidden="1" customHeight="1" outlineLevel="1" x14ac:dyDescent="0.3">
      <c r="A163" s="3"/>
      <c r="B163" s="10" t="s">
        <v>244</v>
      </c>
      <c r="C163" s="62"/>
      <c r="D163" s="62"/>
      <c r="E163" s="12">
        <v>0</v>
      </c>
      <c r="F163" s="12">
        <v>0</v>
      </c>
      <c r="G163" s="67"/>
      <c r="H163" s="63" t="s">
        <v>36</v>
      </c>
      <c r="I163" s="63"/>
      <c r="J163" s="3"/>
      <c r="K163" s="3"/>
      <c r="L163" s="3"/>
      <c r="M163" s="3"/>
      <c r="N163" s="3"/>
      <c r="O163" s="3"/>
      <c r="P163" s="3"/>
      <c r="Q163" s="3"/>
      <c r="R163" s="3"/>
      <c r="S163" s="3"/>
      <c r="T163" s="3"/>
      <c r="U163" s="3"/>
      <c r="V163" s="3"/>
      <c r="W163" s="44"/>
      <c r="X163" s="41"/>
      <c r="Y163" s="3"/>
      <c r="Z163" s="3"/>
    </row>
    <row r="164" spans="1:26" ht="15.75" hidden="1" customHeight="1" outlineLevel="1" x14ac:dyDescent="0.3">
      <c r="A164" s="3"/>
      <c r="B164" s="75" t="s">
        <v>246</v>
      </c>
      <c r="C164" s="76" t="s">
        <v>43</v>
      </c>
      <c r="D164" s="76" t="s">
        <v>43</v>
      </c>
      <c r="E164" s="77">
        <f>SUM(E165:E167)</f>
        <v>0</v>
      </c>
      <c r="F164" s="77">
        <f>SUMIF(D165:D167,"OK",F165:F167)</f>
        <v>0</v>
      </c>
      <c r="G164" s="78" t="s">
        <v>43</v>
      </c>
      <c r="H164" s="79"/>
      <c r="I164" s="79"/>
      <c r="J164" s="3"/>
      <c r="K164" s="3"/>
      <c r="L164" s="3"/>
      <c r="M164" s="3"/>
      <c r="N164" s="3"/>
      <c r="O164" s="3"/>
      <c r="P164" s="3"/>
      <c r="Q164" s="3"/>
      <c r="R164" s="3"/>
      <c r="S164" s="3"/>
      <c r="T164" s="3"/>
      <c r="U164" s="3"/>
      <c r="V164" s="3"/>
      <c r="W164" s="44"/>
      <c r="X164" s="41"/>
      <c r="Y164" s="3"/>
      <c r="Z164" s="3"/>
    </row>
    <row r="165" spans="1:26" ht="15.75" hidden="1" customHeight="1" outlineLevel="1" x14ac:dyDescent="0.3">
      <c r="A165" s="3"/>
      <c r="B165" s="10" t="s">
        <v>1577</v>
      </c>
      <c r="C165" s="80"/>
      <c r="D165" s="62"/>
      <c r="E165" s="12">
        <v>0</v>
      </c>
      <c r="F165" s="12">
        <v>0</v>
      </c>
      <c r="G165" s="69"/>
      <c r="H165" s="63"/>
      <c r="I165" s="63"/>
      <c r="J165" s="3"/>
      <c r="K165" s="3"/>
      <c r="L165" s="3"/>
      <c r="M165" s="3"/>
      <c r="N165" s="3"/>
      <c r="O165" s="3"/>
      <c r="P165" s="3"/>
      <c r="Q165" s="3"/>
      <c r="R165" s="3"/>
      <c r="S165" s="3"/>
      <c r="T165" s="3"/>
      <c r="U165" s="3"/>
      <c r="V165" s="3"/>
      <c r="W165" s="44"/>
      <c r="X165" s="41"/>
      <c r="Y165" s="3"/>
      <c r="Z165" s="3"/>
    </row>
    <row r="166" spans="1:26" ht="15.75" hidden="1" customHeight="1" outlineLevel="1" x14ac:dyDescent="0.3">
      <c r="A166" s="3"/>
      <c r="B166" s="10" t="s">
        <v>1593</v>
      </c>
      <c r="C166" s="80"/>
      <c r="D166" s="62"/>
      <c r="E166" s="12">
        <v>0</v>
      </c>
      <c r="F166" s="12">
        <v>0</v>
      </c>
      <c r="G166" s="69"/>
      <c r="H166" s="63"/>
      <c r="I166" s="63"/>
      <c r="J166" s="3"/>
      <c r="K166" s="3"/>
      <c r="L166" s="3"/>
      <c r="M166" s="3"/>
      <c r="N166" s="3"/>
      <c r="O166" s="3"/>
      <c r="P166" s="3"/>
      <c r="Q166" s="3"/>
      <c r="R166" s="3"/>
      <c r="S166" s="3"/>
      <c r="T166" s="3"/>
      <c r="U166" s="3"/>
      <c r="V166" s="3"/>
      <c r="W166" s="44"/>
      <c r="X166" s="41"/>
      <c r="Y166" s="3"/>
      <c r="Z166" s="3"/>
    </row>
    <row r="167" spans="1:26" ht="15.75" hidden="1" customHeight="1" outlineLevel="1" x14ac:dyDescent="0.3">
      <c r="A167" s="3"/>
      <c r="B167" s="10" t="s">
        <v>42</v>
      </c>
      <c r="C167" s="62"/>
      <c r="D167" s="62"/>
      <c r="E167" s="12">
        <v>0</v>
      </c>
      <c r="F167" s="12">
        <v>0</v>
      </c>
      <c r="G167" s="69"/>
      <c r="H167" s="63"/>
      <c r="I167" s="63"/>
      <c r="J167" s="3"/>
      <c r="K167" s="3"/>
      <c r="L167" s="3"/>
      <c r="M167" s="3"/>
      <c r="N167" s="3"/>
      <c r="O167" s="3"/>
      <c r="P167" s="3"/>
      <c r="Q167" s="3"/>
      <c r="R167" s="3"/>
      <c r="S167" s="3"/>
      <c r="T167" s="3"/>
      <c r="U167" s="3"/>
      <c r="V167" s="3"/>
      <c r="W167" s="44"/>
      <c r="X167" s="41"/>
      <c r="Y167" s="3"/>
      <c r="Z167" s="3"/>
    </row>
    <row r="168" spans="1:26" ht="15.75" hidden="1" customHeight="1" outlineLevel="1" x14ac:dyDescent="0.3">
      <c r="A168" s="3"/>
      <c r="B168" s="75" t="s">
        <v>61</v>
      </c>
      <c r="C168" s="76" t="s">
        <v>43</v>
      </c>
      <c r="D168" s="76" t="s">
        <v>43</v>
      </c>
      <c r="E168" s="77">
        <f>SUM(E169:E182)</f>
        <v>0</v>
      </c>
      <c r="F168" s="77">
        <f>SUMIF(D169:D182,"OK",F169:F182)</f>
        <v>0</v>
      </c>
      <c r="G168" s="78" t="s">
        <v>43</v>
      </c>
      <c r="H168" s="79"/>
      <c r="I168" s="79"/>
      <c r="J168" s="3"/>
      <c r="K168" s="3"/>
      <c r="L168" s="3"/>
      <c r="M168" s="3"/>
      <c r="N168" s="3"/>
      <c r="O168" s="3"/>
      <c r="P168" s="3"/>
      <c r="Q168" s="3"/>
      <c r="R168" s="3"/>
      <c r="S168" s="3"/>
      <c r="T168" s="3"/>
      <c r="U168" s="3"/>
      <c r="V168" s="3"/>
      <c r="W168" s="44"/>
      <c r="X168" s="41"/>
      <c r="Y168" s="3"/>
      <c r="Z168" s="3"/>
    </row>
    <row r="169" spans="1:26" ht="15.75" hidden="1" customHeight="1" outlineLevel="1" x14ac:dyDescent="0.3">
      <c r="A169" s="3"/>
      <c r="B169" s="10" t="s">
        <v>1594</v>
      </c>
      <c r="C169" s="62"/>
      <c r="D169" s="62"/>
      <c r="E169" s="12">
        <v>0</v>
      </c>
      <c r="F169" s="12">
        <v>0</v>
      </c>
      <c r="G169" s="69"/>
      <c r="H169" s="63"/>
      <c r="I169" s="63"/>
      <c r="J169" s="3"/>
      <c r="K169" s="3"/>
      <c r="L169" s="3"/>
      <c r="M169" s="3"/>
      <c r="N169" s="3"/>
      <c r="O169" s="3"/>
      <c r="P169" s="3"/>
      <c r="Q169" s="3"/>
      <c r="R169" s="3"/>
      <c r="S169" s="3"/>
      <c r="T169" s="3"/>
      <c r="U169" s="3"/>
      <c r="V169" s="3"/>
      <c r="W169" s="44"/>
      <c r="X169" s="41"/>
      <c r="Y169" s="3"/>
      <c r="Z169" s="3"/>
    </row>
    <row r="170" spans="1:26" ht="15.75" hidden="1" customHeight="1" outlineLevel="1" x14ac:dyDescent="0.3">
      <c r="A170" s="3"/>
      <c r="B170" s="10" t="s">
        <v>61</v>
      </c>
      <c r="C170" s="80"/>
      <c r="D170" s="62"/>
      <c r="E170" s="12">
        <v>0</v>
      </c>
      <c r="F170" s="12">
        <v>0</v>
      </c>
      <c r="G170" s="70"/>
      <c r="H170" s="63"/>
      <c r="I170" s="63"/>
      <c r="J170" s="3"/>
      <c r="K170" s="3"/>
      <c r="L170" s="3"/>
      <c r="M170" s="3"/>
      <c r="N170" s="3"/>
      <c r="O170" s="3"/>
      <c r="P170" s="3"/>
      <c r="Q170" s="3"/>
      <c r="R170" s="3"/>
      <c r="S170" s="3"/>
      <c r="T170" s="3"/>
      <c r="U170" s="3"/>
      <c r="V170" s="3"/>
      <c r="W170" s="44"/>
      <c r="X170" s="41"/>
      <c r="Y170" s="3"/>
      <c r="Z170" s="3"/>
    </row>
    <row r="171" spans="1:26" ht="15.75" hidden="1" customHeight="1" outlineLevel="1" x14ac:dyDescent="0.3">
      <c r="A171" s="3"/>
      <c r="B171" s="10" t="s">
        <v>61</v>
      </c>
      <c r="C171" s="62"/>
      <c r="D171" s="62"/>
      <c r="E171" s="12">
        <v>0</v>
      </c>
      <c r="F171" s="12">
        <v>0</v>
      </c>
      <c r="G171" s="69"/>
      <c r="H171" s="63"/>
      <c r="I171" s="63"/>
      <c r="J171" s="3"/>
      <c r="K171" s="3"/>
      <c r="L171" s="3"/>
      <c r="M171" s="3"/>
      <c r="N171" s="3"/>
      <c r="O171" s="3"/>
      <c r="P171" s="3"/>
      <c r="Q171" s="3"/>
      <c r="R171" s="3"/>
      <c r="S171" s="3"/>
      <c r="T171" s="3"/>
      <c r="U171" s="3"/>
      <c r="V171" s="3"/>
      <c r="W171" s="44"/>
      <c r="X171" s="41"/>
      <c r="Y171" s="3"/>
      <c r="Z171" s="3"/>
    </row>
    <row r="172" spans="1:26" ht="15.75" hidden="1" customHeight="1" outlineLevel="1" x14ac:dyDescent="0.3">
      <c r="A172" s="3"/>
      <c r="B172" s="10" t="s">
        <v>61</v>
      </c>
      <c r="C172" s="62"/>
      <c r="D172" s="62"/>
      <c r="E172" s="12">
        <v>0</v>
      </c>
      <c r="F172" s="12">
        <v>0</v>
      </c>
      <c r="G172" s="70"/>
      <c r="H172" s="63"/>
      <c r="I172" s="63"/>
      <c r="J172" s="3"/>
      <c r="K172" s="3"/>
      <c r="L172" s="3"/>
      <c r="M172" s="3"/>
      <c r="N172" s="3"/>
      <c r="O172" s="3"/>
      <c r="P172" s="3"/>
      <c r="Q172" s="3"/>
      <c r="R172" s="3"/>
      <c r="S172" s="3"/>
      <c r="T172" s="3"/>
      <c r="U172" s="3"/>
      <c r="V172" s="3"/>
      <c r="W172" s="44"/>
      <c r="X172" s="41"/>
      <c r="Y172" s="3"/>
      <c r="Z172" s="3"/>
    </row>
    <row r="173" spans="1:26" ht="15.75" hidden="1" customHeight="1" outlineLevel="1" x14ac:dyDescent="0.3">
      <c r="A173" s="3"/>
      <c r="B173" s="10" t="s">
        <v>61</v>
      </c>
      <c r="C173" s="62"/>
      <c r="D173" s="62"/>
      <c r="E173" s="12">
        <v>0</v>
      </c>
      <c r="F173" s="12">
        <v>0</v>
      </c>
      <c r="G173" s="69"/>
      <c r="H173" s="63"/>
      <c r="I173" s="63"/>
      <c r="J173" s="3"/>
      <c r="K173" s="3"/>
      <c r="L173" s="3"/>
      <c r="M173" s="3"/>
      <c r="N173" s="3"/>
      <c r="O173" s="3"/>
      <c r="P173" s="3"/>
      <c r="Q173" s="3"/>
      <c r="R173" s="3"/>
      <c r="S173" s="3"/>
      <c r="T173" s="3"/>
      <c r="U173" s="3"/>
      <c r="V173" s="3"/>
      <c r="W173" s="44"/>
      <c r="X173" s="41"/>
      <c r="Y173" s="3"/>
      <c r="Z173" s="3"/>
    </row>
    <row r="174" spans="1:26" ht="15.75" hidden="1" customHeight="1" outlineLevel="1" x14ac:dyDescent="0.3">
      <c r="A174" s="3"/>
      <c r="B174" s="10" t="s">
        <v>61</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row>
    <row r="175" spans="1:26" ht="15.75" hidden="1" customHeight="1" outlineLevel="1" x14ac:dyDescent="0.3">
      <c r="A175" s="3"/>
      <c r="B175" s="10" t="s">
        <v>61</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row>
    <row r="176" spans="1:26" ht="15.75" hidden="1" customHeight="1" outlineLevel="1" x14ac:dyDescent="0.3">
      <c r="A176" s="3"/>
      <c r="B176" s="10" t="s">
        <v>61</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row>
    <row r="177" spans="1:26" ht="15.75" hidden="1" customHeight="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row>
    <row r="178" spans="1:26" ht="15.75" hidden="1" customHeight="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row>
    <row r="179" spans="1:26" ht="15.75" hidden="1" customHeight="1" outlineLevel="1" x14ac:dyDescent="0.3">
      <c r="A179" s="3"/>
      <c r="B179" s="10" t="s">
        <v>61</v>
      </c>
      <c r="C179" s="62"/>
      <c r="D179" s="62"/>
      <c r="E179" s="12">
        <v>0</v>
      </c>
      <c r="F179" s="12">
        <v>0</v>
      </c>
      <c r="G179" s="69"/>
      <c r="H179" s="63"/>
      <c r="I179" s="63"/>
      <c r="J179" s="3"/>
      <c r="K179" s="3"/>
      <c r="L179" s="3"/>
      <c r="M179" s="3"/>
      <c r="N179" s="3"/>
      <c r="O179" s="3"/>
      <c r="P179" s="3"/>
      <c r="Q179" s="3"/>
      <c r="R179" s="3"/>
      <c r="S179" s="3"/>
      <c r="T179" s="3"/>
      <c r="U179" s="3"/>
      <c r="V179" s="3"/>
      <c r="W179" s="44"/>
      <c r="X179" s="41"/>
      <c r="Y179" s="3"/>
      <c r="Z179" s="3"/>
    </row>
    <row r="180" spans="1:26" ht="15.75" hidden="1" customHeight="1" outlineLevel="1" x14ac:dyDescent="0.3">
      <c r="A180" s="3"/>
      <c r="B180" s="10" t="s">
        <v>61</v>
      </c>
      <c r="C180" s="62"/>
      <c r="D180" s="62"/>
      <c r="E180" s="12">
        <v>0</v>
      </c>
      <c r="F180" s="12">
        <v>0</v>
      </c>
      <c r="G180" s="69"/>
      <c r="H180" s="63"/>
      <c r="I180" s="63"/>
      <c r="J180" s="3"/>
      <c r="K180" s="3"/>
      <c r="L180" s="3"/>
      <c r="M180" s="3"/>
      <c r="N180" s="3"/>
      <c r="O180" s="3"/>
      <c r="P180" s="3"/>
      <c r="Q180" s="3"/>
      <c r="R180" s="3"/>
      <c r="S180" s="3"/>
      <c r="T180" s="3"/>
      <c r="U180" s="3"/>
      <c r="V180" s="3"/>
      <c r="W180" s="44"/>
      <c r="X180" s="41"/>
      <c r="Y180" s="3"/>
      <c r="Z180" s="3"/>
    </row>
    <row r="181" spans="1:26" ht="15.75" hidden="1" customHeight="1" outlineLevel="1" x14ac:dyDescent="0.3">
      <c r="A181" s="3"/>
      <c r="B181" s="10" t="s">
        <v>61</v>
      </c>
      <c r="C181" s="62"/>
      <c r="D181" s="62"/>
      <c r="E181" s="12">
        <v>0</v>
      </c>
      <c r="F181" s="12">
        <v>0</v>
      </c>
      <c r="G181" s="69"/>
      <c r="H181" s="63"/>
      <c r="I181" s="63"/>
      <c r="J181" s="3"/>
      <c r="K181" s="3"/>
      <c r="L181" s="3"/>
      <c r="M181" s="3"/>
      <c r="N181" s="3"/>
      <c r="O181" s="3"/>
      <c r="P181" s="3"/>
      <c r="Q181" s="3"/>
      <c r="R181" s="3"/>
      <c r="S181" s="3"/>
      <c r="T181" s="3"/>
      <c r="U181" s="3"/>
      <c r="V181" s="3"/>
      <c r="W181" s="44"/>
      <c r="X181" s="41"/>
      <c r="Y181" s="3"/>
      <c r="Z181" s="3"/>
    </row>
    <row r="182" spans="1:26" ht="15.75" hidden="1" customHeight="1" outlineLevel="1" x14ac:dyDescent="0.3">
      <c r="A182" s="3"/>
      <c r="B182" s="10" t="s">
        <v>61</v>
      </c>
      <c r="C182" s="62"/>
      <c r="D182" s="62"/>
      <c r="E182" s="12">
        <v>0</v>
      </c>
      <c r="F182" s="12">
        <v>0</v>
      </c>
      <c r="G182" s="69"/>
      <c r="H182" s="63"/>
      <c r="I182" s="63"/>
      <c r="J182" s="3"/>
      <c r="K182" s="3"/>
      <c r="L182" s="3"/>
      <c r="M182" s="3"/>
      <c r="N182" s="3"/>
      <c r="O182" s="3"/>
      <c r="P182" s="3"/>
      <c r="Q182" s="3"/>
      <c r="R182" s="3"/>
      <c r="S182" s="3"/>
      <c r="T182" s="3"/>
      <c r="U182" s="3"/>
      <c r="V182" s="3"/>
      <c r="W182" s="44"/>
      <c r="X182" s="41"/>
      <c r="Y182" s="3"/>
      <c r="Z182" s="3"/>
    </row>
    <row r="183" spans="1:26" ht="19.5" customHeight="1" collapsed="1" x14ac:dyDescent="0.3">
      <c r="A183" s="3"/>
      <c r="B183" s="73" t="s">
        <v>63</v>
      </c>
      <c r="C183" s="56" t="s">
        <v>43</v>
      </c>
      <c r="D183" s="56" t="s">
        <v>43</v>
      </c>
      <c r="E183" s="57">
        <f>SUM(E184:E186)</f>
        <v>0</v>
      </c>
      <c r="F183" s="57">
        <f>SUMIF(D184:D186,"OK",F184:F186)</f>
        <v>0</v>
      </c>
      <c r="G183" s="58" t="s">
        <v>43</v>
      </c>
      <c r="H183" s="74"/>
      <c r="I183" s="74"/>
      <c r="J183" s="3"/>
      <c r="K183" s="3"/>
      <c r="L183" s="3"/>
      <c r="M183" s="3"/>
      <c r="N183" s="3"/>
      <c r="O183" s="3"/>
      <c r="P183" s="3"/>
      <c r="Q183" s="3"/>
      <c r="R183" s="3"/>
      <c r="S183" s="3"/>
      <c r="T183" s="3"/>
      <c r="U183" s="3"/>
      <c r="V183" s="3"/>
      <c r="W183" s="44"/>
      <c r="X183" s="41"/>
      <c r="Y183" s="3"/>
      <c r="Z183" s="3"/>
    </row>
    <row r="184" spans="1:26" ht="15.75" hidden="1" customHeight="1" outlineLevel="1" x14ac:dyDescent="0.3">
      <c r="A184" s="3"/>
      <c r="B184" s="10" t="s">
        <v>1562</v>
      </c>
      <c r="C184" s="62"/>
      <c r="D184" s="62"/>
      <c r="E184" s="12">
        <v>0</v>
      </c>
      <c r="F184" s="12">
        <v>0</v>
      </c>
      <c r="G184" s="69"/>
      <c r="H184" s="63"/>
      <c r="I184" s="63"/>
      <c r="J184" s="3"/>
      <c r="K184" s="3"/>
      <c r="L184" s="3"/>
      <c r="M184" s="3"/>
      <c r="N184" s="3"/>
      <c r="O184" s="3"/>
      <c r="P184" s="3"/>
      <c r="Q184" s="3"/>
      <c r="R184" s="3"/>
      <c r="S184" s="3"/>
      <c r="T184" s="3"/>
      <c r="U184" s="3"/>
      <c r="V184" s="3"/>
      <c r="W184" s="44"/>
      <c r="X184" s="41"/>
      <c r="Y184" s="3"/>
      <c r="Z184" s="3"/>
    </row>
    <row r="185" spans="1:26" ht="15.75" hidden="1" customHeight="1" outlineLevel="1" x14ac:dyDescent="0.3">
      <c r="A185" s="3"/>
      <c r="B185" s="10" t="s">
        <v>1562</v>
      </c>
      <c r="C185" s="62"/>
      <c r="D185" s="62"/>
      <c r="E185" s="12">
        <v>0</v>
      </c>
      <c r="F185" s="12">
        <v>0</v>
      </c>
      <c r="G185" s="69"/>
      <c r="H185" s="63"/>
      <c r="I185" s="63"/>
      <c r="J185" s="3"/>
      <c r="K185" s="3"/>
      <c r="L185" s="3"/>
      <c r="M185" s="3"/>
      <c r="N185" s="3"/>
      <c r="O185" s="3"/>
      <c r="P185" s="3"/>
      <c r="Q185" s="3"/>
      <c r="R185" s="3"/>
      <c r="S185" s="3"/>
      <c r="T185" s="3"/>
      <c r="U185" s="3"/>
      <c r="V185" s="3"/>
      <c r="W185" s="44"/>
      <c r="X185" s="41"/>
      <c r="Y185" s="3"/>
      <c r="Z185" s="3"/>
    </row>
    <row r="186" spans="1:26" ht="15.75" hidden="1" customHeight="1" outlineLevel="1" x14ac:dyDescent="0.3">
      <c r="A186" s="3"/>
      <c r="B186" s="10" t="s">
        <v>63</v>
      </c>
      <c r="C186" s="62"/>
      <c r="D186" s="62"/>
      <c r="E186" s="12">
        <v>0</v>
      </c>
      <c r="F186" s="12">
        <v>0</v>
      </c>
      <c r="G186" s="67"/>
      <c r="H186" s="63"/>
      <c r="I186" s="63"/>
      <c r="J186" s="3"/>
      <c r="K186" s="3"/>
      <c r="L186" s="3"/>
      <c r="M186" s="3"/>
      <c r="N186" s="3"/>
      <c r="O186" s="3"/>
      <c r="P186" s="3"/>
      <c r="Q186" s="3"/>
      <c r="R186" s="3"/>
      <c r="S186" s="3"/>
      <c r="T186" s="3"/>
      <c r="U186" s="3"/>
      <c r="V186" s="3"/>
      <c r="W186" s="44"/>
      <c r="X186" s="41"/>
      <c r="Y186" s="3"/>
      <c r="Z186" s="3"/>
    </row>
    <row r="187" spans="1:26" ht="19.5" customHeight="1" collapsed="1" x14ac:dyDescent="0.3">
      <c r="A187" s="3"/>
      <c r="B187" s="73" t="s">
        <v>259</v>
      </c>
      <c r="C187" s="56" t="s">
        <v>43</v>
      </c>
      <c r="D187" s="56" t="s">
        <v>43</v>
      </c>
      <c r="E187" s="57">
        <f>SUM(E188:E194)</f>
        <v>0</v>
      </c>
      <c r="F187" s="57">
        <f>SUMIF(D188:D194,"OK",F188:F194)</f>
        <v>0</v>
      </c>
      <c r="G187" s="58" t="s">
        <v>43</v>
      </c>
      <c r="H187" s="74"/>
      <c r="I187" s="74"/>
      <c r="J187" s="3"/>
      <c r="K187" s="3"/>
      <c r="L187" s="3"/>
      <c r="M187" s="3"/>
      <c r="N187" s="3"/>
      <c r="O187" s="3"/>
      <c r="P187" s="3"/>
      <c r="Q187" s="3"/>
      <c r="R187" s="3"/>
      <c r="S187" s="3"/>
      <c r="T187" s="3"/>
      <c r="U187" s="3"/>
      <c r="V187" s="3"/>
      <c r="W187" s="44"/>
      <c r="X187" s="41"/>
      <c r="Y187" s="3"/>
      <c r="Z187" s="3"/>
    </row>
    <row r="188" spans="1:26" ht="15.75" hidden="1" customHeight="1" outlineLevel="1" x14ac:dyDescent="0.3">
      <c r="A188" s="3"/>
      <c r="B188" s="10" t="s">
        <v>260</v>
      </c>
      <c r="C188" s="62"/>
      <c r="D188" s="62"/>
      <c r="E188" s="12">
        <v>0</v>
      </c>
      <c r="F188" s="12">
        <v>0</v>
      </c>
      <c r="G188" s="67"/>
      <c r="H188" s="63" t="s">
        <v>37</v>
      </c>
      <c r="I188" s="63"/>
      <c r="J188" s="3"/>
      <c r="K188" s="3"/>
      <c r="L188" s="3"/>
      <c r="M188" s="3"/>
      <c r="N188" s="3"/>
      <c r="O188" s="3"/>
      <c r="P188" s="3"/>
      <c r="Q188" s="3"/>
      <c r="R188" s="3"/>
      <c r="S188" s="3"/>
      <c r="T188" s="3"/>
      <c r="U188" s="3"/>
      <c r="V188" s="3"/>
      <c r="W188" s="44"/>
      <c r="X188" s="41"/>
      <c r="Y188" s="3"/>
      <c r="Z188" s="3"/>
    </row>
    <row r="189" spans="1:26" ht="15.75" hidden="1" customHeight="1" outlineLevel="1" x14ac:dyDescent="0.3">
      <c r="A189" s="3"/>
      <c r="B189" s="10" t="s">
        <v>261</v>
      </c>
      <c r="C189" s="62"/>
      <c r="D189" s="62"/>
      <c r="E189" s="12">
        <v>0</v>
      </c>
      <c r="F189" s="12">
        <v>0</v>
      </c>
      <c r="G189" s="69"/>
      <c r="H189" s="63" t="s">
        <v>38</v>
      </c>
      <c r="I189" s="63"/>
      <c r="J189" s="3"/>
      <c r="K189" s="3"/>
      <c r="L189" s="3"/>
      <c r="M189" s="3"/>
      <c r="N189" s="3"/>
      <c r="O189" s="3"/>
      <c r="P189" s="3"/>
      <c r="Q189" s="3"/>
      <c r="R189" s="3"/>
      <c r="S189" s="3"/>
      <c r="T189" s="3"/>
      <c r="U189" s="3"/>
      <c r="V189" s="3"/>
      <c r="W189" s="44"/>
      <c r="X189" s="41"/>
      <c r="Y189" s="3"/>
      <c r="Z189" s="3"/>
    </row>
    <row r="190" spans="1:26" ht="15.75" hidden="1" customHeight="1" outlineLevel="1" x14ac:dyDescent="0.3">
      <c r="A190" s="3"/>
      <c r="B190" s="10" t="s">
        <v>263</v>
      </c>
      <c r="C190" s="62"/>
      <c r="D190" s="62"/>
      <c r="E190" s="12">
        <v>0</v>
      </c>
      <c r="F190" s="12">
        <v>0</v>
      </c>
      <c r="G190" s="67"/>
      <c r="H190" s="63" t="s">
        <v>234</v>
      </c>
      <c r="I190" s="63"/>
      <c r="J190" s="3"/>
      <c r="K190" s="3"/>
      <c r="L190" s="3"/>
      <c r="M190" s="3"/>
      <c r="N190" s="3"/>
      <c r="O190" s="3"/>
      <c r="P190" s="3"/>
      <c r="Q190" s="3"/>
      <c r="R190" s="3"/>
      <c r="S190" s="3"/>
      <c r="T190" s="3"/>
      <c r="U190" s="3"/>
      <c r="V190" s="3"/>
      <c r="W190" s="44"/>
      <c r="X190" s="41"/>
      <c r="Y190" s="3"/>
      <c r="Z190" s="3"/>
    </row>
    <row r="191" spans="1:26" ht="15.75" hidden="1" customHeight="1" outlineLevel="1" x14ac:dyDescent="0.3">
      <c r="A191" s="3"/>
      <c r="B191" s="10" t="s">
        <v>264</v>
      </c>
      <c r="C191" s="62"/>
      <c r="D191" s="62"/>
      <c r="E191" s="12">
        <v>0</v>
      </c>
      <c r="F191" s="12">
        <v>0</v>
      </c>
      <c r="G191" s="67"/>
      <c r="H191" s="63" t="s">
        <v>265</v>
      </c>
      <c r="I191" s="63"/>
      <c r="J191" s="3"/>
      <c r="K191" s="3"/>
      <c r="L191" s="3"/>
      <c r="M191" s="3"/>
      <c r="N191" s="3"/>
      <c r="O191" s="3"/>
      <c r="P191" s="3"/>
      <c r="Q191" s="3"/>
      <c r="R191" s="3"/>
      <c r="S191" s="3"/>
      <c r="T191" s="3"/>
      <c r="U191" s="3"/>
      <c r="V191" s="3"/>
      <c r="W191" s="44"/>
      <c r="X191" s="41"/>
      <c r="Y191" s="3"/>
      <c r="Z191" s="3"/>
    </row>
    <row r="192" spans="1:26" ht="15.75" hidden="1" customHeight="1" outlineLevel="1" x14ac:dyDescent="0.3">
      <c r="A192" s="3"/>
      <c r="B192" s="10" t="s">
        <v>551</v>
      </c>
      <c r="C192" s="62"/>
      <c r="D192" s="62"/>
      <c r="E192" s="12">
        <v>0</v>
      </c>
      <c r="F192" s="12">
        <v>0</v>
      </c>
      <c r="G192" s="67"/>
      <c r="H192" s="63" t="s">
        <v>39</v>
      </c>
      <c r="I192" s="63"/>
      <c r="J192" s="3"/>
      <c r="K192" s="3"/>
      <c r="L192" s="3"/>
      <c r="M192" s="3"/>
      <c r="N192" s="3"/>
      <c r="O192" s="3"/>
      <c r="P192" s="3"/>
      <c r="Q192" s="3"/>
      <c r="R192" s="3"/>
      <c r="S192" s="3"/>
      <c r="T192" s="3"/>
      <c r="U192" s="3"/>
      <c r="V192" s="3"/>
      <c r="W192" s="44"/>
      <c r="X192" s="41"/>
      <c r="Y192" s="3"/>
      <c r="Z192" s="3"/>
    </row>
    <row r="193" spans="1:26" ht="15.75" hidden="1" customHeight="1" outlineLevel="1" x14ac:dyDescent="0.3">
      <c r="A193" s="3"/>
      <c r="B193" s="10" t="s">
        <v>1524</v>
      </c>
      <c r="C193" s="62"/>
      <c r="D193" s="62"/>
      <c r="E193" s="12">
        <v>0</v>
      </c>
      <c r="F193" s="12">
        <v>0</v>
      </c>
      <c r="G193" s="67"/>
      <c r="H193" s="63" t="s">
        <v>38</v>
      </c>
      <c r="I193" s="63"/>
      <c r="J193" s="3"/>
      <c r="K193" s="3"/>
      <c r="L193" s="3"/>
      <c r="M193" s="3"/>
      <c r="N193" s="3"/>
      <c r="O193" s="3"/>
      <c r="P193" s="3"/>
      <c r="Q193" s="3"/>
      <c r="R193" s="3"/>
      <c r="S193" s="3"/>
      <c r="T193" s="3"/>
      <c r="U193" s="3"/>
      <c r="V193" s="3"/>
      <c r="W193" s="44"/>
      <c r="X193" s="41"/>
      <c r="Y193" s="3"/>
      <c r="Z193" s="3"/>
    </row>
    <row r="194" spans="1:26" ht="15.75" hidden="1" customHeight="1" outlineLevel="1" x14ac:dyDescent="0.3">
      <c r="A194" s="3"/>
      <c r="B194" s="10" t="s">
        <v>916</v>
      </c>
      <c r="C194" s="62"/>
      <c r="D194" s="62"/>
      <c r="E194" s="12">
        <v>0</v>
      </c>
      <c r="F194" s="12">
        <v>0</v>
      </c>
      <c r="G194" s="67"/>
      <c r="H194" s="63"/>
      <c r="I194" s="63"/>
      <c r="J194" s="3"/>
      <c r="K194" s="3"/>
      <c r="L194" s="3"/>
      <c r="M194" s="3"/>
      <c r="N194" s="3"/>
      <c r="O194" s="3"/>
      <c r="P194" s="3"/>
      <c r="Q194" s="3"/>
      <c r="R194" s="3"/>
      <c r="S194" s="3"/>
      <c r="T194" s="3"/>
      <c r="U194" s="3"/>
      <c r="V194" s="3"/>
      <c r="W194" s="44"/>
      <c r="X194" s="41"/>
      <c r="Y194" s="3"/>
      <c r="Z194" s="3"/>
    </row>
    <row r="195" spans="1:26" ht="15.75" customHeight="1" collapsed="1" x14ac:dyDescent="0.3">
      <c r="A195" s="3"/>
      <c r="B195" s="3"/>
      <c r="C195" s="37"/>
      <c r="D195" s="37"/>
      <c r="E195" s="37"/>
      <c r="F195" s="37"/>
      <c r="G195" s="123"/>
      <c r="H195" s="37"/>
      <c r="I195" s="37"/>
      <c r="J195" s="37"/>
      <c r="K195" s="37"/>
      <c r="L195" s="37"/>
      <c r="M195" s="37"/>
      <c r="N195" s="37"/>
      <c r="O195" s="37"/>
      <c r="P195" s="37"/>
      <c r="Q195" s="37"/>
      <c r="R195" s="37"/>
      <c r="S195" s="37"/>
      <c r="T195" s="37"/>
      <c r="U195" s="37"/>
      <c r="V195" s="37"/>
      <c r="W195" s="44"/>
      <c r="X195" s="41"/>
    </row>
    <row r="196" spans="1:26" ht="15.75" customHeight="1" x14ac:dyDescent="0.3">
      <c r="A196" s="3"/>
      <c r="B196" s="3"/>
      <c r="C196" s="37"/>
      <c r="D196" s="37"/>
      <c r="E196" s="37"/>
      <c r="F196" s="111"/>
      <c r="G196" s="123"/>
      <c r="H196" s="37"/>
      <c r="I196" s="37"/>
      <c r="J196" s="37"/>
      <c r="K196" s="37"/>
      <c r="L196" s="37"/>
      <c r="M196" s="37"/>
      <c r="N196" s="37"/>
      <c r="O196" s="37"/>
      <c r="P196" s="37"/>
      <c r="Q196" s="37"/>
      <c r="R196" s="37"/>
      <c r="S196" s="37"/>
      <c r="T196" s="37"/>
      <c r="U196" s="37"/>
      <c r="V196" s="37"/>
      <c r="W196" s="44"/>
      <c r="X196" s="41"/>
    </row>
    <row r="197" spans="1:26" ht="15.75" customHeight="1" x14ac:dyDescent="0.3">
      <c r="A197" s="3"/>
      <c r="B197" s="3"/>
      <c r="C197" s="37"/>
      <c r="D197" s="37"/>
      <c r="E197" s="37"/>
      <c r="F197" s="37"/>
      <c r="G197" s="123"/>
      <c r="H197" s="37"/>
      <c r="I197" s="37"/>
      <c r="J197" s="37"/>
      <c r="K197" s="37"/>
      <c r="L197" s="37"/>
      <c r="M197" s="37"/>
      <c r="N197" s="37"/>
      <c r="O197" s="37"/>
      <c r="P197" s="37"/>
      <c r="Q197" s="37"/>
      <c r="R197" s="37"/>
      <c r="S197" s="37"/>
      <c r="T197" s="37"/>
      <c r="U197" s="37"/>
      <c r="V197" s="37"/>
      <c r="W197" s="44"/>
      <c r="X197" s="41"/>
    </row>
    <row r="198" spans="1:26"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6"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6"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6" ht="15.75" customHeight="1" x14ac:dyDescent="0.3">
      <c r="A201" s="3"/>
      <c r="B201" s="3"/>
      <c r="C201" s="37"/>
      <c r="D201" s="37"/>
      <c r="E201" s="37"/>
      <c r="F201" s="37"/>
      <c r="G201" s="123"/>
      <c r="H201" s="37"/>
      <c r="I201" s="37"/>
      <c r="J201" s="37"/>
      <c r="K201" s="37"/>
      <c r="L201" s="37"/>
      <c r="M201" s="37"/>
      <c r="N201" s="37"/>
      <c r="O201" s="37"/>
      <c r="P201" s="37"/>
      <c r="Q201" s="37"/>
      <c r="R201" s="37"/>
      <c r="S201" s="37"/>
      <c r="T201" s="37"/>
      <c r="U201" s="37"/>
      <c r="V201" s="37"/>
      <c r="W201" s="44"/>
      <c r="X201" s="41"/>
    </row>
    <row r="202" spans="1:26"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6"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6"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6"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6"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6"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6"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c r="A391" s="3"/>
      <c r="B391" s="3"/>
      <c r="C391" s="37"/>
      <c r="D391" s="37"/>
      <c r="E391" s="37"/>
      <c r="F391" s="37"/>
      <c r="G391" s="123"/>
      <c r="H391" s="37"/>
      <c r="I391" s="37"/>
      <c r="J391" s="37"/>
      <c r="K391" s="37"/>
      <c r="L391" s="37"/>
      <c r="M391" s="37"/>
      <c r="N391" s="37"/>
      <c r="O391" s="37"/>
      <c r="P391" s="37"/>
      <c r="Q391" s="37"/>
      <c r="R391" s="37"/>
      <c r="S391" s="37"/>
      <c r="T391" s="37"/>
      <c r="U391" s="37"/>
      <c r="V391" s="37"/>
      <c r="W391" s="44"/>
      <c r="X391" s="41"/>
    </row>
    <row r="392" spans="1:24" ht="15.75" customHeight="1" x14ac:dyDescent="0.3">
      <c r="A392" s="3"/>
      <c r="B392" s="3"/>
      <c r="C392" s="37"/>
      <c r="D392" s="37"/>
      <c r="E392" s="37"/>
      <c r="F392" s="37"/>
      <c r="G392" s="123"/>
      <c r="H392" s="37"/>
      <c r="I392" s="37"/>
      <c r="J392" s="37"/>
      <c r="K392" s="37"/>
      <c r="L392" s="37"/>
      <c r="M392" s="37"/>
      <c r="N392" s="37"/>
      <c r="O392" s="37"/>
      <c r="P392" s="37"/>
      <c r="Q392" s="37"/>
      <c r="R392" s="37"/>
      <c r="S392" s="37"/>
      <c r="T392" s="37"/>
      <c r="U392" s="37"/>
      <c r="V392" s="37"/>
      <c r="W392" s="44"/>
      <c r="X392" s="41"/>
    </row>
    <row r="393" spans="1:24" ht="15.75" customHeight="1" x14ac:dyDescent="0.3">
      <c r="A393" s="3"/>
      <c r="B393" s="3"/>
      <c r="C393" s="37"/>
      <c r="D393" s="37"/>
      <c r="E393" s="37"/>
      <c r="F393" s="37"/>
      <c r="G393" s="123"/>
      <c r="H393" s="37"/>
      <c r="I393" s="37"/>
      <c r="J393" s="37"/>
      <c r="K393" s="37"/>
      <c r="L393" s="37"/>
      <c r="M393" s="37"/>
      <c r="N393" s="37"/>
      <c r="O393" s="37"/>
      <c r="P393" s="37"/>
      <c r="Q393" s="37"/>
      <c r="R393" s="37"/>
      <c r="S393" s="37"/>
      <c r="T393" s="37"/>
      <c r="U393" s="37"/>
      <c r="V393" s="37"/>
      <c r="W393" s="44"/>
      <c r="X393" s="41"/>
    </row>
    <row r="394" spans="1:24" ht="15.75" customHeight="1" x14ac:dyDescent="0.3">
      <c r="A394" s="3"/>
      <c r="B394" s="3"/>
      <c r="C394" s="37"/>
      <c r="D394" s="37"/>
      <c r="E394" s="37"/>
      <c r="F394" s="37"/>
      <c r="G394" s="123"/>
      <c r="H394" s="37"/>
      <c r="I394" s="37"/>
      <c r="J394" s="37"/>
      <c r="K394" s="37"/>
      <c r="L394" s="37"/>
      <c r="M394" s="37"/>
      <c r="N394" s="37"/>
      <c r="O394" s="37"/>
      <c r="P394" s="37"/>
      <c r="Q394" s="37"/>
      <c r="R394" s="37"/>
      <c r="S394" s="37"/>
      <c r="T394" s="37"/>
      <c r="U394" s="37"/>
      <c r="V394" s="37"/>
      <c r="W394" s="44"/>
      <c r="X394" s="41"/>
    </row>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4" xr:uid="{00000000-0009-0000-0000-00001C000000}"/>
  <mergeCells count="35">
    <mergeCell ref="G89:G90"/>
    <mergeCell ref="G92:G93"/>
    <mergeCell ref="G100:G101"/>
    <mergeCell ref="G50:G51"/>
    <mergeCell ref="G52:G53"/>
    <mergeCell ref="G55:G56"/>
    <mergeCell ref="G58:G59"/>
    <mergeCell ref="G62:G63"/>
    <mergeCell ref="G67:G68"/>
    <mergeCell ref="G72:G73"/>
    <mergeCell ref="G48:G49"/>
    <mergeCell ref="G78:G79"/>
    <mergeCell ref="G80:G81"/>
    <mergeCell ref="G82:G83"/>
    <mergeCell ref="G85:G86"/>
    <mergeCell ref="G33:G34"/>
    <mergeCell ref="G37:G38"/>
    <mergeCell ref="G39:G42"/>
    <mergeCell ref="G44:G45"/>
    <mergeCell ref="G46:G47"/>
    <mergeCell ref="G21:G22"/>
    <mergeCell ref="G23:G24"/>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4">
    <cfRule type="cellIs" dxfId="7" priority="1" operator="equal">
      <formula>"Diferente"</formula>
    </cfRule>
    <cfRule type="cellIs" dxfId="6" priority="2" operator="equal">
      <formula>"OK"</formula>
    </cfRule>
  </conditionalFormatting>
  <dataValidations count="1">
    <dataValidation type="list" allowBlank="1" showErrorMessage="1" sqref="D7:D124 D127:D128 D130:D132 D134:D137 D139:D144 D146:D152 D155:D158 D160:D163 D165:D167 D169:D182 D184:D186 D188:D194" xr:uid="{00000000-0002-0000-1C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C00-000000000000}">
          <x14:formula1>
            <xm:f>'Plano de contas DG'!$C$5:$C$38</xm:f>
          </x14:formula1>
          <xm:sqref>I6:I194</xm:sqref>
        </x14:dataValidation>
        <x14:dataValidation type="list" allowBlank="1" showErrorMessage="1" xr:uid="{00000000-0002-0000-1C00-000001000000}">
          <x14:formula1>
            <xm:f>Caixa!$B$5:$B$8</xm:f>
          </x14:formula1>
          <xm:sqref>H7:H124 H127:H128 H130:H132 H134:H137 H139:H144 H146:H152 H155:H158 H160:H163 H165:H167 H169:H182 H184:H186 H188:H194</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25" customHeight="1" x14ac:dyDescent="0.3">
      <c r="A2" s="3"/>
      <c r="B2" s="238" t="s">
        <v>269</v>
      </c>
      <c r="C2" s="239"/>
      <c r="D2" s="218"/>
      <c r="E2" s="218"/>
      <c r="F2" s="219"/>
      <c r="G2" s="82"/>
      <c r="H2" s="82"/>
      <c r="I2" s="83"/>
      <c r="J2" s="82"/>
      <c r="K2" s="37"/>
      <c r="L2" s="37"/>
      <c r="M2" s="37"/>
      <c r="N2" s="37"/>
      <c r="O2" s="37"/>
      <c r="P2" s="37"/>
      <c r="Q2" s="37"/>
      <c r="R2" s="37"/>
      <c r="S2" s="37"/>
      <c r="T2" s="37"/>
      <c r="U2" s="3"/>
    </row>
    <row r="3" spans="1:26" ht="14.25" customHeight="1" x14ac:dyDescent="0.3">
      <c r="A3" s="3"/>
      <c r="B3" s="206"/>
      <c r="C3" s="240"/>
      <c r="D3" s="241"/>
      <c r="E3" s="241"/>
      <c r="F3" s="242"/>
      <c r="G3" s="82"/>
      <c r="H3" s="82"/>
      <c r="I3" s="83"/>
      <c r="J3" s="82"/>
      <c r="K3" s="37"/>
      <c r="L3" s="37"/>
      <c r="M3" s="37"/>
      <c r="N3" s="37"/>
      <c r="O3" s="37"/>
      <c r="P3" s="37"/>
      <c r="Q3" s="37"/>
      <c r="R3" s="37"/>
      <c r="S3" s="37"/>
      <c r="T3" s="37"/>
      <c r="U3" s="3"/>
    </row>
    <row r="4" spans="1:26" ht="14.25" customHeight="1" x14ac:dyDescent="0.3">
      <c r="A4" s="3"/>
      <c r="B4" s="227" t="s">
        <v>73</v>
      </c>
      <c r="C4" s="48" t="s">
        <v>43</v>
      </c>
      <c r="D4" s="48" t="s">
        <v>43</v>
      </c>
      <c r="E4" s="26">
        <f>SUBTOTAL(9,E16,E63,E38,E154,E179,E185,E90,E6,E34,E264,E327,E214,E224,E234,E244,E254,E116)</f>
        <v>0</v>
      </c>
      <c r="F4" s="26">
        <f>SUBTOTAL(9,F16,F63,F38,F144,F154,F179,F185,F90,F6,F34,F264,F327,F214,F224,F234,F244,F254,F116)</f>
        <v>0</v>
      </c>
      <c r="G4" s="48" t="s">
        <v>43</v>
      </c>
      <c r="H4" s="237" t="s">
        <v>1</v>
      </c>
      <c r="I4" s="243" t="s">
        <v>270</v>
      </c>
      <c r="J4" s="237" t="s">
        <v>74</v>
      </c>
      <c r="K4" s="37"/>
      <c r="L4" s="37"/>
      <c r="M4" s="37"/>
      <c r="N4" s="37"/>
      <c r="O4" s="37"/>
      <c r="P4" s="37"/>
      <c r="Q4" s="37"/>
      <c r="R4" s="37"/>
      <c r="S4" s="37"/>
      <c r="T4" s="37"/>
      <c r="U4" s="3"/>
      <c r="W4" s="3"/>
      <c r="X4" s="3"/>
      <c r="Y4" s="3"/>
      <c r="Z4" s="3"/>
    </row>
    <row r="5" spans="1:26" ht="14.25" customHeight="1"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0</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c r="D7" s="62"/>
      <c r="E7" s="12">
        <v>0</v>
      </c>
      <c r="F7" s="12">
        <v>0</v>
      </c>
      <c r="G7" s="89"/>
      <c r="H7" s="65"/>
      <c r="I7" s="112"/>
      <c r="J7" s="65"/>
      <c r="K7" s="37"/>
      <c r="L7" s="37"/>
      <c r="M7" s="37"/>
      <c r="N7" s="37"/>
      <c r="O7" s="37"/>
      <c r="P7" s="37"/>
      <c r="Q7" s="37"/>
      <c r="R7" s="37"/>
      <c r="S7" s="37"/>
      <c r="T7" s="37"/>
      <c r="U7" s="3"/>
      <c r="W7" s="3"/>
      <c r="X7" s="3"/>
      <c r="Y7" s="3"/>
      <c r="Z7" s="3"/>
    </row>
    <row r="8" spans="1:26" ht="14.4" hidden="1" outlineLevel="1" x14ac:dyDescent="0.3">
      <c r="A8" s="3"/>
      <c r="B8" s="10" t="s">
        <v>1595</v>
      </c>
      <c r="C8" s="62"/>
      <c r="D8" s="62"/>
      <c r="E8" s="12">
        <v>0</v>
      </c>
      <c r="F8" s="12">
        <v>0</v>
      </c>
      <c r="G8" s="89"/>
      <c r="H8" s="65"/>
      <c r="I8" s="112"/>
      <c r="J8" s="65"/>
      <c r="K8" s="37"/>
      <c r="L8" s="37"/>
      <c r="M8" s="37"/>
      <c r="N8" s="37"/>
      <c r="O8" s="37"/>
      <c r="P8" s="37"/>
      <c r="Q8" s="37"/>
      <c r="R8" s="37"/>
      <c r="S8" s="37"/>
      <c r="T8" s="37"/>
      <c r="U8" s="3"/>
      <c r="W8" s="3"/>
      <c r="X8" s="3"/>
      <c r="Y8" s="3"/>
      <c r="Z8" s="3"/>
    </row>
    <row r="9" spans="1:26" ht="14.4" hidden="1" outlineLevel="1" x14ac:dyDescent="0.3">
      <c r="A9" s="3"/>
      <c r="B9" s="10" t="s">
        <v>280</v>
      </c>
      <c r="C9" s="62"/>
      <c r="D9" s="62"/>
      <c r="E9" s="12">
        <v>0</v>
      </c>
      <c r="F9" s="12">
        <v>0</v>
      </c>
      <c r="G9" s="89"/>
      <c r="H9" s="65"/>
      <c r="I9" s="157"/>
      <c r="J9" s="65"/>
      <c r="K9" s="37"/>
      <c r="L9" s="37"/>
      <c r="M9" s="37"/>
      <c r="N9" s="37"/>
      <c r="O9" s="37"/>
      <c r="P9" s="37"/>
      <c r="Q9" s="37"/>
      <c r="R9" s="37"/>
      <c r="S9" s="37"/>
      <c r="T9" s="37"/>
      <c r="U9" s="3"/>
      <c r="W9" s="3"/>
      <c r="X9" s="3"/>
      <c r="Y9" s="3"/>
      <c r="Z9" s="3"/>
    </row>
    <row r="10" spans="1:26" ht="14.4" hidden="1" outlineLevel="1" x14ac:dyDescent="0.3">
      <c r="A10" s="3"/>
      <c r="B10" s="10" t="s">
        <v>281</v>
      </c>
      <c r="C10" s="62"/>
      <c r="D10" s="62"/>
      <c r="E10" s="12">
        <v>0</v>
      </c>
      <c r="F10" s="12">
        <v>0</v>
      </c>
      <c r="G10" s="89"/>
      <c r="H10" s="65"/>
      <c r="I10" s="112"/>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c r="D11" s="62"/>
      <c r="E11" s="12">
        <v>0</v>
      </c>
      <c r="F11" s="12">
        <v>0</v>
      </c>
      <c r="G11" s="89"/>
      <c r="H11" s="65"/>
      <c r="I11" s="112"/>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c r="D12" s="62"/>
      <c r="E12" s="12">
        <v>0</v>
      </c>
      <c r="F12" s="12">
        <v>0</v>
      </c>
      <c r="G12" s="89"/>
      <c r="H12" s="65"/>
      <c r="I12" s="112"/>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57"/>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c r="D14" s="62"/>
      <c r="E14" s="12">
        <v>0</v>
      </c>
      <c r="F14" s="12">
        <v>0</v>
      </c>
      <c r="G14" s="89"/>
      <c r="H14" s="65"/>
      <c r="I14" s="112"/>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c r="D15" s="62"/>
      <c r="E15" s="12">
        <v>0</v>
      </c>
      <c r="F15" s="12">
        <v>0</v>
      </c>
      <c r="G15" s="89"/>
      <c r="H15" s="65"/>
      <c r="I15" s="112"/>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0</v>
      </c>
      <c r="G16" s="87"/>
      <c r="H16" s="87"/>
      <c r="I16" s="88"/>
      <c r="J16" s="87"/>
      <c r="K16" s="37"/>
      <c r="L16" s="37"/>
      <c r="M16" s="37"/>
      <c r="N16" s="37"/>
      <c r="O16" s="37"/>
      <c r="P16" s="37"/>
      <c r="Q16" s="37"/>
      <c r="R16" s="37"/>
      <c r="S16" s="37"/>
      <c r="T16" s="37"/>
      <c r="U16" s="3"/>
    </row>
    <row r="17" spans="1:22" ht="14.4" hidden="1" outlineLevel="1" x14ac:dyDescent="0.3">
      <c r="A17" s="3"/>
      <c r="B17" s="10" t="s">
        <v>561</v>
      </c>
      <c r="C17" s="62"/>
      <c r="D17" s="62"/>
      <c r="E17" s="12">
        <v>0</v>
      </c>
      <c r="F17" s="12">
        <v>0</v>
      </c>
      <c r="G17" s="249"/>
      <c r="H17" s="65"/>
      <c r="I17" s="246"/>
      <c r="J17" s="65"/>
      <c r="K17" s="37"/>
      <c r="L17" s="37"/>
      <c r="M17" s="37"/>
      <c r="N17" s="37"/>
      <c r="O17" s="37"/>
      <c r="P17" s="37"/>
      <c r="Q17" s="37"/>
      <c r="R17" s="37"/>
      <c r="S17" s="37"/>
      <c r="T17" s="37"/>
      <c r="U17" s="3"/>
    </row>
    <row r="18" spans="1:22" ht="14.4" hidden="1" outlineLevel="1" x14ac:dyDescent="0.3">
      <c r="A18" s="3"/>
      <c r="B18" s="10" t="s">
        <v>563</v>
      </c>
      <c r="C18" s="62"/>
      <c r="D18" s="62"/>
      <c r="E18" s="12">
        <v>0</v>
      </c>
      <c r="F18" s="12">
        <v>0</v>
      </c>
      <c r="G18" s="215"/>
      <c r="H18" s="65"/>
      <c r="I18" s="215"/>
      <c r="J18" s="65"/>
      <c r="K18" s="37"/>
      <c r="L18" s="37"/>
      <c r="M18" s="37"/>
      <c r="N18" s="37"/>
      <c r="O18" s="37"/>
      <c r="P18" s="37"/>
      <c r="Q18" s="37"/>
      <c r="R18" s="37"/>
      <c r="S18" s="37"/>
      <c r="T18" s="37"/>
      <c r="U18" s="3"/>
    </row>
    <row r="19" spans="1:22" ht="14.4" hidden="1" outlineLevel="1" x14ac:dyDescent="0.3">
      <c r="A19" s="3"/>
      <c r="B19" s="10" t="s">
        <v>564</v>
      </c>
      <c r="C19" s="62"/>
      <c r="D19" s="62"/>
      <c r="E19" s="12">
        <v>0</v>
      </c>
      <c r="F19" s="12">
        <v>0</v>
      </c>
      <c r="G19" s="215"/>
      <c r="H19" s="65"/>
      <c r="I19" s="215"/>
      <c r="J19" s="65"/>
      <c r="K19" s="37"/>
      <c r="L19" s="37"/>
      <c r="M19" s="37"/>
      <c r="N19" s="37"/>
      <c r="O19" s="37"/>
      <c r="P19" s="37"/>
      <c r="Q19" s="37"/>
      <c r="R19" s="37"/>
      <c r="S19" s="37"/>
      <c r="T19" s="37"/>
      <c r="U19" s="3"/>
    </row>
    <row r="20" spans="1:22" ht="14.4" hidden="1" outlineLevel="1" x14ac:dyDescent="0.3">
      <c r="A20" s="3"/>
      <c r="B20" s="10" t="s">
        <v>565</v>
      </c>
      <c r="C20" s="62"/>
      <c r="D20" s="62"/>
      <c r="E20" s="12">
        <v>0</v>
      </c>
      <c r="F20" s="12">
        <v>0</v>
      </c>
      <c r="G20" s="215"/>
      <c r="H20" s="65"/>
      <c r="I20" s="215"/>
      <c r="J20" s="65"/>
      <c r="K20" s="37"/>
      <c r="L20" s="37"/>
      <c r="M20" s="37"/>
      <c r="N20" s="37"/>
      <c r="O20" s="37"/>
      <c r="P20" s="37"/>
      <c r="Q20" s="37"/>
      <c r="R20" s="37"/>
      <c r="S20" s="37"/>
      <c r="T20" s="37"/>
      <c r="U20" s="3"/>
    </row>
    <row r="21" spans="1:22" ht="15.75" hidden="1" customHeight="1" outlineLevel="1" x14ac:dyDescent="0.3">
      <c r="A21" s="3"/>
      <c r="B21" s="10" t="s">
        <v>566</v>
      </c>
      <c r="C21" s="62"/>
      <c r="D21" s="62"/>
      <c r="E21" s="12">
        <v>0</v>
      </c>
      <c r="F21" s="12">
        <v>0</v>
      </c>
      <c r="G21" s="216"/>
      <c r="H21" s="65"/>
      <c r="I21" s="216"/>
      <c r="J21" s="65"/>
      <c r="K21" s="37"/>
      <c r="L21" s="37"/>
      <c r="M21" s="37"/>
      <c r="N21" s="37"/>
      <c r="O21" s="37"/>
      <c r="P21" s="37"/>
      <c r="Q21" s="37"/>
      <c r="R21" s="37"/>
      <c r="S21" s="37"/>
      <c r="T21" s="37"/>
      <c r="U21" s="3"/>
    </row>
    <row r="22" spans="1:22" ht="15.75" hidden="1" customHeight="1" outlineLevel="1" x14ac:dyDescent="0.3">
      <c r="A22" s="3"/>
      <c r="B22" s="10" t="s">
        <v>567</v>
      </c>
      <c r="C22" s="62"/>
      <c r="D22" s="62"/>
      <c r="E22" s="12">
        <v>0</v>
      </c>
      <c r="F22" s="12">
        <v>0</v>
      </c>
      <c r="G22" s="244"/>
      <c r="H22" s="65"/>
      <c r="I22" s="246"/>
      <c r="J22" s="65"/>
      <c r="K22" s="37"/>
      <c r="L22" s="37"/>
      <c r="M22" s="37"/>
      <c r="N22" s="37"/>
      <c r="O22" s="37"/>
      <c r="P22" s="37"/>
      <c r="Q22" s="37"/>
      <c r="R22" s="37"/>
      <c r="S22" s="37"/>
      <c r="T22" s="37"/>
      <c r="U22" s="3"/>
      <c r="V22" s="18"/>
    </row>
    <row r="23" spans="1:22" ht="15.75" hidden="1" customHeight="1" outlineLevel="1" x14ac:dyDescent="0.3">
      <c r="A23" s="3"/>
      <c r="B23" s="10" t="s">
        <v>570</v>
      </c>
      <c r="C23" s="62"/>
      <c r="D23" s="62"/>
      <c r="E23" s="12">
        <v>0</v>
      </c>
      <c r="F23" s="12">
        <v>0</v>
      </c>
      <c r="G23" s="215"/>
      <c r="H23" s="65"/>
      <c r="I23" s="215"/>
      <c r="J23" s="65"/>
      <c r="K23" s="37"/>
      <c r="L23" s="37"/>
      <c r="M23" s="37"/>
      <c r="N23" s="37"/>
      <c r="O23" s="37"/>
      <c r="P23" s="37"/>
      <c r="Q23" s="37"/>
      <c r="R23" s="37"/>
      <c r="S23" s="37"/>
      <c r="T23" s="37"/>
      <c r="U23" s="3"/>
      <c r="V23" s="18"/>
    </row>
    <row r="24" spans="1:22" ht="15.75" hidden="1" customHeight="1" outlineLevel="1" x14ac:dyDescent="0.3">
      <c r="A24" s="3"/>
      <c r="B24" s="10" t="s">
        <v>571</v>
      </c>
      <c r="C24" s="62"/>
      <c r="D24" s="62"/>
      <c r="E24" s="12">
        <v>0</v>
      </c>
      <c r="F24" s="12">
        <v>0</v>
      </c>
      <c r="G24" s="215"/>
      <c r="H24" s="65"/>
      <c r="I24" s="215"/>
      <c r="J24" s="65"/>
      <c r="K24" s="37"/>
      <c r="L24" s="37"/>
      <c r="M24" s="37"/>
      <c r="N24" s="37"/>
      <c r="O24" s="37"/>
      <c r="P24" s="37"/>
      <c r="Q24" s="37"/>
      <c r="R24" s="37"/>
      <c r="S24" s="37"/>
      <c r="T24" s="37"/>
      <c r="U24" s="3"/>
      <c r="V24" s="18"/>
    </row>
    <row r="25" spans="1:22" ht="15.75" hidden="1" customHeight="1" outlineLevel="1" x14ac:dyDescent="0.3">
      <c r="A25" s="3"/>
      <c r="B25" s="10" t="s">
        <v>572</v>
      </c>
      <c r="C25" s="62"/>
      <c r="D25" s="62"/>
      <c r="E25" s="12">
        <v>0</v>
      </c>
      <c r="F25" s="12">
        <v>0</v>
      </c>
      <c r="G25" s="215"/>
      <c r="H25" s="65"/>
      <c r="I25" s="215"/>
      <c r="J25" s="65"/>
      <c r="K25" s="37"/>
      <c r="L25" s="37"/>
      <c r="M25" s="37"/>
      <c r="N25" s="37"/>
      <c r="O25" s="37"/>
      <c r="P25" s="37"/>
      <c r="Q25" s="37"/>
      <c r="R25" s="37"/>
      <c r="S25" s="37"/>
      <c r="T25" s="37"/>
      <c r="U25" s="3"/>
      <c r="V25" s="18"/>
    </row>
    <row r="26" spans="1:22" ht="15.75" hidden="1" customHeight="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5.75" hidden="1" customHeight="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5.75" hidden="1" customHeight="1" outlineLevel="1" x14ac:dyDescent="0.3">
      <c r="A28" s="3"/>
      <c r="B28" s="10" t="s">
        <v>575</v>
      </c>
      <c r="C28" s="62"/>
      <c r="D28" s="62"/>
      <c r="E28" s="12">
        <v>0</v>
      </c>
      <c r="F28" s="12">
        <v>0</v>
      </c>
      <c r="G28" s="216"/>
      <c r="H28" s="65"/>
      <c r="I28" s="216"/>
      <c r="J28" s="65"/>
      <c r="K28" s="37"/>
      <c r="L28" s="37"/>
      <c r="M28" s="37"/>
      <c r="N28" s="37"/>
      <c r="O28" s="37"/>
      <c r="P28" s="37"/>
      <c r="Q28" s="37"/>
      <c r="R28" s="37"/>
      <c r="S28" s="37"/>
      <c r="T28" s="37"/>
      <c r="U28" s="3"/>
      <c r="V28" s="18"/>
    </row>
    <row r="29" spans="1:22" ht="15.75" hidden="1" customHeight="1" outlineLevel="1" x14ac:dyDescent="0.3">
      <c r="A29" s="3"/>
      <c r="B29" s="10" t="s">
        <v>292</v>
      </c>
      <c r="C29" s="62"/>
      <c r="D29" s="62"/>
      <c r="E29" s="12">
        <v>0</v>
      </c>
      <c r="F29" s="12">
        <v>0</v>
      </c>
      <c r="G29" s="65"/>
      <c r="H29" s="65"/>
      <c r="I29" s="112"/>
      <c r="J29" s="65"/>
      <c r="K29" s="37"/>
      <c r="L29" s="37"/>
      <c r="M29" s="37"/>
      <c r="N29" s="37"/>
      <c r="O29" s="37"/>
      <c r="P29" s="37"/>
      <c r="Q29" s="37"/>
      <c r="R29" s="37"/>
      <c r="S29" s="37"/>
      <c r="T29" s="37"/>
      <c r="U29" s="3"/>
      <c r="V29" s="18"/>
    </row>
    <row r="30" spans="1:22" ht="15.75" hidden="1" customHeight="1" outlineLevel="1" x14ac:dyDescent="0.3">
      <c r="A30" s="3"/>
      <c r="B30" s="10" t="s">
        <v>294</v>
      </c>
      <c r="C30" s="62"/>
      <c r="D30" s="62"/>
      <c r="E30" s="12">
        <v>0</v>
      </c>
      <c r="F30" s="12">
        <v>0</v>
      </c>
      <c r="G30" s="89"/>
      <c r="H30" s="65"/>
      <c r="I30" s="112"/>
      <c r="J30" s="65"/>
      <c r="K30" s="37"/>
      <c r="L30" s="37"/>
      <c r="M30" s="37"/>
      <c r="N30" s="37"/>
      <c r="O30" s="37"/>
      <c r="P30" s="37"/>
      <c r="Q30" s="37"/>
      <c r="R30" s="37"/>
      <c r="S30" s="37"/>
      <c r="T30" s="37"/>
      <c r="U30" s="3"/>
    </row>
    <row r="31" spans="1:22" ht="15.75" hidden="1" customHeight="1" outlineLevel="1" x14ac:dyDescent="0.3">
      <c r="A31" s="3"/>
      <c r="B31" s="10" t="s">
        <v>579</v>
      </c>
      <c r="C31" s="62"/>
      <c r="D31" s="62"/>
      <c r="E31" s="12">
        <v>0</v>
      </c>
      <c r="F31" s="12">
        <v>0</v>
      </c>
      <c r="G31" s="65"/>
      <c r="H31" s="65"/>
      <c r="I31" s="157"/>
      <c r="J31" s="65"/>
      <c r="K31" s="37"/>
      <c r="L31" s="37"/>
      <c r="M31" s="37"/>
      <c r="N31" s="37"/>
      <c r="O31" s="37"/>
      <c r="P31" s="37"/>
      <c r="Q31" s="37"/>
      <c r="R31" s="37"/>
      <c r="S31" s="37"/>
      <c r="T31" s="37"/>
      <c r="U31" s="3"/>
    </row>
    <row r="32" spans="1:22" ht="15.75" hidden="1" customHeight="1" outlineLevel="1" x14ac:dyDescent="0.3">
      <c r="A32" s="3"/>
      <c r="B32" s="10" t="s">
        <v>582</v>
      </c>
      <c r="C32" s="62"/>
      <c r="D32" s="62"/>
      <c r="E32" s="12">
        <v>0</v>
      </c>
      <c r="F32" s="12">
        <v>0</v>
      </c>
      <c r="G32" s="89"/>
      <c r="H32" s="65"/>
      <c r="I32" s="157"/>
      <c r="J32" s="65"/>
      <c r="K32" s="37"/>
      <c r="L32" s="37"/>
      <c r="M32" s="37"/>
      <c r="N32" s="37"/>
      <c r="O32" s="37"/>
      <c r="P32" s="37"/>
      <c r="Q32" s="37"/>
      <c r="R32" s="37"/>
      <c r="S32" s="37"/>
      <c r="T32" s="37"/>
      <c r="U32" s="3"/>
    </row>
    <row r="33" spans="1:26" ht="15.75" hidden="1" customHeight="1" outlineLevel="1" x14ac:dyDescent="0.3">
      <c r="A33" s="3"/>
      <c r="B33" s="10" t="s">
        <v>582</v>
      </c>
      <c r="C33" s="62"/>
      <c r="D33" s="62"/>
      <c r="E33" s="12">
        <v>0</v>
      </c>
      <c r="F33" s="12">
        <v>0</v>
      </c>
      <c r="G33" s="65"/>
      <c r="H33" s="65"/>
      <c r="I33" s="89"/>
      <c r="J33" s="65"/>
      <c r="K33" s="37"/>
      <c r="L33" s="37"/>
      <c r="M33" s="37"/>
      <c r="N33" s="37"/>
      <c r="O33" s="37"/>
      <c r="P33" s="37"/>
      <c r="Q33" s="37"/>
      <c r="R33" s="37"/>
      <c r="S33" s="37"/>
      <c r="T33" s="37"/>
      <c r="U33" s="3"/>
    </row>
    <row r="34" spans="1:26" ht="15.75" customHeight="1" collapsed="1" x14ac:dyDescent="0.3">
      <c r="A34" s="3"/>
      <c r="B34" s="84" t="s">
        <v>300</v>
      </c>
      <c r="C34" s="85" t="s">
        <v>43</v>
      </c>
      <c r="D34" s="85" t="s">
        <v>43</v>
      </c>
      <c r="E34" s="86">
        <f>SUM(E35:E37)</f>
        <v>0</v>
      </c>
      <c r="F34" s="86">
        <f>SUMIF(D35:D37,"OK",F35:F37)</f>
        <v>0</v>
      </c>
      <c r="G34" s="87"/>
      <c r="H34" s="87"/>
      <c r="I34" s="88"/>
      <c r="J34" s="87"/>
      <c r="K34" s="37"/>
      <c r="L34" s="37"/>
      <c r="M34" s="37"/>
      <c r="N34" s="37"/>
      <c r="O34" s="37"/>
      <c r="P34" s="37"/>
      <c r="Q34" s="37"/>
      <c r="R34" s="37"/>
      <c r="S34" s="37"/>
      <c r="T34" s="37"/>
      <c r="U34" s="3"/>
      <c r="W34" s="3"/>
      <c r="X34" s="3"/>
      <c r="Y34" s="3"/>
      <c r="Z34" s="3"/>
    </row>
    <row r="35" spans="1:26" ht="15.75" hidden="1" customHeight="1" outlineLevel="1" x14ac:dyDescent="0.3">
      <c r="A35" s="3"/>
      <c r="B35" s="10" t="s">
        <v>583</v>
      </c>
      <c r="C35" s="62"/>
      <c r="D35" s="62"/>
      <c r="E35" s="12">
        <v>0</v>
      </c>
      <c r="F35" s="12">
        <v>0</v>
      </c>
      <c r="G35" s="69"/>
      <c r="H35" s="65"/>
      <c r="I35" s="112"/>
      <c r="J35" s="65"/>
      <c r="K35" s="37"/>
      <c r="L35" s="37"/>
      <c r="M35" s="37"/>
      <c r="N35" s="37"/>
      <c r="O35" s="37"/>
      <c r="P35" s="37"/>
      <c r="Q35" s="37"/>
      <c r="R35" s="37"/>
      <c r="S35" s="37"/>
      <c r="T35" s="37"/>
      <c r="U35" s="3"/>
      <c r="W35" s="3"/>
      <c r="X35" s="3"/>
      <c r="Y35" s="3"/>
      <c r="Z35" s="3"/>
    </row>
    <row r="36" spans="1:26" ht="15.75" hidden="1" customHeight="1" outlineLevel="1" x14ac:dyDescent="0.3">
      <c r="A36" s="3"/>
      <c r="B36" s="10" t="s">
        <v>1527</v>
      </c>
      <c r="C36" s="62"/>
      <c r="D36" s="62"/>
      <c r="E36" s="12">
        <v>0</v>
      </c>
      <c r="F36" s="12">
        <v>0</v>
      </c>
      <c r="G36" s="67"/>
      <c r="H36" s="65"/>
      <c r="I36" s="157"/>
      <c r="J36" s="65"/>
      <c r="K36" s="37"/>
      <c r="L36" s="37"/>
      <c r="M36" s="37"/>
      <c r="N36" s="37"/>
      <c r="O36" s="37"/>
      <c r="P36" s="37"/>
      <c r="Q36" s="37"/>
      <c r="R36" s="37"/>
      <c r="S36" s="37"/>
      <c r="T36" s="37"/>
      <c r="U36" s="3"/>
      <c r="W36" s="3"/>
      <c r="X36" s="3"/>
      <c r="Y36" s="3"/>
      <c r="Z36" s="3"/>
    </row>
    <row r="37" spans="1:26" ht="15.75" hidden="1" customHeight="1" outlineLevel="1" x14ac:dyDescent="0.3">
      <c r="A37" s="3"/>
      <c r="B37" s="10" t="s">
        <v>1527</v>
      </c>
      <c r="C37" s="62"/>
      <c r="D37" s="62"/>
      <c r="E37" s="12">
        <v>0</v>
      </c>
      <c r="F37" s="12">
        <v>0</v>
      </c>
      <c r="G37" s="65"/>
      <c r="H37" s="65"/>
      <c r="I37" s="157"/>
      <c r="J37" s="65"/>
      <c r="K37" s="37"/>
      <c r="L37" s="37"/>
      <c r="M37" s="37"/>
      <c r="N37" s="37"/>
      <c r="O37" s="37"/>
      <c r="P37" s="37"/>
      <c r="Q37" s="37"/>
      <c r="R37" s="37"/>
      <c r="S37" s="37"/>
      <c r="T37" s="37"/>
      <c r="U37" s="3"/>
      <c r="W37" s="3"/>
      <c r="X37" s="3"/>
      <c r="Y37" s="3"/>
      <c r="Z37" s="3"/>
    </row>
    <row r="38" spans="1:26" ht="15.75" customHeight="1" collapsed="1" x14ac:dyDescent="0.3">
      <c r="A38" s="3"/>
      <c r="B38" s="84" t="s">
        <v>306</v>
      </c>
      <c r="C38" s="85" t="s">
        <v>43</v>
      </c>
      <c r="D38" s="85" t="s">
        <v>43</v>
      </c>
      <c r="E38" s="86">
        <f>SUM(E39:E62)</f>
        <v>0</v>
      </c>
      <c r="F38" s="86">
        <f>SUMIF(D39:D62,"OK",F39:F62)</f>
        <v>0</v>
      </c>
      <c r="G38" s="87"/>
      <c r="H38" s="87"/>
      <c r="I38" s="88"/>
      <c r="J38" s="87"/>
      <c r="K38" s="37"/>
      <c r="L38" s="37"/>
      <c r="M38" s="37"/>
      <c r="N38" s="37"/>
      <c r="O38" s="37"/>
      <c r="P38" s="37"/>
      <c r="Q38" s="37"/>
      <c r="R38" s="37"/>
      <c r="S38" s="37"/>
      <c r="T38" s="37"/>
      <c r="U38" s="3"/>
      <c r="W38" s="3"/>
      <c r="X38" s="3"/>
      <c r="Y38" s="3"/>
      <c r="Z38" s="3"/>
    </row>
    <row r="39" spans="1:26" ht="15.75" hidden="1" customHeight="1" outlineLevel="1" x14ac:dyDescent="0.3">
      <c r="A39" s="3"/>
      <c r="B39" s="10" t="s">
        <v>307</v>
      </c>
      <c r="C39" s="62"/>
      <c r="D39" s="62"/>
      <c r="E39" s="12">
        <v>0</v>
      </c>
      <c r="F39" s="12">
        <v>0</v>
      </c>
      <c r="G39" s="65"/>
      <c r="H39" s="65"/>
      <c r="I39" s="112"/>
      <c r="J39" s="65"/>
      <c r="K39" s="37"/>
      <c r="L39" s="37"/>
      <c r="M39" s="37"/>
      <c r="N39" s="37"/>
      <c r="O39" s="37"/>
      <c r="P39" s="37"/>
      <c r="Q39" s="37"/>
      <c r="R39" s="37"/>
      <c r="S39" s="37"/>
      <c r="T39" s="37"/>
      <c r="U39" s="3"/>
      <c r="W39" s="3"/>
      <c r="X39" s="3"/>
      <c r="Y39" s="3"/>
      <c r="Z39" s="3"/>
    </row>
    <row r="40" spans="1:26" ht="15.75" hidden="1" customHeight="1" outlineLevel="1" x14ac:dyDescent="0.3">
      <c r="A40" s="3"/>
      <c r="B40" s="10" t="s">
        <v>589</v>
      </c>
      <c r="C40" s="62"/>
      <c r="D40" s="62"/>
      <c r="E40" s="12">
        <v>0</v>
      </c>
      <c r="F40" s="12">
        <v>0</v>
      </c>
      <c r="G40" s="65"/>
      <c r="H40" s="65"/>
      <c r="I40" s="112"/>
      <c r="J40" s="65"/>
      <c r="K40" s="37"/>
      <c r="L40" s="37"/>
      <c r="M40" s="37"/>
      <c r="N40" s="37"/>
      <c r="O40" s="37"/>
      <c r="P40" s="37"/>
      <c r="Q40" s="37"/>
      <c r="R40" s="37"/>
      <c r="S40" s="37"/>
      <c r="T40" s="37"/>
      <c r="U40" s="3"/>
      <c r="W40" s="3"/>
      <c r="X40" s="3"/>
      <c r="Y40" s="3"/>
      <c r="Z40" s="3"/>
    </row>
    <row r="41" spans="1:26" ht="15.75" hidden="1" customHeight="1" outlineLevel="1" x14ac:dyDescent="0.3">
      <c r="A41" s="3"/>
      <c r="B41" s="10" t="s">
        <v>756</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5.75" hidden="1" customHeight="1" outlineLevel="1" x14ac:dyDescent="0.3">
      <c r="A42" s="3"/>
      <c r="B42" s="10" t="s">
        <v>312</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5.75" hidden="1" customHeight="1" outlineLevel="1" x14ac:dyDescent="0.3">
      <c r="A43" s="3"/>
      <c r="B43" s="10" t="s">
        <v>314</v>
      </c>
      <c r="C43" s="62"/>
      <c r="D43" s="62"/>
      <c r="E43" s="12">
        <v>0</v>
      </c>
      <c r="F43" s="12">
        <v>0</v>
      </c>
      <c r="G43" s="65"/>
      <c r="H43" s="65"/>
      <c r="I43" s="112"/>
      <c r="J43" s="65"/>
      <c r="K43" s="37"/>
      <c r="L43" s="37"/>
      <c r="M43" s="37"/>
      <c r="N43" s="37"/>
      <c r="O43" s="37"/>
      <c r="P43" s="37"/>
      <c r="Q43" s="37"/>
      <c r="R43" s="37"/>
      <c r="S43" s="37"/>
      <c r="T43" s="37"/>
      <c r="U43" s="3"/>
      <c r="W43" s="3"/>
      <c r="X43" s="3"/>
      <c r="Y43" s="3"/>
      <c r="Z43" s="3"/>
    </row>
    <row r="44" spans="1:26" ht="15.75" hidden="1" customHeight="1" outlineLevel="1" x14ac:dyDescent="0.3">
      <c r="A44" s="3"/>
      <c r="B44" s="10" t="s">
        <v>316</v>
      </c>
      <c r="C44" s="62"/>
      <c r="D44" s="62"/>
      <c r="E44" s="12">
        <v>0</v>
      </c>
      <c r="F44" s="12">
        <v>0</v>
      </c>
      <c r="G44" s="89"/>
      <c r="H44" s="65"/>
      <c r="I44" s="157"/>
      <c r="J44" s="65"/>
      <c r="K44" s="37"/>
      <c r="L44" s="37"/>
      <c r="M44" s="37"/>
      <c r="N44" s="37"/>
      <c r="O44" s="37"/>
      <c r="P44" s="37"/>
      <c r="Q44" s="37"/>
      <c r="R44" s="37"/>
      <c r="S44" s="37"/>
      <c r="T44" s="37"/>
      <c r="U44" s="3"/>
      <c r="W44" s="3"/>
      <c r="X44" s="3"/>
      <c r="Y44" s="3"/>
      <c r="Z44" s="3"/>
    </row>
    <row r="45" spans="1:26" ht="15.75" hidden="1" customHeight="1" outlineLevel="1" x14ac:dyDescent="0.3">
      <c r="A45" s="3"/>
      <c r="B45" s="10" t="s">
        <v>316</v>
      </c>
      <c r="C45" s="62"/>
      <c r="D45" s="62"/>
      <c r="E45" s="12">
        <v>0</v>
      </c>
      <c r="F45" s="12">
        <v>0</v>
      </c>
      <c r="G45" s="65"/>
      <c r="H45" s="65"/>
      <c r="I45" s="157"/>
      <c r="J45" s="65"/>
      <c r="K45" s="37"/>
      <c r="L45" s="37"/>
      <c r="M45" s="37"/>
      <c r="N45" s="37"/>
      <c r="O45" s="37"/>
      <c r="P45" s="37"/>
      <c r="Q45" s="37"/>
      <c r="R45" s="37"/>
      <c r="S45" s="37"/>
      <c r="T45" s="37"/>
      <c r="U45" s="3"/>
      <c r="W45" s="3"/>
      <c r="X45" s="3"/>
      <c r="Y45" s="3"/>
      <c r="Z45" s="3"/>
    </row>
    <row r="46" spans="1:26" ht="15.75" hidden="1" customHeight="1" outlineLevel="1" x14ac:dyDescent="0.3">
      <c r="A46" s="3"/>
      <c r="B46" s="10" t="s">
        <v>317</v>
      </c>
      <c r="C46" s="62"/>
      <c r="D46" s="62"/>
      <c r="E46" s="12">
        <v>0</v>
      </c>
      <c r="F46" s="12">
        <v>0</v>
      </c>
      <c r="G46" s="65"/>
      <c r="H46" s="65"/>
      <c r="I46" s="89"/>
      <c r="J46" s="65"/>
      <c r="K46" s="37"/>
      <c r="L46" s="37"/>
      <c r="M46" s="37"/>
      <c r="N46" s="37"/>
      <c r="O46" s="37"/>
      <c r="P46" s="37"/>
      <c r="Q46" s="37"/>
      <c r="R46" s="37"/>
      <c r="S46" s="37"/>
      <c r="T46" s="37"/>
      <c r="U46" s="3"/>
      <c r="W46" s="3"/>
      <c r="X46" s="3"/>
      <c r="Y46" s="3"/>
      <c r="Z46" s="3"/>
    </row>
    <row r="47" spans="1:26" ht="15.75" hidden="1" customHeight="1" outlineLevel="1" x14ac:dyDescent="0.3">
      <c r="A47" s="3"/>
      <c r="B47" s="10" t="s">
        <v>50</v>
      </c>
      <c r="C47" s="62"/>
      <c r="D47" s="62"/>
      <c r="E47" s="12">
        <v>0</v>
      </c>
      <c r="F47" s="12">
        <v>0</v>
      </c>
      <c r="G47" s="65"/>
      <c r="H47" s="65"/>
      <c r="I47" s="112"/>
      <c r="J47" s="65"/>
      <c r="K47" s="37"/>
      <c r="L47" s="37"/>
      <c r="M47" s="37"/>
      <c r="N47" s="37"/>
      <c r="O47" s="37"/>
      <c r="P47" s="37"/>
      <c r="Q47" s="37"/>
      <c r="R47" s="37"/>
      <c r="S47" s="37"/>
      <c r="T47" s="37"/>
      <c r="U47" s="3"/>
      <c r="W47" s="3"/>
      <c r="X47" s="3"/>
      <c r="Y47" s="3"/>
      <c r="Z47" s="3"/>
    </row>
    <row r="48" spans="1:26" ht="15.75" hidden="1" customHeight="1" outlineLevel="1" x14ac:dyDescent="0.3">
      <c r="A48" s="3"/>
      <c r="B48" s="10" t="s">
        <v>50</v>
      </c>
      <c r="C48" s="62"/>
      <c r="D48" s="62"/>
      <c r="E48" s="12">
        <v>0</v>
      </c>
      <c r="F48" s="12">
        <v>0</v>
      </c>
      <c r="G48" s="65"/>
      <c r="H48" s="65"/>
      <c r="I48" s="112"/>
      <c r="J48" s="65"/>
      <c r="K48" s="37"/>
      <c r="L48" s="37"/>
      <c r="M48" s="37"/>
      <c r="N48" s="37"/>
      <c r="O48" s="37"/>
      <c r="P48" s="37"/>
      <c r="Q48" s="37"/>
      <c r="R48" s="37"/>
      <c r="S48" s="37"/>
      <c r="T48" s="37"/>
      <c r="U48" s="3"/>
      <c r="W48" s="3"/>
      <c r="X48" s="3"/>
      <c r="Y48" s="3"/>
      <c r="Z48" s="3"/>
    </row>
    <row r="49" spans="1:26" ht="15.75" hidden="1" customHeight="1" outlineLevel="1" x14ac:dyDescent="0.3">
      <c r="A49" s="3"/>
      <c r="B49" s="10" t="s">
        <v>50</v>
      </c>
      <c r="C49" s="62"/>
      <c r="D49" s="62"/>
      <c r="E49" s="12">
        <v>0</v>
      </c>
      <c r="F49" s="12">
        <v>0</v>
      </c>
      <c r="G49" s="65"/>
      <c r="H49" s="65"/>
      <c r="I49" s="112"/>
      <c r="J49" s="65"/>
      <c r="K49" s="37"/>
      <c r="L49" s="37"/>
      <c r="M49" s="37"/>
      <c r="N49" s="37"/>
      <c r="O49" s="37"/>
      <c r="P49" s="37"/>
      <c r="Q49" s="37"/>
      <c r="R49" s="37"/>
      <c r="S49" s="37"/>
      <c r="T49" s="37"/>
      <c r="U49" s="3"/>
      <c r="W49" s="3"/>
      <c r="X49" s="3"/>
      <c r="Y49" s="3"/>
      <c r="Z49" s="3"/>
    </row>
    <row r="50" spans="1:26" ht="15.75" hidden="1" customHeight="1" outlineLevel="1" x14ac:dyDescent="0.3">
      <c r="A50" s="3"/>
      <c r="B50" s="10" t="s">
        <v>1529</v>
      </c>
      <c r="C50" s="62"/>
      <c r="D50" s="62"/>
      <c r="E50" s="12">
        <v>0</v>
      </c>
      <c r="F50" s="12">
        <v>0</v>
      </c>
      <c r="G50" s="89"/>
      <c r="H50" s="65"/>
      <c r="I50" s="112"/>
      <c r="J50" s="65"/>
      <c r="K50" s="37"/>
      <c r="L50" s="37"/>
      <c r="M50" s="37"/>
      <c r="N50" s="37"/>
      <c r="O50" s="37"/>
      <c r="P50" s="37"/>
      <c r="Q50" s="37"/>
      <c r="R50" s="37"/>
      <c r="S50" s="37"/>
      <c r="T50" s="37"/>
      <c r="U50" s="3"/>
      <c r="W50" s="3"/>
      <c r="X50" s="3"/>
      <c r="Y50" s="3"/>
      <c r="Z50" s="3"/>
    </row>
    <row r="51" spans="1:26" ht="15.75" hidden="1" customHeight="1" outlineLevel="1" x14ac:dyDescent="0.3">
      <c r="A51" s="3"/>
      <c r="B51" s="10" t="s">
        <v>595</v>
      </c>
      <c r="C51" s="62"/>
      <c r="D51" s="62"/>
      <c r="E51" s="12">
        <v>0</v>
      </c>
      <c r="F51" s="12">
        <v>0</v>
      </c>
      <c r="G51" s="65"/>
      <c r="H51" s="65"/>
      <c r="I51" s="112"/>
      <c r="J51" s="65"/>
      <c r="K51" s="37"/>
      <c r="L51" s="37"/>
      <c r="M51" s="37"/>
      <c r="N51" s="37"/>
      <c r="O51" s="37"/>
      <c r="P51" s="37"/>
      <c r="Q51" s="37"/>
      <c r="R51" s="37"/>
      <c r="S51" s="37"/>
      <c r="T51" s="37"/>
      <c r="U51" s="3"/>
      <c r="W51" s="3"/>
      <c r="X51" s="3"/>
      <c r="Y51" s="3"/>
      <c r="Z51" s="3"/>
    </row>
    <row r="52" spans="1:26" ht="15.75" hidden="1" customHeight="1" outlineLevel="1" x14ac:dyDescent="0.3">
      <c r="A52" s="3"/>
      <c r="B52" s="10" t="s">
        <v>1596</v>
      </c>
      <c r="C52" s="80"/>
      <c r="D52" s="62"/>
      <c r="E52" s="12">
        <v>0</v>
      </c>
      <c r="F52" s="12">
        <v>0</v>
      </c>
      <c r="G52" s="89"/>
      <c r="H52" s="65"/>
      <c r="I52" s="112"/>
      <c r="J52" s="65"/>
      <c r="K52" s="37"/>
      <c r="L52" s="37"/>
      <c r="M52" s="37"/>
      <c r="N52" s="37"/>
      <c r="O52" s="37"/>
      <c r="P52" s="37"/>
      <c r="Q52" s="37"/>
      <c r="R52" s="37"/>
      <c r="S52" s="37"/>
      <c r="T52" s="37"/>
      <c r="U52" s="3"/>
      <c r="W52" s="3"/>
      <c r="X52" s="3"/>
      <c r="Y52" s="3"/>
      <c r="Z52" s="3"/>
    </row>
    <row r="53" spans="1:26" ht="15.75" hidden="1" customHeight="1" outlineLevel="1" x14ac:dyDescent="0.3">
      <c r="A53" s="3"/>
      <c r="B53" s="10" t="s">
        <v>50</v>
      </c>
      <c r="C53" s="62"/>
      <c r="D53" s="62"/>
      <c r="E53" s="12">
        <v>0</v>
      </c>
      <c r="F53" s="12">
        <v>0</v>
      </c>
      <c r="G53" s="65"/>
      <c r="H53" s="65"/>
      <c r="I53" s="128"/>
      <c r="J53" s="65"/>
      <c r="K53" s="37"/>
      <c r="L53" s="37"/>
      <c r="M53" s="37"/>
      <c r="N53" s="37"/>
      <c r="O53" s="37"/>
      <c r="P53" s="37"/>
      <c r="Q53" s="37"/>
      <c r="R53" s="37"/>
      <c r="S53" s="37"/>
      <c r="T53" s="37"/>
      <c r="U53" s="3"/>
      <c r="W53" s="3"/>
      <c r="X53" s="3"/>
      <c r="Y53" s="3"/>
      <c r="Z53" s="3"/>
    </row>
    <row r="54" spans="1:26" ht="15.75" hidden="1" customHeight="1" outlineLevel="1" x14ac:dyDescent="0.3">
      <c r="A54" s="3"/>
      <c r="B54" s="10" t="s">
        <v>50</v>
      </c>
      <c r="C54" s="62"/>
      <c r="D54" s="62"/>
      <c r="E54" s="12">
        <v>0</v>
      </c>
      <c r="F54" s="12">
        <v>0</v>
      </c>
      <c r="G54" s="65"/>
      <c r="H54" s="65"/>
      <c r="I54" s="157"/>
      <c r="J54" s="65"/>
      <c r="K54" s="37"/>
      <c r="L54" s="37"/>
      <c r="M54" s="37"/>
      <c r="N54" s="37"/>
      <c r="O54" s="37"/>
      <c r="P54" s="37"/>
      <c r="Q54" s="37"/>
      <c r="R54" s="37"/>
      <c r="S54" s="37"/>
      <c r="T54" s="37"/>
      <c r="U54" s="3"/>
      <c r="W54" s="3"/>
      <c r="X54" s="3"/>
      <c r="Y54" s="3"/>
      <c r="Z54" s="3"/>
    </row>
    <row r="55" spans="1:26" ht="15.75" hidden="1" customHeight="1" outlineLevel="1" x14ac:dyDescent="0.3">
      <c r="A55" s="3"/>
      <c r="B55" s="10" t="s">
        <v>50</v>
      </c>
      <c r="C55" s="62"/>
      <c r="D55" s="62"/>
      <c r="E55" s="12">
        <v>0</v>
      </c>
      <c r="F55" s="12">
        <v>0</v>
      </c>
      <c r="G55" s="89"/>
      <c r="H55" s="65"/>
      <c r="I55" s="157"/>
      <c r="J55" s="65"/>
      <c r="K55" s="37"/>
      <c r="L55" s="37"/>
      <c r="M55" s="37"/>
      <c r="N55" s="37"/>
      <c r="O55" s="37"/>
      <c r="P55" s="37"/>
      <c r="Q55" s="37"/>
      <c r="R55" s="37"/>
      <c r="S55" s="37"/>
      <c r="T55" s="37"/>
      <c r="U55" s="3"/>
      <c r="W55" s="3"/>
      <c r="X55" s="3"/>
      <c r="Y55" s="3"/>
      <c r="Z55" s="3"/>
    </row>
    <row r="56" spans="1:26" ht="15.75" hidden="1" customHeight="1" outlineLevel="1" x14ac:dyDescent="0.3">
      <c r="A56" s="3"/>
      <c r="B56" s="10" t="s">
        <v>50</v>
      </c>
      <c r="C56" s="62"/>
      <c r="D56" s="62"/>
      <c r="E56" s="12">
        <v>0</v>
      </c>
      <c r="F56" s="12">
        <v>0</v>
      </c>
      <c r="G56" s="89"/>
      <c r="H56" s="65"/>
      <c r="I56" s="157"/>
      <c r="J56" s="65"/>
      <c r="K56" s="37"/>
      <c r="L56" s="37"/>
      <c r="M56" s="37"/>
      <c r="N56" s="37"/>
      <c r="O56" s="37"/>
      <c r="P56" s="37"/>
      <c r="Q56" s="37"/>
      <c r="R56" s="37"/>
      <c r="S56" s="37"/>
      <c r="T56" s="37"/>
      <c r="U56" s="3"/>
      <c r="W56" s="3"/>
      <c r="X56" s="3"/>
      <c r="Y56" s="3"/>
      <c r="Z56" s="3"/>
    </row>
    <row r="57" spans="1:26" ht="15.75" hidden="1" customHeight="1" outlineLevel="1" x14ac:dyDescent="0.3">
      <c r="A57" s="3"/>
      <c r="B57" s="10" t="s">
        <v>50</v>
      </c>
      <c r="C57" s="62"/>
      <c r="D57" s="62"/>
      <c r="E57" s="12">
        <v>0</v>
      </c>
      <c r="F57" s="12">
        <v>0</v>
      </c>
      <c r="G57" s="89"/>
      <c r="H57" s="65"/>
      <c r="I57" s="157"/>
      <c r="J57" s="65"/>
      <c r="K57" s="37"/>
      <c r="L57" s="37"/>
      <c r="M57" s="37"/>
      <c r="N57" s="37"/>
      <c r="O57" s="37"/>
      <c r="P57" s="37"/>
      <c r="Q57" s="37"/>
      <c r="R57" s="37"/>
      <c r="S57" s="37"/>
      <c r="T57" s="37"/>
      <c r="U57" s="3"/>
      <c r="W57" s="3"/>
      <c r="X57" s="3"/>
      <c r="Y57" s="3"/>
      <c r="Z57" s="3"/>
    </row>
    <row r="58" spans="1:26" ht="15.75" hidden="1" customHeight="1" outlineLevel="1" x14ac:dyDescent="0.3">
      <c r="A58" s="3"/>
      <c r="B58" s="10" t="s">
        <v>50</v>
      </c>
      <c r="C58" s="62"/>
      <c r="D58" s="62"/>
      <c r="E58" s="12">
        <v>0</v>
      </c>
      <c r="F58" s="12">
        <v>0</v>
      </c>
      <c r="G58" s="89"/>
      <c r="H58" s="65"/>
      <c r="I58" s="157"/>
      <c r="J58" s="65"/>
      <c r="K58" s="37"/>
      <c r="L58" s="37"/>
      <c r="M58" s="37"/>
      <c r="N58" s="37"/>
      <c r="O58" s="37"/>
      <c r="P58" s="37"/>
      <c r="Q58" s="37"/>
      <c r="R58" s="37"/>
      <c r="S58" s="37"/>
      <c r="T58" s="37"/>
      <c r="U58" s="3"/>
      <c r="W58" s="3"/>
      <c r="X58" s="3"/>
      <c r="Y58" s="3"/>
      <c r="Z58" s="3"/>
    </row>
    <row r="59" spans="1:26" ht="15.75" hidden="1" customHeight="1" outlineLevel="1" x14ac:dyDescent="0.3">
      <c r="A59" s="3"/>
      <c r="B59" s="10" t="s">
        <v>50</v>
      </c>
      <c r="C59" s="62"/>
      <c r="D59" s="62"/>
      <c r="E59" s="12">
        <v>0</v>
      </c>
      <c r="F59" s="12">
        <v>0</v>
      </c>
      <c r="G59" s="89"/>
      <c r="H59" s="65"/>
      <c r="I59" s="157"/>
      <c r="J59" s="65"/>
      <c r="K59" s="37"/>
      <c r="L59" s="37"/>
      <c r="M59" s="37"/>
      <c r="N59" s="37"/>
      <c r="O59" s="37"/>
      <c r="P59" s="37"/>
      <c r="Q59" s="37"/>
      <c r="R59" s="37"/>
      <c r="S59" s="37"/>
      <c r="T59" s="37"/>
      <c r="U59" s="3"/>
      <c r="W59" s="3"/>
      <c r="X59" s="3"/>
      <c r="Y59" s="3"/>
      <c r="Z59" s="3"/>
    </row>
    <row r="60" spans="1:26" ht="15.75" hidden="1" customHeight="1" outlineLevel="1" x14ac:dyDescent="0.3">
      <c r="A60" s="3"/>
      <c r="B60" s="10" t="s">
        <v>50</v>
      </c>
      <c r="C60" s="62"/>
      <c r="D60" s="62"/>
      <c r="E60" s="12">
        <v>0</v>
      </c>
      <c r="F60" s="12">
        <v>0</v>
      </c>
      <c r="G60" s="89"/>
      <c r="H60" s="65"/>
      <c r="I60" s="157"/>
      <c r="J60" s="65"/>
      <c r="K60" s="37"/>
      <c r="L60" s="37"/>
      <c r="M60" s="37"/>
      <c r="N60" s="37"/>
      <c r="O60" s="37"/>
      <c r="P60" s="37"/>
      <c r="Q60" s="37"/>
      <c r="R60" s="37"/>
      <c r="S60" s="37"/>
      <c r="T60" s="37"/>
      <c r="U60" s="3"/>
      <c r="W60" s="3"/>
      <c r="X60" s="3"/>
      <c r="Y60" s="3"/>
      <c r="Z60" s="3"/>
    </row>
    <row r="61" spans="1:26" ht="15.75" hidden="1" customHeight="1" outlineLevel="1" x14ac:dyDescent="0.3">
      <c r="A61" s="3"/>
      <c r="B61" s="10" t="s">
        <v>50</v>
      </c>
      <c r="C61" s="62"/>
      <c r="D61" s="62"/>
      <c r="E61" s="12">
        <v>0</v>
      </c>
      <c r="F61" s="12">
        <v>0</v>
      </c>
      <c r="G61" s="89"/>
      <c r="H61" s="65"/>
      <c r="I61" s="157"/>
      <c r="J61" s="65"/>
      <c r="K61" s="37"/>
      <c r="L61" s="37"/>
      <c r="M61" s="37"/>
      <c r="N61" s="37"/>
      <c r="O61" s="37"/>
      <c r="P61" s="37"/>
      <c r="Q61" s="37"/>
      <c r="R61" s="37"/>
      <c r="S61" s="37"/>
      <c r="T61" s="37"/>
      <c r="U61" s="3"/>
      <c r="W61" s="3"/>
      <c r="X61" s="3"/>
      <c r="Y61" s="3"/>
      <c r="Z61" s="3"/>
    </row>
    <row r="62" spans="1:26" ht="15.75" hidden="1" customHeight="1" outlineLevel="1" x14ac:dyDescent="0.3">
      <c r="A62" s="3"/>
      <c r="B62" s="10" t="s">
        <v>50</v>
      </c>
      <c r="C62" s="62"/>
      <c r="D62" s="62"/>
      <c r="E62" s="12">
        <v>0</v>
      </c>
      <c r="F62" s="12">
        <v>0</v>
      </c>
      <c r="G62" s="65"/>
      <c r="H62" s="65"/>
      <c r="I62" s="157"/>
      <c r="J62" s="65"/>
      <c r="K62" s="37"/>
      <c r="L62" s="37"/>
      <c r="M62" s="37"/>
      <c r="N62" s="37"/>
      <c r="O62" s="37"/>
      <c r="P62" s="37"/>
      <c r="Q62" s="37"/>
      <c r="R62" s="37"/>
      <c r="S62" s="37"/>
      <c r="T62" s="37"/>
      <c r="U62" s="3"/>
      <c r="W62" s="3"/>
      <c r="X62" s="3"/>
      <c r="Y62" s="3"/>
      <c r="Z62" s="3"/>
    </row>
    <row r="63" spans="1:26" ht="15.75" customHeight="1" collapsed="1" x14ac:dyDescent="0.3">
      <c r="A63" s="3"/>
      <c r="B63" s="84" t="s">
        <v>329</v>
      </c>
      <c r="C63" s="85" t="s">
        <v>43</v>
      </c>
      <c r="D63" s="85" t="s">
        <v>43</v>
      </c>
      <c r="E63" s="86">
        <f>SUM(E64:E89)</f>
        <v>0</v>
      </c>
      <c r="F63" s="86">
        <f>SUMIF(D64:D89,"OK",F64:F89)</f>
        <v>0</v>
      </c>
      <c r="G63" s="87"/>
      <c r="H63" s="87"/>
      <c r="I63" s="88"/>
      <c r="J63" s="87"/>
      <c r="K63" s="37"/>
      <c r="L63" s="37"/>
      <c r="M63" s="37"/>
      <c r="N63" s="37"/>
      <c r="O63" s="37"/>
      <c r="P63" s="37"/>
      <c r="Q63" s="37"/>
      <c r="R63" s="37"/>
      <c r="S63" s="37"/>
      <c r="T63" s="37"/>
      <c r="U63" s="3"/>
    </row>
    <row r="64" spans="1:26" ht="15.75" hidden="1" customHeight="1" outlineLevel="1" x14ac:dyDescent="0.3">
      <c r="A64" s="3"/>
      <c r="B64" s="10" t="s">
        <v>1199</v>
      </c>
      <c r="C64" s="80"/>
      <c r="D64" s="62"/>
      <c r="E64" s="12">
        <v>0</v>
      </c>
      <c r="F64" s="12">
        <v>0</v>
      </c>
      <c r="G64" s="65"/>
      <c r="H64" s="65"/>
      <c r="I64" s="156"/>
      <c r="J64" s="89"/>
      <c r="K64" s="37"/>
      <c r="L64" s="37"/>
      <c r="M64" s="37"/>
      <c r="N64" s="37"/>
      <c r="O64" s="37"/>
      <c r="P64" s="37"/>
      <c r="Q64" s="37"/>
      <c r="R64" s="37"/>
      <c r="S64" s="37"/>
      <c r="T64" s="37"/>
      <c r="U64" s="3"/>
      <c r="V64" s="18"/>
    </row>
    <row r="65" spans="1:22" ht="15.75" hidden="1" customHeight="1" outlineLevel="1" x14ac:dyDescent="0.3">
      <c r="A65" s="3"/>
      <c r="B65" s="10" t="s">
        <v>1199</v>
      </c>
      <c r="C65" s="80"/>
      <c r="D65" s="62"/>
      <c r="E65" s="12">
        <v>0</v>
      </c>
      <c r="F65" s="12">
        <v>0</v>
      </c>
      <c r="G65" s="65"/>
      <c r="H65" s="65"/>
      <c r="I65" s="156"/>
      <c r="J65" s="89"/>
      <c r="K65" s="37"/>
      <c r="L65" s="37"/>
      <c r="M65" s="37"/>
      <c r="N65" s="37"/>
      <c r="O65" s="37"/>
      <c r="P65" s="37"/>
      <c r="Q65" s="37"/>
      <c r="R65" s="37"/>
      <c r="S65" s="37"/>
      <c r="T65" s="37"/>
      <c r="U65" s="3"/>
      <c r="V65" s="18"/>
    </row>
    <row r="66" spans="1:22" ht="15.75" hidden="1" customHeight="1" outlineLevel="1" x14ac:dyDescent="0.3">
      <c r="A66" s="3"/>
      <c r="B66" s="10" t="s">
        <v>1199</v>
      </c>
      <c r="C66" s="80"/>
      <c r="D66" s="62"/>
      <c r="E66" s="12">
        <v>0</v>
      </c>
      <c r="F66" s="12">
        <v>0</v>
      </c>
      <c r="G66" s="65"/>
      <c r="H66" s="65"/>
      <c r="I66" s="156"/>
      <c r="J66" s="89"/>
      <c r="K66" s="37"/>
      <c r="L66" s="37"/>
      <c r="M66" s="37"/>
      <c r="N66" s="37"/>
      <c r="O66" s="37"/>
      <c r="P66" s="37"/>
      <c r="Q66" s="37"/>
      <c r="R66" s="37"/>
      <c r="S66" s="37"/>
      <c r="T66" s="37"/>
      <c r="U66" s="3"/>
      <c r="V66" s="18"/>
    </row>
    <row r="67" spans="1:22" ht="15.75" hidden="1" customHeight="1" outlineLevel="1" x14ac:dyDescent="0.3">
      <c r="A67" s="3"/>
      <c r="B67" s="10" t="s">
        <v>1199</v>
      </c>
      <c r="C67" s="80"/>
      <c r="D67" s="62"/>
      <c r="E67" s="12">
        <v>0</v>
      </c>
      <c r="F67" s="12">
        <v>0</v>
      </c>
      <c r="G67" s="65"/>
      <c r="H67" s="65"/>
      <c r="I67" s="156"/>
      <c r="J67" s="89"/>
      <c r="K67" s="37"/>
      <c r="L67" s="37"/>
      <c r="M67" s="37"/>
      <c r="N67" s="37"/>
      <c r="O67" s="37"/>
      <c r="P67" s="37"/>
      <c r="Q67" s="37"/>
      <c r="R67" s="37"/>
      <c r="S67" s="37"/>
      <c r="T67" s="37"/>
      <c r="U67" s="3"/>
      <c r="V67" s="18"/>
    </row>
    <row r="68" spans="1:22" ht="15.75" hidden="1" customHeight="1" outlineLevel="1" x14ac:dyDescent="0.3">
      <c r="A68" s="3"/>
      <c r="B68" s="10" t="s">
        <v>1199</v>
      </c>
      <c r="C68" s="80"/>
      <c r="D68" s="62"/>
      <c r="E68" s="12">
        <v>0</v>
      </c>
      <c r="F68" s="12">
        <v>0</v>
      </c>
      <c r="G68" s="65"/>
      <c r="H68" s="65"/>
      <c r="I68" s="156"/>
      <c r="J68" s="89"/>
      <c r="K68" s="37"/>
      <c r="L68" s="37"/>
      <c r="M68" s="37"/>
      <c r="N68" s="37"/>
      <c r="O68" s="37"/>
      <c r="P68" s="37"/>
      <c r="Q68" s="37"/>
      <c r="R68" s="37"/>
      <c r="S68" s="37"/>
      <c r="T68" s="37"/>
      <c r="U68" s="3"/>
      <c r="V68" s="18"/>
    </row>
    <row r="69" spans="1:22" ht="15.75" hidden="1" customHeight="1" outlineLevel="1" x14ac:dyDescent="0.3">
      <c r="A69" s="3"/>
      <c r="B69" s="10" t="s">
        <v>1581</v>
      </c>
      <c r="C69" s="80"/>
      <c r="D69" s="62"/>
      <c r="E69" s="12">
        <v>0</v>
      </c>
      <c r="F69" s="12">
        <v>0</v>
      </c>
      <c r="G69" s="65"/>
      <c r="H69" s="65"/>
      <c r="I69" s="112"/>
      <c r="J69" s="89"/>
      <c r="K69" s="37"/>
      <c r="L69" s="37"/>
      <c r="M69" s="37"/>
      <c r="N69" s="37"/>
      <c r="O69" s="37"/>
      <c r="P69" s="37"/>
      <c r="Q69" s="37"/>
      <c r="R69" s="37"/>
      <c r="S69" s="37"/>
      <c r="T69" s="37"/>
      <c r="U69" s="3"/>
      <c r="V69" s="18"/>
    </row>
    <row r="70" spans="1:22" ht="15.75" hidden="1" customHeight="1" outlineLevel="1" x14ac:dyDescent="0.3">
      <c r="A70" s="3"/>
      <c r="B70" s="10" t="s">
        <v>1581</v>
      </c>
      <c r="C70" s="80"/>
      <c r="D70" s="62"/>
      <c r="E70" s="12">
        <v>0</v>
      </c>
      <c r="F70" s="12">
        <v>0</v>
      </c>
      <c r="G70" s="65"/>
      <c r="H70" s="65"/>
      <c r="I70" s="112"/>
      <c r="J70" s="89"/>
      <c r="K70" s="37"/>
      <c r="L70" s="37"/>
      <c r="M70" s="37"/>
      <c r="N70" s="37"/>
      <c r="O70" s="37"/>
      <c r="P70" s="37"/>
      <c r="Q70" s="37"/>
      <c r="R70" s="37"/>
      <c r="S70" s="37"/>
      <c r="T70" s="37"/>
      <c r="U70" s="3"/>
      <c r="V70" s="18"/>
    </row>
    <row r="71" spans="1:22" ht="15.75" hidden="1" customHeight="1" outlineLevel="1" x14ac:dyDescent="0.3">
      <c r="A71" s="3"/>
      <c r="B71" s="10" t="s">
        <v>1202</v>
      </c>
      <c r="C71" s="80"/>
      <c r="D71" s="62"/>
      <c r="E71" s="12">
        <v>0</v>
      </c>
      <c r="F71" s="12">
        <v>0</v>
      </c>
      <c r="G71" s="65"/>
      <c r="H71" s="65"/>
      <c r="I71" s="112"/>
      <c r="J71" s="89"/>
      <c r="K71" s="37"/>
      <c r="L71" s="37"/>
      <c r="M71" s="37"/>
      <c r="N71" s="37"/>
      <c r="O71" s="37"/>
      <c r="P71" s="37"/>
      <c r="Q71" s="37"/>
      <c r="R71" s="37"/>
      <c r="S71" s="37"/>
      <c r="T71" s="37"/>
      <c r="U71" s="3"/>
      <c r="V71" s="18"/>
    </row>
    <row r="72" spans="1:22" ht="15.75" hidden="1" customHeight="1" outlineLevel="1" x14ac:dyDescent="0.3">
      <c r="A72" s="3"/>
      <c r="B72" s="10" t="s">
        <v>1202</v>
      </c>
      <c r="C72" s="80"/>
      <c r="D72" s="62"/>
      <c r="E72" s="12">
        <v>0</v>
      </c>
      <c r="F72" s="12">
        <v>0</v>
      </c>
      <c r="G72" s="65"/>
      <c r="H72" s="65"/>
      <c r="I72" s="112"/>
      <c r="J72" s="89"/>
      <c r="K72" s="37"/>
      <c r="L72" s="37"/>
      <c r="M72" s="37"/>
      <c r="N72" s="37"/>
      <c r="O72" s="37"/>
      <c r="P72" s="37"/>
      <c r="Q72" s="37"/>
      <c r="R72" s="37"/>
      <c r="S72" s="37"/>
      <c r="T72" s="37"/>
      <c r="U72" s="3"/>
      <c r="V72" s="18"/>
    </row>
    <row r="73" spans="1:22" ht="15.75" hidden="1" customHeight="1" outlineLevel="1" x14ac:dyDescent="0.3">
      <c r="A73" s="3"/>
      <c r="B73" s="10" t="s">
        <v>1202</v>
      </c>
      <c r="C73" s="80"/>
      <c r="D73" s="62"/>
      <c r="E73" s="12">
        <v>0</v>
      </c>
      <c r="F73" s="12">
        <v>0</v>
      </c>
      <c r="G73" s="65"/>
      <c r="H73" s="65"/>
      <c r="I73" s="112"/>
      <c r="J73" s="89"/>
      <c r="K73" s="37"/>
      <c r="L73" s="37"/>
      <c r="M73" s="37"/>
      <c r="N73" s="37"/>
      <c r="O73" s="37"/>
      <c r="P73" s="37"/>
      <c r="Q73" s="37"/>
      <c r="R73" s="37"/>
      <c r="S73" s="37"/>
      <c r="T73" s="37"/>
      <c r="U73" s="3"/>
      <c r="V73" s="18"/>
    </row>
    <row r="74" spans="1:22" ht="15.75" hidden="1" customHeight="1" outlineLevel="1" x14ac:dyDescent="0.3">
      <c r="A74" s="3"/>
      <c r="B74" s="10" t="s">
        <v>1202</v>
      </c>
      <c r="C74" s="80"/>
      <c r="D74" s="62"/>
      <c r="E74" s="12">
        <v>0</v>
      </c>
      <c r="F74" s="12">
        <v>0</v>
      </c>
      <c r="G74" s="65"/>
      <c r="H74" s="65"/>
      <c r="I74" s="112"/>
      <c r="J74" s="89"/>
      <c r="K74" s="37"/>
      <c r="L74" s="37"/>
      <c r="M74" s="37"/>
      <c r="N74" s="37"/>
      <c r="O74" s="37"/>
      <c r="P74" s="37"/>
      <c r="Q74" s="37"/>
      <c r="R74" s="37"/>
      <c r="S74" s="37"/>
      <c r="T74" s="37"/>
      <c r="U74" s="3"/>
      <c r="V74" s="18"/>
    </row>
    <row r="75" spans="1:22" ht="15.75" hidden="1" customHeight="1" outlineLevel="1" x14ac:dyDescent="0.3">
      <c r="A75" s="3"/>
      <c r="B75" s="10" t="s">
        <v>1202</v>
      </c>
      <c r="C75" s="80"/>
      <c r="D75" s="62"/>
      <c r="E75" s="12">
        <v>0</v>
      </c>
      <c r="F75" s="12">
        <v>0</v>
      </c>
      <c r="G75" s="65"/>
      <c r="H75" s="65"/>
      <c r="I75" s="112"/>
      <c r="J75" s="89"/>
      <c r="K75" s="37"/>
      <c r="L75" s="37"/>
      <c r="M75" s="37"/>
      <c r="N75" s="37"/>
      <c r="O75" s="37"/>
      <c r="P75" s="37"/>
      <c r="Q75" s="37"/>
      <c r="R75" s="37"/>
      <c r="S75" s="37"/>
      <c r="T75" s="37"/>
      <c r="U75" s="3"/>
      <c r="V75" s="18"/>
    </row>
    <row r="76" spans="1:22" ht="15.75" hidden="1" customHeight="1" outlineLevel="1" x14ac:dyDescent="0.3">
      <c r="A76" s="3"/>
      <c r="B76" s="10" t="s">
        <v>1202</v>
      </c>
      <c r="C76" s="80"/>
      <c r="D76" s="62"/>
      <c r="E76" s="12">
        <v>0</v>
      </c>
      <c r="F76" s="12">
        <v>0</v>
      </c>
      <c r="G76" s="65"/>
      <c r="H76" s="65"/>
      <c r="I76" s="112"/>
      <c r="J76" s="89"/>
      <c r="K76" s="37"/>
      <c r="L76" s="37"/>
      <c r="M76" s="37"/>
      <c r="N76" s="37"/>
      <c r="O76" s="37"/>
      <c r="P76" s="37"/>
      <c r="Q76" s="37"/>
      <c r="R76" s="37"/>
      <c r="S76" s="37"/>
      <c r="T76" s="37"/>
      <c r="U76" s="3"/>
      <c r="V76" s="18"/>
    </row>
    <row r="77" spans="1:22" ht="15.75" hidden="1" customHeight="1" outlineLevel="1" x14ac:dyDescent="0.3">
      <c r="A77" s="3"/>
      <c r="B77" s="10" t="s">
        <v>330</v>
      </c>
      <c r="C77" s="80"/>
      <c r="D77" s="62"/>
      <c r="E77" s="12">
        <v>0</v>
      </c>
      <c r="F77" s="12">
        <v>0</v>
      </c>
      <c r="G77" s="65"/>
      <c r="H77" s="65"/>
      <c r="I77" s="112"/>
      <c r="J77" s="89"/>
      <c r="K77" s="37"/>
      <c r="L77" s="37"/>
      <c r="M77" s="37"/>
      <c r="N77" s="37"/>
      <c r="O77" s="37"/>
      <c r="P77" s="37"/>
      <c r="Q77" s="37"/>
      <c r="R77" s="37"/>
      <c r="S77" s="37"/>
      <c r="T77" s="37"/>
      <c r="U77" s="3"/>
      <c r="V77" s="18"/>
    </row>
    <row r="78" spans="1:22" ht="15.75" hidden="1" customHeight="1" outlineLevel="1" x14ac:dyDescent="0.3">
      <c r="A78" s="3"/>
      <c r="B78" s="10" t="s">
        <v>330</v>
      </c>
      <c r="C78" s="80"/>
      <c r="D78" s="62"/>
      <c r="E78" s="12">
        <v>0</v>
      </c>
      <c r="F78" s="12">
        <v>0</v>
      </c>
      <c r="G78" s="65"/>
      <c r="H78" s="65"/>
      <c r="I78" s="112"/>
      <c r="J78" s="89"/>
      <c r="K78" s="37"/>
      <c r="L78" s="37"/>
      <c r="M78" s="37"/>
      <c r="N78" s="37"/>
      <c r="O78" s="37"/>
      <c r="P78" s="37"/>
      <c r="Q78" s="37"/>
      <c r="R78" s="37"/>
      <c r="S78" s="37"/>
      <c r="T78" s="37"/>
      <c r="U78" s="3"/>
      <c r="V78" s="18"/>
    </row>
    <row r="79" spans="1:22" ht="15.75" hidden="1" customHeight="1" outlineLevel="1" x14ac:dyDescent="0.3">
      <c r="A79" s="3"/>
      <c r="B79" s="10" t="s">
        <v>330</v>
      </c>
      <c r="C79" s="80"/>
      <c r="D79" s="62"/>
      <c r="E79" s="12">
        <v>0</v>
      </c>
      <c r="F79" s="12">
        <v>0</v>
      </c>
      <c r="G79" s="65"/>
      <c r="H79" s="65"/>
      <c r="I79" s="112"/>
      <c r="J79" s="89"/>
      <c r="K79" s="37"/>
      <c r="L79" s="37"/>
      <c r="M79" s="37"/>
      <c r="N79" s="37"/>
      <c r="O79" s="37"/>
      <c r="P79" s="37"/>
      <c r="Q79" s="37"/>
      <c r="R79" s="37"/>
      <c r="S79" s="37"/>
      <c r="T79" s="37"/>
      <c r="U79" s="3"/>
      <c r="V79" s="18"/>
    </row>
    <row r="80" spans="1:22" ht="15.75" hidden="1" customHeight="1" outlineLevel="1" x14ac:dyDescent="0.3">
      <c r="A80" s="3"/>
      <c r="B80" s="10" t="s">
        <v>334</v>
      </c>
      <c r="C80" s="62"/>
      <c r="D80" s="62"/>
      <c r="E80" s="12">
        <v>0</v>
      </c>
      <c r="F80" s="12">
        <v>0</v>
      </c>
      <c r="G80" s="89"/>
      <c r="H80" s="65"/>
      <c r="I80" s="112"/>
      <c r="J80" s="65"/>
      <c r="K80" s="37"/>
      <c r="L80" s="37"/>
      <c r="M80" s="37"/>
      <c r="N80" s="37"/>
      <c r="O80" s="37"/>
      <c r="P80" s="37"/>
      <c r="Q80" s="37"/>
      <c r="R80" s="37"/>
      <c r="S80" s="37"/>
      <c r="T80" s="37"/>
      <c r="U80" s="3"/>
    </row>
    <row r="81" spans="1:26" ht="15.75" hidden="1" customHeight="1" outlineLevel="1" x14ac:dyDescent="0.3">
      <c r="A81" s="3"/>
      <c r="B81" s="10" t="s">
        <v>334</v>
      </c>
      <c r="C81" s="62"/>
      <c r="D81" s="62"/>
      <c r="E81" s="12">
        <v>0</v>
      </c>
      <c r="F81" s="12">
        <v>0</v>
      </c>
      <c r="G81" s="65"/>
      <c r="H81" s="65"/>
      <c r="I81" s="112"/>
      <c r="J81" s="65"/>
      <c r="K81" s="37"/>
      <c r="L81" s="37"/>
      <c r="M81" s="37"/>
      <c r="N81" s="37"/>
      <c r="O81" s="37"/>
      <c r="P81" s="37"/>
      <c r="Q81" s="37"/>
      <c r="R81" s="37"/>
      <c r="S81" s="37"/>
      <c r="T81" s="37"/>
      <c r="U81" s="3"/>
    </row>
    <row r="82" spans="1:26" ht="15.75" hidden="1" customHeight="1" outlineLevel="1" x14ac:dyDescent="0.3">
      <c r="A82" s="3"/>
      <c r="B82" s="10" t="s">
        <v>627</v>
      </c>
      <c r="C82" s="80"/>
      <c r="D82" s="62"/>
      <c r="E82" s="12">
        <v>0</v>
      </c>
      <c r="F82" s="12">
        <v>0</v>
      </c>
      <c r="G82" s="65"/>
      <c r="H82" s="65"/>
      <c r="I82" s="156"/>
      <c r="J82" s="89"/>
      <c r="K82" s="37"/>
      <c r="L82" s="37"/>
      <c r="M82" s="37"/>
      <c r="N82" s="37"/>
      <c r="O82" s="37"/>
      <c r="P82" s="37"/>
      <c r="Q82" s="37"/>
      <c r="R82" s="37"/>
      <c r="S82" s="37"/>
      <c r="T82" s="37"/>
      <c r="U82" s="3"/>
    </row>
    <row r="83" spans="1:26" ht="15.75" hidden="1" customHeight="1" outlineLevel="1" x14ac:dyDescent="0.3">
      <c r="A83" s="3"/>
      <c r="B83" s="10" t="s">
        <v>627</v>
      </c>
      <c r="C83" s="80"/>
      <c r="D83" s="62"/>
      <c r="E83" s="12">
        <v>0</v>
      </c>
      <c r="F83" s="12">
        <v>0</v>
      </c>
      <c r="G83" s="65"/>
      <c r="H83" s="65"/>
      <c r="I83" s="156"/>
      <c r="J83" s="89"/>
      <c r="K83" s="37"/>
      <c r="L83" s="37"/>
      <c r="M83" s="37"/>
      <c r="N83" s="37"/>
      <c r="O83" s="37"/>
      <c r="P83" s="37"/>
      <c r="Q83" s="37"/>
      <c r="R83" s="37"/>
      <c r="S83" s="37"/>
      <c r="T83" s="37"/>
      <c r="U83" s="3"/>
    </row>
    <row r="84" spans="1:26" ht="15.75" hidden="1" customHeight="1" outlineLevel="1" x14ac:dyDescent="0.3">
      <c r="A84" s="3"/>
      <c r="B84" s="10" t="s">
        <v>629</v>
      </c>
      <c r="C84" s="80"/>
      <c r="D84" s="62"/>
      <c r="E84" s="12">
        <v>0</v>
      </c>
      <c r="F84" s="12">
        <v>0</v>
      </c>
      <c r="G84" s="65"/>
      <c r="H84" s="65"/>
      <c r="I84" s="112"/>
      <c r="J84" s="89"/>
      <c r="K84" s="37"/>
      <c r="L84" s="37"/>
      <c r="M84" s="37"/>
      <c r="N84" s="37"/>
      <c r="O84" s="37"/>
      <c r="P84" s="37"/>
      <c r="Q84" s="37"/>
      <c r="R84" s="37"/>
      <c r="S84" s="37"/>
      <c r="T84" s="37"/>
      <c r="U84" s="3"/>
    </row>
    <row r="85" spans="1:26" ht="15.75" hidden="1" customHeight="1" outlineLevel="1" x14ac:dyDescent="0.3">
      <c r="A85" s="3"/>
      <c r="B85" s="10" t="s">
        <v>629</v>
      </c>
      <c r="C85" s="80"/>
      <c r="D85" s="62"/>
      <c r="E85" s="12">
        <v>0</v>
      </c>
      <c r="F85" s="12">
        <v>0</v>
      </c>
      <c r="G85" s="65"/>
      <c r="H85" s="65"/>
      <c r="I85" s="112"/>
      <c r="J85" s="89"/>
      <c r="K85" s="37"/>
      <c r="L85" s="37"/>
      <c r="M85" s="37"/>
      <c r="N85" s="37"/>
      <c r="O85" s="37"/>
      <c r="P85" s="37"/>
      <c r="Q85" s="37"/>
      <c r="R85" s="37"/>
      <c r="S85" s="37"/>
      <c r="T85" s="37"/>
      <c r="U85" s="3"/>
    </row>
    <row r="86" spans="1:26" ht="15.75" hidden="1" customHeight="1" outlineLevel="1" x14ac:dyDescent="0.3">
      <c r="A86" s="3"/>
      <c r="B86" s="10" t="s">
        <v>629</v>
      </c>
      <c r="C86" s="80"/>
      <c r="D86" s="62"/>
      <c r="E86" s="12">
        <v>0</v>
      </c>
      <c r="F86" s="12">
        <v>0</v>
      </c>
      <c r="G86" s="65"/>
      <c r="H86" s="65"/>
      <c r="I86" s="112"/>
      <c r="J86" s="89"/>
      <c r="K86" s="37"/>
      <c r="L86" s="37"/>
      <c r="M86" s="37"/>
      <c r="N86" s="37"/>
      <c r="O86" s="37"/>
      <c r="P86" s="37"/>
      <c r="Q86" s="37"/>
      <c r="R86" s="37"/>
      <c r="S86" s="37"/>
      <c r="T86" s="37"/>
      <c r="U86" s="3"/>
    </row>
    <row r="87" spans="1:26" ht="15.75" hidden="1" customHeight="1" outlineLevel="1" x14ac:dyDescent="0.3">
      <c r="A87" s="3"/>
      <c r="B87" s="10" t="s">
        <v>1531</v>
      </c>
      <c r="C87" s="80"/>
      <c r="D87" s="62"/>
      <c r="E87" s="12">
        <v>0</v>
      </c>
      <c r="F87" s="12">
        <v>0</v>
      </c>
      <c r="G87" s="65"/>
      <c r="H87" s="65"/>
      <c r="I87" s="157"/>
      <c r="J87" s="65"/>
      <c r="K87" s="37"/>
      <c r="L87" s="37"/>
      <c r="M87" s="37"/>
      <c r="N87" s="37"/>
      <c r="O87" s="37"/>
      <c r="P87" s="37"/>
      <c r="Q87" s="37"/>
      <c r="R87" s="37"/>
      <c r="S87" s="37"/>
      <c r="T87" s="37"/>
      <c r="U87" s="3"/>
      <c r="W87" s="3"/>
      <c r="X87" s="3"/>
      <c r="Y87" s="3"/>
      <c r="Z87" s="3"/>
    </row>
    <row r="88" spans="1:26" ht="15.75" hidden="1" customHeight="1" outlineLevel="1" x14ac:dyDescent="0.3">
      <c r="A88" s="3"/>
      <c r="B88" s="10" t="s">
        <v>330</v>
      </c>
      <c r="C88" s="62"/>
      <c r="D88" s="62"/>
      <c r="E88" s="12">
        <v>0</v>
      </c>
      <c r="F88" s="12">
        <v>0</v>
      </c>
      <c r="G88" s="65"/>
      <c r="H88" s="65"/>
      <c r="I88" s="112"/>
      <c r="J88" s="65"/>
      <c r="K88" s="37"/>
      <c r="L88" s="37"/>
      <c r="M88" s="37"/>
      <c r="N88" s="37"/>
      <c r="O88" s="37"/>
      <c r="P88" s="37"/>
      <c r="Q88" s="37"/>
      <c r="R88" s="37"/>
      <c r="S88" s="37"/>
      <c r="T88" s="37"/>
      <c r="U88" s="3"/>
      <c r="W88" s="3"/>
      <c r="X88" s="3"/>
      <c r="Y88" s="3"/>
      <c r="Z88" s="3"/>
    </row>
    <row r="89" spans="1:26" ht="15.75" hidden="1" customHeight="1" outlineLevel="1" x14ac:dyDescent="0.3">
      <c r="A89" s="3"/>
      <c r="B89" s="10" t="s">
        <v>811</v>
      </c>
      <c r="C89" s="62"/>
      <c r="D89" s="62"/>
      <c r="E89" s="12">
        <v>0</v>
      </c>
      <c r="F89" s="12">
        <v>0</v>
      </c>
      <c r="G89" s="89"/>
      <c r="H89" s="65"/>
      <c r="I89" s="112"/>
      <c r="J89" s="65"/>
      <c r="K89" s="37"/>
      <c r="L89" s="37"/>
      <c r="M89" s="37"/>
      <c r="N89" s="37"/>
      <c r="O89" s="37"/>
      <c r="P89" s="37"/>
      <c r="Q89" s="37"/>
      <c r="R89" s="37"/>
      <c r="S89" s="37"/>
      <c r="T89" s="37"/>
      <c r="U89" s="3"/>
      <c r="W89" s="3"/>
      <c r="X89" s="3"/>
      <c r="Y89" s="3"/>
      <c r="Z89" s="3"/>
    </row>
    <row r="90" spans="1:26" ht="15.75" customHeight="1" collapsed="1" x14ac:dyDescent="0.3">
      <c r="A90" s="3"/>
      <c r="B90" s="84" t="s">
        <v>348</v>
      </c>
      <c r="C90" s="85" t="s">
        <v>43</v>
      </c>
      <c r="D90" s="85" t="s">
        <v>43</v>
      </c>
      <c r="E90" s="86">
        <f t="shared" ref="E90:F90" si="0">SUM(E91,E107,E112)</f>
        <v>0</v>
      </c>
      <c r="F90" s="86">
        <f t="shared" si="0"/>
        <v>0</v>
      </c>
      <c r="G90" s="87"/>
      <c r="H90" s="87"/>
      <c r="I90" s="88"/>
      <c r="J90" s="87"/>
      <c r="K90" s="37"/>
      <c r="L90" s="37"/>
      <c r="M90" s="37"/>
      <c r="N90" s="37"/>
      <c r="O90" s="37"/>
      <c r="P90" s="37"/>
      <c r="Q90" s="37"/>
      <c r="R90" s="37"/>
      <c r="S90" s="37"/>
      <c r="T90" s="37"/>
      <c r="U90" s="3"/>
      <c r="W90" s="3"/>
      <c r="X90" s="3"/>
      <c r="Y90" s="3"/>
      <c r="Z90" s="3"/>
    </row>
    <row r="91" spans="1:26" ht="15.75" hidden="1" customHeight="1" outlineLevel="1" x14ac:dyDescent="0.3">
      <c r="A91" s="3"/>
      <c r="B91" s="91" t="s">
        <v>349</v>
      </c>
      <c r="C91" s="92"/>
      <c r="D91" s="92"/>
      <c r="E91" s="93">
        <f>SUM(E92:E106)</f>
        <v>0</v>
      </c>
      <c r="F91" s="93">
        <f>SUMIF(D92:D106,"OK",F92:F106)</f>
        <v>0</v>
      </c>
      <c r="G91" s="94"/>
      <c r="H91" s="94"/>
      <c r="I91" s="95"/>
      <c r="J91" s="94"/>
      <c r="K91" s="37"/>
      <c r="L91" s="37"/>
      <c r="M91" s="37"/>
      <c r="N91" s="37"/>
      <c r="O91" s="37"/>
      <c r="P91" s="37"/>
      <c r="Q91" s="37"/>
      <c r="R91" s="37"/>
      <c r="S91" s="37"/>
      <c r="T91" s="37"/>
      <c r="U91" s="3"/>
      <c r="W91" s="3"/>
      <c r="X91" s="3"/>
      <c r="Y91" s="3"/>
      <c r="Z91" s="3"/>
    </row>
    <row r="92" spans="1:26" ht="15.75" hidden="1" customHeight="1" outlineLevel="1" x14ac:dyDescent="0.3">
      <c r="A92" s="3"/>
      <c r="B92" s="10" t="s">
        <v>362</v>
      </c>
      <c r="C92" s="62"/>
      <c r="D92" s="62"/>
      <c r="E92" s="12">
        <v>0</v>
      </c>
      <c r="F92" s="12">
        <v>0</v>
      </c>
      <c r="G92" s="65"/>
      <c r="H92" s="65"/>
      <c r="I92" s="112"/>
      <c r="J92" s="65"/>
      <c r="K92" s="37"/>
      <c r="L92" s="37"/>
      <c r="M92" s="37"/>
      <c r="N92" s="37"/>
      <c r="O92" s="37"/>
      <c r="P92" s="37"/>
      <c r="Q92" s="37"/>
      <c r="R92" s="37"/>
      <c r="S92" s="37"/>
      <c r="T92" s="37"/>
      <c r="U92" s="3"/>
      <c r="W92" s="3"/>
      <c r="X92" s="3"/>
      <c r="Y92" s="3"/>
      <c r="Z92" s="3"/>
    </row>
    <row r="93" spans="1:26" ht="15.75" hidden="1" customHeight="1" outlineLevel="1" x14ac:dyDescent="0.3">
      <c r="A93" s="3"/>
      <c r="B93" s="10" t="s">
        <v>362</v>
      </c>
      <c r="C93" s="62"/>
      <c r="D93" s="62"/>
      <c r="E93" s="12">
        <v>0</v>
      </c>
      <c r="F93" s="12">
        <v>0</v>
      </c>
      <c r="G93" s="65"/>
      <c r="H93" s="65"/>
      <c r="I93" s="112"/>
      <c r="J93" s="65"/>
      <c r="K93" s="37"/>
      <c r="L93" s="37"/>
      <c r="M93" s="37"/>
      <c r="N93" s="37"/>
      <c r="O93" s="37"/>
      <c r="P93" s="37"/>
      <c r="Q93" s="37"/>
      <c r="R93" s="37"/>
      <c r="S93" s="37"/>
      <c r="T93" s="37"/>
      <c r="U93" s="3"/>
      <c r="W93" s="3"/>
      <c r="X93" s="3"/>
      <c r="Y93" s="3"/>
      <c r="Z93" s="3"/>
    </row>
    <row r="94" spans="1:26" ht="15.75" hidden="1" customHeight="1" outlineLevel="1" x14ac:dyDescent="0.3">
      <c r="A94" s="3"/>
      <c r="B94" s="10" t="s">
        <v>362</v>
      </c>
      <c r="C94" s="62"/>
      <c r="D94" s="62"/>
      <c r="E94" s="12">
        <v>0</v>
      </c>
      <c r="F94" s="12">
        <v>0</v>
      </c>
      <c r="G94" s="65"/>
      <c r="H94" s="65"/>
      <c r="I94" s="112"/>
      <c r="J94" s="65"/>
      <c r="K94" s="37"/>
      <c r="L94" s="37"/>
      <c r="M94" s="37"/>
      <c r="N94" s="37"/>
      <c r="O94" s="37"/>
      <c r="P94" s="37"/>
      <c r="Q94" s="37"/>
      <c r="R94" s="37"/>
      <c r="S94" s="37"/>
      <c r="T94" s="37"/>
      <c r="U94" s="3"/>
      <c r="W94" s="3"/>
      <c r="X94" s="3"/>
      <c r="Y94" s="3"/>
      <c r="Z94" s="3"/>
    </row>
    <row r="95" spans="1:26" ht="15.75" hidden="1" customHeight="1" outlineLevel="1" x14ac:dyDescent="0.3">
      <c r="A95" s="3"/>
      <c r="B95" s="10" t="s">
        <v>362</v>
      </c>
      <c r="C95" s="62"/>
      <c r="D95" s="62"/>
      <c r="E95" s="12">
        <v>0</v>
      </c>
      <c r="F95" s="12">
        <v>0</v>
      </c>
      <c r="G95" s="65"/>
      <c r="H95" s="65"/>
      <c r="I95" s="112"/>
      <c r="J95" s="65"/>
      <c r="K95" s="37"/>
      <c r="L95" s="37"/>
      <c r="M95" s="37"/>
      <c r="N95" s="37"/>
      <c r="O95" s="37"/>
      <c r="P95" s="37"/>
      <c r="Q95" s="37"/>
      <c r="R95" s="37"/>
      <c r="S95" s="37"/>
      <c r="T95" s="37"/>
      <c r="U95" s="3"/>
      <c r="W95" s="3"/>
      <c r="X95" s="3"/>
      <c r="Y95" s="3"/>
      <c r="Z95" s="3"/>
    </row>
    <row r="96" spans="1:26" ht="15.75" hidden="1" customHeight="1" outlineLevel="1" x14ac:dyDescent="0.3">
      <c r="A96" s="3"/>
      <c r="B96" s="10" t="s">
        <v>362</v>
      </c>
      <c r="C96" s="62"/>
      <c r="D96" s="62"/>
      <c r="E96" s="12">
        <v>0</v>
      </c>
      <c r="F96" s="12">
        <v>0</v>
      </c>
      <c r="G96" s="65"/>
      <c r="H96" s="65"/>
      <c r="I96" s="112"/>
      <c r="J96" s="65"/>
      <c r="K96" s="37"/>
      <c r="L96" s="37"/>
      <c r="M96" s="37"/>
      <c r="N96" s="37"/>
      <c r="O96" s="37"/>
      <c r="P96" s="37"/>
      <c r="Q96" s="37"/>
      <c r="R96" s="37"/>
      <c r="S96" s="37"/>
      <c r="T96" s="37"/>
      <c r="U96" s="3"/>
      <c r="W96" s="3"/>
      <c r="X96" s="3"/>
      <c r="Y96" s="3"/>
      <c r="Z96" s="3"/>
    </row>
    <row r="97" spans="1:26" ht="15.75" hidden="1" customHeight="1" outlineLevel="1" x14ac:dyDescent="0.3">
      <c r="A97" s="3"/>
      <c r="B97" s="10" t="s">
        <v>362</v>
      </c>
      <c r="C97" s="62"/>
      <c r="D97" s="62"/>
      <c r="E97" s="12">
        <v>0</v>
      </c>
      <c r="F97" s="12">
        <v>0</v>
      </c>
      <c r="G97" s="65"/>
      <c r="H97" s="65"/>
      <c r="I97" s="112"/>
      <c r="J97" s="65"/>
      <c r="K97" s="37"/>
      <c r="L97" s="37"/>
      <c r="M97" s="37"/>
      <c r="N97" s="37"/>
      <c r="O97" s="37"/>
      <c r="P97" s="37"/>
      <c r="Q97" s="37"/>
      <c r="R97" s="37"/>
      <c r="S97" s="37"/>
      <c r="T97" s="37"/>
      <c r="U97" s="3"/>
      <c r="W97" s="3"/>
      <c r="X97" s="3"/>
      <c r="Y97" s="3"/>
      <c r="Z97" s="3"/>
    </row>
    <row r="98" spans="1:26" ht="15.75" hidden="1" customHeight="1" outlineLevel="1" x14ac:dyDescent="0.3">
      <c r="A98" s="3"/>
      <c r="B98" s="10" t="s">
        <v>362</v>
      </c>
      <c r="C98" s="62"/>
      <c r="D98" s="62"/>
      <c r="E98" s="12">
        <v>0</v>
      </c>
      <c r="F98" s="12">
        <v>0</v>
      </c>
      <c r="G98" s="65"/>
      <c r="H98" s="65"/>
      <c r="I98" s="112"/>
      <c r="J98" s="65"/>
      <c r="K98" s="37"/>
      <c r="L98" s="37"/>
      <c r="M98" s="37"/>
      <c r="N98" s="37"/>
      <c r="O98" s="37"/>
      <c r="P98" s="37"/>
      <c r="Q98" s="37"/>
      <c r="R98" s="37"/>
      <c r="S98" s="37"/>
      <c r="T98" s="37"/>
      <c r="U98" s="3"/>
      <c r="W98" s="3"/>
      <c r="X98" s="3"/>
      <c r="Y98" s="3"/>
      <c r="Z98" s="3"/>
    </row>
    <row r="99" spans="1:26" ht="15.75" hidden="1" customHeight="1" outlineLevel="1" x14ac:dyDescent="0.3">
      <c r="A99" s="3"/>
      <c r="B99" s="10" t="s">
        <v>362</v>
      </c>
      <c r="C99" s="62"/>
      <c r="D99" s="62"/>
      <c r="E99" s="12">
        <v>0</v>
      </c>
      <c r="F99" s="12">
        <v>0</v>
      </c>
      <c r="G99" s="65"/>
      <c r="H99" s="65"/>
      <c r="I99" s="112"/>
      <c r="J99" s="65"/>
      <c r="K99" s="37"/>
      <c r="L99" s="37"/>
      <c r="M99" s="37"/>
      <c r="N99" s="37"/>
      <c r="O99" s="37"/>
      <c r="P99" s="37"/>
      <c r="Q99" s="37"/>
      <c r="R99" s="37"/>
      <c r="S99" s="37"/>
      <c r="T99" s="37"/>
      <c r="U99" s="3"/>
      <c r="W99" s="3"/>
      <c r="X99" s="3"/>
      <c r="Y99" s="3"/>
      <c r="Z99" s="3"/>
    </row>
    <row r="100" spans="1:26" ht="15.75" hidden="1" customHeight="1" outlineLevel="1" x14ac:dyDescent="0.3">
      <c r="A100" s="3"/>
      <c r="B100" s="10" t="s">
        <v>362</v>
      </c>
      <c r="C100" s="62"/>
      <c r="D100" s="62"/>
      <c r="E100" s="12">
        <v>0</v>
      </c>
      <c r="F100" s="12">
        <v>0</v>
      </c>
      <c r="G100" s="65"/>
      <c r="H100" s="65"/>
      <c r="I100" s="112"/>
      <c r="J100" s="65"/>
      <c r="K100" s="37"/>
      <c r="L100" s="37"/>
      <c r="M100" s="37"/>
      <c r="N100" s="37"/>
      <c r="O100" s="37"/>
      <c r="P100" s="37"/>
      <c r="Q100" s="37"/>
      <c r="R100" s="37"/>
      <c r="S100" s="37"/>
      <c r="T100" s="37"/>
      <c r="U100" s="3"/>
      <c r="W100" s="3"/>
      <c r="X100" s="3"/>
      <c r="Y100" s="3"/>
      <c r="Z100" s="3"/>
    </row>
    <row r="101" spans="1:26" ht="15.75" hidden="1" customHeight="1" outlineLevel="1" x14ac:dyDescent="0.3">
      <c r="A101" s="3"/>
      <c r="B101" s="10" t="s">
        <v>362</v>
      </c>
      <c r="C101" s="62"/>
      <c r="D101" s="62"/>
      <c r="E101" s="12">
        <v>0</v>
      </c>
      <c r="F101" s="12">
        <v>0</v>
      </c>
      <c r="G101" s="65"/>
      <c r="H101" s="65"/>
      <c r="I101" s="112"/>
      <c r="J101" s="65"/>
      <c r="K101" s="37"/>
      <c r="L101" s="37"/>
      <c r="M101" s="37"/>
      <c r="N101" s="37"/>
      <c r="O101" s="37"/>
      <c r="P101" s="37"/>
      <c r="Q101" s="37"/>
      <c r="R101" s="37"/>
      <c r="S101" s="37"/>
      <c r="T101" s="37"/>
      <c r="U101" s="3"/>
      <c r="W101" s="3"/>
      <c r="X101" s="3"/>
      <c r="Y101" s="3"/>
      <c r="Z101" s="3"/>
    </row>
    <row r="102" spans="1:26" ht="15.75" hidden="1" customHeight="1" outlineLevel="1" x14ac:dyDescent="0.3">
      <c r="A102" s="3"/>
      <c r="B102" s="10" t="s">
        <v>362</v>
      </c>
      <c r="C102" s="62"/>
      <c r="D102" s="62"/>
      <c r="E102" s="12">
        <v>0</v>
      </c>
      <c r="F102" s="12">
        <v>0</v>
      </c>
      <c r="G102" s="89"/>
      <c r="H102" s="65"/>
      <c r="I102" s="112"/>
      <c r="J102" s="65"/>
      <c r="K102" s="37"/>
      <c r="L102" s="37"/>
      <c r="M102" s="37"/>
      <c r="N102" s="37"/>
      <c r="O102" s="37"/>
      <c r="P102" s="37"/>
      <c r="Q102" s="37"/>
      <c r="R102" s="37"/>
      <c r="S102" s="37"/>
      <c r="T102" s="37"/>
      <c r="U102" s="3"/>
      <c r="W102" s="3"/>
      <c r="X102" s="3"/>
      <c r="Y102" s="3"/>
      <c r="Z102" s="3"/>
    </row>
    <row r="103" spans="1:26" ht="15.75" hidden="1" customHeight="1" outlineLevel="1" x14ac:dyDescent="0.3">
      <c r="A103" s="3"/>
      <c r="B103" s="10" t="s">
        <v>362</v>
      </c>
      <c r="C103" s="62"/>
      <c r="D103" s="62"/>
      <c r="E103" s="12">
        <v>0</v>
      </c>
      <c r="F103" s="12">
        <v>0</v>
      </c>
      <c r="G103" s="65"/>
      <c r="H103" s="65"/>
      <c r="I103" s="112"/>
      <c r="J103" s="65"/>
      <c r="K103" s="37"/>
      <c r="L103" s="37"/>
      <c r="M103" s="37"/>
      <c r="N103" s="37"/>
      <c r="O103" s="37"/>
      <c r="P103" s="37"/>
      <c r="Q103" s="37"/>
      <c r="R103" s="37"/>
      <c r="S103" s="37"/>
      <c r="T103" s="37"/>
      <c r="U103" s="3"/>
      <c r="W103" s="3"/>
      <c r="X103" s="3"/>
      <c r="Y103" s="3"/>
      <c r="Z103" s="3"/>
    </row>
    <row r="104" spans="1:26" ht="15.75" hidden="1" customHeight="1" outlineLevel="1" x14ac:dyDescent="0.3">
      <c r="A104" s="3"/>
      <c r="B104" s="10" t="s">
        <v>50</v>
      </c>
      <c r="C104" s="62"/>
      <c r="D104" s="62"/>
      <c r="E104" s="12">
        <v>0</v>
      </c>
      <c r="F104" s="12">
        <v>0</v>
      </c>
      <c r="G104" s="65"/>
      <c r="H104" s="65"/>
      <c r="I104" s="157"/>
      <c r="J104" s="65"/>
      <c r="K104" s="37"/>
      <c r="L104" s="37"/>
      <c r="M104" s="37"/>
      <c r="N104" s="37"/>
      <c r="O104" s="37"/>
      <c r="P104" s="37"/>
      <c r="Q104" s="37"/>
      <c r="R104" s="37"/>
      <c r="S104" s="37"/>
      <c r="T104" s="37"/>
      <c r="U104" s="3"/>
      <c r="W104" s="3"/>
      <c r="X104" s="3"/>
      <c r="Y104" s="3"/>
      <c r="Z104" s="3"/>
    </row>
    <row r="105" spans="1:26" ht="15.75" hidden="1" customHeight="1" outlineLevel="1" x14ac:dyDescent="0.3">
      <c r="A105" s="3"/>
      <c r="B105" s="10" t="s">
        <v>50</v>
      </c>
      <c r="C105" s="62"/>
      <c r="D105" s="62"/>
      <c r="E105" s="12">
        <v>0</v>
      </c>
      <c r="F105" s="12">
        <v>0</v>
      </c>
      <c r="G105" s="65"/>
      <c r="H105" s="65"/>
      <c r="I105" s="128"/>
      <c r="J105" s="65"/>
      <c r="K105" s="37"/>
      <c r="L105" s="37"/>
      <c r="M105" s="37"/>
      <c r="N105" s="37"/>
      <c r="O105" s="37"/>
      <c r="P105" s="37"/>
      <c r="Q105" s="37"/>
      <c r="R105" s="37"/>
      <c r="S105" s="37"/>
      <c r="T105" s="37"/>
      <c r="U105" s="3"/>
      <c r="W105" s="3"/>
      <c r="X105" s="3"/>
      <c r="Y105" s="3"/>
      <c r="Z105" s="3"/>
    </row>
    <row r="106" spans="1:26" ht="15.75" hidden="1" customHeight="1" outlineLevel="1" x14ac:dyDescent="0.3">
      <c r="A106" s="3"/>
      <c r="B106" s="10" t="s">
        <v>50</v>
      </c>
      <c r="C106" s="62"/>
      <c r="D106" s="62"/>
      <c r="E106" s="12">
        <v>0</v>
      </c>
      <c r="F106" s="12">
        <v>0</v>
      </c>
      <c r="G106" s="65"/>
      <c r="H106" s="65"/>
      <c r="I106" s="128"/>
      <c r="J106" s="65"/>
      <c r="K106" s="37"/>
      <c r="L106" s="37"/>
      <c r="M106" s="37"/>
      <c r="N106" s="37"/>
      <c r="O106" s="37"/>
      <c r="P106" s="37"/>
      <c r="Q106" s="37"/>
      <c r="R106" s="37"/>
      <c r="S106" s="37"/>
      <c r="T106" s="37"/>
      <c r="U106" s="3"/>
      <c r="W106" s="3"/>
      <c r="X106" s="3"/>
      <c r="Y106" s="3"/>
      <c r="Z106" s="3"/>
    </row>
    <row r="107" spans="1:26" ht="15.75" hidden="1" customHeight="1" outlineLevel="1" x14ac:dyDescent="0.3">
      <c r="A107" s="3"/>
      <c r="B107" s="91" t="s">
        <v>352</v>
      </c>
      <c r="C107" s="92"/>
      <c r="D107" s="92"/>
      <c r="E107" s="93">
        <f>SUM(E108:E111)</f>
        <v>0</v>
      </c>
      <c r="F107" s="93">
        <f>SUMIF(D108:D111,"OK",F108:F111)</f>
        <v>0</v>
      </c>
      <c r="G107" s="94"/>
      <c r="H107" s="94"/>
      <c r="I107" s="95"/>
      <c r="J107" s="94"/>
      <c r="K107" s="37"/>
      <c r="L107" s="37"/>
      <c r="M107" s="37"/>
      <c r="N107" s="37"/>
      <c r="O107" s="37"/>
      <c r="P107" s="37"/>
      <c r="Q107" s="37"/>
      <c r="R107" s="37"/>
      <c r="S107" s="37"/>
      <c r="T107" s="37"/>
      <c r="U107" s="3"/>
      <c r="W107" s="3"/>
      <c r="X107" s="3"/>
      <c r="Y107" s="3"/>
      <c r="Z107" s="3"/>
    </row>
    <row r="108" spans="1:26" ht="15.75" hidden="1" customHeight="1" outlineLevel="1" x14ac:dyDescent="0.3">
      <c r="A108" s="3"/>
      <c r="B108" s="10" t="s">
        <v>1597</v>
      </c>
      <c r="C108" s="62"/>
      <c r="D108" s="62"/>
      <c r="E108" s="12">
        <v>0</v>
      </c>
      <c r="F108" s="12">
        <v>0</v>
      </c>
      <c r="G108" s="65"/>
      <c r="H108" s="65"/>
      <c r="I108" s="112"/>
      <c r="J108" s="65"/>
      <c r="K108" s="37"/>
      <c r="L108" s="37"/>
      <c r="M108" s="37"/>
      <c r="N108" s="37"/>
      <c r="O108" s="37"/>
      <c r="P108" s="37"/>
      <c r="Q108" s="37"/>
      <c r="R108" s="37"/>
      <c r="S108" s="37"/>
      <c r="T108" s="37"/>
      <c r="U108" s="3"/>
      <c r="W108" s="3"/>
      <c r="X108" s="3"/>
      <c r="Y108" s="3"/>
      <c r="Z108" s="3"/>
    </row>
    <row r="109" spans="1:26" ht="15.75" hidden="1" customHeight="1" outlineLevel="1" x14ac:dyDescent="0.3">
      <c r="A109" s="3"/>
      <c r="B109" s="10" t="s">
        <v>50</v>
      </c>
      <c r="C109" s="62"/>
      <c r="D109" s="62"/>
      <c r="E109" s="12">
        <v>0</v>
      </c>
      <c r="F109" s="12">
        <v>0</v>
      </c>
      <c r="G109" s="65"/>
      <c r="H109" s="65"/>
      <c r="I109" s="157"/>
      <c r="J109" s="65"/>
      <c r="K109" s="37"/>
      <c r="L109" s="37"/>
      <c r="M109" s="37"/>
      <c r="N109" s="37"/>
      <c r="O109" s="37"/>
      <c r="P109" s="37"/>
      <c r="Q109" s="37"/>
      <c r="R109" s="37"/>
      <c r="S109" s="37"/>
      <c r="T109" s="37"/>
      <c r="U109" s="3"/>
      <c r="W109" s="3"/>
      <c r="X109" s="3"/>
      <c r="Y109" s="3"/>
      <c r="Z109" s="3"/>
    </row>
    <row r="110" spans="1:26" ht="15.75" hidden="1" customHeight="1" outlineLevel="1" x14ac:dyDescent="0.3">
      <c r="A110" s="3"/>
      <c r="B110" s="10" t="s">
        <v>50</v>
      </c>
      <c r="C110" s="62"/>
      <c r="D110" s="62"/>
      <c r="E110" s="12">
        <v>0</v>
      </c>
      <c r="F110" s="12">
        <v>0</v>
      </c>
      <c r="G110" s="65"/>
      <c r="H110" s="65"/>
      <c r="I110" s="157"/>
      <c r="J110" s="65"/>
      <c r="K110" s="37"/>
      <c r="L110" s="37"/>
      <c r="M110" s="37"/>
      <c r="N110" s="37"/>
      <c r="O110" s="37"/>
      <c r="P110" s="37"/>
      <c r="Q110" s="37"/>
      <c r="R110" s="37"/>
      <c r="S110" s="37"/>
      <c r="T110" s="37"/>
      <c r="U110" s="3"/>
      <c r="W110" s="3"/>
      <c r="X110" s="3"/>
      <c r="Y110" s="3"/>
      <c r="Z110" s="3"/>
    </row>
    <row r="111" spans="1:26" ht="15.75" hidden="1" customHeight="1" outlineLevel="1" x14ac:dyDescent="0.3">
      <c r="A111" s="3"/>
      <c r="B111" s="10" t="s">
        <v>50</v>
      </c>
      <c r="C111" s="62"/>
      <c r="D111" s="62"/>
      <c r="E111" s="12">
        <v>0</v>
      </c>
      <c r="F111" s="12">
        <v>0</v>
      </c>
      <c r="G111" s="89"/>
      <c r="H111" s="65"/>
      <c r="I111" s="157"/>
      <c r="J111" s="65"/>
      <c r="K111" s="37"/>
      <c r="L111" s="37"/>
      <c r="M111" s="37"/>
      <c r="N111" s="37"/>
      <c r="O111" s="37"/>
      <c r="P111" s="37"/>
      <c r="Q111" s="37"/>
      <c r="R111" s="37"/>
      <c r="S111" s="37"/>
      <c r="T111" s="37"/>
      <c r="U111" s="3"/>
      <c r="W111" s="3"/>
      <c r="X111" s="3"/>
      <c r="Y111" s="3"/>
      <c r="Z111" s="3"/>
    </row>
    <row r="112" spans="1:26" ht="15.75" hidden="1" customHeight="1" outlineLevel="1" x14ac:dyDescent="0.3">
      <c r="A112" s="3"/>
      <c r="B112" s="91" t="s">
        <v>356</v>
      </c>
      <c r="C112" s="92"/>
      <c r="D112" s="92"/>
      <c r="E112" s="93">
        <f>SUM(E113:E115)</f>
        <v>0</v>
      </c>
      <c r="F112" s="93">
        <f>SUMIF(D113:D115,"OK",F113:F115)</f>
        <v>0</v>
      </c>
      <c r="G112" s="94"/>
      <c r="H112" s="94"/>
      <c r="I112" s="95"/>
      <c r="J112" s="94"/>
      <c r="K112" s="37"/>
      <c r="L112" s="37"/>
      <c r="M112" s="37"/>
      <c r="N112" s="37"/>
      <c r="O112" s="37"/>
      <c r="P112" s="37"/>
      <c r="Q112" s="37"/>
      <c r="R112" s="37"/>
      <c r="S112" s="37"/>
      <c r="T112" s="37"/>
      <c r="U112" s="3"/>
      <c r="W112" s="3"/>
      <c r="X112" s="3"/>
      <c r="Y112" s="3"/>
      <c r="Z112" s="3"/>
    </row>
    <row r="113" spans="1:26" ht="15.75" hidden="1" customHeight="1" outlineLevel="1" x14ac:dyDescent="0.3">
      <c r="A113" s="3"/>
      <c r="B113" s="10" t="s">
        <v>50</v>
      </c>
      <c r="C113" s="62"/>
      <c r="D113" s="62"/>
      <c r="E113" s="12">
        <v>0</v>
      </c>
      <c r="F113" s="12">
        <v>0</v>
      </c>
      <c r="G113" s="65"/>
      <c r="H113" s="65"/>
      <c r="I113" s="157"/>
      <c r="J113" s="65"/>
      <c r="K113" s="37"/>
      <c r="L113" s="37"/>
      <c r="M113" s="37"/>
      <c r="N113" s="37"/>
      <c r="O113" s="37"/>
      <c r="P113" s="37"/>
      <c r="Q113" s="37"/>
      <c r="R113" s="37"/>
      <c r="S113" s="37"/>
      <c r="T113" s="37"/>
      <c r="U113" s="3"/>
      <c r="W113" s="3"/>
      <c r="X113" s="3"/>
      <c r="Y113" s="3"/>
      <c r="Z113" s="3"/>
    </row>
    <row r="114" spans="1:26" ht="15.75" hidden="1" customHeight="1" outlineLevel="1" x14ac:dyDescent="0.3">
      <c r="A114" s="3"/>
      <c r="B114" s="10" t="s">
        <v>50</v>
      </c>
      <c r="C114" s="62"/>
      <c r="D114" s="62"/>
      <c r="E114" s="12">
        <v>0</v>
      </c>
      <c r="F114" s="12">
        <v>0</v>
      </c>
      <c r="G114" s="65"/>
      <c r="H114" s="65"/>
      <c r="I114" s="157"/>
      <c r="J114" s="65"/>
      <c r="K114" s="37"/>
      <c r="L114" s="37"/>
      <c r="M114" s="37"/>
      <c r="N114" s="37"/>
      <c r="O114" s="37"/>
      <c r="P114" s="37"/>
      <c r="Q114" s="37"/>
      <c r="R114" s="37"/>
      <c r="S114" s="37"/>
      <c r="T114" s="37"/>
      <c r="U114" s="3"/>
      <c r="W114" s="3"/>
      <c r="X114" s="3"/>
      <c r="Y114" s="3"/>
      <c r="Z114" s="3"/>
    </row>
    <row r="115" spans="1:26" ht="15.75" hidden="1" customHeight="1" outlineLevel="1" x14ac:dyDescent="0.3">
      <c r="A115" s="3"/>
      <c r="B115" s="10" t="s">
        <v>50</v>
      </c>
      <c r="C115" s="62"/>
      <c r="D115" s="62"/>
      <c r="E115" s="12">
        <v>0</v>
      </c>
      <c r="F115" s="12">
        <v>0</v>
      </c>
      <c r="G115" s="65"/>
      <c r="H115" s="65"/>
      <c r="I115" s="128"/>
      <c r="J115" s="65"/>
      <c r="K115" s="37"/>
      <c r="L115" s="37"/>
      <c r="M115" s="37"/>
      <c r="N115" s="37"/>
      <c r="O115" s="37"/>
      <c r="P115" s="37"/>
      <c r="Q115" s="37"/>
      <c r="R115" s="37"/>
      <c r="S115" s="37"/>
      <c r="T115" s="37"/>
      <c r="U115" s="3"/>
      <c r="W115" s="3"/>
      <c r="X115" s="3"/>
      <c r="Y115" s="3"/>
      <c r="Z115" s="3"/>
    </row>
    <row r="116" spans="1:26" ht="15.75" customHeight="1" collapsed="1" x14ac:dyDescent="0.3">
      <c r="A116" s="3"/>
      <c r="B116" s="84" t="s">
        <v>357</v>
      </c>
      <c r="C116" s="85" t="s">
        <v>43</v>
      </c>
      <c r="D116" s="85" t="s">
        <v>43</v>
      </c>
      <c r="E116" s="86">
        <f t="shared" ref="E116:F116" si="1">SUM(E117,E125)</f>
        <v>0</v>
      </c>
      <c r="F116" s="86">
        <f t="shared" si="1"/>
        <v>0</v>
      </c>
      <c r="G116" s="87"/>
      <c r="H116" s="87"/>
      <c r="I116" s="88"/>
      <c r="J116" s="87"/>
      <c r="K116" s="37"/>
      <c r="L116" s="37"/>
      <c r="M116" s="37"/>
      <c r="N116" s="37"/>
      <c r="O116" s="37"/>
      <c r="P116" s="37"/>
      <c r="Q116" s="37"/>
      <c r="R116" s="37"/>
      <c r="S116" s="37"/>
      <c r="T116" s="37"/>
      <c r="U116" s="3"/>
      <c r="W116" s="3"/>
      <c r="X116" s="3"/>
      <c r="Y116" s="3"/>
      <c r="Z116" s="3"/>
    </row>
    <row r="117" spans="1:26" ht="15.75" hidden="1" customHeight="1" outlineLevel="1" x14ac:dyDescent="0.3">
      <c r="A117" s="3"/>
      <c r="B117" s="91" t="s">
        <v>1598</v>
      </c>
      <c r="C117" s="92"/>
      <c r="D117" s="92"/>
      <c r="E117" s="93">
        <f>SUM(E118:E124)</f>
        <v>0</v>
      </c>
      <c r="F117" s="93">
        <f>SUMIF(D118:D124,"OK",F118:F124)</f>
        <v>0</v>
      </c>
      <c r="G117" s="94"/>
      <c r="H117" s="94"/>
      <c r="I117" s="95"/>
      <c r="J117" s="94"/>
      <c r="K117" s="37"/>
      <c r="L117" s="37"/>
      <c r="M117" s="37"/>
      <c r="N117" s="37"/>
      <c r="O117" s="37"/>
      <c r="P117" s="37"/>
      <c r="Q117" s="37"/>
      <c r="R117" s="37"/>
      <c r="S117" s="37"/>
      <c r="T117" s="37"/>
      <c r="U117" s="3"/>
      <c r="W117" s="3"/>
      <c r="X117" s="3"/>
      <c r="Y117" s="3"/>
      <c r="Z117" s="3"/>
    </row>
    <row r="118" spans="1:26" ht="15.75" hidden="1" customHeight="1" outlineLevel="1" x14ac:dyDescent="0.3">
      <c r="A118" s="3"/>
      <c r="B118" s="10" t="s">
        <v>1584</v>
      </c>
      <c r="C118" s="62"/>
      <c r="D118" s="62"/>
      <c r="E118" s="12">
        <v>0</v>
      </c>
      <c r="F118" s="12">
        <v>0</v>
      </c>
      <c r="G118" s="65"/>
      <c r="H118" s="65"/>
      <c r="I118" s="112"/>
      <c r="J118" s="65"/>
      <c r="K118" s="37"/>
      <c r="L118" s="37"/>
      <c r="M118" s="37"/>
      <c r="N118" s="37"/>
      <c r="O118" s="37"/>
      <c r="P118" s="37"/>
      <c r="Q118" s="37"/>
      <c r="R118" s="37"/>
      <c r="S118" s="37"/>
      <c r="T118" s="37"/>
      <c r="U118" s="3"/>
      <c r="W118" s="3"/>
      <c r="X118" s="3"/>
      <c r="Y118" s="3"/>
      <c r="Z118" s="3"/>
    </row>
    <row r="119" spans="1:26" ht="15.75" hidden="1" customHeight="1" outlineLevel="1" x14ac:dyDescent="0.3">
      <c r="A119" s="3"/>
      <c r="B119" s="10" t="s">
        <v>1584</v>
      </c>
      <c r="C119" s="62"/>
      <c r="D119" s="62"/>
      <c r="E119" s="12">
        <v>0</v>
      </c>
      <c r="F119" s="12">
        <v>0</v>
      </c>
      <c r="G119" s="89"/>
      <c r="H119" s="65"/>
      <c r="I119" s="112"/>
      <c r="J119" s="65"/>
      <c r="K119" s="37"/>
      <c r="L119" s="37"/>
      <c r="M119" s="37"/>
      <c r="N119" s="37"/>
      <c r="O119" s="37"/>
      <c r="P119" s="37"/>
      <c r="Q119" s="37"/>
      <c r="R119" s="37"/>
      <c r="S119" s="37"/>
      <c r="T119" s="37"/>
      <c r="U119" s="3"/>
      <c r="W119" s="3"/>
      <c r="X119" s="3"/>
      <c r="Y119" s="3"/>
      <c r="Z119" s="3"/>
    </row>
    <row r="120" spans="1:26" ht="15.75" hidden="1" customHeight="1" outlineLevel="1" x14ac:dyDescent="0.3">
      <c r="A120" s="3"/>
      <c r="B120" s="10" t="s">
        <v>1584</v>
      </c>
      <c r="C120" s="62"/>
      <c r="D120" s="62"/>
      <c r="E120" s="12">
        <v>0</v>
      </c>
      <c r="F120" s="12">
        <v>0</v>
      </c>
      <c r="G120" s="89"/>
      <c r="H120" s="65"/>
      <c r="I120" s="112"/>
      <c r="J120" s="65"/>
      <c r="K120" s="37"/>
      <c r="L120" s="37"/>
      <c r="M120" s="37"/>
      <c r="N120" s="37"/>
      <c r="O120" s="37"/>
      <c r="P120" s="37"/>
      <c r="Q120" s="37"/>
      <c r="R120" s="37"/>
      <c r="S120" s="37"/>
      <c r="T120" s="37"/>
      <c r="U120" s="3"/>
      <c r="W120" s="3"/>
      <c r="X120" s="3"/>
      <c r="Y120" s="3"/>
      <c r="Z120" s="3"/>
    </row>
    <row r="121" spans="1:26" ht="15.75" hidden="1" customHeight="1" outlineLevel="1" x14ac:dyDescent="0.3">
      <c r="A121" s="3"/>
      <c r="B121" s="10" t="s">
        <v>1584</v>
      </c>
      <c r="C121" s="62"/>
      <c r="D121" s="62"/>
      <c r="E121" s="12">
        <v>0</v>
      </c>
      <c r="F121" s="12">
        <v>0</v>
      </c>
      <c r="G121" s="89"/>
      <c r="H121" s="65"/>
      <c r="I121" s="112"/>
      <c r="J121" s="65"/>
      <c r="K121" s="37"/>
      <c r="L121" s="37"/>
      <c r="M121" s="37"/>
      <c r="N121" s="37"/>
      <c r="O121" s="37"/>
      <c r="P121" s="37"/>
      <c r="Q121" s="37"/>
      <c r="R121" s="37"/>
      <c r="S121" s="37"/>
      <c r="T121" s="37"/>
      <c r="U121" s="3"/>
      <c r="W121" s="3"/>
      <c r="X121" s="3"/>
      <c r="Y121" s="3"/>
      <c r="Z121" s="3"/>
    </row>
    <row r="122" spans="1:26" ht="15.75" hidden="1" customHeight="1" outlineLevel="1" x14ac:dyDescent="0.3">
      <c r="A122" s="3"/>
      <c r="B122" s="10" t="s">
        <v>1584</v>
      </c>
      <c r="C122" s="62"/>
      <c r="D122" s="62"/>
      <c r="E122" s="12">
        <v>0</v>
      </c>
      <c r="F122" s="12">
        <v>0</v>
      </c>
      <c r="G122" s="89"/>
      <c r="H122" s="65"/>
      <c r="I122" s="112"/>
      <c r="J122" s="65"/>
      <c r="K122" s="37"/>
      <c r="L122" s="37"/>
      <c r="M122" s="37"/>
      <c r="N122" s="37"/>
      <c r="O122" s="37"/>
      <c r="P122" s="37"/>
      <c r="Q122" s="37"/>
      <c r="R122" s="37"/>
      <c r="S122" s="37"/>
      <c r="T122" s="37"/>
      <c r="U122" s="3"/>
      <c r="W122" s="3"/>
      <c r="X122" s="3"/>
      <c r="Y122" s="3"/>
      <c r="Z122" s="3"/>
    </row>
    <row r="123" spans="1:26" ht="15.75" hidden="1" customHeight="1" outlineLevel="1" x14ac:dyDescent="0.3">
      <c r="A123" s="3"/>
      <c r="B123" s="10" t="s">
        <v>1584</v>
      </c>
      <c r="C123" s="62"/>
      <c r="D123" s="62"/>
      <c r="E123" s="12">
        <v>0</v>
      </c>
      <c r="F123" s="12">
        <v>0</v>
      </c>
      <c r="G123" s="89"/>
      <c r="H123" s="65"/>
      <c r="I123" s="112"/>
      <c r="J123" s="65"/>
      <c r="K123" s="37"/>
      <c r="L123" s="37"/>
      <c r="M123" s="37"/>
      <c r="N123" s="37"/>
      <c r="O123" s="37"/>
      <c r="P123" s="37"/>
      <c r="Q123" s="37"/>
      <c r="R123" s="37"/>
      <c r="S123" s="37"/>
      <c r="T123" s="37"/>
      <c r="U123" s="3"/>
      <c r="W123" s="3"/>
      <c r="X123" s="3"/>
      <c r="Y123" s="3"/>
      <c r="Z123" s="3"/>
    </row>
    <row r="124" spans="1:26" ht="15.75" hidden="1" customHeight="1" outlineLevel="1" x14ac:dyDescent="0.3">
      <c r="A124" s="3"/>
      <c r="B124" s="10" t="s">
        <v>1584</v>
      </c>
      <c r="C124" s="62"/>
      <c r="D124" s="62"/>
      <c r="E124" s="12">
        <v>0</v>
      </c>
      <c r="F124" s="12">
        <v>0</v>
      </c>
      <c r="G124" s="89"/>
      <c r="H124" s="65"/>
      <c r="I124" s="112"/>
      <c r="J124" s="65"/>
      <c r="K124" s="37"/>
      <c r="L124" s="37"/>
      <c r="M124" s="37"/>
      <c r="N124" s="37"/>
      <c r="O124" s="37"/>
      <c r="P124" s="37"/>
      <c r="Q124" s="37"/>
      <c r="R124" s="37"/>
      <c r="S124" s="37"/>
      <c r="T124" s="37"/>
      <c r="U124" s="3"/>
      <c r="W124" s="3"/>
      <c r="X124" s="3"/>
      <c r="Y124" s="3"/>
      <c r="Z124" s="3"/>
    </row>
    <row r="125" spans="1:26" ht="15.75" hidden="1" customHeight="1" outlineLevel="1" x14ac:dyDescent="0.3">
      <c r="A125" s="3"/>
      <c r="B125" s="91" t="s">
        <v>632</v>
      </c>
      <c r="C125" s="92"/>
      <c r="D125" s="92"/>
      <c r="E125" s="93">
        <f>SUM(E126:E143)</f>
        <v>0</v>
      </c>
      <c r="F125" s="93">
        <f>SUMIF(D126:D143,"OK",F126:F143)</f>
        <v>0</v>
      </c>
      <c r="G125" s="94"/>
      <c r="H125" s="94"/>
      <c r="I125" s="95"/>
      <c r="J125" s="94"/>
      <c r="K125" s="37"/>
      <c r="L125" s="37"/>
      <c r="M125" s="37"/>
      <c r="N125" s="37"/>
      <c r="O125" s="37"/>
      <c r="P125" s="37"/>
      <c r="Q125" s="37"/>
      <c r="R125" s="37"/>
      <c r="S125" s="37"/>
      <c r="T125" s="37"/>
      <c r="U125" s="3"/>
      <c r="W125" s="3"/>
      <c r="X125" s="3"/>
      <c r="Y125" s="3"/>
      <c r="Z125" s="3"/>
    </row>
    <row r="126" spans="1:26" ht="15.75" hidden="1" customHeight="1" outlineLevel="1" x14ac:dyDescent="0.3">
      <c r="A126" s="3"/>
      <c r="B126" s="10" t="s">
        <v>1599</v>
      </c>
      <c r="C126" s="62"/>
      <c r="D126" s="62"/>
      <c r="E126" s="12">
        <v>0</v>
      </c>
      <c r="F126" s="12">
        <v>0</v>
      </c>
      <c r="G126" s="65"/>
      <c r="H126" s="65"/>
      <c r="I126" s="112"/>
      <c r="J126" s="65"/>
      <c r="K126" s="37"/>
      <c r="L126" s="37"/>
      <c r="M126" s="37"/>
      <c r="N126" s="37"/>
      <c r="O126" s="37"/>
      <c r="P126" s="37"/>
      <c r="Q126" s="37"/>
      <c r="R126" s="37"/>
      <c r="S126" s="37"/>
      <c r="T126" s="37"/>
      <c r="U126" s="3"/>
      <c r="W126" s="3"/>
      <c r="X126" s="3"/>
      <c r="Y126" s="3"/>
      <c r="Z126" s="3"/>
    </row>
    <row r="127" spans="1:26" ht="15.75" hidden="1" customHeight="1" outlineLevel="1" x14ac:dyDescent="0.3">
      <c r="A127" s="3"/>
      <c r="B127" s="10" t="s">
        <v>1600</v>
      </c>
      <c r="C127" s="62"/>
      <c r="D127" s="62"/>
      <c r="E127" s="12">
        <v>0</v>
      </c>
      <c r="F127" s="12">
        <v>0</v>
      </c>
      <c r="G127" s="89"/>
      <c r="H127" s="65"/>
      <c r="I127" s="112"/>
      <c r="J127" s="65"/>
      <c r="K127" s="37"/>
      <c r="L127" s="37"/>
      <c r="M127" s="37"/>
      <c r="N127" s="37"/>
      <c r="O127" s="37"/>
      <c r="P127" s="37"/>
      <c r="Q127" s="37"/>
      <c r="R127" s="37"/>
      <c r="S127" s="37"/>
      <c r="T127" s="37"/>
      <c r="U127" s="3"/>
      <c r="W127" s="3"/>
      <c r="X127" s="3"/>
      <c r="Y127" s="3"/>
      <c r="Z127" s="3"/>
    </row>
    <row r="128" spans="1:26" ht="15.75" hidden="1" customHeight="1" outlineLevel="1" x14ac:dyDescent="0.3">
      <c r="A128" s="3"/>
      <c r="B128" s="10" t="s">
        <v>1601</v>
      </c>
      <c r="C128" s="62"/>
      <c r="D128" s="62"/>
      <c r="E128" s="12">
        <v>0</v>
      </c>
      <c r="F128" s="12">
        <v>0</v>
      </c>
      <c r="G128" s="89"/>
      <c r="H128" s="65"/>
      <c r="I128" s="112"/>
      <c r="J128" s="65"/>
      <c r="K128" s="37"/>
      <c r="L128" s="37"/>
      <c r="M128" s="37"/>
      <c r="N128" s="37"/>
      <c r="O128" s="37"/>
      <c r="P128" s="37"/>
      <c r="Q128" s="37"/>
      <c r="R128" s="37"/>
      <c r="S128" s="37"/>
      <c r="T128" s="37"/>
      <c r="U128" s="3"/>
      <c r="W128" s="3"/>
      <c r="X128" s="3"/>
      <c r="Y128" s="3"/>
      <c r="Z128" s="3"/>
    </row>
    <row r="129" spans="1:26" ht="15.75" hidden="1" customHeight="1" outlineLevel="1" x14ac:dyDescent="0.3">
      <c r="A129" s="3"/>
      <c r="B129" s="10" t="s">
        <v>1601</v>
      </c>
      <c r="C129" s="62"/>
      <c r="D129" s="62"/>
      <c r="E129" s="12">
        <v>0</v>
      </c>
      <c r="F129" s="12">
        <v>0</v>
      </c>
      <c r="G129" s="65"/>
      <c r="H129" s="65"/>
      <c r="I129" s="112"/>
      <c r="J129" s="65"/>
      <c r="K129" s="37"/>
      <c r="L129" s="37"/>
      <c r="M129" s="37"/>
      <c r="N129" s="37"/>
      <c r="O129" s="37"/>
      <c r="P129" s="37"/>
      <c r="Q129" s="37"/>
      <c r="R129" s="37"/>
      <c r="S129" s="37"/>
      <c r="T129" s="37"/>
      <c r="U129" s="3"/>
      <c r="W129" s="3"/>
      <c r="X129" s="3"/>
      <c r="Y129" s="3"/>
      <c r="Z129" s="3"/>
    </row>
    <row r="130" spans="1:26" ht="15.75" hidden="1" customHeight="1" outlineLevel="1" x14ac:dyDescent="0.3">
      <c r="A130" s="3"/>
      <c r="B130" s="10" t="s">
        <v>1602</v>
      </c>
      <c r="C130" s="62"/>
      <c r="D130" s="62"/>
      <c r="E130" s="12">
        <v>0</v>
      </c>
      <c r="F130" s="12">
        <v>0</v>
      </c>
      <c r="G130" s="65"/>
      <c r="H130" s="65"/>
      <c r="I130" s="112"/>
      <c r="J130" s="65"/>
      <c r="K130" s="37"/>
      <c r="L130" s="37"/>
      <c r="M130" s="37"/>
      <c r="N130" s="37"/>
      <c r="O130" s="37"/>
      <c r="P130" s="37"/>
      <c r="Q130" s="37"/>
      <c r="R130" s="37"/>
      <c r="S130" s="37"/>
      <c r="T130" s="37"/>
      <c r="U130" s="3"/>
      <c r="W130" s="3"/>
      <c r="X130" s="3"/>
      <c r="Y130" s="3"/>
      <c r="Z130" s="3"/>
    </row>
    <row r="131" spans="1:26" ht="15.75" hidden="1" customHeight="1" outlineLevel="1" x14ac:dyDescent="0.3">
      <c r="A131" s="3"/>
      <c r="B131" s="10" t="s">
        <v>50</v>
      </c>
      <c r="C131" s="62"/>
      <c r="D131" s="62"/>
      <c r="E131" s="12">
        <v>0</v>
      </c>
      <c r="F131" s="12">
        <v>0</v>
      </c>
      <c r="G131" s="65"/>
      <c r="H131" s="65"/>
      <c r="I131" s="156"/>
      <c r="J131" s="65"/>
      <c r="K131" s="37"/>
      <c r="L131" s="37"/>
      <c r="M131" s="37"/>
      <c r="N131" s="37"/>
      <c r="O131" s="37"/>
      <c r="P131" s="37"/>
      <c r="Q131" s="37"/>
      <c r="R131" s="37"/>
      <c r="S131" s="37"/>
      <c r="T131" s="37"/>
      <c r="U131" s="3"/>
      <c r="W131" s="3"/>
      <c r="X131" s="3"/>
      <c r="Y131" s="3"/>
      <c r="Z131" s="3"/>
    </row>
    <row r="132" spans="1:26" ht="15.75" hidden="1" customHeight="1" outlineLevel="1" x14ac:dyDescent="0.3">
      <c r="A132" s="3"/>
      <c r="B132" s="10" t="s">
        <v>50</v>
      </c>
      <c r="C132" s="62"/>
      <c r="D132" s="62"/>
      <c r="E132" s="12">
        <v>0</v>
      </c>
      <c r="F132" s="12">
        <v>0</v>
      </c>
      <c r="G132" s="65"/>
      <c r="H132" s="65"/>
      <c r="I132" s="156"/>
      <c r="J132" s="65"/>
      <c r="K132" s="37"/>
      <c r="L132" s="37"/>
      <c r="M132" s="37"/>
      <c r="N132" s="37"/>
      <c r="O132" s="37"/>
      <c r="P132" s="37"/>
      <c r="Q132" s="37"/>
      <c r="R132" s="37"/>
      <c r="S132" s="37"/>
      <c r="T132" s="37"/>
      <c r="U132" s="3"/>
      <c r="W132" s="3"/>
      <c r="X132" s="3"/>
      <c r="Y132" s="3"/>
      <c r="Z132" s="3"/>
    </row>
    <row r="133" spans="1:26" ht="15.75" hidden="1" customHeight="1" outlineLevel="1" x14ac:dyDescent="0.3">
      <c r="A133" s="3"/>
      <c r="B133" s="10" t="s">
        <v>50</v>
      </c>
      <c r="C133" s="62"/>
      <c r="D133" s="62"/>
      <c r="E133" s="12">
        <v>0</v>
      </c>
      <c r="F133" s="12">
        <v>0</v>
      </c>
      <c r="G133" s="65"/>
      <c r="H133" s="65"/>
      <c r="I133" s="157"/>
      <c r="J133" s="65"/>
      <c r="K133" s="37"/>
      <c r="L133" s="37"/>
      <c r="M133" s="37"/>
      <c r="N133" s="37"/>
      <c r="O133" s="37"/>
      <c r="P133" s="37"/>
      <c r="Q133" s="37"/>
      <c r="R133" s="37"/>
      <c r="S133" s="37"/>
      <c r="T133" s="37"/>
      <c r="U133" s="3"/>
      <c r="W133" s="3"/>
      <c r="X133" s="3"/>
      <c r="Y133" s="3"/>
      <c r="Z133" s="3"/>
    </row>
    <row r="134" spans="1:26" ht="15.75" hidden="1" customHeight="1" outlineLevel="1" x14ac:dyDescent="0.3">
      <c r="A134" s="3"/>
      <c r="B134" s="10" t="s">
        <v>50</v>
      </c>
      <c r="C134" s="62"/>
      <c r="D134" s="62"/>
      <c r="E134" s="12">
        <v>0</v>
      </c>
      <c r="F134" s="12">
        <v>0</v>
      </c>
      <c r="G134" s="65"/>
      <c r="H134" s="65"/>
      <c r="I134" s="157"/>
      <c r="J134" s="65"/>
      <c r="K134" s="37"/>
      <c r="L134" s="37"/>
      <c r="M134" s="37"/>
      <c r="N134" s="37"/>
      <c r="O134" s="37"/>
      <c r="P134" s="37"/>
      <c r="Q134" s="37"/>
      <c r="R134" s="37"/>
      <c r="S134" s="37"/>
      <c r="T134" s="37"/>
      <c r="U134" s="3"/>
      <c r="W134" s="3"/>
      <c r="X134" s="3"/>
      <c r="Y134" s="3"/>
      <c r="Z134" s="3"/>
    </row>
    <row r="135" spans="1:26" ht="15.75" hidden="1" customHeight="1" outlineLevel="1" x14ac:dyDescent="0.3">
      <c r="A135" s="3"/>
      <c r="B135" s="10" t="s">
        <v>50</v>
      </c>
      <c r="C135" s="62"/>
      <c r="D135" s="62"/>
      <c r="E135" s="12">
        <v>0</v>
      </c>
      <c r="F135" s="12">
        <v>0</v>
      </c>
      <c r="G135" s="65"/>
      <c r="H135" s="65"/>
      <c r="I135" s="157"/>
      <c r="J135" s="65"/>
      <c r="K135" s="37"/>
      <c r="L135" s="37"/>
      <c r="M135" s="37"/>
      <c r="N135" s="37"/>
      <c r="O135" s="37"/>
      <c r="P135" s="37"/>
      <c r="Q135" s="37"/>
      <c r="R135" s="37"/>
      <c r="S135" s="37"/>
      <c r="T135" s="37"/>
      <c r="U135" s="3"/>
      <c r="W135" s="3"/>
      <c r="X135" s="3"/>
      <c r="Y135" s="3"/>
      <c r="Z135" s="3"/>
    </row>
    <row r="136" spans="1:26" ht="15.75" hidden="1" customHeight="1" outlineLevel="1" x14ac:dyDescent="0.3">
      <c r="A136" s="3"/>
      <c r="B136" s="10" t="s">
        <v>50</v>
      </c>
      <c r="C136" s="62"/>
      <c r="D136" s="62"/>
      <c r="E136" s="12">
        <v>0</v>
      </c>
      <c r="F136" s="12">
        <v>0</v>
      </c>
      <c r="G136" s="65"/>
      <c r="H136" s="65"/>
      <c r="I136" s="158"/>
      <c r="J136" s="65"/>
      <c r="K136" s="37"/>
      <c r="L136" s="37"/>
      <c r="M136" s="37"/>
      <c r="N136" s="37"/>
      <c r="O136" s="37"/>
      <c r="P136" s="37"/>
      <c r="Q136" s="37"/>
      <c r="R136" s="37"/>
      <c r="S136" s="37"/>
      <c r="T136" s="37"/>
      <c r="U136" s="3"/>
      <c r="W136" s="3"/>
      <c r="X136" s="3"/>
      <c r="Y136" s="3"/>
      <c r="Z136" s="3"/>
    </row>
    <row r="137" spans="1:26" ht="15.75" hidden="1" customHeight="1" outlineLevel="1" x14ac:dyDescent="0.3">
      <c r="A137" s="3"/>
      <c r="B137" s="10" t="s">
        <v>50</v>
      </c>
      <c r="C137" s="62"/>
      <c r="D137" s="62"/>
      <c r="E137" s="12">
        <v>0</v>
      </c>
      <c r="F137" s="12">
        <v>0</v>
      </c>
      <c r="G137" s="65"/>
      <c r="H137" s="65"/>
      <c r="I137" s="157"/>
      <c r="J137" s="65"/>
      <c r="K137" s="37"/>
      <c r="L137" s="37"/>
      <c r="M137" s="37"/>
      <c r="N137" s="37"/>
      <c r="O137" s="37"/>
      <c r="P137" s="37"/>
      <c r="Q137" s="37"/>
      <c r="R137" s="37"/>
      <c r="S137" s="37"/>
      <c r="T137" s="37"/>
      <c r="U137" s="3"/>
      <c r="W137" s="3"/>
      <c r="X137" s="3"/>
      <c r="Y137" s="3"/>
      <c r="Z137" s="3"/>
    </row>
    <row r="138" spans="1:26" ht="15.75" hidden="1" customHeight="1" outlineLevel="1" x14ac:dyDescent="0.3">
      <c r="A138" s="3"/>
      <c r="B138" s="10" t="s">
        <v>50</v>
      </c>
      <c r="C138" s="62"/>
      <c r="D138" s="62"/>
      <c r="E138" s="12">
        <v>0</v>
      </c>
      <c r="F138" s="12">
        <v>0</v>
      </c>
      <c r="G138" s="65"/>
      <c r="H138" s="65"/>
      <c r="I138" s="157"/>
      <c r="J138" s="65"/>
      <c r="K138" s="37"/>
      <c r="L138" s="37"/>
      <c r="M138" s="37"/>
      <c r="N138" s="37"/>
      <c r="O138" s="37"/>
      <c r="P138" s="37"/>
      <c r="Q138" s="37"/>
      <c r="R138" s="37"/>
      <c r="S138" s="37"/>
      <c r="T138" s="37"/>
      <c r="U138" s="3"/>
      <c r="W138" s="3"/>
      <c r="X138" s="3"/>
      <c r="Y138" s="3"/>
      <c r="Z138" s="3"/>
    </row>
    <row r="139" spans="1:26" ht="15.75" hidden="1" customHeight="1" outlineLevel="1" x14ac:dyDescent="0.3">
      <c r="A139" s="3"/>
      <c r="B139" s="10" t="s">
        <v>50</v>
      </c>
      <c r="C139" s="62"/>
      <c r="D139" s="62"/>
      <c r="E139" s="12">
        <v>0</v>
      </c>
      <c r="F139" s="12">
        <v>0</v>
      </c>
      <c r="G139" s="65"/>
      <c r="H139" s="65"/>
      <c r="I139" s="157"/>
      <c r="J139" s="65"/>
      <c r="K139" s="37"/>
      <c r="L139" s="37"/>
      <c r="M139" s="37"/>
      <c r="N139" s="37"/>
      <c r="O139" s="37"/>
      <c r="P139" s="37"/>
      <c r="Q139" s="37"/>
      <c r="R139" s="37"/>
      <c r="S139" s="37"/>
      <c r="T139" s="37"/>
      <c r="U139" s="3"/>
      <c r="W139" s="3"/>
      <c r="X139" s="3"/>
      <c r="Y139" s="3"/>
      <c r="Z139" s="3"/>
    </row>
    <row r="140" spans="1:26" ht="15.75" hidden="1" customHeight="1" outlineLevel="1" x14ac:dyDescent="0.3">
      <c r="A140" s="3"/>
      <c r="B140" s="10" t="s">
        <v>50</v>
      </c>
      <c r="C140" s="62"/>
      <c r="D140" s="62"/>
      <c r="E140" s="12">
        <v>0</v>
      </c>
      <c r="F140" s="12">
        <v>0</v>
      </c>
      <c r="G140" s="65"/>
      <c r="H140" s="65"/>
      <c r="I140" s="157"/>
      <c r="J140" s="65"/>
      <c r="K140" s="37"/>
      <c r="L140" s="37"/>
      <c r="M140" s="37"/>
      <c r="N140" s="37"/>
      <c r="O140" s="37"/>
      <c r="P140" s="37"/>
      <c r="Q140" s="37"/>
      <c r="R140" s="37"/>
      <c r="S140" s="37"/>
      <c r="T140" s="37"/>
      <c r="U140" s="3"/>
      <c r="W140" s="3"/>
      <c r="X140" s="3"/>
      <c r="Y140" s="3"/>
      <c r="Z140" s="3"/>
    </row>
    <row r="141" spans="1:26" ht="15.75" hidden="1" customHeight="1" outlineLevel="1" x14ac:dyDescent="0.3">
      <c r="A141" s="3"/>
      <c r="B141" s="10" t="s">
        <v>50</v>
      </c>
      <c r="C141" s="62"/>
      <c r="D141" s="62"/>
      <c r="E141" s="12">
        <v>0</v>
      </c>
      <c r="F141" s="12">
        <v>0</v>
      </c>
      <c r="G141" s="65"/>
      <c r="H141" s="65"/>
      <c r="I141" s="157"/>
      <c r="J141" s="65"/>
      <c r="K141" s="37"/>
      <c r="L141" s="37"/>
      <c r="M141" s="37"/>
      <c r="N141" s="37"/>
      <c r="O141" s="37"/>
      <c r="P141" s="37"/>
      <c r="Q141" s="37"/>
      <c r="R141" s="37"/>
      <c r="S141" s="37"/>
      <c r="T141" s="37"/>
      <c r="U141" s="3"/>
      <c r="W141" s="3"/>
      <c r="X141" s="3"/>
      <c r="Y141" s="3"/>
      <c r="Z141" s="3"/>
    </row>
    <row r="142" spans="1:26" ht="15.75" hidden="1" customHeight="1" outlineLevel="1" x14ac:dyDescent="0.3">
      <c r="A142" s="3"/>
      <c r="B142" s="10" t="s">
        <v>50</v>
      </c>
      <c r="C142" s="62"/>
      <c r="D142" s="62"/>
      <c r="E142" s="12">
        <v>0</v>
      </c>
      <c r="F142" s="12">
        <v>0</v>
      </c>
      <c r="G142" s="65"/>
      <c r="H142" s="65"/>
      <c r="I142" s="157"/>
      <c r="J142" s="65"/>
      <c r="K142" s="37"/>
      <c r="L142" s="37"/>
      <c r="M142" s="37"/>
      <c r="N142" s="37"/>
      <c r="O142" s="37"/>
      <c r="P142" s="37"/>
      <c r="Q142" s="37"/>
      <c r="R142" s="37"/>
      <c r="S142" s="37"/>
      <c r="T142" s="37"/>
      <c r="U142" s="3"/>
      <c r="W142" s="3"/>
      <c r="X142" s="3"/>
      <c r="Y142" s="3"/>
      <c r="Z142" s="3"/>
    </row>
    <row r="143" spans="1:26" ht="15.75" hidden="1" customHeight="1" outlineLevel="1" x14ac:dyDescent="0.3">
      <c r="A143" s="3"/>
      <c r="B143" s="10" t="s">
        <v>50</v>
      </c>
      <c r="C143" s="62"/>
      <c r="D143" s="62"/>
      <c r="E143" s="12">
        <v>0</v>
      </c>
      <c r="F143" s="12">
        <v>0</v>
      </c>
      <c r="G143" s="65"/>
      <c r="H143" s="65"/>
      <c r="I143" s="157"/>
      <c r="J143" s="65"/>
      <c r="K143" s="37"/>
      <c r="L143" s="37"/>
      <c r="M143" s="37"/>
      <c r="N143" s="37"/>
      <c r="O143" s="37"/>
      <c r="P143" s="37"/>
      <c r="Q143" s="37"/>
      <c r="R143" s="37"/>
      <c r="S143" s="37"/>
      <c r="T143" s="37"/>
      <c r="U143" s="3"/>
      <c r="W143" s="3"/>
      <c r="X143" s="3"/>
      <c r="Y143" s="3"/>
      <c r="Z143" s="3"/>
    </row>
    <row r="144" spans="1:26" ht="15.75" customHeight="1" collapsed="1" x14ac:dyDescent="0.3">
      <c r="A144" s="3"/>
      <c r="B144" s="84" t="s">
        <v>87</v>
      </c>
      <c r="C144" s="85" t="s">
        <v>43</v>
      </c>
      <c r="D144" s="85" t="s">
        <v>43</v>
      </c>
      <c r="E144" s="86">
        <f>SUM(E145:E153)</f>
        <v>0</v>
      </c>
      <c r="F144" s="86">
        <f>SUMIF(D145:D153,"OK",F145:F153)</f>
        <v>0</v>
      </c>
      <c r="G144" s="87"/>
      <c r="H144" s="87"/>
      <c r="I144" s="88"/>
      <c r="J144" s="87"/>
      <c r="K144" s="37"/>
      <c r="L144" s="37"/>
      <c r="M144" s="37"/>
      <c r="N144" s="37"/>
      <c r="O144" s="37"/>
      <c r="P144" s="37"/>
      <c r="Q144" s="37"/>
      <c r="R144" s="37"/>
      <c r="S144" s="37"/>
      <c r="T144" s="37"/>
      <c r="U144" s="3"/>
      <c r="W144" s="3"/>
      <c r="X144" s="3"/>
      <c r="Y144" s="3"/>
      <c r="Z144" s="3"/>
    </row>
    <row r="145" spans="1:26" ht="15.75" hidden="1" customHeight="1" outlineLevel="1" x14ac:dyDescent="0.3">
      <c r="A145" s="3"/>
      <c r="B145" s="10" t="s">
        <v>353</v>
      </c>
      <c r="C145" s="80"/>
      <c r="D145" s="62"/>
      <c r="E145" s="12">
        <v>0</v>
      </c>
      <c r="F145" s="12">
        <v>0</v>
      </c>
      <c r="G145" s="89"/>
      <c r="H145" s="65"/>
      <c r="I145" s="157"/>
      <c r="J145" s="89"/>
      <c r="K145" s="37"/>
      <c r="L145" s="37"/>
      <c r="M145" s="37"/>
      <c r="N145" s="37"/>
      <c r="O145" s="37"/>
      <c r="P145" s="37"/>
      <c r="Q145" s="37"/>
      <c r="R145" s="37"/>
      <c r="S145" s="37"/>
      <c r="T145" s="37"/>
      <c r="U145" s="3"/>
      <c r="W145" s="3"/>
      <c r="X145" s="3"/>
      <c r="Y145" s="3"/>
      <c r="Z145" s="3"/>
    </row>
    <row r="146" spans="1:26" ht="15.75" hidden="1" customHeight="1" outlineLevel="1" x14ac:dyDescent="0.3">
      <c r="A146" s="3"/>
      <c r="B146" s="10" t="s">
        <v>354</v>
      </c>
      <c r="C146" s="62"/>
      <c r="D146" s="62"/>
      <c r="E146" s="12">
        <v>0</v>
      </c>
      <c r="F146" s="12">
        <v>0</v>
      </c>
      <c r="G146" s="89"/>
      <c r="H146" s="65"/>
      <c r="I146" s="157"/>
      <c r="J146" s="65"/>
      <c r="K146" s="37"/>
      <c r="L146" s="37"/>
      <c r="M146" s="37"/>
      <c r="N146" s="37"/>
      <c r="O146" s="37"/>
      <c r="P146" s="37"/>
      <c r="Q146" s="37"/>
      <c r="R146" s="37"/>
      <c r="S146" s="37"/>
      <c r="T146" s="37"/>
      <c r="U146" s="3"/>
      <c r="W146" s="3"/>
      <c r="X146" s="3"/>
      <c r="Y146" s="3"/>
      <c r="Z146" s="3"/>
    </row>
    <row r="147" spans="1:26" ht="15.75" hidden="1" customHeight="1" outlineLevel="1" x14ac:dyDescent="0.3">
      <c r="A147" s="3"/>
      <c r="B147" s="10" t="s">
        <v>355</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5.75" hidden="1" customHeight="1" outlineLevel="1" x14ac:dyDescent="0.3">
      <c r="A148" s="3"/>
      <c r="B148" s="10" t="s">
        <v>369</v>
      </c>
      <c r="C148" s="62"/>
      <c r="D148" s="62"/>
      <c r="E148" s="12">
        <v>0</v>
      </c>
      <c r="F148" s="12">
        <v>0</v>
      </c>
      <c r="G148" s="65"/>
      <c r="H148" s="65"/>
      <c r="I148" s="89"/>
      <c r="J148" s="65"/>
      <c r="K148" s="37"/>
      <c r="L148" s="37"/>
      <c r="M148" s="37"/>
      <c r="N148" s="37"/>
      <c r="O148" s="37"/>
      <c r="P148" s="37"/>
      <c r="Q148" s="37"/>
      <c r="R148" s="37"/>
      <c r="S148" s="37"/>
      <c r="T148" s="37"/>
      <c r="U148" s="3"/>
      <c r="W148" s="3"/>
      <c r="X148" s="3"/>
      <c r="Y148" s="3"/>
      <c r="Z148" s="3"/>
    </row>
    <row r="149" spans="1:26" ht="15.75" hidden="1" customHeight="1" outlineLevel="1" x14ac:dyDescent="0.3">
      <c r="A149" s="3"/>
      <c r="B149" s="10" t="s">
        <v>327</v>
      </c>
      <c r="C149" s="62"/>
      <c r="D149" s="62"/>
      <c r="E149" s="12">
        <v>0</v>
      </c>
      <c r="F149" s="12">
        <v>0</v>
      </c>
      <c r="G149" s="65"/>
      <c r="H149" s="65"/>
      <c r="I149" s="89"/>
      <c r="J149" s="65"/>
      <c r="K149" s="37"/>
      <c r="L149" s="37"/>
      <c r="M149" s="37"/>
      <c r="N149" s="37"/>
      <c r="O149" s="37"/>
      <c r="P149" s="37"/>
      <c r="Q149" s="37"/>
      <c r="R149" s="37"/>
      <c r="S149" s="37"/>
      <c r="T149" s="37"/>
      <c r="U149" s="3"/>
      <c r="W149" s="3"/>
      <c r="X149" s="3"/>
      <c r="Y149" s="3"/>
      <c r="Z149" s="3"/>
    </row>
    <row r="150" spans="1:26" ht="15.75" hidden="1" customHeight="1" outlineLevel="1" x14ac:dyDescent="0.3">
      <c r="A150" s="3"/>
      <c r="B150" s="10" t="s">
        <v>328</v>
      </c>
      <c r="C150" s="62"/>
      <c r="D150" s="62"/>
      <c r="E150" s="12">
        <v>0</v>
      </c>
      <c r="F150" s="12">
        <v>0</v>
      </c>
      <c r="G150" s="65"/>
      <c r="H150" s="65"/>
      <c r="I150" s="89"/>
      <c r="J150" s="65"/>
      <c r="K150" s="37"/>
      <c r="L150" s="37"/>
      <c r="M150" s="37"/>
      <c r="N150" s="37"/>
      <c r="O150" s="37"/>
      <c r="P150" s="37"/>
      <c r="Q150" s="37"/>
      <c r="R150" s="37"/>
      <c r="S150" s="37"/>
      <c r="T150" s="37"/>
      <c r="U150" s="3"/>
      <c r="W150" s="3"/>
      <c r="X150" s="3"/>
      <c r="Y150" s="3"/>
      <c r="Z150" s="3"/>
    </row>
    <row r="151" spans="1:26" ht="15.75" hidden="1" customHeight="1" outlineLevel="1" x14ac:dyDescent="0.3">
      <c r="A151" s="3"/>
      <c r="B151" s="10" t="s">
        <v>370</v>
      </c>
      <c r="C151" s="62"/>
      <c r="D151" s="62"/>
      <c r="E151" s="12">
        <v>0</v>
      </c>
      <c r="F151" s="12">
        <v>0</v>
      </c>
      <c r="G151" s="65"/>
      <c r="H151" s="65"/>
      <c r="I151" s="89"/>
      <c r="J151" s="65"/>
      <c r="K151" s="37"/>
      <c r="L151" s="37"/>
      <c r="M151" s="37"/>
      <c r="N151" s="37"/>
      <c r="O151" s="37"/>
      <c r="P151" s="37"/>
      <c r="Q151" s="37"/>
      <c r="R151" s="37"/>
      <c r="S151" s="37"/>
      <c r="T151" s="37"/>
      <c r="U151" s="3"/>
      <c r="W151" s="3"/>
      <c r="X151" s="3"/>
      <c r="Y151" s="3"/>
      <c r="Z151" s="3"/>
    </row>
    <row r="152" spans="1:26" ht="15.75" hidden="1" customHeight="1" outlineLevel="1" x14ac:dyDescent="0.3">
      <c r="A152" s="3"/>
      <c r="B152" s="10" t="s">
        <v>371</v>
      </c>
      <c r="C152" s="62"/>
      <c r="D152" s="62"/>
      <c r="E152" s="12">
        <v>0</v>
      </c>
      <c r="F152" s="12">
        <v>0</v>
      </c>
      <c r="G152" s="65"/>
      <c r="H152" s="65"/>
      <c r="I152" s="89"/>
      <c r="J152" s="65"/>
      <c r="K152" s="37"/>
      <c r="L152" s="37"/>
      <c r="M152" s="37"/>
      <c r="N152" s="37"/>
      <c r="O152" s="37"/>
      <c r="P152" s="37"/>
      <c r="Q152" s="37"/>
      <c r="R152" s="37"/>
      <c r="S152" s="37"/>
      <c r="T152" s="37"/>
      <c r="U152" s="3"/>
      <c r="W152" s="3"/>
      <c r="X152" s="3"/>
      <c r="Y152" s="3"/>
      <c r="Z152" s="3"/>
    </row>
    <row r="153" spans="1:26" ht="15.75" hidden="1" customHeight="1" outlineLevel="1" x14ac:dyDescent="0.3">
      <c r="A153" s="3"/>
      <c r="B153" s="10" t="s">
        <v>372</v>
      </c>
      <c r="C153" s="62"/>
      <c r="D153" s="62"/>
      <c r="E153" s="12">
        <v>0</v>
      </c>
      <c r="F153" s="12">
        <v>0</v>
      </c>
      <c r="G153" s="65"/>
      <c r="H153" s="65"/>
      <c r="I153" s="89"/>
      <c r="J153" s="65"/>
      <c r="K153" s="37"/>
      <c r="L153" s="37"/>
      <c r="M153" s="37"/>
      <c r="N153" s="37"/>
      <c r="O153" s="37"/>
      <c r="P153" s="37"/>
      <c r="Q153" s="37"/>
      <c r="R153" s="37"/>
      <c r="S153" s="37"/>
      <c r="T153" s="37"/>
      <c r="U153" s="3"/>
      <c r="W153" s="3"/>
      <c r="X153" s="3"/>
      <c r="Y153" s="3"/>
      <c r="Z153" s="3"/>
    </row>
    <row r="154" spans="1:26" ht="15.75" customHeight="1" collapsed="1" x14ac:dyDescent="0.3">
      <c r="A154" s="3"/>
      <c r="B154" s="84" t="s">
        <v>88</v>
      </c>
      <c r="C154" s="85" t="s">
        <v>43</v>
      </c>
      <c r="D154" s="85" t="s">
        <v>43</v>
      </c>
      <c r="E154" s="86">
        <f t="shared" ref="E154:F154" si="2">SUM(E155,E161,E167,E173)</f>
        <v>0</v>
      </c>
      <c r="F154" s="86">
        <f t="shared" si="2"/>
        <v>0</v>
      </c>
      <c r="G154" s="87"/>
      <c r="H154" s="87"/>
      <c r="I154" s="88"/>
      <c r="J154" s="87"/>
      <c r="K154" s="37"/>
      <c r="L154" s="37"/>
      <c r="M154" s="37"/>
      <c r="N154" s="37"/>
      <c r="O154" s="37"/>
      <c r="P154" s="37"/>
      <c r="Q154" s="37"/>
      <c r="R154" s="37"/>
      <c r="S154" s="37"/>
      <c r="T154" s="37"/>
      <c r="U154" s="3"/>
      <c r="W154" s="3"/>
      <c r="X154" s="3"/>
      <c r="Y154" s="3"/>
      <c r="Z154" s="3"/>
    </row>
    <row r="155" spans="1:26" ht="15.75" hidden="1" customHeight="1" outlineLevel="1" x14ac:dyDescent="0.3">
      <c r="A155" s="3"/>
      <c r="B155" s="91" t="s">
        <v>380</v>
      </c>
      <c r="C155" s="92"/>
      <c r="D155" s="92"/>
      <c r="E155" s="93">
        <f>SUM(E156:E160)</f>
        <v>0</v>
      </c>
      <c r="F155" s="93">
        <f>SUMIF(D156:D160,"OK",F156:F160)</f>
        <v>0</v>
      </c>
      <c r="G155" s="94"/>
      <c r="H155" s="94"/>
      <c r="I155" s="95"/>
      <c r="J155" s="94"/>
      <c r="K155" s="37"/>
      <c r="L155" s="37"/>
      <c r="M155" s="37"/>
      <c r="N155" s="37"/>
      <c r="O155" s="37"/>
      <c r="P155" s="37"/>
      <c r="Q155" s="37"/>
      <c r="R155" s="37"/>
      <c r="S155" s="37"/>
      <c r="T155" s="37"/>
      <c r="U155" s="3"/>
      <c r="W155" s="3"/>
      <c r="X155" s="3"/>
      <c r="Y155" s="3"/>
      <c r="Z155" s="3"/>
    </row>
    <row r="156" spans="1:26" ht="15.75" hidden="1" customHeight="1" outlineLevel="1" x14ac:dyDescent="0.3">
      <c r="A156" s="3"/>
      <c r="B156" s="10" t="s">
        <v>640</v>
      </c>
      <c r="C156" s="62"/>
      <c r="D156" s="62"/>
      <c r="E156" s="12">
        <v>0</v>
      </c>
      <c r="F156" s="12">
        <v>0</v>
      </c>
      <c r="G156" s="65"/>
      <c r="H156" s="65"/>
      <c r="I156" s="128"/>
      <c r="J156" s="65"/>
      <c r="K156" s="37"/>
      <c r="L156" s="37"/>
      <c r="M156" s="37"/>
      <c r="N156" s="37"/>
      <c r="O156" s="37"/>
      <c r="P156" s="37"/>
      <c r="Q156" s="37"/>
      <c r="R156" s="37"/>
      <c r="S156" s="37"/>
      <c r="T156" s="37"/>
      <c r="U156" s="3"/>
      <c r="W156" s="3"/>
      <c r="X156" s="3"/>
      <c r="Y156" s="3"/>
      <c r="Z156" s="3"/>
    </row>
    <row r="157" spans="1:26" ht="15.75" hidden="1" customHeight="1" outlineLevel="1" x14ac:dyDescent="0.3">
      <c r="A157" s="3"/>
      <c r="B157" s="10" t="s">
        <v>1603</v>
      </c>
      <c r="C157" s="62"/>
      <c r="D157" s="62"/>
      <c r="E157" s="12">
        <v>0</v>
      </c>
      <c r="F157" s="12">
        <v>0</v>
      </c>
      <c r="G157" s="65"/>
      <c r="H157" s="65"/>
      <c r="I157" s="128"/>
      <c r="J157" s="65"/>
      <c r="K157" s="37"/>
      <c r="L157" s="37"/>
      <c r="M157" s="37"/>
      <c r="N157" s="37"/>
      <c r="O157" s="37"/>
      <c r="P157" s="37"/>
      <c r="Q157" s="37"/>
      <c r="R157" s="37"/>
      <c r="S157" s="37"/>
      <c r="T157" s="37"/>
      <c r="U157" s="3"/>
      <c r="W157" s="3"/>
      <c r="X157" s="3"/>
      <c r="Y157" s="3"/>
      <c r="Z157" s="3"/>
    </row>
    <row r="158" spans="1:26" ht="15.75" hidden="1" customHeight="1" outlineLevel="1" x14ac:dyDescent="0.3">
      <c r="A158" s="3"/>
      <c r="B158" s="10" t="s">
        <v>1604</v>
      </c>
      <c r="C158" s="62"/>
      <c r="D158" s="62"/>
      <c r="E158" s="12">
        <v>0</v>
      </c>
      <c r="F158" s="12">
        <v>0</v>
      </c>
      <c r="G158" s="65"/>
      <c r="H158" s="65"/>
      <c r="I158" s="112"/>
      <c r="J158" s="65"/>
      <c r="K158" s="37"/>
      <c r="L158" s="37"/>
      <c r="M158" s="37"/>
      <c r="N158" s="37"/>
      <c r="O158" s="37"/>
      <c r="P158" s="37"/>
      <c r="Q158" s="37"/>
      <c r="R158" s="37"/>
      <c r="S158" s="37"/>
      <c r="T158" s="37"/>
      <c r="U158" s="3"/>
      <c r="W158" s="3"/>
      <c r="X158" s="3"/>
      <c r="Y158" s="3"/>
      <c r="Z158" s="3"/>
    </row>
    <row r="159" spans="1:26" ht="15.75" hidden="1" customHeight="1" outlineLevel="1" x14ac:dyDescent="0.3">
      <c r="A159" s="3"/>
      <c r="B159" s="10" t="s">
        <v>50</v>
      </c>
      <c r="C159" s="62"/>
      <c r="D159" s="62"/>
      <c r="E159" s="12">
        <v>0</v>
      </c>
      <c r="F159" s="12">
        <v>0</v>
      </c>
      <c r="G159" s="89"/>
      <c r="H159" s="65"/>
      <c r="I159" s="157"/>
      <c r="J159" s="65"/>
      <c r="K159" s="37"/>
      <c r="L159" s="37"/>
      <c r="M159" s="37"/>
      <c r="N159" s="37"/>
      <c r="O159" s="37"/>
      <c r="P159" s="37"/>
      <c r="Q159" s="37"/>
      <c r="R159" s="37"/>
      <c r="S159" s="37"/>
      <c r="T159" s="37"/>
      <c r="U159" s="3"/>
      <c r="W159" s="3"/>
      <c r="X159" s="3"/>
      <c r="Y159" s="3"/>
      <c r="Z159" s="3"/>
    </row>
    <row r="160" spans="1:26" ht="15.75" hidden="1" customHeight="1" outlineLevel="1" x14ac:dyDescent="0.3">
      <c r="A160" s="3"/>
      <c r="B160" s="10" t="s">
        <v>50</v>
      </c>
      <c r="C160" s="62"/>
      <c r="D160" s="62"/>
      <c r="E160" s="12">
        <v>0</v>
      </c>
      <c r="F160" s="12">
        <v>0</v>
      </c>
      <c r="G160" s="65"/>
      <c r="H160" s="65"/>
      <c r="I160" s="89"/>
      <c r="J160" s="65"/>
      <c r="K160" s="37"/>
      <c r="L160" s="37"/>
      <c r="M160" s="37"/>
      <c r="N160" s="37"/>
      <c r="O160" s="37"/>
      <c r="P160" s="37"/>
      <c r="Q160" s="37"/>
      <c r="R160" s="37"/>
      <c r="S160" s="37"/>
      <c r="T160" s="37"/>
      <c r="U160" s="3"/>
      <c r="W160" s="3"/>
      <c r="X160" s="3"/>
      <c r="Y160" s="3"/>
      <c r="Z160" s="3"/>
    </row>
    <row r="161" spans="1:26" ht="15.75" hidden="1" customHeight="1" outlineLevel="1" x14ac:dyDescent="0.3">
      <c r="A161" s="3"/>
      <c r="B161" s="91" t="s">
        <v>643</v>
      </c>
      <c r="C161" s="92"/>
      <c r="D161" s="92"/>
      <c r="E161" s="93">
        <f>SUM(E162:E166)</f>
        <v>0</v>
      </c>
      <c r="F161" s="93">
        <f>SUMIF(D162:D166,"OK",F162:F166)</f>
        <v>0</v>
      </c>
      <c r="G161" s="94"/>
      <c r="H161" s="94"/>
      <c r="I161" s="95"/>
      <c r="J161" s="94"/>
      <c r="K161" s="37"/>
      <c r="L161" s="37"/>
      <c r="M161" s="37"/>
      <c r="N161" s="37"/>
      <c r="O161" s="37"/>
      <c r="P161" s="37"/>
      <c r="Q161" s="37"/>
      <c r="R161" s="37"/>
      <c r="S161" s="37"/>
      <c r="T161" s="37"/>
      <c r="U161" s="3"/>
      <c r="W161" s="3"/>
      <c r="X161" s="3"/>
      <c r="Y161" s="3"/>
      <c r="Z161" s="3"/>
    </row>
    <row r="162" spans="1:26" ht="15.75" hidden="1" customHeight="1" outlineLevel="1" x14ac:dyDescent="0.3">
      <c r="A162" s="3"/>
      <c r="B162" s="10" t="s">
        <v>353</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5.75" hidden="1" customHeight="1" outlineLevel="1" x14ac:dyDescent="0.3">
      <c r="A163" s="3"/>
      <c r="B163" s="10" t="s">
        <v>354</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5.75" hidden="1" customHeight="1" outlineLevel="1" x14ac:dyDescent="0.3">
      <c r="A164" s="3"/>
      <c r="B164" s="10" t="s">
        <v>355</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5.75" hidden="1" customHeight="1" outlineLevel="1" x14ac:dyDescent="0.3">
      <c r="A165" s="3"/>
      <c r="B165" s="10" t="s">
        <v>369</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5.75" hidden="1" customHeight="1" outlineLevel="1" x14ac:dyDescent="0.3">
      <c r="A166" s="3"/>
      <c r="B166" s="10" t="s">
        <v>327</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5.75" hidden="1" customHeight="1" outlineLevel="1" x14ac:dyDescent="0.3">
      <c r="A167" s="3"/>
      <c r="B167" s="91" t="s">
        <v>381</v>
      </c>
      <c r="C167" s="92"/>
      <c r="D167" s="92"/>
      <c r="E167" s="93">
        <f>SUM(E168:E172)</f>
        <v>0</v>
      </c>
      <c r="F167" s="93">
        <f>SUMIF(D168:D172,"OK",F168:F172)</f>
        <v>0</v>
      </c>
      <c r="G167" s="94"/>
      <c r="H167" s="94"/>
      <c r="I167" s="95"/>
      <c r="J167" s="94"/>
      <c r="K167" s="37"/>
      <c r="L167" s="37"/>
      <c r="M167" s="37"/>
      <c r="N167" s="37"/>
      <c r="O167" s="37"/>
      <c r="P167" s="37"/>
      <c r="Q167" s="37"/>
      <c r="R167" s="37"/>
      <c r="S167" s="37"/>
      <c r="T167" s="37"/>
      <c r="U167" s="3"/>
      <c r="W167" s="3"/>
      <c r="X167" s="3"/>
      <c r="Y167" s="3"/>
      <c r="Z167" s="3"/>
    </row>
    <row r="168" spans="1:26" ht="15.75" hidden="1" customHeight="1" outlineLevel="1" x14ac:dyDescent="0.3">
      <c r="A168" s="3"/>
      <c r="B168" s="10" t="s">
        <v>353</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5.75" hidden="1" customHeight="1" outlineLevel="1" x14ac:dyDescent="0.3">
      <c r="A169" s="3"/>
      <c r="B169" s="10" t="s">
        <v>354</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5.75" hidden="1" customHeight="1" outlineLevel="1" x14ac:dyDescent="0.3">
      <c r="A170" s="3"/>
      <c r="B170" s="10" t="s">
        <v>355</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5.75" hidden="1" customHeight="1" outlineLevel="1" x14ac:dyDescent="0.3">
      <c r="A171" s="3"/>
      <c r="B171" s="10" t="s">
        <v>369</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5.75" hidden="1" customHeight="1" outlineLevel="1" x14ac:dyDescent="0.3">
      <c r="A172" s="3"/>
      <c r="B172" s="10" t="s">
        <v>327</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5.75" hidden="1" customHeight="1" outlineLevel="1" x14ac:dyDescent="0.3">
      <c r="A173" s="3"/>
      <c r="B173" s="91" t="s">
        <v>382</v>
      </c>
      <c r="C173" s="92"/>
      <c r="D173" s="92"/>
      <c r="E173" s="93">
        <f>SUM(E174:E178)</f>
        <v>0</v>
      </c>
      <c r="F173" s="93">
        <f>SUMIF(D174:D178,"OK",F174:F178)</f>
        <v>0</v>
      </c>
      <c r="G173" s="94"/>
      <c r="H173" s="94"/>
      <c r="I173" s="95"/>
      <c r="J173" s="94"/>
      <c r="K173" s="37"/>
      <c r="L173" s="37"/>
      <c r="M173" s="37"/>
      <c r="N173" s="37"/>
      <c r="O173" s="37"/>
      <c r="P173" s="37"/>
      <c r="Q173" s="37"/>
      <c r="R173" s="37"/>
      <c r="S173" s="37"/>
      <c r="T173" s="37"/>
      <c r="U173" s="3"/>
      <c r="W173" s="3"/>
      <c r="X173" s="3"/>
      <c r="Y173" s="3"/>
      <c r="Z173" s="3"/>
    </row>
    <row r="174" spans="1:26" ht="15.75" hidden="1" customHeight="1" outlineLevel="1" x14ac:dyDescent="0.3">
      <c r="A174" s="3"/>
      <c r="B174" s="10" t="s">
        <v>353</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15.75" hidden="1" customHeight="1" outlineLevel="1" x14ac:dyDescent="0.3">
      <c r="A175" s="3"/>
      <c r="B175" s="10" t="s">
        <v>354</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5.75" hidden="1" customHeight="1" outlineLevel="1" x14ac:dyDescent="0.3">
      <c r="A176" s="3"/>
      <c r="B176" s="10" t="s">
        <v>355</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t="15.75" hidden="1" customHeight="1" outlineLevel="1" x14ac:dyDescent="0.3">
      <c r="A177" s="3"/>
      <c r="B177" s="10" t="s">
        <v>369</v>
      </c>
      <c r="C177" s="62"/>
      <c r="D177" s="62"/>
      <c r="E177" s="12">
        <v>0</v>
      </c>
      <c r="F177" s="12">
        <v>0</v>
      </c>
      <c r="G177" s="65"/>
      <c r="H177" s="65"/>
      <c r="I177" s="89"/>
      <c r="J177" s="65"/>
      <c r="K177" s="37"/>
      <c r="L177" s="37"/>
      <c r="M177" s="37"/>
      <c r="N177" s="37"/>
      <c r="O177" s="37"/>
      <c r="P177" s="37"/>
      <c r="Q177" s="37"/>
      <c r="R177" s="37"/>
      <c r="S177" s="37"/>
      <c r="T177" s="37"/>
      <c r="U177" s="3"/>
      <c r="W177" s="3"/>
      <c r="X177" s="3"/>
      <c r="Y177" s="3"/>
      <c r="Z177" s="3"/>
    </row>
    <row r="178" spans="1:26" ht="15.75" hidden="1" customHeight="1" outlineLevel="1" x14ac:dyDescent="0.3">
      <c r="A178" s="3"/>
      <c r="B178" s="10" t="s">
        <v>327</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5.75" customHeight="1" collapsed="1" x14ac:dyDescent="0.3">
      <c r="A179" s="3"/>
      <c r="B179" s="84" t="s">
        <v>383</v>
      </c>
      <c r="C179" s="85" t="s">
        <v>43</v>
      </c>
      <c r="D179" s="85" t="s">
        <v>43</v>
      </c>
      <c r="E179" s="86">
        <f>SUM(E180:E184)</f>
        <v>0</v>
      </c>
      <c r="F179" s="86">
        <f>SUMIF(D180:D184,"OK",F180:F184)</f>
        <v>0</v>
      </c>
      <c r="G179" s="87"/>
      <c r="H179" s="87"/>
      <c r="I179" s="88"/>
      <c r="J179" s="87"/>
      <c r="K179" s="37"/>
      <c r="L179" s="37"/>
      <c r="M179" s="37"/>
      <c r="N179" s="37"/>
      <c r="O179" s="37"/>
      <c r="P179" s="37"/>
      <c r="Q179" s="37"/>
      <c r="R179" s="37"/>
      <c r="S179" s="37"/>
      <c r="T179" s="37"/>
      <c r="U179" s="3"/>
      <c r="W179" s="3"/>
      <c r="X179" s="3"/>
      <c r="Y179" s="3"/>
      <c r="Z179" s="3"/>
    </row>
    <row r="180" spans="1:26" ht="15.75" hidden="1" customHeight="1" outlineLevel="1" x14ac:dyDescent="0.3">
      <c r="A180" s="3"/>
      <c r="B180" s="10" t="s">
        <v>353</v>
      </c>
      <c r="C180" s="62"/>
      <c r="D180" s="62"/>
      <c r="E180" s="12">
        <v>0</v>
      </c>
      <c r="F180" s="12">
        <v>0</v>
      </c>
      <c r="G180" s="65"/>
      <c r="H180" s="65"/>
      <c r="I180" s="157"/>
      <c r="J180" s="65"/>
      <c r="K180" s="37"/>
      <c r="L180" s="37"/>
      <c r="M180" s="37"/>
      <c r="N180" s="37"/>
      <c r="O180" s="37"/>
      <c r="P180" s="37"/>
      <c r="Q180" s="37"/>
      <c r="R180" s="37"/>
      <c r="S180" s="37"/>
      <c r="T180" s="37"/>
      <c r="U180" s="3"/>
      <c r="W180" s="3"/>
      <c r="X180" s="3"/>
      <c r="Y180" s="3"/>
      <c r="Z180" s="3"/>
    </row>
    <row r="181" spans="1:26" ht="15.75" hidden="1" customHeight="1" outlineLevel="1" x14ac:dyDescent="0.3">
      <c r="A181" s="3"/>
      <c r="B181" s="10" t="s">
        <v>354</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5.75" hidden="1" customHeight="1" outlineLevel="1" x14ac:dyDescent="0.3">
      <c r="A182" s="3"/>
      <c r="B182" s="10" t="s">
        <v>355</v>
      </c>
      <c r="C182" s="62"/>
      <c r="D182" s="62"/>
      <c r="E182" s="12">
        <v>0</v>
      </c>
      <c r="F182" s="12">
        <v>0</v>
      </c>
      <c r="G182" s="65"/>
      <c r="H182" s="65"/>
      <c r="I182" s="89"/>
      <c r="J182" s="65"/>
      <c r="K182" s="37"/>
      <c r="L182" s="37"/>
      <c r="M182" s="37"/>
      <c r="N182" s="37"/>
      <c r="O182" s="37"/>
      <c r="P182" s="37"/>
      <c r="Q182" s="37"/>
      <c r="R182" s="37"/>
      <c r="S182" s="37"/>
      <c r="T182" s="37"/>
      <c r="U182" s="3"/>
      <c r="W182" s="3"/>
      <c r="X182" s="3"/>
      <c r="Y182" s="3"/>
      <c r="Z182" s="3"/>
    </row>
    <row r="183" spans="1:26" ht="15.75" hidden="1" customHeight="1" outlineLevel="1" x14ac:dyDescent="0.3">
      <c r="A183" s="3"/>
      <c r="B183" s="10" t="s">
        <v>369</v>
      </c>
      <c r="C183" s="62"/>
      <c r="D183" s="62"/>
      <c r="E183" s="12">
        <v>0</v>
      </c>
      <c r="F183" s="12">
        <v>0</v>
      </c>
      <c r="G183" s="65"/>
      <c r="H183" s="65"/>
      <c r="I183" s="89"/>
      <c r="J183" s="65"/>
      <c r="K183" s="37"/>
      <c r="L183" s="37"/>
      <c r="M183" s="37"/>
      <c r="N183" s="37"/>
      <c r="O183" s="37"/>
      <c r="P183" s="37"/>
      <c r="Q183" s="37"/>
      <c r="R183" s="37"/>
      <c r="S183" s="37"/>
      <c r="T183" s="37"/>
      <c r="U183" s="3"/>
      <c r="W183" s="3"/>
      <c r="X183" s="3"/>
      <c r="Y183" s="3"/>
      <c r="Z183" s="3"/>
    </row>
    <row r="184" spans="1:26" ht="15.75" hidden="1" customHeight="1" outlineLevel="1" x14ac:dyDescent="0.3">
      <c r="A184" s="3"/>
      <c r="B184" s="10" t="s">
        <v>327</v>
      </c>
      <c r="C184" s="62"/>
      <c r="D184" s="62"/>
      <c r="E184" s="12">
        <v>0</v>
      </c>
      <c r="F184" s="12">
        <v>0</v>
      </c>
      <c r="G184" s="65"/>
      <c r="H184" s="65"/>
      <c r="I184" s="89"/>
      <c r="J184" s="65"/>
      <c r="K184" s="37"/>
      <c r="L184" s="37"/>
      <c r="M184" s="37"/>
      <c r="N184" s="37"/>
      <c r="O184" s="37"/>
      <c r="P184" s="37"/>
      <c r="Q184" s="37"/>
      <c r="R184" s="37"/>
      <c r="S184" s="37"/>
      <c r="T184" s="37"/>
      <c r="U184" s="3"/>
      <c r="W184" s="3"/>
      <c r="X184" s="3"/>
      <c r="Y184" s="3"/>
      <c r="Z184" s="3"/>
    </row>
    <row r="185" spans="1:26" ht="15.75" customHeight="1" collapsed="1" x14ac:dyDescent="0.3">
      <c r="A185" s="3"/>
      <c r="B185" s="84" t="s">
        <v>384</v>
      </c>
      <c r="C185" s="85" t="s">
        <v>43</v>
      </c>
      <c r="D185" s="85" t="s">
        <v>43</v>
      </c>
      <c r="E185" s="86">
        <f>SUM(E186:E213)</f>
        <v>0</v>
      </c>
      <c r="F185" s="86">
        <f>SUMIF(D186:D213,"OK",F186:F213)</f>
        <v>0</v>
      </c>
      <c r="G185" s="87"/>
      <c r="H185" s="87"/>
      <c r="I185" s="88"/>
      <c r="J185" s="87"/>
      <c r="K185" s="37"/>
      <c r="L185" s="37"/>
      <c r="M185" s="37"/>
      <c r="N185" s="37"/>
      <c r="O185" s="37"/>
      <c r="P185" s="37"/>
      <c r="Q185" s="37"/>
      <c r="R185" s="37"/>
      <c r="S185" s="37"/>
      <c r="T185" s="37"/>
      <c r="U185" s="3"/>
      <c r="W185" s="3"/>
      <c r="X185" s="3"/>
      <c r="Y185" s="3"/>
      <c r="Z185" s="3"/>
    </row>
    <row r="186" spans="1:26" ht="15.75" hidden="1" customHeight="1" outlineLevel="1" x14ac:dyDescent="0.3">
      <c r="A186" s="3"/>
      <c r="B186" s="10" t="s">
        <v>1605</v>
      </c>
      <c r="C186" s="80"/>
      <c r="D186" s="62"/>
      <c r="E186" s="12">
        <v>0</v>
      </c>
      <c r="F186" s="12">
        <v>0</v>
      </c>
      <c r="G186" s="89"/>
      <c r="H186" s="65"/>
      <c r="I186" s="112"/>
      <c r="J186" s="65"/>
      <c r="K186" s="37"/>
      <c r="L186" s="37"/>
      <c r="M186" s="37"/>
      <c r="N186" s="37"/>
      <c r="O186" s="37"/>
      <c r="P186" s="37"/>
      <c r="Q186" s="37"/>
      <c r="R186" s="37"/>
      <c r="S186" s="37"/>
      <c r="T186" s="37"/>
      <c r="U186" s="3"/>
      <c r="W186" s="3"/>
      <c r="X186" s="3"/>
      <c r="Y186" s="3"/>
      <c r="Z186" s="3"/>
    </row>
    <row r="187" spans="1:26" ht="15.75" hidden="1" customHeight="1" outlineLevel="1" x14ac:dyDescent="0.3">
      <c r="A187" s="3"/>
      <c r="B187" s="10" t="s">
        <v>50</v>
      </c>
      <c r="C187" s="62"/>
      <c r="D187" s="62"/>
      <c r="E187" s="12">
        <v>0</v>
      </c>
      <c r="F187" s="12">
        <v>0</v>
      </c>
      <c r="G187" s="89"/>
      <c r="H187" s="65"/>
      <c r="I187" s="112"/>
      <c r="J187" s="89"/>
      <c r="K187" s="37"/>
      <c r="L187" s="37"/>
      <c r="M187" s="37"/>
      <c r="N187" s="37"/>
      <c r="O187" s="37"/>
      <c r="P187" s="37"/>
      <c r="Q187" s="37"/>
      <c r="R187" s="37"/>
      <c r="S187" s="37"/>
      <c r="T187" s="37"/>
      <c r="U187" s="3"/>
      <c r="W187" s="3"/>
      <c r="X187" s="3"/>
      <c r="Y187" s="3"/>
      <c r="Z187" s="3"/>
    </row>
    <row r="188" spans="1:26" ht="15.75" hidden="1" customHeight="1" outlineLevel="1" x14ac:dyDescent="0.3">
      <c r="A188" s="3"/>
      <c r="B188" s="10" t="s">
        <v>50</v>
      </c>
      <c r="C188" s="62"/>
      <c r="D188" s="62"/>
      <c r="E188" s="12">
        <v>0</v>
      </c>
      <c r="F188" s="12">
        <v>0</v>
      </c>
      <c r="G188" s="65"/>
      <c r="H188" s="65"/>
      <c r="I188" s="112"/>
      <c r="J188" s="65"/>
      <c r="K188" s="37"/>
      <c r="L188" s="37"/>
      <c r="M188" s="37"/>
      <c r="N188" s="37"/>
      <c r="O188" s="37"/>
      <c r="P188" s="37"/>
      <c r="Q188" s="37"/>
      <c r="R188" s="37"/>
      <c r="S188" s="37"/>
      <c r="T188" s="37"/>
      <c r="U188" s="3"/>
      <c r="W188" s="3"/>
      <c r="X188" s="3"/>
      <c r="Y188" s="3"/>
      <c r="Z188" s="3"/>
    </row>
    <row r="189" spans="1:26" ht="15.75" hidden="1" customHeight="1" outlineLevel="1" x14ac:dyDescent="0.3">
      <c r="A189" s="3"/>
      <c r="B189" s="10" t="s">
        <v>50</v>
      </c>
      <c r="C189" s="62"/>
      <c r="D189" s="62"/>
      <c r="E189" s="12">
        <v>0</v>
      </c>
      <c r="F189" s="12">
        <v>0</v>
      </c>
      <c r="G189" s="65"/>
      <c r="H189" s="65"/>
      <c r="I189" s="112"/>
      <c r="J189" s="65"/>
      <c r="K189" s="37"/>
      <c r="L189" s="37"/>
      <c r="M189" s="37"/>
      <c r="N189" s="37"/>
      <c r="O189" s="37"/>
      <c r="P189" s="37"/>
      <c r="Q189" s="37"/>
      <c r="R189" s="37"/>
      <c r="S189" s="37"/>
      <c r="T189" s="37"/>
      <c r="U189" s="3"/>
      <c r="W189" s="3"/>
      <c r="X189" s="3"/>
      <c r="Y189" s="3"/>
      <c r="Z189" s="3"/>
    </row>
    <row r="190" spans="1:26" ht="15.75" hidden="1" customHeight="1" outlineLevel="1" x14ac:dyDescent="0.3">
      <c r="A190" s="3"/>
      <c r="B190" s="10" t="s">
        <v>50</v>
      </c>
      <c r="C190" s="62"/>
      <c r="D190" s="62"/>
      <c r="E190" s="12">
        <v>0</v>
      </c>
      <c r="F190" s="12">
        <v>0</v>
      </c>
      <c r="G190" s="65"/>
      <c r="H190" s="65"/>
      <c r="I190" s="112"/>
      <c r="J190" s="65"/>
      <c r="K190" s="37"/>
      <c r="L190" s="37"/>
      <c r="M190" s="37"/>
      <c r="N190" s="37"/>
      <c r="O190" s="37"/>
      <c r="P190" s="37"/>
      <c r="Q190" s="37"/>
      <c r="R190" s="37"/>
      <c r="S190" s="37"/>
      <c r="T190" s="37"/>
      <c r="U190" s="3"/>
      <c r="W190" s="3"/>
      <c r="X190" s="3"/>
      <c r="Y190" s="3"/>
      <c r="Z190" s="3"/>
    </row>
    <row r="191" spans="1:26" ht="15.75" hidden="1" customHeight="1" outlineLevel="1" x14ac:dyDescent="0.3">
      <c r="A191" s="3"/>
      <c r="B191" s="10" t="s">
        <v>50</v>
      </c>
      <c r="C191" s="62"/>
      <c r="D191" s="62"/>
      <c r="E191" s="12">
        <v>0</v>
      </c>
      <c r="F191" s="12">
        <v>0</v>
      </c>
      <c r="G191" s="65"/>
      <c r="H191" s="65"/>
      <c r="I191" s="112"/>
      <c r="J191" s="65"/>
      <c r="K191" s="37"/>
      <c r="L191" s="37"/>
      <c r="M191" s="37"/>
      <c r="N191" s="37"/>
      <c r="O191" s="37"/>
      <c r="P191" s="37"/>
      <c r="Q191" s="37"/>
      <c r="R191" s="37"/>
      <c r="S191" s="37"/>
      <c r="T191" s="37"/>
      <c r="U191" s="3"/>
      <c r="W191" s="3"/>
      <c r="X191" s="3"/>
      <c r="Y191" s="3"/>
      <c r="Z191" s="3"/>
    </row>
    <row r="192" spans="1:26" ht="15.75" hidden="1" customHeight="1" outlineLevel="1" x14ac:dyDescent="0.3">
      <c r="A192" s="3"/>
      <c r="B192" s="10" t="s">
        <v>50</v>
      </c>
      <c r="C192" s="62"/>
      <c r="D192" s="62"/>
      <c r="E192" s="12">
        <v>0</v>
      </c>
      <c r="F192" s="12">
        <v>0</v>
      </c>
      <c r="G192" s="89"/>
      <c r="H192" s="65"/>
      <c r="I192" s="112"/>
      <c r="J192" s="65"/>
      <c r="K192" s="37"/>
      <c r="L192" s="37"/>
      <c r="M192" s="37"/>
      <c r="N192" s="37"/>
      <c r="O192" s="37"/>
      <c r="P192" s="37"/>
      <c r="Q192" s="37"/>
      <c r="R192" s="37"/>
      <c r="S192" s="37"/>
      <c r="T192" s="37"/>
      <c r="U192" s="3"/>
      <c r="W192" s="3"/>
      <c r="X192" s="3"/>
      <c r="Y192" s="3"/>
      <c r="Z192" s="3"/>
    </row>
    <row r="193" spans="1:26" ht="15.75" hidden="1" customHeight="1" outlineLevel="1" x14ac:dyDescent="0.3">
      <c r="A193" s="3"/>
      <c r="B193" s="10" t="s">
        <v>50</v>
      </c>
      <c r="C193" s="62"/>
      <c r="D193" s="62"/>
      <c r="E193" s="12">
        <v>0</v>
      </c>
      <c r="F193" s="12">
        <v>0</v>
      </c>
      <c r="G193" s="65"/>
      <c r="H193" s="65"/>
      <c r="I193" s="157"/>
      <c r="J193" s="65"/>
      <c r="K193" s="37"/>
      <c r="L193" s="37"/>
      <c r="M193" s="37"/>
      <c r="N193" s="37"/>
      <c r="O193" s="37"/>
      <c r="P193" s="37"/>
      <c r="Q193" s="37"/>
      <c r="R193" s="37"/>
      <c r="S193" s="37"/>
      <c r="T193" s="37"/>
      <c r="U193" s="3"/>
      <c r="W193" s="3"/>
      <c r="X193" s="3"/>
      <c r="Y193" s="3"/>
      <c r="Z193" s="3"/>
    </row>
    <row r="194" spans="1:26" ht="15.75" hidden="1" customHeight="1" outlineLevel="1" x14ac:dyDescent="0.3">
      <c r="A194" s="3"/>
      <c r="B194" s="10" t="s">
        <v>50</v>
      </c>
      <c r="C194" s="62"/>
      <c r="D194" s="62"/>
      <c r="E194" s="12">
        <v>0</v>
      </c>
      <c r="F194" s="12">
        <v>0</v>
      </c>
      <c r="G194" s="65"/>
      <c r="H194" s="65"/>
      <c r="I194" s="157"/>
      <c r="J194" s="65"/>
      <c r="K194" s="37"/>
      <c r="L194" s="37"/>
      <c r="M194" s="37"/>
      <c r="N194" s="37"/>
      <c r="O194" s="37"/>
      <c r="P194" s="37"/>
      <c r="Q194" s="37"/>
      <c r="R194" s="37"/>
      <c r="S194" s="37"/>
      <c r="T194" s="37"/>
      <c r="U194" s="3"/>
      <c r="W194" s="3"/>
      <c r="X194" s="3"/>
      <c r="Y194" s="3"/>
      <c r="Z194" s="3"/>
    </row>
    <row r="195" spans="1:26" ht="15.75" hidden="1" customHeight="1" outlineLevel="1" x14ac:dyDescent="0.3">
      <c r="A195" s="3"/>
      <c r="B195" s="10" t="s">
        <v>50</v>
      </c>
      <c r="C195" s="62"/>
      <c r="D195" s="62"/>
      <c r="E195" s="12">
        <v>0</v>
      </c>
      <c r="F195" s="12">
        <v>0</v>
      </c>
      <c r="G195" s="65"/>
      <c r="H195" s="65"/>
      <c r="I195" s="157"/>
      <c r="J195" s="65"/>
      <c r="K195" s="37"/>
      <c r="L195" s="37"/>
      <c r="M195" s="37"/>
      <c r="N195" s="37"/>
      <c r="O195" s="37"/>
      <c r="P195" s="37"/>
      <c r="Q195" s="37"/>
      <c r="R195" s="37"/>
      <c r="S195" s="37"/>
      <c r="T195" s="37"/>
      <c r="U195" s="3"/>
      <c r="W195" s="3"/>
      <c r="X195" s="3"/>
      <c r="Y195" s="3"/>
      <c r="Z195" s="3"/>
    </row>
    <row r="196" spans="1:26" ht="15.75" hidden="1" customHeight="1" outlineLevel="1" x14ac:dyDescent="0.3">
      <c r="A196" s="3"/>
      <c r="B196" s="10" t="s">
        <v>50</v>
      </c>
      <c r="C196" s="62"/>
      <c r="D196" s="62"/>
      <c r="E196" s="12">
        <v>0</v>
      </c>
      <c r="F196" s="12">
        <v>0</v>
      </c>
      <c r="G196" s="65"/>
      <c r="H196" s="65"/>
      <c r="I196" s="157"/>
      <c r="J196" s="65"/>
      <c r="K196" s="37"/>
      <c r="L196" s="37"/>
      <c r="M196" s="37"/>
      <c r="N196" s="37"/>
      <c r="O196" s="37"/>
      <c r="P196" s="37"/>
      <c r="Q196" s="37"/>
      <c r="R196" s="37"/>
      <c r="S196" s="37"/>
      <c r="T196" s="37"/>
      <c r="U196" s="3"/>
      <c r="W196" s="3"/>
      <c r="X196" s="3"/>
      <c r="Y196" s="3"/>
      <c r="Z196" s="3"/>
    </row>
    <row r="197" spans="1:26" ht="15.75" hidden="1" customHeight="1" outlineLevel="1" x14ac:dyDescent="0.3">
      <c r="A197" s="3"/>
      <c r="B197" s="10" t="s">
        <v>50</v>
      </c>
      <c r="C197" s="62"/>
      <c r="D197" s="62"/>
      <c r="E197" s="12">
        <v>0</v>
      </c>
      <c r="F197" s="12">
        <v>0</v>
      </c>
      <c r="G197" s="65"/>
      <c r="H197" s="65"/>
      <c r="I197" s="157"/>
      <c r="J197" s="65"/>
      <c r="K197" s="37"/>
      <c r="L197" s="37"/>
      <c r="M197" s="37"/>
      <c r="N197" s="37"/>
      <c r="O197" s="37"/>
      <c r="P197" s="37"/>
      <c r="Q197" s="37"/>
      <c r="R197" s="37"/>
      <c r="S197" s="37"/>
      <c r="T197" s="37"/>
      <c r="U197" s="3"/>
      <c r="W197" s="3"/>
      <c r="X197" s="3"/>
      <c r="Y197" s="3"/>
      <c r="Z197" s="3"/>
    </row>
    <row r="198" spans="1:26" ht="15.75" hidden="1" customHeight="1" outlineLevel="1" x14ac:dyDescent="0.3">
      <c r="A198" s="3"/>
      <c r="B198" s="10" t="s">
        <v>50</v>
      </c>
      <c r="C198" s="62"/>
      <c r="D198" s="62"/>
      <c r="E198" s="12">
        <v>0</v>
      </c>
      <c r="F198" s="12">
        <v>0</v>
      </c>
      <c r="G198" s="65"/>
      <c r="H198" s="65"/>
      <c r="I198" s="128"/>
      <c r="J198" s="65"/>
      <c r="K198" s="37"/>
      <c r="L198" s="37"/>
      <c r="M198" s="37"/>
      <c r="N198" s="37"/>
      <c r="O198" s="37"/>
      <c r="P198" s="37"/>
      <c r="Q198" s="37"/>
      <c r="R198" s="37"/>
      <c r="S198" s="37"/>
      <c r="T198" s="37"/>
      <c r="U198" s="3"/>
      <c r="W198" s="3"/>
      <c r="X198" s="3"/>
      <c r="Y198" s="3"/>
      <c r="Z198" s="3"/>
    </row>
    <row r="199" spans="1:26" ht="15.75" hidden="1" customHeight="1" outlineLevel="1" x14ac:dyDescent="0.3">
      <c r="A199" s="3"/>
      <c r="B199" s="10" t="s">
        <v>50</v>
      </c>
      <c r="C199" s="62"/>
      <c r="D199" s="62"/>
      <c r="E199" s="12">
        <v>0</v>
      </c>
      <c r="F199" s="12">
        <v>0</v>
      </c>
      <c r="G199" s="65"/>
      <c r="H199" s="65"/>
      <c r="I199" s="128"/>
      <c r="J199" s="65"/>
      <c r="K199" s="37"/>
      <c r="L199" s="37"/>
      <c r="M199" s="37"/>
      <c r="N199" s="37"/>
      <c r="O199" s="37"/>
      <c r="P199" s="37"/>
      <c r="Q199" s="37"/>
      <c r="R199" s="37"/>
      <c r="S199" s="37"/>
      <c r="T199" s="37"/>
      <c r="U199" s="3"/>
      <c r="W199" s="3"/>
      <c r="X199" s="3"/>
      <c r="Y199" s="3"/>
      <c r="Z199" s="3"/>
    </row>
    <row r="200" spans="1:26" ht="15.75" hidden="1" customHeight="1" outlineLevel="1" x14ac:dyDescent="0.3">
      <c r="A200" s="3"/>
      <c r="B200" s="10" t="s">
        <v>50</v>
      </c>
      <c r="C200" s="62"/>
      <c r="D200" s="62"/>
      <c r="E200" s="12">
        <v>0</v>
      </c>
      <c r="F200" s="12">
        <v>0</v>
      </c>
      <c r="G200" s="65"/>
      <c r="H200" s="65"/>
      <c r="I200" s="157"/>
      <c r="J200" s="65"/>
      <c r="K200" s="37"/>
      <c r="L200" s="37"/>
      <c r="M200" s="37"/>
      <c r="N200" s="37"/>
      <c r="O200" s="37"/>
      <c r="P200" s="37"/>
      <c r="Q200" s="37"/>
      <c r="R200" s="37"/>
      <c r="S200" s="37"/>
      <c r="T200" s="37"/>
      <c r="U200" s="3"/>
      <c r="W200" s="3"/>
      <c r="X200" s="3"/>
      <c r="Y200" s="3"/>
      <c r="Z200" s="3"/>
    </row>
    <row r="201" spans="1:26" ht="15.75" hidden="1" customHeight="1" outlineLevel="1" x14ac:dyDescent="0.3">
      <c r="A201" s="3"/>
      <c r="B201" s="10" t="s">
        <v>50</v>
      </c>
      <c r="C201" s="62"/>
      <c r="D201" s="62"/>
      <c r="E201" s="12">
        <v>0</v>
      </c>
      <c r="F201" s="12">
        <v>0</v>
      </c>
      <c r="G201" s="65"/>
      <c r="H201" s="65"/>
      <c r="I201" s="157"/>
      <c r="J201" s="65"/>
      <c r="K201" s="37"/>
      <c r="L201" s="37"/>
      <c r="M201" s="37"/>
      <c r="N201" s="37"/>
      <c r="O201" s="37"/>
      <c r="P201" s="37"/>
      <c r="Q201" s="37"/>
      <c r="R201" s="37"/>
      <c r="S201" s="37"/>
      <c r="T201" s="37"/>
      <c r="U201" s="3"/>
      <c r="W201" s="3"/>
      <c r="X201" s="3"/>
      <c r="Y201" s="3"/>
      <c r="Z201" s="3"/>
    </row>
    <row r="202" spans="1:26" ht="15.75" hidden="1" customHeight="1" outlineLevel="1" x14ac:dyDescent="0.3">
      <c r="A202" s="3"/>
      <c r="B202" s="10" t="s">
        <v>50</v>
      </c>
      <c r="C202" s="62"/>
      <c r="D202" s="62"/>
      <c r="E202" s="12">
        <v>0</v>
      </c>
      <c r="F202" s="12">
        <v>0</v>
      </c>
      <c r="G202" s="65"/>
      <c r="H202" s="65"/>
      <c r="I202" s="157"/>
      <c r="J202" s="65"/>
      <c r="K202" s="37"/>
      <c r="L202" s="37"/>
      <c r="M202" s="37"/>
      <c r="N202" s="37"/>
      <c r="O202" s="37"/>
      <c r="P202" s="37"/>
      <c r="Q202" s="37"/>
      <c r="R202" s="37"/>
      <c r="S202" s="37"/>
      <c r="T202" s="37"/>
      <c r="U202" s="3"/>
      <c r="W202" s="3"/>
      <c r="X202" s="3"/>
      <c r="Y202" s="3"/>
      <c r="Z202" s="3"/>
    </row>
    <row r="203" spans="1:26" ht="15.75" hidden="1" customHeight="1" outlineLevel="1" x14ac:dyDescent="0.3">
      <c r="A203" s="3"/>
      <c r="B203" s="10" t="s">
        <v>50</v>
      </c>
      <c r="C203" s="62"/>
      <c r="D203" s="62"/>
      <c r="E203" s="12">
        <v>0</v>
      </c>
      <c r="F203" s="12">
        <v>0</v>
      </c>
      <c r="G203" s="65"/>
      <c r="H203" s="65"/>
      <c r="I203" s="157"/>
      <c r="J203" s="65"/>
      <c r="K203" s="37"/>
      <c r="L203" s="37"/>
      <c r="M203" s="37"/>
      <c r="N203" s="37"/>
      <c r="O203" s="37"/>
      <c r="P203" s="37"/>
      <c r="Q203" s="37"/>
      <c r="R203" s="37"/>
      <c r="S203" s="37"/>
      <c r="T203" s="37"/>
      <c r="U203" s="3"/>
      <c r="W203" s="3"/>
      <c r="X203" s="3"/>
      <c r="Y203" s="3"/>
      <c r="Z203" s="3"/>
    </row>
    <row r="204" spans="1:26" ht="15.75" hidden="1" customHeight="1" outlineLevel="1" x14ac:dyDescent="0.3">
      <c r="A204" s="3"/>
      <c r="B204" s="10" t="s">
        <v>50</v>
      </c>
      <c r="C204" s="62"/>
      <c r="D204" s="62"/>
      <c r="E204" s="12">
        <v>0</v>
      </c>
      <c r="F204" s="12">
        <v>0</v>
      </c>
      <c r="G204" s="65"/>
      <c r="H204" s="65"/>
      <c r="I204" s="157"/>
      <c r="J204" s="65"/>
      <c r="K204" s="37"/>
      <c r="L204" s="37"/>
      <c r="M204" s="37"/>
      <c r="N204" s="37"/>
      <c r="O204" s="37"/>
      <c r="P204" s="37"/>
      <c r="Q204" s="37"/>
      <c r="R204" s="37"/>
      <c r="S204" s="37"/>
      <c r="T204" s="37"/>
      <c r="U204" s="3"/>
      <c r="W204" s="3"/>
      <c r="X204" s="3"/>
      <c r="Y204" s="3"/>
      <c r="Z204" s="3"/>
    </row>
    <row r="205" spans="1:26" ht="15.75" hidden="1" customHeight="1" outlineLevel="1" x14ac:dyDescent="0.3">
      <c r="A205" s="3"/>
      <c r="B205" s="10" t="s">
        <v>50</v>
      </c>
      <c r="C205" s="62"/>
      <c r="D205" s="62"/>
      <c r="E205" s="12">
        <v>0</v>
      </c>
      <c r="F205" s="12">
        <v>0</v>
      </c>
      <c r="G205" s="65"/>
      <c r="H205" s="65"/>
      <c r="I205" s="128"/>
      <c r="J205" s="65"/>
      <c r="K205" s="37"/>
      <c r="L205" s="37"/>
      <c r="M205" s="37"/>
      <c r="N205" s="37"/>
      <c r="O205" s="37"/>
      <c r="P205" s="37"/>
      <c r="Q205" s="37"/>
      <c r="R205" s="37"/>
      <c r="S205" s="37"/>
      <c r="T205" s="37"/>
      <c r="U205" s="3"/>
      <c r="W205" s="3"/>
      <c r="X205" s="3"/>
      <c r="Y205" s="3"/>
      <c r="Z205" s="3"/>
    </row>
    <row r="206" spans="1:26" ht="15.75" hidden="1" customHeight="1" outlineLevel="1" x14ac:dyDescent="0.3">
      <c r="A206" s="3"/>
      <c r="B206" s="10" t="s">
        <v>50</v>
      </c>
      <c r="C206" s="62"/>
      <c r="D206" s="62"/>
      <c r="E206" s="12">
        <v>0</v>
      </c>
      <c r="F206" s="12">
        <v>0</v>
      </c>
      <c r="G206" s="65"/>
      <c r="H206" s="65"/>
      <c r="I206" s="157"/>
      <c r="J206" s="65"/>
      <c r="K206" s="37"/>
      <c r="L206" s="37"/>
      <c r="M206" s="37"/>
      <c r="N206" s="37"/>
      <c r="O206" s="37"/>
      <c r="P206" s="37"/>
      <c r="Q206" s="37"/>
      <c r="R206" s="37"/>
      <c r="S206" s="37"/>
      <c r="T206" s="37"/>
      <c r="U206" s="3"/>
      <c r="W206" s="3"/>
      <c r="X206" s="3"/>
      <c r="Y206" s="3"/>
      <c r="Z206" s="3"/>
    </row>
    <row r="207" spans="1:26" ht="15.75" hidden="1" customHeight="1" outlineLevel="1" x14ac:dyDescent="0.3">
      <c r="A207" s="3"/>
      <c r="B207" s="10" t="s">
        <v>50</v>
      </c>
      <c r="C207" s="62"/>
      <c r="D207" s="62"/>
      <c r="E207" s="12">
        <v>0</v>
      </c>
      <c r="F207" s="12">
        <v>0</v>
      </c>
      <c r="G207" s="65"/>
      <c r="H207" s="65"/>
      <c r="I207" s="128"/>
      <c r="J207" s="65"/>
      <c r="K207" s="37"/>
      <c r="L207" s="37"/>
      <c r="M207" s="37"/>
      <c r="N207" s="37"/>
      <c r="O207" s="37"/>
      <c r="P207" s="37"/>
      <c r="Q207" s="37"/>
      <c r="R207" s="37"/>
      <c r="S207" s="37"/>
      <c r="T207" s="37"/>
      <c r="U207" s="3"/>
      <c r="W207" s="3"/>
      <c r="X207" s="3"/>
      <c r="Y207" s="3"/>
      <c r="Z207" s="3"/>
    </row>
    <row r="208" spans="1:26" ht="15.75" hidden="1" customHeight="1" outlineLevel="1" x14ac:dyDescent="0.3">
      <c r="A208" s="3"/>
      <c r="B208" s="10" t="s">
        <v>50</v>
      </c>
      <c r="C208" s="62"/>
      <c r="D208" s="62"/>
      <c r="E208" s="12">
        <v>0</v>
      </c>
      <c r="F208" s="12">
        <v>0</v>
      </c>
      <c r="G208" s="65"/>
      <c r="H208" s="65"/>
      <c r="I208" s="128"/>
      <c r="J208" s="65"/>
      <c r="K208" s="37"/>
      <c r="L208" s="37"/>
      <c r="M208" s="37"/>
      <c r="N208" s="37"/>
      <c r="O208" s="37"/>
      <c r="P208" s="37"/>
      <c r="Q208" s="37"/>
      <c r="R208" s="37"/>
      <c r="S208" s="37"/>
      <c r="T208" s="37"/>
      <c r="U208" s="3"/>
      <c r="W208" s="3"/>
      <c r="X208" s="3"/>
      <c r="Y208" s="3"/>
      <c r="Z208" s="3"/>
    </row>
    <row r="209" spans="1:26" ht="15.75" hidden="1" customHeight="1" outlineLevel="1" x14ac:dyDescent="0.3">
      <c r="A209" s="3"/>
      <c r="B209" s="10" t="s">
        <v>50</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5.75" hidden="1" customHeight="1" outlineLevel="1" x14ac:dyDescent="0.3">
      <c r="A210" s="3"/>
      <c r="B210" s="10" t="s">
        <v>50</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5.75" hidden="1" customHeight="1" outlineLevel="1" x14ac:dyDescent="0.3">
      <c r="A211" s="3"/>
      <c r="B211" s="10" t="s">
        <v>50</v>
      </c>
      <c r="C211" s="62"/>
      <c r="D211" s="62"/>
      <c r="E211" s="12">
        <v>0</v>
      </c>
      <c r="F211" s="12">
        <v>0</v>
      </c>
      <c r="G211" s="65"/>
      <c r="H211" s="65"/>
      <c r="I211" s="89"/>
      <c r="J211" s="65"/>
      <c r="K211" s="37"/>
      <c r="L211" s="37"/>
      <c r="M211" s="37"/>
      <c r="N211" s="37"/>
      <c r="O211" s="37"/>
      <c r="P211" s="37"/>
      <c r="Q211" s="37"/>
      <c r="R211" s="37"/>
      <c r="S211" s="37"/>
      <c r="T211" s="37"/>
      <c r="U211" s="3"/>
      <c r="W211" s="3"/>
      <c r="X211" s="3"/>
      <c r="Y211" s="3"/>
      <c r="Z211" s="3"/>
    </row>
    <row r="212" spans="1:26" ht="15.75" hidden="1" customHeight="1" outlineLevel="1" x14ac:dyDescent="0.3">
      <c r="A212" s="3"/>
      <c r="B212" s="10" t="s">
        <v>50</v>
      </c>
      <c r="C212" s="62"/>
      <c r="D212" s="62"/>
      <c r="E212" s="12">
        <v>0</v>
      </c>
      <c r="F212" s="12">
        <v>0</v>
      </c>
      <c r="G212" s="65"/>
      <c r="H212" s="65"/>
      <c r="I212" s="89"/>
      <c r="J212" s="65"/>
      <c r="K212" s="37"/>
      <c r="L212" s="37"/>
      <c r="M212" s="37"/>
      <c r="N212" s="37"/>
      <c r="O212" s="37"/>
      <c r="P212" s="37"/>
      <c r="Q212" s="37"/>
      <c r="R212" s="37"/>
      <c r="S212" s="37"/>
      <c r="T212" s="37"/>
      <c r="U212" s="3"/>
      <c r="W212" s="3"/>
      <c r="X212" s="3"/>
      <c r="Y212" s="3"/>
      <c r="Z212" s="3"/>
    </row>
    <row r="213" spans="1:26" ht="15.75" hidden="1" customHeight="1" outlineLevel="1" x14ac:dyDescent="0.3">
      <c r="A213" s="3"/>
      <c r="B213" s="10" t="s">
        <v>50</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5.75" customHeight="1" collapsed="1" x14ac:dyDescent="0.3">
      <c r="A214" s="3"/>
      <c r="B214" s="84" t="s">
        <v>394</v>
      </c>
      <c r="C214" s="85" t="s">
        <v>43</v>
      </c>
      <c r="D214" s="85" t="s">
        <v>43</v>
      </c>
      <c r="E214" s="86">
        <f>SUM(E215:E223)</f>
        <v>0</v>
      </c>
      <c r="F214" s="86">
        <f>SUMIF(D215:D223,"OK",F215:F223)</f>
        <v>0</v>
      </c>
      <c r="G214" s="87"/>
      <c r="H214" s="87"/>
      <c r="I214" s="88"/>
      <c r="J214" s="87"/>
      <c r="K214" s="37"/>
      <c r="L214" s="37"/>
      <c r="M214" s="37"/>
      <c r="N214" s="37"/>
      <c r="O214" s="37"/>
      <c r="P214" s="37"/>
      <c r="Q214" s="37"/>
      <c r="R214" s="37"/>
      <c r="S214" s="37"/>
      <c r="T214" s="37"/>
      <c r="U214" s="3"/>
      <c r="W214" s="3"/>
      <c r="X214" s="3"/>
      <c r="Y214" s="3"/>
      <c r="Z214" s="3"/>
    </row>
    <row r="215" spans="1:26" ht="15.75" hidden="1" customHeight="1" outlineLevel="1" x14ac:dyDescent="0.3">
      <c r="A215" s="3"/>
      <c r="B215" s="10" t="s">
        <v>1569</v>
      </c>
      <c r="C215" s="62"/>
      <c r="D215" s="62"/>
      <c r="E215" s="12">
        <v>0</v>
      </c>
      <c r="F215" s="12">
        <v>0</v>
      </c>
      <c r="G215" s="89"/>
      <c r="H215" s="65"/>
      <c r="I215" s="112"/>
      <c r="J215" s="65"/>
      <c r="K215" s="37"/>
      <c r="L215" s="37"/>
      <c r="M215" s="37"/>
      <c r="N215" s="37"/>
      <c r="O215" s="37"/>
      <c r="P215" s="37"/>
      <c r="Q215" s="37"/>
      <c r="R215" s="37"/>
      <c r="S215" s="37"/>
      <c r="T215" s="37"/>
      <c r="U215" s="3"/>
      <c r="W215" s="3"/>
      <c r="X215" s="3"/>
      <c r="Y215" s="3"/>
      <c r="Z215" s="3"/>
    </row>
    <row r="216" spans="1:26" ht="15.75" hidden="1" customHeight="1" outlineLevel="1" x14ac:dyDescent="0.3">
      <c r="A216" s="3"/>
      <c r="B216" s="10" t="s">
        <v>1606</v>
      </c>
      <c r="C216" s="62"/>
      <c r="D216" s="62"/>
      <c r="E216" s="12">
        <v>0</v>
      </c>
      <c r="F216" s="12">
        <v>0</v>
      </c>
      <c r="G216" s="65"/>
      <c r="H216" s="65"/>
      <c r="I216" s="112"/>
      <c r="J216" s="65"/>
      <c r="K216" s="37"/>
      <c r="L216" s="37"/>
      <c r="M216" s="37"/>
      <c r="N216" s="37"/>
      <c r="O216" s="37"/>
      <c r="P216" s="37"/>
      <c r="Q216" s="37"/>
      <c r="R216" s="37"/>
      <c r="S216" s="37"/>
      <c r="T216" s="37"/>
      <c r="U216" s="3"/>
      <c r="W216" s="3"/>
      <c r="X216" s="3"/>
      <c r="Y216" s="3"/>
      <c r="Z216" s="3"/>
    </row>
    <row r="217" spans="1:26" ht="15.75" hidden="1" customHeight="1" outlineLevel="1" x14ac:dyDescent="0.3">
      <c r="A217" s="3"/>
      <c r="B217" s="10" t="s">
        <v>1607</v>
      </c>
      <c r="C217" s="62"/>
      <c r="D217" s="62"/>
      <c r="E217" s="12">
        <v>0</v>
      </c>
      <c r="F217" s="12">
        <v>0</v>
      </c>
      <c r="G217" s="65"/>
      <c r="H217" s="65"/>
      <c r="I217" s="112"/>
      <c r="J217" s="65"/>
      <c r="K217" s="37"/>
      <c r="L217" s="37"/>
      <c r="M217" s="37"/>
      <c r="N217" s="37"/>
      <c r="O217" s="37"/>
      <c r="P217" s="37"/>
      <c r="Q217" s="37"/>
      <c r="R217" s="37"/>
      <c r="S217" s="37"/>
      <c r="T217" s="37"/>
      <c r="U217" s="3"/>
      <c r="W217" s="3"/>
      <c r="X217" s="3"/>
      <c r="Y217" s="3"/>
      <c r="Z217" s="3"/>
    </row>
    <row r="218" spans="1:26" ht="15.75" hidden="1" customHeight="1" outlineLevel="1" x14ac:dyDescent="0.3">
      <c r="A218" s="3"/>
      <c r="B218" s="10" t="s">
        <v>369</v>
      </c>
      <c r="C218" s="62"/>
      <c r="D218" s="62"/>
      <c r="E218" s="12">
        <v>0</v>
      </c>
      <c r="F218" s="12">
        <v>0</v>
      </c>
      <c r="G218" s="65"/>
      <c r="H218" s="65"/>
      <c r="I218" s="156"/>
      <c r="J218" s="65"/>
      <c r="K218" s="37"/>
      <c r="L218" s="37"/>
      <c r="M218" s="37"/>
      <c r="N218" s="37"/>
      <c r="O218" s="37"/>
      <c r="P218" s="37"/>
      <c r="Q218" s="37"/>
      <c r="R218" s="37"/>
      <c r="S218" s="37"/>
      <c r="T218" s="37"/>
      <c r="U218" s="3"/>
      <c r="W218" s="3"/>
      <c r="X218" s="3"/>
      <c r="Y218" s="3"/>
      <c r="Z218" s="3"/>
    </row>
    <row r="219" spans="1:26" ht="15.75" hidden="1" customHeight="1" outlineLevel="1" x14ac:dyDescent="0.3">
      <c r="A219" s="3"/>
      <c r="B219" s="10" t="s">
        <v>327</v>
      </c>
      <c r="C219" s="62"/>
      <c r="D219" s="62"/>
      <c r="E219" s="12">
        <v>0</v>
      </c>
      <c r="F219" s="12">
        <v>0</v>
      </c>
      <c r="G219" s="65"/>
      <c r="H219" s="65"/>
      <c r="I219" s="156"/>
      <c r="J219" s="65"/>
      <c r="K219" s="37"/>
      <c r="L219" s="37"/>
      <c r="M219" s="37"/>
      <c r="N219" s="37"/>
      <c r="O219" s="37"/>
      <c r="P219" s="37"/>
      <c r="Q219" s="37"/>
      <c r="R219" s="37"/>
      <c r="S219" s="37"/>
      <c r="T219" s="37"/>
      <c r="U219" s="3"/>
      <c r="W219" s="3"/>
      <c r="X219" s="3"/>
      <c r="Y219" s="3"/>
      <c r="Z219" s="3"/>
    </row>
    <row r="220" spans="1:26" ht="15.75" hidden="1" customHeight="1" outlineLevel="1" x14ac:dyDescent="0.3">
      <c r="A220" s="3"/>
      <c r="B220" s="10" t="s">
        <v>328</v>
      </c>
      <c r="C220" s="62"/>
      <c r="D220" s="62"/>
      <c r="E220" s="12">
        <v>0</v>
      </c>
      <c r="F220" s="12">
        <v>0</v>
      </c>
      <c r="G220" s="65"/>
      <c r="H220" s="65"/>
      <c r="I220" s="156"/>
      <c r="J220" s="65"/>
      <c r="K220" s="37"/>
      <c r="L220" s="37"/>
      <c r="M220" s="37"/>
      <c r="N220" s="37"/>
      <c r="O220" s="37"/>
      <c r="P220" s="37"/>
      <c r="Q220" s="37"/>
      <c r="R220" s="37"/>
      <c r="S220" s="37"/>
      <c r="T220" s="37"/>
      <c r="U220" s="3"/>
      <c r="W220" s="3"/>
      <c r="X220" s="3"/>
      <c r="Y220" s="3"/>
      <c r="Z220" s="3"/>
    </row>
    <row r="221" spans="1:26" ht="15.75" hidden="1" customHeight="1" outlineLevel="1" x14ac:dyDescent="0.3">
      <c r="A221" s="3"/>
      <c r="B221" s="10" t="s">
        <v>370</v>
      </c>
      <c r="C221" s="62"/>
      <c r="D221" s="62"/>
      <c r="E221" s="12">
        <v>0</v>
      </c>
      <c r="F221" s="12">
        <v>0</v>
      </c>
      <c r="G221" s="65"/>
      <c r="H221" s="65"/>
      <c r="I221" s="156"/>
      <c r="J221" s="65"/>
      <c r="K221" s="37"/>
      <c r="L221" s="37"/>
      <c r="M221" s="37"/>
      <c r="N221" s="37"/>
      <c r="O221" s="37"/>
      <c r="P221" s="37"/>
      <c r="Q221" s="37"/>
      <c r="R221" s="37"/>
      <c r="S221" s="37"/>
      <c r="T221" s="37"/>
      <c r="U221" s="3"/>
      <c r="W221" s="3"/>
      <c r="X221" s="3"/>
      <c r="Y221" s="3"/>
      <c r="Z221" s="3"/>
    </row>
    <row r="222" spans="1:26" ht="15.75" hidden="1" customHeight="1" outlineLevel="1" x14ac:dyDescent="0.3">
      <c r="A222" s="3"/>
      <c r="B222" s="10" t="s">
        <v>371</v>
      </c>
      <c r="C222" s="62"/>
      <c r="D222" s="62"/>
      <c r="E222" s="12">
        <v>0</v>
      </c>
      <c r="F222" s="12">
        <v>0</v>
      </c>
      <c r="G222" s="65"/>
      <c r="H222" s="65"/>
      <c r="I222" s="89"/>
      <c r="J222" s="65"/>
      <c r="K222" s="37"/>
      <c r="L222" s="37"/>
      <c r="M222" s="37"/>
      <c r="N222" s="37"/>
      <c r="O222" s="37"/>
      <c r="P222" s="37"/>
      <c r="Q222" s="37"/>
      <c r="R222" s="37"/>
      <c r="S222" s="37"/>
      <c r="T222" s="37"/>
      <c r="U222" s="3"/>
      <c r="W222" s="3"/>
      <c r="X222" s="3"/>
      <c r="Y222" s="3"/>
      <c r="Z222" s="3"/>
    </row>
    <row r="223" spans="1:26" ht="15.75" hidden="1" customHeight="1" outlineLevel="1" x14ac:dyDescent="0.3">
      <c r="A223" s="3"/>
      <c r="B223" s="10" t="s">
        <v>372</v>
      </c>
      <c r="C223" s="62"/>
      <c r="D223" s="62"/>
      <c r="E223" s="12">
        <v>0</v>
      </c>
      <c r="F223" s="12">
        <v>0</v>
      </c>
      <c r="G223" s="65"/>
      <c r="H223" s="65"/>
      <c r="I223" s="89"/>
      <c r="J223" s="65"/>
      <c r="K223" s="37"/>
      <c r="L223" s="37"/>
      <c r="M223" s="37"/>
      <c r="N223" s="37"/>
      <c r="O223" s="37"/>
      <c r="P223" s="37"/>
      <c r="Q223" s="37"/>
      <c r="R223" s="37"/>
      <c r="S223" s="37"/>
      <c r="T223" s="37"/>
      <c r="U223" s="3"/>
      <c r="W223" s="3"/>
      <c r="X223" s="3"/>
      <c r="Y223" s="3"/>
      <c r="Z223" s="3"/>
    </row>
    <row r="224" spans="1:26" ht="15.75" customHeight="1" collapsed="1" x14ac:dyDescent="0.3">
      <c r="A224" s="3"/>
      <c r="B224" s="84" t="s">
        <v>401</v>
      </c>
      <c r="C224" s="85" t="s">
        <v>43</v>
      </c>
      <c r="D224" s="85" t="s">
        <v>43</v>
      </c>
      <c r="E224" s="86">
        <f>SUM(E225:E233)</f>
        <v>0</v>
      </c>
      <c r="F224" s="86">
        <f>SUMIF(D225:D233,"OK",F225:F233)</f>
        <v>0</v>
      </c>
      <c r="G224" s="87"/>
      <c r="H224" s="87"/>
      <c r="I224" s="88"/>
      <c r="J224" s="87"/>
      <c r="K224" s="37"/>
      <c r="L224" s="37"/>
      <c r="M224" s="37"/>
      <c r="N224" s="37"/>
      <c r="O224" s="37"/>
      <c r="P224" s="37"/>
      <c r="Q224" s="37"/>
      <c r="R224" s="37"/>
      <c r="S224" s="37"/>
      <c r="T224" s="37"/>
      <c r="U224" s="3"/>
      <c r="W224" s="3"/>
      <c r="X224" s="3"/>
      <c r="Y224" s="3"/>
      <c r="Z224" s="3"/>
    </row>
    <row r="225" spans="1:26" ht="15.75" hidden="1" customHeight="1" outlineLevel="1" x14ac:dyDescent="0.3">
      <c r="A225" s="3"/>
      <c r="B225" s="10" t="s">
        <v>353</v>
      </c>
      <c r="C225" s="62"/>
      <c r="D225" s="62"/>
      <c r="E225" s="12">
        <v>0</v>
      </c>
      <c r="F225" s="12">
        <v>0</v>
      </c>
      <c r="G225" s="65"/>
      <c r="H225" s="65"/>
      <c r="I225" s="112"/>
      <c r="J225" s="65"/>
      <c r="K225" s="37"/>
      <c r="L225" s="37"/>
      <c r="M225" s="37"/>
      <c r="N225" s="37"/>
      <c r="O225" s="37"/>
      <c r="P225" s="37"/>
      <c r="Q225" s="37"/>
      <c r="R225" s="37"/>
      <c r="S225" s="37"/>
      <c r="T225" s="37"/>
      <c r="U225" s="3"/>
      <c r="W225" s="3"/>
      <c r="X225" s="3"/>
      <c r="Y225" s="3"/>
      <c r="Z225" s="3"/>
    </row>
    <row r="226" spans="1:26" ht="15.75" hidden="1" customHeight="1" outlineLevel="1" x14ac:dyDescent="0.3">
      <c r="A226" s="3"/>
      <c r="B226" s="10" t="s">
        <v>354</v>
      </c>
      <c r="C226" s="62"/>
      <c r="D226" s="62"/>
      <c r="E226" s="12">
        <v>0</v>
      </c>
      <c r="F226" s="12">
        <v>0</v>
      </c>
      <c r="G226" s="65"/>
      <c r="H226" s="65"/>
      <c r="I226" s="112"/>
      <c r="J226" s="65"/>
      <c r="K226" s="37"/>
      <c r="L226" s="37"/>
      <c r="M226" s="37"/>
      <c r="N226" s="37"/>
      <c r="O226" s="37"/>
      <c r="P226" s="37"/>
      <c r="Q226" s="37"/>
      <c r="R226" s="37"/>
      <c r="S226" s="37"/>
      <c r="T226" s="37"/>
      <c r="U226" s="3"/>
      <c r="W226" s="3"/>
      <c r="X226" s="3"/>
      <c r="Y226" s="3"/>
      <c r="Z226" s="3"/>
    </row>
    <row r="227" spans="1:26" ht="15.75" hidden="1" customHeight="1" outlineLevel="1" x14ac:dyDescent="0.3">
      <c r="A227" s="3"/>
      <c r="B227" s="10" t="s">
        <v>355</v>
      </c>
      <c r="C227" s="62"/>
      <c r="D227" s="62"/>
      <c r="E227" s="12">
        <v>0</v>
      </c>
      <c r="F227" s="12">
        <v>0</v>
      </c>
      <c r="G227" s="65"/>
      <c r="H227" s="65"/>
      <c r="I227" s="156"/>
      <c r="J227" s="65"/>
      <c r="K227" s="37"/>
      <c r="L227" s="37"/>
      <c r="M227" s="37"/>
      <c r="N227" s="37"/>
      <c r="O227" s="37"/>
      <c r="P227" s="37"/>
      <c r="Q227" s="37"/>
      <c r="R227" s="37"/>
      <c r="S227" s="37"/>
      <c r="T227" s="37"/>
      <c r="U227" s="3"/>
      <c r="W227" s="3"/>
      <c r="X227" s="3"/>
      <c r="Y227" s="3"/>
      <c r="Z227" s="3"/>
    </row>
    <row r="228" spans="1:26" ht="15.75" hidden="1" customHeight="1" outlineLevel="1" x14ac:dyDescent="0.3">
      <c r="A228" s="3"/>
      <c r="B228" s="10" t="s">
        <v>369</v>
      </c>
      <c r="C228" s="62"/>
      <c r="D228" s="62"/>
      <c r="E228" s="12">
        <v>0</v>
      </c>
      <c r="F228" s="12">
        <v>0</v>
      </c>
      <c r="G228" s="65"/>
      <c r="H228" s="65"/>
      <c r="I228" s="156"/>
      <c r="J228" s="65"/>
      <c r="K228" s="37"/>
      <c r="L228" s="37"/>
      <c r="M228" s="37"/>
      <c r="N228" s="37"/>
      <c r="O228" s="37"/>
      <c r="P228" s="37"/>
      <c r="Q228" s="37"/>
      <c r="R228" s="37"/>
      <c r="S228" s="37"/>
      <c r="T228" s="37"/>
      <c r="U228" s="3"/>
      <c r="W228" s="3"/>
      <c r="X228" s="3"/>
      <c r="Y228" s="3"/>
      <c r="Z228" s="3"/>
    </row>
    <row r="229" spans="1:26" ht="15.75" hidden="1" customHeight="1" outlineLevel="1" x14ac:dyDescent="0.3">
      <c r="A229" s="3"/>
      <c r="B229" s="10" t="s">
        <v>327</v>
      </c>
      <c r="C229" s="62"/>
      <c r="D229" s="62"/>
      <c r="E229" s="12">
        <v>0</v>
      </c>
      <c r="F229" s="12">
        <v>0</v>
      </c>
      <c r="G229" s="65"/>
      <c r="H229" s="65"/>
      <c r="I229" s="157"/>
      <c r="J229" s="65"/>
      <c r="K229" s="37"/>
      <c r="L229" s="37"/>
      <c r="M229" s="37"/>
      <c r="N229" s="37"/>
      <c r="O229" s="37"/>
      <c r="P229" s="37"/>
      <c r="Q229" s="37"/>
      <c r="R229" s="37"/>
      <c r="S229" s="37"/>
      <c r="T229" s="37"/>
      <c r="U229" s="3"/>
      <c r="W229" s="3"/>
      <c r="X229" s="3"/>
      <c r="Y229" s="3"/>
      <c r="Z229" s="3"/>
    </row>
    <row r="230" spans="1:26" ht="15.75" hidden="1" customHeight="1" outlineLevel="1" x14ac:dyDescent="0.3">
      <c r="A230" s="3"/>
      <c r="B230" s="10" t="s">
        <v>328</v>
      </c>
      <c r="C230" s="62"/>
      <c r="D230" s="62"/>
      <c r="E230" s="12">
        <v>0</v>
      </c>
      <c r="F230" s="12">
        <v>0</v>
      </c>
      <c r="G230" s="65"/>
      <c r="H230" s="65"/>
      <c r="I230" s="157"/>
      <c r="J230" s="65"/>
      <c r="K230" s="37"/>
      <c r="L230" s="37"/>
      <c r="M230" s="37"/>
      <c r="N230" s="37"/>
      <c r="O230" s="37"/>
      <c r="P230" s="37"/>
      <c r="Q230" s="37"/>
      <c r="R230" s="37"/>
      <c r="S230" s="37"/>
      <c r="T230" s="37"/>
      <c r="U230" s="3"/>
      <c r="W230" s="3"/>
      <c r="X230" s="3"/>
      <c r="Y230" s="3"/>
      <c r="Z230" s="3"/>
    </row>
    <row r="231" spans="1:26" ht="15.75" hidden="1" customHeight="1" outlineLevel="1" x14ac:dyDescent="0.3">
      <c r="A231" s="3"/>
      <c r="B231" s="10" t="s">
        <v>370</v>
      </c>
      <c r="C231" s="62"/>
      <c r="D231" s="62"/>
      <c r="E231" s="12">
        <v>0</v>
      </c>
      <c r="F231" s="12">
        <v>0</v>
      </c>
      <c r="G231" s="65"/>
      <c r="H231" s="65"/>
      <c r="I231" s="157"/>
      <c r="J231" s="65"/>
      <c r="K231" s="37"/>
      <c r="L231" s="37"/>
      <c r="M231" s="37"/>
      <c r="N231" s="37"/>
      <c r="O231" s="37"/>
      <c r="P231" s="37"/>
      <c r="Q231" s="37"/>
      <c r="R231" s="37"/>
      <c r="S231" s="37"/>
      <c r="T231" s="37"/>
      <c r="U231" s="3"/>
      <c r="W231" s="3"/>
      <c r="X231" s="3"/>
      <c r="Y231" s="3"/>
      <c r="Z231" s="3"/>
    </row>
    <row r="232" spans="1:26" ht="15.75" hidden="1" customHeight="1" outlineLevel="1" x14ac:dyDescent="0.3">
      <c r="A232" s="3"/>
      <c r="B232" s="10" t="s">
        <v>371</v>
      </c>
      <c r="C232" s="62"/>
      <c r="D232" s="62"/>
      <c r="E232" s="12">
        <v>0</v>
      </c>
      <c r="F232" s="12">
        <v>0</v>
      </c>
      <c r="G232" s="89"/>
      <c r="H232" s="65"/>
      <c r="I232" s="157"/>
      <c r="J232" s="65"/>
      <c r="K232" s="37"/>
      <c r="L232" s="37"/>
      <c r="M232" s="37"/>
      <c r="N232" s="37"/>
      <c r="O232" s="37"/>
      <c r="P232" s="37"/>
      <c r="Q232" s="37"/>
      <c r="R232" s="37"/>
      <c r="S232" s="37"/>
      <c r="T232" s="37"/>
      <c r="U232" s="3"/>
      <c r="W232" s="3"/>
      <c r="X232" s="3"/>
      <c r="Y232" s="3"/>
      <c r="Z232" s="3"/>
    </row>
    <row r="233" spans="1:26" ht="15.75" hidden="1" customHeight="1" outlineLevel="1" x14ac:dyDescent="0.3">
      <c r="A233" s="3"/>
      <c r="B233" s="10" t="s">
        <v>372</v>
      </c>
      <c r="C233" s="62"/>
      <c r="D233" s="62"/>
      <c r="E233" s="12">
        <v>0</v>
      </c>
      <c r="F233" s="12">
        <v>0</v>
      </c>
      <c r="G233" s="89"/>
      <c r="H233" s="65"/>
      <c r="I233" s="157"/>
      <c r="J233" s="65"/>
      <c r="K233" s="37"/>
      <c r="L233" s="37"/>
      <c r="M233" s="37"/>
      <c r="N233" s="37"/>
      <c r="O233" s="37"/>
      <c r="P233" s="37"/>
      <c r="Q233" s="37"/>
      <c r="R233" s="37"/>
      <c r="S233" s="37"/>
      <c r="T233" s="37"/>
      <c r="U233" s="3"/>
      <c r="W233" s="3"/>
      <c r="X233" s="3"/>
      <c r="Y233" s="3"/>
      <c r="Z233" s="3"/>
    </row>
    <row r="234" spans="1:26" ht="15.75" customHeight="1" collapsed="1" x14ac:dyDescent="0.3">
      <c r="A234" s="3"/>
      <c r="B234" s="84" t="s">
        <v>402</v>
      </c>
      <c r="C234" s="85" t="s">
        <v>43</v>
      </c>
      <c r="D234" s="85" t="s">
        <v>43</v>
      </c>
      <c r="E234" s="86">
        <f>SUM(E235:E243)</f>
        <v>0</v>
      </c>
      <c r="F234" s="86">
        <f>SUMIF(D235:D243,"OK",F235:F243)</f>
        <v>0</v>
      </c>
      <c r="G234" s="87"/>
      <c r="H234" s="87"/>
      <c r="I234" s="88"/>
      <c r="J234" s="87"/>
      <c r="K234" s="37"/>
      <c r="L234" s="37"/>
      <c r="M234" s="37"/>
      <c r="N234" s="37"/>
      <c r="O234" s="37"/>
      <c r="P234" s="37"/>
      <c r="Q234" s="37"/>
      <c r="R234" s="37"/>
      <c r="S234" s="37"/>
      <c r="T234" s="37"/>
      <c r="U234" s="3"/>
      <c r="W234" s="3"/>
      <c r="X234" s="3"/>
      <c r="Y234" s="3"/>
      <c r="Z234" s="3"/>
    </row>
    <row r="235" spans="1:26" ht="15.75" hidden="1" customHeight="1" outlineLevel="1" x14ac:dyDescent="0.3">
      <c r="A235" s="3"/>
      <c r="B235" s="10" t="s">
        <v>353</v>
      </c>
      <c r="C235" s="62"/>
      <c r="D235" s="62"/>
      <c r="E235" s="12">
        <v>0</v>
      </c>
      <c r="F235" s="12">
        <v>0</v>
      </c>
      <c r="G235" s="65"/>
      <c r="H235" s="65"/>
      <c r="I235" s="157"/>
      <c r="J235" s="65"/>
      <c r="K235" s="37"/>
      <c r="L235" s="37"/>
      <c r="M235" s="37"/>
      <c r="N235" s="37"/>
      <c r="O235" s="37"/>
      <c r="P235" s="37"/>
      <c r="Q235" s="37"/>
      <c r="R235" s="37"/>
      <c r="S235" s="37"/>
      <c r="T235" s="37"/>
      <c r="U235" s="3"/>
      <c r="W235" s="3"/>
      <c r="X235" s="3"/>
      <c r="Y235" s="3"/>
      <c r="Z235" s="3"/>
    </row>
    <row r="236" spans="1:26" ht="15.75" hidden="1" customHeight="1" outlineLevel="1" x14ac:dyDescent="0.3">
      <c r="A236" s="3"/>
      <c r="B236" s="10" t="s">
        <v>354</v>
      </c>
      <c r="C236" s="62"/>
      <c r="D236" s="62"/>
      <c r="E236" s="12">
        <v>0</v>
      </c>
      <c r="F236" s="12">
        <v>0</v>
      </c>
      <c r="G236" s="65"/>
      <c r="H236" s="65"/>
      <c r="I236" s="157"/>
      <c r="J236" s="65"/>
      <c r="K236" s="37"/>
      <c r="L236" s="37"/>
      <c r="M236" s="37"/>
      <c r="N236" s="37"/>
      <c r="O236" s="37"/>
      <c r="P236" s="37"/>
      <c r="Q236" s="37"/>
      <c r="R236" s="37"/>
      <c r="S236" s="37"/>
      <c r="T236" s="37"/>
      <c r="U236" s="3"/>
      <c r="W236" s="3"/>
      <c r="X236" s="3"/>
      <c r="Y236" s="3"/>
      <c r="Z236" s="3"/>
    </row>
    <row r="237" spans="1:26" ht="15.75" hidden="1" customHeight="1" outlineLevel="1" x14ac:dyDescent="0.3">
      <c r="A237" s="3"/>
      <c r="B237" s="10" t="s">
        <v>355</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5.75" hidden="1" customHeight="1" outlineLevel="1" x14ac:dyDescent="0.3">
      <c r="A238" s="3"/>
      <c r="B238" s="10" t="s">
        <v>369</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5.75" hidden="1" customHeight="1" outlineLevel="1" x14ac:dyDescent="0.3">
      <c r="A239" s="3"/>
      <c r="B239" s="10" t="s">
        <v>327</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5.75" hidden="1" customHeight="1" outlineLevel="1" x14ac:dyDescent="0.3">
      <c r="A240" s="3"/>
      <c r="B240" s="10" t="s">
        <v>328</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5.75" hidden="1" customHeight="1" outlineLevel="1" x14ac:dyDescent="0.3">
      <c r="A241" s="3"/>
      <c r="B241" s="10" t="s">
        <v>370</v>
      </c>
      <c r="C241" s="62"/>
      <c r="D241" s="62"/>
      <c r="E241" s="12">
        <v>0</v>
      </c>
      <c r="F241" s="12">
        <v>0</v>
      </c>
      <c r="G241" s="65"/>
      <c r="H241" s="65"/>
      <c r="I241" s="89"/>
      <c r="J241" s="65"/>
      <c r="K241" s="37"/>
      <c r="L241" s="37"/>
      <c r="M241" s="37"/>
      <c r="N241" s="37"/>
      <c r="O241" s="37"/>
      <c r="P241" s="37"/>
      <c r="Q241" s="37"/>
      <c r="R241" s="37"/>
      <c r="S241" s="37"/>
      <c r="T241" s="37"/>
      <c r="U241" s="3"/>
      <c r="W241" s="3"/>
      <c r="X241" s="3"/>
      <c r="Y241" s="3"/>
      <c r="Z241" s="3"/>
    </row>
    <row r="242" spans="1:26" ht="15.75" hidden="1" customHeight="1" outlineLevel="1" x14ac:dyDescent="0.3">
      <c r="A242" s="3"/>
      <c r="B242" s="10" t="s">
        <v>371</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5.75" hidden="1" customHeight="1" outlineLevel="1" x14ac:dyDescent="0.3">
      <c r="A243" s="3"/>
      <c r="B243" s="10" t="s">
        <v>372</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15.75" customHeight="1" collapsed="1" x14ac:dyDescent="0.3">
      <c r="A244" s="3"/>
      <c r="B244" s="84" t="s">
        <v>403</v>
      </c>
      <c r="C244" s="85" t="s">
        <v>43</v>
      </c>
      <c r="D244" s="85" t="s">
        <v>43</v>
      </c>
      <c r="E244" s="86">
        <f>SUM(E245:E253)</f>
        <v>0</v>
      </c>
      <c r="F244" s="86">
        <f>SUMIF(D245:D253,"OK",F245:F253)</f>
        <v>0</v>
      </c>
      <c r="G244" s="87"/>
      <c r="H244" s="87"/>
      <c r="I244" s="88"/>
      <c r="J244" s="87"/>
      <c r="K244" s="37"/>
      <c r="L244" s="37"/>
      <c r="M244" s="37"/>
      <c r="N244" s="37"/>
      <c r="O244" s="37"/>
      <c r="P244" s="37"/>
      <c r="Q244" s="37"/>
      <c r="R244" s="37"/>
      <c r="S244" s="37"/>
      <c r="T244" s="37"/>
      <c r="U244" s="3"/>
      <c r="W244" s="3"/>
      <c r="X244" s="3"/>
      <c r="Y244" s="3"/>
      <c r="Z244" s="3"/>
    </row>
    <row r="245" spans="1:26" ht="15.75" hidden="1" customHeight="1" outlineLevel="1" x14ac:dyDescent="0.3">
      <c r="A245" s="3"/>
      <c r="B245" s="10" t="s">
        <v>1506</v>
      </c>
      <c r="C245" s="62"/>
      <c r="D245" s="62"/>
      <c r="E245" s="12">
        <v>0</v>
      </c>
      <c r="F245" s="12">
        <v>0</v>
      </c>
      <c r="G245" s="89"/>
      <c r="H245" s="65"/>
      <c r="I245" s="128"/>
      <c r="J245" s="65"/>
      <c r="K245" s="37"/>
      <c r="L245" s="37"/>
      <c r="M245" s="37"/>
      <c r="N245" s="37"/>
      <c r="O245" s="37"/>
      <c r="P245" s="37"/>
      <c r="Q245" s="37"/>
      <c r="R245" s="37"/>
      <c r="S245" s="37"/>
      <c r="T245" s="37"/>
      <c r="U245" s="3"/>
      <c r="W245" s="3"/>
      <c r="X245" s="3"/>
      <c r="Y245" s="3"/>
      <c r="Z245" s="3"/>
    </row>
    <row r="246" spans="1:26" ht="15.75" hidden="1" customHeight="1" outlineLevel="1" x14ac:dyDescent="0.3">
      <c r="A246" s="3"/>
      <c r="B246" s="10" t="s">
        <v>354</v>
      </c>
      <c r="C246" s="62"/>
      <c r="D246" s="62"/>
      <c r="E246" s="12">
        <v>0</v>
      </c>
      <c r="F246" s="12">
        <v>0</v>
      </c>
      <c r="G246" s="65"/>
      <c r="H246" s="65"/>
      <c r="I246" s="157"/>
      <c r="J246" s="65"/>
      <c r="K246" s="37"/>
      <c r="L246" s="37"/>
      <c r="M246" s="37"/>
      <c r="N246" s="37"/>
      <c r="O246" s="37"/>
      <c r="P246" s="37"/>
      <c r="Q246" s="37"/>
      <c r="R246" s="37"/>
      <c r="S246" s="37"/>
      <c r="T246" s="37"/>
      <c r="U246" s="3"/>
      <c r="W246" s="3"/>
      <c r="X246" s="3"/>
      <c r="Y246" s="3"/>
      <c r="Z246" s="3"/>
    </row>
    <row r="247" spans="1:26" ht="15.75" hidden="1" customHeight="1" outlineLevel="1" x14ac:dyDescent="0.3">
      <c r="A247" s="3"/>
      <c r="B247" s="10" t="s">
        <v>355</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15.75" hidden="1" customHeight="1" outlineLevel="1" x14ac:dyDescent="0.3">
      <c r="A248" s="3"/>
      <c r="B248" s="10" t="s">
        <v>369</v>
      </c>
      <c r="C248" s="62"/>
      <c r="D248" s="62"/>
      <c r="E248" s="12">
        <v>0</v>
      </c>
      <c r="F248" s="12">
        <v>0</v>
      </c>
      <c r="G248" s="65"/>
      <c r="H248" s="65"/>
      <c r="I248" s="89"/>
      <c r="J248" s="65"/>
      <c r="K248" s="37"/>
      <c r="L248" s="37"/>
      <c r="M248" s="37"/>
      <c r="N248" s="37"/>
      <c r="O248" s="37"/>
      <c r="P248" s="37"/>
      <c r="Q248" s="37"/>
      <c r="R248" s="37"/>
      <c r="S248" s="37"/>
      <c r="T248" s="37"/>
      <c r="U248" s="3"/>
      <c r="W248" s="3"/>
      <c r="X248" s="3"/>
      <c r="Y248" s="3"/>
      <c r="Z248" s="3"/>
    </row>
    <row r="249" spans="1:26" ht="15.75" hidden="1" customHeight="1" outlineLevel="1" x14ac:dyDescent="0.3">
      <c r="A249" s="3"/>
      <c r="B249" s="10" t="s">
        <v>327</v>
      </c>
      <c r="C249" s="62"/>
      <c r="D249" s="62"/>
      <c r="E249" s="12">
        <v>0</v>
      </c>
      <c r="F249" s="12">
        <v>0</v>
      </c>
      <c r="G249" s="65"/>
      <c r="H249" s="65"/>
      <c r="I249" s="89"/>
      <c r="J249" s="65"/>
      <c r="K249" s="37"/>
      <c r="L249" s="37"/>
      <c r="M249" s="37"/>
      <c r="N249" s="37"/>
      <c r="O249" s="37"/>
      <c r="P249" s="37"/>
      <c r="Q249" s="37"/>
      <c r="R249" s="37"/>
      <c r="S249" s="37"/>
      <c r="T249" s="37"/>
      <c r="U249" s="3"/>
      <c r="W249" s="3"/>
      <c r="X249" s="3"/>
      <c r="Y249" s="3"/>
      <c r="Z249" s="3"/>
    </row>
    <row r="250" spans="1:26" ht="15.75" hidden="1" customHeight="1" outlineLevel="1" x14ac:dyDescent="0.3">
      <c r="A250" s="3"/>
      <c r="B250" s="10" t="s">
        <v>328</v>
      </c>
      <c r="C250" s="62"/>
      <c r="D250" s="62"/>
      <c r="E250" s="12">
        <v>0</v>
      </c>
      <c r="F250" s="12">
        <v>0</v>
      </c>
      <c r="G250" s="65"/>
      <c r="H250" s="65"/>
      <c r="I250" s="89"/>
      <c r="J250" s="65"/>
      <c r="K250" s="37"/>
      <c r="L250" s="37"/>
      <c r="M250" s="37"/>
      <c r="N250" s="37"/>
      <c r="O250" s="37"/>
      <c r="P250" s="37"/>
      <c r="Q250" s="37"/>
      <c r="R250" s="37"/>
      <c r="S250" s="37"/>
      <c r="T250" s="37"/>
      <c r="U250" s="3"/>
      <c r="W250" s="3"/>
      <c r="X250" s="3"/>
      <c r="Y250" s="3"/>
      <c r="Z250" s="3"/>
    </row>
    <row r="251" spans="1:26" ht="15.75" hidden="1" customHeight="1" outlineLevel="1" x14ac:dyDescent="0.3">
      <c r="A251" s="3"/>
      <c r="B251" s="10" t="s">
        <v>370</v>
      </c>
      <c r="C251" s="62"/>
      <c r="D251" s="62"/>
      <c r="E251" s="12">
        <v>0</v>
      </c>
      <c r="F251" s="12">
        <v>0</v>
      </c>
      <c r="G251" s="65"/>
      <c r="H251" s="65"/>
      <c r="I251" s="89"/>
      <c r="J251" s="65"/>
      <c r="K251" s="37"/>
      <c r="L251" s="37"/>
      <c r="M251" s="37"/>
      <c r="N251" s="37"/>
      <c r="O251" s="37"/>
      <c r="P251" s="37"/>
      <c r="Q251" s="37"/>
      <c r="R251" s="37"/>
      <c r="S251" s="37"/>
      <c r="T251" s="37"/>
      <c r="U251" s="3"/>
      <c r="W251" s="3"/>
      <c r="X251" s="3"/>
      <c r="Y251" s="3"/>
      <c r="Z251" s="3"/>
    </row>
    <row r="252" spans="1:26" ht="15.75" hidden="1" customHeight="1" outlineLevel="1" x14ac:dyDescent="0.3">
      <c r="A252" s="3"/>
      <c r="B252" s="10" t="s">
        <v>371</v>
      </c>
      <c r="C252" s="62"/>
      <c r="D252" s="62"/>
      <c r="E252" s="12">
        <v>0</v>
      </c>
      <c r="F252" s="12">
        <v>0</v>
      </c>
      <c r="G252" s="65"/>
      <c r="H252" s="65"/>
      <c r="I252" s="89"/>
      <c r="J252" s="65"/>
      <c r="K252" s="37"/>
      <c r="L252" s="37"/>
      <c r="M252" s="37"/>
      <c r="N252" s="37"/>
      <c r="O252" s="37"/>
      <c r="P252" s="37"/>
      <c r="Q252" s="37"/>
      <c r="R252" s="37"/>
      <c r="S252" s="37"/>
      <c r="T252" s="37"/>
      <c r="U252" s="3"/>
      <c r="W252" s="3"/>
      <c r="X252" s="3"/>
      <c r="Y252" s="3"/>
      <c r="Z252" s="3"/>
    </row>
    <row r="253" spans="1:26" ht="15.75" hidden="1" customHeight="1" outlineLevel="1" x14ac:dyDescent="0.3">
      <c r="A253" s="3"/>
      <c r="B253" s="10" t="s">
        <v>372</v>
      </c>
      <c r="C253" s="62"/>
      <c r="D253" s="62"/>
      <c r="E253" s="12">
        <v>0</v>
      </c>
      <c r="F253" s="12">
        <v>0</v>
      </c>
      <c r="G253" s="65"/>
      <c r="H253" s="65"/>
      <c r="I253" s="89"/>
      <c r="J253" s="65"/>
      <c r="K253" s="37"/>
      <c r="L253" s="37"/>
      <c r="M253" s="37"/>
      <c r="N253" s="37"/>
      <c r="O253" s="37"/>
      <c r="P253" s="37"/>
      <c r="Q253" s="37"/>
      <c r="R253" s="37"/>
      <c r="S253" s="37"/>
      <c r="T253" s="37"/>
      <c r="U253" s="3"/>
      <c r="W253" s="3"/>
      <c r="X253" s="3"/>
      <c r="Y253" s="3"/>
      <c r="Z253" s="3"/>
    </row>
    <row r="254" spans="1:26" ht="15.75" customHeight="1" collapsed="1" x14ac:dyDescent="0.3">
      <c r="A254" s="3"/>
      <c r="B254" s="84" t="s">
        <v>405</v>
      </c>
      <c r="C254" s="85" t="s">
        <v>43</v>
      </c>
      <c r="D254" s="85" t="s">
        <v>43</v>
      </c>
      <c r="E254" s="86">
        <f>SUM(E255:E263)</f>
        <v>0</v>
      </c>
      <c r="F254" s="86">
        <f>SUMIF(D255:D263,"OK",F255:F263)</f>
        <v>0</v>
      </c>
      <c r="G254" s="87"/>
      <c r="H254" s="87"/>
      <c r="I254" s="88"/>
      <c r="J254" s="87"/>
      <c r="K254" s="37"/>
      <c r="L254" s="37"/>
      <c r="M254" s="37"/>
      <c r="N254" s="37"/>
      <c r="O254" s="37"/>
      <c r="P254" s="37"/>
      <c r="Q254" s="37"/>
      <c r="R254" s="37"/>
      <c r="S254" s="37"/>
      <c r="T254" s="37"/>
      <c r="U254" s="3"/>
      <c r="W254" s="3"/>
      <c r="X254" s="3"/>
      <c r="Y254" s="3"/>
      <c r="Z254" s="3"/>
    </row>
    <row r="255" spans="1:26" ht="15.75" hidden="1" customHeight="1" outlineLevel="1" x14ac:dyDescent="0.3">
      <c r="A255" s="3"/>
      <c r="B255" s="10" t="s">
        <v>353</v>
      </c>
      <c r="C255" s="62"/>
      <c r="D255" s="62"/>
      <c r="E255" s="12">
        <v>0</v>
      </c>
      <c r="F255" s="12">
        <v>0</v>
      </c>
      <c r="G255" s="65"/>
      <c r="H255" s="65"/>
      <c r="I255" s="112"/>
      <c r="J255" s="65"/>
      <c r="K255" s="37"/>
      <c r="L255" s="37"/>
      <c r="M255" s="37"/>
      <c r="N255" s="37"/>
      <c r="O255" s="37"/>
      <c r="P255" s="37"/>
      <c r="Q255" s="37"/>
      <c r="R255" s="37"/>
      <c r="S255" s="37"/>
      <c r="T255" s="37"/>
      <c r="U255" s="3"/>
      <c r="W255" s="3"/>
      <c r="X255" s="3"/>
      <c r="Y255" s="3"/>
      <c r="Z255" s="3"/>
    </row>
    <row r="256" spans="1:26" ht="15.75" hidden="1" customHeight="1" outlineLevel="1" x14ac:dyDescent="0.3">
      <c r="A256" s="3"/>
      <c r="B256" s="10" t="s">
        <v>354</v>
      </c>
      <c r="C256" s="62"/>
      <c r="D256" s="62"/>
      <c r="E256" s="12">
        <v>0</v>
      </c>
      <c r="F256" s="12">
        <v>0</v>
      </c>
      <c r="G256" s="65"/>
      <c r="H256" s="65"/>
      <c r="I256" s="112"/>
      <c r="J256" s="65"/>
      <c r="K256" s="37"/>
      <c r="L256" s="37"/>
      <c r="M256" s="37"/>
      <c r="N256" s="37"/>
      <c r="O256" s="37"/>
      <c r="P256" s="37"/>
      <c r="Q256" s="37"/>
      <c r="R256" s="37"/>
      <c r="S256" s="37"/>
      <c r="T256" s="37"/>
      <c r="U256" s="3"/>
      <c r="W256" s="3"/>
      <c r="X256" s="3"/>
      <c r="Y256" s="3"/>
      <c r="Z256" s="3"/>
    </row>
    <row r="257" spans="1:26" ht="15.75" hidden="1" customHeight="1" outlineLevel="1" x14ac:dyDescent="0.3">
      <c r="A257" s="3"/>
      <c r="B257" s="10" t="s">
        <v>355</v>
      </c>
      <c r="C257" s="62"/>
      <c r="D257" s="62"/>
      <c r="E257" s="12">
        <v>0</v>
      </c>
      <c r="F257" s="12">
        <v>0</v>
      </c>
      <c r="G257" s="65"/>
      <c r="H257" s="65"/>
      <c r="I257" s="89"/>
      <c r="J257" s="65"/>
      <c r="K257" s="37"/>
      <c r="L257" s="37"/>
      <c r="M257" s="37"/>
      <c r="N257" s="37"/>
      <c r="O257" s="37"/>
      <c r="P257" s="37"/>
      <c r="Q257" s="37"/>
      <c r="R257" s="37"/>
      <c r="S257" s="37"/>
      <c r="T257" s="37"/>
      <c r="U257" s="3"/>
      <c r="W257" s="3"/>
      <c r="X257" s="3"/>
      <c r="Y257" s="3"/>
      <c r="Z257" s="3"/>
    </row>
    <row r="258" spans="1:26" ht="15.75" hidden="1" customHeight="1" outlineLevel="1" x14ac:dyDescent="0.3">
      <c r="A258" s="3"/>
      <c r="B258" s="10" t="s">
        <v>369</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15.75" hidden="1" customHeight="1" outlineLevel="1" x14ac:dyDescent="0.3">
      <c r="A259" s="3"/>
      <c r="B259" s="10" t="s">
        <v>327</v>
      </c>
      <c r="C259" s="62"/>
      <c r="D259" s="62"/>
      <c r="E259" s="12">
        <v>0</v>
      </c>
      <c r="F259" s="12">
        <v>0</v>
      </c>
      <c r="G259" s="65"/>
      <c r="H259" s="65"/>
      <c r="I259" s="89"/>
      <c r="J259" s="65"/>
      <c r="K259" s="37"/>
      <c r="L259" s="37"/>
      <c r="M259" s="37"/>
      <c r="N259" s="37"/>
      <c r="O259" s="37"/>
      <c r="P259" s="37"/>
      <c r="Q259" s="37"/>
      <c r="R259" s="37"/>
      <c r="S259" s="37"/>
      <c r="T259" s="37"/>
      <c r="U259" s="3"/>
      <c r="W259" s="3"/>
      <c r="X259" s="3"/>
      <c r="Y259" s="3"/>
      <c r="Z259" s="3"/>
    </row>
    <row r="260" spans="1:26" ht="15.75" hidden="1" customHeight="1" outlineLevel="1" x14ac:dyDescent="0.3">
      <c r="A260" s="3"/>
      <c r="B260" s="10" t="s">
        <v>328</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5.75" hidden="1" customHeight="1" outlineLevel="1" x14ac:dyDescent="0.3">
      <c r="A261" s="3"/>
      <c r="B261" s="10" t="s">
        <v>370</v>
      </c>
      <c r="C261" s="62"/>
      <c r="D261" s="62"/>
      <c r="E261" s="12">
        <v>0</v>
      </c>
      <c r="F261" s="12">
        <v>0</v>
      </c>
      <c r="G261" s="65"/>
      <c r="H261" s="65"/>
      <c r="I261" s="89"/>
      <c r="J261" s="65"/>
      <c r="K261" s="37"/>
      <c r="L261" s="37"/>
      <c r="M261" s="37"/>
      <c r="N261" s="37"/>
      <c r="O261" s="37"/>
      <c r="P261" s="37"/>
      <c r="Q261" s="37"/>
      <c r="R261" s="37"/>
      <c r="S261" s="37"/>
      <c r="T261" s="37"/>
      <c r="U261" s="3"/>
      <c r="W261" s="3"/>
      <c r="X261" s="3"/>
      <c r="Y261" s="3"/>
      <c r="Z261" s="3"/>
    </row>
    <row r="262" spans="1:26" ht="15.75" hidden="1" customHeight="1" outlineLevel="1" x14ac:dyDescent="0.3">
      <c r="A262" s="3"/>
      <c r="B262" s="10" t="s">
        <v>371</v>
      </c>
      <c r="C262" s="62"/>
      <c r="D262" s="62"/>
      <c r="E262" s="12">
        <v>0</v>
      </c>
      <c r="F262" s="12">
        <v>0</v>
      </c>
      <c r="G262" s="65"/>
      <c r="H262" s="65"/>
      <c r="I262" s="89"/>
      <c r="J262" s="65"/>
      <c r="K262" s="37"/>
      <c r="L262" s="37"/>
      <c r="M262" s="37"/>
      <c r="N262" s="37"/>
      <c r="O262" s="37"/>
      <c r="P262" s="37"/>
      <c r="Q262" s="37"/>
      <c r="R262" s="37"/>
      <c r="S262" s="37"/>
      <c r="T262" s="37"/>
      <c r="U262" s="3"/>
      <c r="W262" s="3"/>
      <c r="X262" s="3"/>
      <c r="Y262" s="3"/>
      <c r="Z262" s="3"/>
    </row>
    <row r="263" spans="1:26" ht="15.75" hidden="1" customHeight="1" outlineLevel="1" x14ac:dyDescent="0.3">
      <c r="A263" s="3"/>
      <c r="B263" s="10" t="s">
        <v>372</v>
      </c>
      <c r="C263" s="62"/>
      <c r="D263" s="62"/>
      <c r="E263" s="12">
        <v>0</v>
      </c>
      <c r="F263" s="12">
        <v>0</v>
      </c>
      <c r="G263" s="65"/>
      <c r="H263" s="65"/>
      <c r="I263" s="89"/>
      <c r="J263" s="65"/>
      <c r="K263" s="37"/>
      <c r="L263" s="37"/>
      <c r="M263" s="37"/>
      <c r="N263" s="37"/>
      <c r="O263" s="37"/>
      <c r="P263" s="37"/>
      <c r="Q263" s="37"/>
      <c r="R263" s="37"/>
      <c r="S263" s="37"/>
      <c r="T263" s="37"/>
      <c r="U263" s="3"/>
      <c r="W263" s="3"/>
      <c r="X263" s="3"/>
      <c r="Y263" s="3"/>
      <c r="Z263" s="3"/>
    </row>
    <row r="264" spans="1:26" ht="15.75" customHeight="1" collapsed="1" x14ac:dyDescent="0.3">
      <c r="A264" s="3"/>
      <c r="B264" s="84" t="s">
        <v>408</v>
      </c>
      <c r="C264" s="85" t="s">
        <v>43</v>
      </c>
      <c r="D264" s="85" t="s">
        <v>43</v>
      </c>
      <c r="E264" s="86">
        <f>SUM(E265,E275,E285,E295)</f>
        <v>0</v>
      </c>
      <c r="F264" s="86">
        <f>SUM(F265,F275,F285,F295,F317)</f>
        <v>0</v>
      </c>
      <c r="G264" s="87"/>
      <c r="H264" s="87"/>
      <c r="I264" s="88"/>
      <c r="J264" s="87"/>
      <c r="K264" s="37"/>
      <c r="L264" s="37"/>
      <c r="M264" s="37"/>
      <c r="N264" s="37"/>
      <c r="O264" s="37"/>
      <c r="P264" s="37"/>
      <c r="Q264" s="37"/>
      <c r="R264" s="37"/>
      <c r="S264" s="37"/>
      <c r="T264" s="37"/>
      <c r="U264" s="3"/>
      <c r="W264" s="3"/>
      <c r="X264" s="3"/>
      <c r="Y264" s="3"/>
      <c r="Z264" s="3"/>
    </row>
    <row r="265" spans="1:26" ht="15.75" hidden="1" customHeight="1" outlineLevel="1" x14ac:dyDescent="0.3">
      <c r="A265" s="3"/>
      <c r="B265" s="91" t="s">
        <v>232</v>
      </c>
      <c r="C265" s="92"/>
      <c r="D265" s="92"/>
      <c r="E265" s="93">
        <f>SUM(E266:E274)</f>
        <v>0</v>
      </c>
      <c r="F265" s="93">
        <f>SUMIF(D266:D274,"OK",F266:F274)</f>
        <v>0</v>
      </c>
      <c r="G265" s="94"/>
      <c r="H265" s="94"/>
      <c r="I265" s="95"/>
      <c r="J265" s="94"/>
      <c r="K265" s="37"/>
      <c r="L265" s="37"/>
      <c r="M265" s="37"/>
      <c r="N265" s="37"/>
      <c r="O265" s="37"/>
      <c r="P265" s="37"/>
      <c r="Q265" s="37"/>
      <c r="R265" s="37"/>
      <c r="S265" s="37"/>
      <c r="T265" s="37"/>
      <c r="U265" s="3"/>
      <c r="W265" s="3"/>
      <c r="X265" s="3"/>
      <c r="Y265" s="3"/>
      <c r="Z265" s="3"/>
    </row>
    <row r="266" spans="1:26" ht="15.75" hidden="1" customHeight="1" outlineLevel="1" x14ac:dyDescent="0.3">
      <c r="A266" s="3"/>
      <c r="B266" s="10" t="s">
        <v>353</v>
      </c>
      <c r="C266" s="62"/>
      <c r="D266" s="62"/>
      <c r="E266" s="12">
        <v>0</v>
      </c>
      <c r="F266" s="12">
        <v>0</v>
      </c>
      <c r="G266" s="65"/>
      <c r="H266" s="65"/>
      <c r="I266" s="159"/>
      <c r="J266" s="65"/>
      <c r="K266" s="37"/>
      <c r="L266" s="37"/>
      <c r="M266" s="37"/>
      <c r="N266" s="37"/>
      <c r="O266" s="37"/>
      <c r="P266" s="37"/>
      <c r="Q266" s="37"/>
      <c r="R266" s="37"/>
      <c r="S266" s="37"/>
      <c r="T266" s="37"/>
      <c r="U266" s="3"/>
      <c r="W266" s="3"/>
      <c r="X266" s="3"/>
      <c r="Y266" s="3"/>
      <c r="Z266" s="3"/>
    </row>
    <row r="267" spans="1:26" ht="15.75" hidden="1" customHeight="1" outlineLevel="1" x14ac:dyDescent="0.3">
      <c r="A267" s="3"/>
      <c r="B267" s="10" t="s">
        <v>354</v>
      </c>
      <c r="C267" s="62"/>
      <c r="D267" s="62"/>
      <c r="E267" s="12">
        <v>0</v>
      </c>
      <c r="F267" s="12">
        <v>0</v>
      </c>
      <c r="G267" s="65"/>
      <c r="H267" s="65"/>
      <c r="I267" s="159"/>
      <c r="J267" s="65"/>
      <c r="K267" s="37"/>
      <c r="L267" s="37"/>
      <c r="M267" s="37"/>
      <c r="N267" s="37"/>
      <c r="O267" s="37"/>
      <c r="P267" s="37"/>
      <c r="Q267" s="37"/>
      <c r="R267" s="37"/>
      <c r="S267" s="37"/>
      <c r="T267" s="37"/>
      <c r="U267" s="3"/>
      <c r="W267" s="3"/>
      <c r="X267" s="3"/>
      <c r="Y267" s="3"/>
      <c r="Z267" s="3"/>
    </row>
    <row r="268" spans="1:26" ht="15.75" hidden="1" customHeight="1" outlineLevel="1" x14ac:dyDescent="0.3">
      <c r="A268" s="3"/>
      <c r="B268" s="10" t="s">
        <v>355</v>
      </c>
      <c r="C268" s="62"/>
      <c r="D268" s="62"/>
      <c r="E268" s="12">
        <v>0</v>
      </c>
      <c r="F268" s="12">
        <v>0</v>
      </c>
      <c r="G268" s="65"/>
      <c r="H268" s="65"/>
      <c r="I268" s="159"/>
      <c r="J268" s="65"/>
      <c r="K268" s="37"/>
      <c r="L268" s="37"/>
      <c r="M268" s="37"/>
      <c r="N268" s="37"/>
      <c r="O268" s="37"/>
      <c r="P268" s="37"/>
      <c r="Q268" s="37"/>
      <c r="R268" s="37"/>
      <c r="S268" s="37"/>
      <c r="T268" s="37"/>
      <c r="U268" s="3"/>
      <c r="W268" s="3"/>
      <c r="X268" s="3"/>
      <c r="Y268" s="3"/>
      <c r="Z268" s="3"/>
    </row>
    <row r="269" spans="1:26" ht="15.75" hidden="1" customHeight="1" outlineLevel="1" x14ac:dyDescent="0.3">
      <c r="A269" s="3"/>
      <c r="B269" s="10" t="s">
        <v>369</v>
      </c>
      <c r="C269" s="62"/>
      <c r="D269" s="62"/>
      <c r="E269" s="12">
        <v>0</v>
      </c>
      <c r="F269" s="12">
        <v>0</v>
      </c>
      <c r="G269" s="65"/>
      <c r="H269" s="65"/>
      <c r="I269" s="157"/>
      <c r="J269" s="65"/>
      <c r="K269" s="37"/>
      <c r="L269" s="37"/>
      <c r="M269" s="37"/>
      <c r="N269" s="37"/>
      <c r="O269" s="37"/>
      <c r="P269" s="37"/>
      <c r="Q269" s="37"/>
      <c r="R269" s="37"/>
      <c r="S269" s="37"/>
      <c r="T269" s="37"/>
      <c r="U269" s="3"/>
      <c r="W269" s="3"/>
      <c r="X269" s="3"/>
      <c r="Y269" s="3"/>
      <c r="Z269" s="3"/>
    </row>
    <row r="270" spans="1:26" ht="15.75" hidden="1" customHeight="1" outlineLevel="1" x14ac:dyDescent="0.3">
      <c r="A270" s="3"/>
      <c r="B270" s="10" t="s">
        <v>327</v>
      </c>
      <c r="C270" s="62"/>
      <c r="D270" s="62"/>
      <c r="E270" s="12">
        <v>0</v>
      </c>
      <c r="F270" s="12">
        <v>0</v>
      </c>
      <c r="G270" s="65"/>
      <c r="H270" s="65"/>
      <c r="I270" s="157"/>
      <c r="J270" s="65"/>
      <c r="K270" s="37"/>
      <c r="L270" s="37"/>
      <c r="M270" s="37"/>
      <c r="N270" s="37"/>
      <c r="O270" s="37"/>
      <c r="P270" s="37"/>
      <c r="Q270" s="37"/>
      <c r="R270" s="37"/>
      <c r="S270" s="37"/>
      <c r="T270" s="37"/>
      <c r="U270" s="3"/>
      <c r="W270" s="3"/>
      <c r="X270" s="3"/>
      <c r="Y270" s="3"/>
      <c r="Z270" s="3"/>
    </row>
    <row r="271" spans="1:26" ht="15.75" hidden="1" customHeight="1" outlineLevel="1" x14ac:dyDescent="0.3">
      <c r="A271" s="3"/>
      <c r="B271" s="10" t="s">
        <v>328</v>
      </c>
      <c r="C271" s="62"/>
      <c r="D271" s="62"/>
      <c r="E271" s="12">
        <v>0</v>
      </c>
      <c r="F271" s="12">
        <v>0</v>
      </c>
      <c r="G271" s="65"/>
      <c r="H271" s="65"/>
      <c r="I271" s="89"/>
      <c r="J271" s="65"/>
      <c r="K271" s="37"/>
      <c r="L271" s="37"/>
      <c r="M271" s="37"/>
      <c r="N271" s="37"/>
      <c r="O271" s="37"/>
      <c r="P271" s="37"/>
      <c r="Q271" s="37"/>
      <c r="R271" s="37"/>
      <c r="S271" s="37"/>
      <c r="T271" s="37"/>
      <c r="U271" s="3"/>
      <c r="W271" s="3"/>
      <c r="X271" s="3"/>
      <c r="Y271" s="3"/>
      <c r="Z271" s="3"/>
    </row>
    <row r="272" spans="1:26" ht="15.75" hidden="1" customHeight="1" outlineLevel="1" x14ac:dyDescent="0.3">
      <c r="A272" s="3"/>
      <c r="B272" s="10" t="s">
        <v>370</v>
      </c>
      <c r="C272" s="62"/>
      <c r="D272" s="62"/>
      <c r="E272" s="12">
        <v>0</v>
      </c>
      <c r="F272" s="12">
        <v>0</v>
      </c>
      <c r="G272" s="65"/>
      <c r="H272" s="65"/>
      <c r="I272" s="89"/>
      <c r="J272" s="65"/>
      <c r="K272" s="37"/>
      <c r="L272" s="37"/>
      <c r="M272" s="37"/>
      <c r="N272" s="37"/>
      <c r="O272" s="37"/>
      <c r="P272" s="37"/>
      <c r="Q272" s="37"/>
      <c r="R272" s="37"/>
      <c r="S272" s="37"/>
      <c r="T272" s="37"/>
      <c r="U272" s="3"/>
      <c r="W272" s="3"/>
      <c r="X272" s="3"/>
      <c r="Y272" s="3"/>
      <c r="Z272" s="3"/>
    </row>
    <row r="273" spans="1:26" ht="15.75" hidden="1" customHeight="1" outlineLevel="1" x14ac:dyDescent="0.3">
      <c r="A273" s="3"/>
      <c r="B273" s="10" t="s">
        <v>371</v>
      </c>
      <c r="C273" s="62"/>
      <c r="D273" s="62"/>
      <c r="E273" s="12">
        <v>0</v>
      </c>
      <c r="F273" s="12">
        <v>0</v>
      </c>
      <c r="G273" s="65"/>
      <c r="H273" s="65"/>
      <c r="I273" s="89"/>
      <c r="J273" s="65"/>
      <c r="K273" s="37"/>
      <c r="L273" s="37"/>
      <c r="M273" s="37"/>
      <c r="N273" s="37"/>
      <c r="O273" s="37"/>
      <c r="P273" s="37"/>
      <c r="Q273" s="37"/>
      <c r="R273" s="37"/>
      <c r="S273" s="37"/>
      <c r="T273" s="37"/>
      <c r="U273" s="3"/>
      <c r="W273" s="3"/>
      <c r="X273" s="3"/>
      <c r="Y273" s="3"/>
      <c r="Z273" s="3"/>
    </row>
    <row r="274" spans="1:26" ht="15.75" hidden="1" customHeight="1" outlineLevel="1" x14ac:dyDescent="0.3">
      <c r="A274" s="3"/>
      <c r="B274" s="10" t="s">
        <v>372</v>
      </c>
      <c r="C274" s="62"/>
      <c r="D274" s="62"/>
      <c r="E274" s="12">
        <v>0</v>
      </c>
      <c r="F274" s="12">
        <v>0</v>
      </c>
      <c r="G274" s="65"/>
      <c r="H274" s="65"/>
      <c r="I274" s="89"/>
      <c r="J274" s="65"/>
      <c r="K274" s="37"/>
      <c r="L274" s="37"/>
      <c r="M274" s="37"/>
      <c r="N274" s="37"/>
      <c r="O274" s="37"/>
      <c r="P274" s="37"/>
      <c r="Q274" s="37"/>
      <c r="R274" s="37"/>
      <c r="S274" s="37"/>
      <c r="T274" s="37"/>
      <c r="U274" s="3"/>
      <c r="W274" s="3"/>
      <c r="X274" s="3"/>
      <c r="Y274" s="3"/>
      <c r="Z274" s="3"/>
    </row>
    <row r="275" spans="1:26" ht="15.75" hidden="1" customHeight="1" outlineLevel="1" x14ac:dyDescent="0.3">
      <c r="A275" s="3"/>
      <c r="B275" s="91" t="s">
        <v>651</v>
      </c>
      <c r="C275" s="92"/>
      <c r="D275" s="92"/>
      <c r="E275" s="93">
        <f>SUM(E276:E284)</f>
        <v>0</v>
      </c>
      <c r="F275" s="93">
        <f>SUMIF(D276:D284,"OK",F276:F284)</f>
        <v>0</v>
      </c>
      <c r="G275" s="94"/>
      <c r="H275" s="94"/>
      <c r="I275" s="95"/>
      <c r="J275" s="94"/>
      <c r="K275" s="37"/>
      <c r="L275" s="37"/>
      <c r="M275" s="37"/>
      <c r="N275" s="37"/>
      <c r="O275" s="37"/>
      <c r="P275" s="37"/>
      <c r="Q275" s="37"/>
      <c r="R275" s="37"/>
      <c r="S275" s="37"/>
      <c r="T275" s="37"/>
      <c r="U275" s="3"/>
      <c r="W275" s="3"/>
      <c r="X275" s="3"/>
      <c r="Y275" s="3"/>
      <c r="Z275" s="3"/>
    </row>
    <row r="276" spans="1:26" ht="15.75" hidden="1" customHeight="1" outlineLevel="1" x14ac:dyDescent="0.3">
      <c r="A276" s="3"/>
      <c r="B276" s="10" t="s">
        <v>353</v>
      </c>
      <c r="C276" s="62"/>
      <c r="D276" s="62"/>
      <c r="E276" s="12">
        <v>0</v>
      </c>
      <c r="F276" s="12">
        <v>0</v>
      </c>
      <c r="G276" s="65"/>
      <c r="H276" s="65"/>
      <c r="I276" s="157"/>
      <c r="J276" s="65"/>
      <c r="K276" s="37"/>
      <c r="L276" s="37"/>
      <c r="M276" s="37"/>
      <c r="N276" s="37"/>
      <c r="O276" s="37"/>
      <c r="P276" s="37"/>
      <c r="Q276" s="37"/>
      <c r="R276" s="37"/>
      <c r="S276" s="37"/>
      <c r="T276" s="37"/>
      <c r="U276" s="3"/>
      <c r="W276" s="3"/>
      <c r="X276" s="3"/>
      <c r="Y276" s="3"/>
      <c r="Z276" s="3"/>
    </row>
    <row r="277" spans="1:26" ht="15.75" hidden="1" customHeight="1" outlineLevel="1" x14ac:dyDescent="0.3">
      <c r="A277" s="3"/>
      <c r="B277" s="10" t="s">
        <v>354</v>
      </c>
      <c r="C277" s="62"/>
      <c r="D277" s="62"/>
      <c r="E277" s="12">
        <v>0</v>
      </c>
      <c r="F277" s="12">
        <v>0</v>
      </c>
      <c r="G277" s="65"/>
      <c r="H277" s="65"/>
      <c r="I277" s="157"/>
      <c r="J277" s="65"/>
      <c r="K277" s="37"/>
      <c r="L277" s="37"/>
      <c r="M277" s="37"/>
      <c r="N277" s="37"/>
      <c r="O277" s="37"/>
      <c r="P277" s="37"/>
      <c r="Q277" s="37"/>
      <c r="R277" s="37"/>
      <c r="S277" s="37"/>
      <c r="T277" s="37"/>
      <c r="U277" s="3"/>
      <c r="W277" s="3"/>
      <c r="X277" s="3"/>
      <c r="Y277" s="3"/>
      <c r="Z277" s="3"/>
    </row>
    <row r="278" spans="1:26" ht="15.75" hidden="1" customHeight="1" outlineLevel="1" x14ac:dyDescent="0.3">
      <c r="A278" s="3"/>
      <c r="B278" s="10" t="s">
        <v>355</v>
      </c>
      <c r="C278" s="62"/>
      <c r="D278" s="62"/>
      <c r="E278" s="12">
        <v>0</v>
      </c>
      <c r="F278" s="12">
        <v>0</v>
      </c>
      <c r="G278" s="65"/>
      <c r="H278" s="65"/>
      <c r="I278" s="157"/>
      <c r="J278" s="65"/>
      <c r="K278" s="37"/>
      <c r="L278" s="37"/>
      <c r="M278" s="37"/>
      <c r="N278" s="37"/>
      <c r="O278" s="37"/>
      <c r="P278" s="37"/>
      <c r="Q278" s="37"/>
      <c r="R278" s="37"/>
      <c r="S278" s="37"/>
      <c r="T278" s="37"/>
      <c r="U278" s="3"/>
      <c r="W278" s="3"/>
      <c r="X278" s="3"/>
      <c r="Y278" s="3"/>
      <c r="Z278" s="3"/>
    </row>
    <row r="279" spans="1:26" ht="15.75" hidden="1" customHeight="1" outlineLevel="1" x14ac:dyDescent="0.3">
      <c r="A279" s="3"/>
      <c r="B279" s="10" t="s">
        <v>369</v>
      </c>
      <c r="C279" s="62"/>
      <c r="D279" s="62"/>
      <c r="E279" s="12">
        <v>0</v>
      </c>
      <c r="F279" s="12">
        <v>0</v>
      </c>
      <c r="G279" s="65"/>
      <c r="H279" s="65"/>
      <c r="I279" s="157"/>
      <c r="J279" s="65"/>
      <c r="K279" s="37"/>
      <c r="L279" s="37"/>
      <c r="M279" s="37"/>
      <c r="N279" s="37"/>
      <c r="O279" s="37"/>
      <c r="P279" s="37"/>
      <c r="Q279" s="37"/>
      <c r="R279" s="37"/>
      <c r="S279" s="37"/>
      <c r="T279" s="37"/>
      <c r="U279" s="3"/>
      <c r="W279" s="3"/>
      <c r="X279" s="3"/>
      <c r="Y279" s="3"/>
      <c r="Z279" s="3"/>
    </row>
    <row r="280" spans="1:26" ht="15.75" hidden="1" customHeight="1" outlineLevel="1" x14ac:dyDescent="0.3">
      <c r="A280" s="3"/>
      <c r="B280" s="10" t="s">
        <v>327</v>
      </c>
      <c r="C280" s="62"/>
      <c r="D280" s="62"/>
      <c r="E280" s="12">
        <v>0</v>
      </c>
      <c r="F280" s="12">
        <v>0</v>
      </c>
      <c r="G280" s="65"/>
      <c r="H280" s="65"/>
      <c r="I280" s="157"/>
      <c r="J280" s="65"/>
      <c r="K280" s="37"/>
      <c r="L280" s="37"/>
      <c r="M280" s="37"/>
      <c r="N280" s="37"/>
      <c r="O280" s="37"/>
      <c r="P280" s="37"/>
      <c r="Q280" s="37"/>
      <c r="R280" s="37"/>
      <c r="S280" s="37"/>
      <c r="T280" s="37"/>
      <c r="U280" s="3"/>
      <c r="W280" s="3"/>
      <c r="X280" s="3"/>
      <c r="Y280" s="3"/>
      <c r="Z280" s="3"/>
    </row>
    <row r="281" spans="1:26" ht="15.75" hidden="1" customHeight="1" outlineLevel="1" x14ac:dyDescent="0.3">
      <c r="A281" s="3"/>
      <c r="B281" s="10" t="s">
        <v>328</v>
      </c>
      <c r="C281" s="62"/>
      <c r="D281" s="62"/>
      <c r="E281" s="12">
        <v>0</v>
      </c>
      <c r="F281" s="12">
        <v>0</v>
      </c>
      <c r="G281" s="65"/>
      <c r="H281" s="65"/>
      <c r="I281" s="157"/>
      <c r="J281" s="65"/>
      <c r="K281" s="37"/>
      <c r="L281" s="37"/>
      <c r="M281" s="37"/>
      <c r="N281" s="37"/>
      <c r="O281" s="37"/>
      <c r="P281" s="37"/>
      <c r="Q281" s="37"/>
      <c r="R281" s="37"/>
      <c r="S281" s="37"/>
      <c r="T281" s="37"/>
      <c r="U281" s="3"/>
      <c r="W281" s="3"/>
      <c r="X281" s="3"/>
      <c r="Y281" s="3"/>
      <c r="Z281" s="3"/>
    </row>
    <row r="282" spans="1:26" ht="15.75" hidden="1" customHeight="1" outlineLevel="1" x14ac:dyDescent="0.3">
      <c r="A282" s="3"/>
      <c r="B282" s="10" t="s">
        <v>370</v>
      </c>
      <c r="C282" s="62"/>
      <c r="D282" s="62"/>
      <c r="E282" s="12">
        <v>0</v>
      </c>
      <c r="F282" s="12">
        <v>0</v>
      </c>
      <c r="G282" s="65"/>
      <c r="H282" s="65"/>
      <c r="I282" s="157"/>
      <c r="J282" s="65"/>
      <c r="K282" s="37"/>
      <c r="L282" s="37"/>
      <c r="M282" s="37"/>
      <c r="N282" s="37"/>
      <c r="O282" s="37"/>
      <c r="P282" s="37"/>
      <c r="Q282" s="37"/>
      <c r="R282" s="37"/>
      <c r="S282" s="37"/>
      <c r="T282" s="37"/>
      <c r="U282" s="3"/>
      <c r="W282" s="3"/>
      <c r="X282" s="3"/>
      <c r="Y282" s="3"/>
      <c r="Z282" s="3"/>
    </row>
    <row r="283" spans="1:26" ht="15.75" hidden="1" customHeight="1" outlineLevel="1" x14ac:dyDescent="0.3">
      <c r="A283" s="3"/>
      <c r="B283" s="10" t="s">
        <v>371</v>
      </c>
      <c r="C283" s="62"/>
      <c r="D283" s="62"/>
      <c r="E283" s="12">
        <v>0</v>
      </c>
      <c r="F283" s="12">
        <v>0</v>
      </c>
      <c r="G283" s="65"/>
      <c r="H283" s="65"/>
      <c r="I283" s="157"/>
      <c r="J283" s="65"/>
      <c r="K283" s="37"/>
      <c r="L283" s="37"/>
      <c r="M283" s="37"/>
      <c r="N283" s="37"/>
      <c r="O283" s="37"/>
      <c r="P283" s="37"/>
      <c r="Q283" s="37"/>
      <c r="R283" s="37"/>
      <c r="S283" s="37"/>
      <c r="T283" s="37"/>
      <c r="U283" s="3"/>
      <c r="W283" s="3"/>
      <c r="X283" s="3"/>
      <c r="Y283" s="3"/>
      <c r="Z283" s="3"/>
    </row>
    <row r="284" spans="1:26" ht="15.75" hidden="1" customHeight="1" outlineLevel="1" x14ac:dyDescent="0.3">
      <c r="A284" s="3"/>
      <c r="B284" s="10" t="s">
        <v>372</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5.75" hidden="1" customHeight="1" outlineLevel="1" x14ac:dyDescent="0.3">
      <c r="A285" s="3"/>
      <c r="B285" s="91" t="s">
        <v>1024</v>
      </c>
      <c r="C285" s="92"/>
      <c r="D285" s="92"/>
      <c r="E285" s="93">
        <f>SUM(E286:E294)</f>
        <v>0</v>
      </c>
      <c r="F285" s="93">
        <f>SUMIF(D286:D294,"OK",F286:F294)</f>
        <v>0</v>
      </c>
      <c r="G285" s="94"/>
      <c r="H285" s="94"/>
      <c r="I285" s="95"/>
      <c r="J285" s="94"/>
      <c r="K285" s="37"/>
      <c r="L285" s="37"/>
      <c r="M285" s="37"/>
      <c r="N285" s="37"/>
      <c r="O285" s="37"/>
      <c r="P285" s="37"/>
      <c r="Q285" s="37"/>
      <c r="R285" s="37"/>
      <c r="S285" s="37"/>
      <c r="T285" s="37"/>
      <c r="U285" s="3"/>
      <c r="W285" s="3"/>
      <c r="X285" s="3"/>
      <c r="Y285" s="3"/>
      <c r="Z285" s="3"/>
    </row>
    <row r="286" spans="1:26" ht="15.75" hidden="1" customHeight="1" outlineLevel="1" x14ac:dyDescent="0.3">
      <c r="A286" s="3"/>
      <c r="B286" s="10" t="s">
        <v>353</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5.75" hidden="1" customHeight="1" outlineLevel="1" x14ac:dyDescent="0.3">
      <c r="A287" s="3"/>
      <c r="B287" s="10" t="s">
        <v>354</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5.75" hidden="1" customHeight="1" outlineLevel="1" x14ac:dyDescent="0.3">
      <c r="A288" s="3"/>
      <c r="B288" s="10" t="s">
        <v>355</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5.75" hidden="1" customHeight="1" outlineLevel="1" x14ac:dyDescent="0.3">
      <c r="A289" s="3"/>
      <c r="B289" s="10" t="s">
        <v>369</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t="15.75" hidden="1" customHeight="1" outlineLevel="1" x14ac:dyDescent="0.3">
      <c r="A290" s="3"/>
      <c r="B290" s="10" t="s">
        <v>327</v>
      </c>
      <c r="C290" s="62"/>
      <c r="D290" s="62"/>
      <c r="E290" s="12">
        <v>0</v>
      </c>
      <c r="F290" s="12">
        <v>0</v>
      </c>
      <c r="G290" s="65"/>
      <c r="H290" s="65"/>
      <c r="I290" s="89"/>
      <c r="J290" s="65"/>
      <c r="K290" s="37"/>
      <c r="L290" s="37"/>
      <c r="M290" s="37"/>
      <c r="N290" s="37"/>
      <c r="O290" s="37"/>
      <c r="P290" s="37"/>
      <c r="Q290" s="37"/>
      <c r="R290" s="37"/>
      <c r="S290" s="37"/>
      <c r="T290" s="37"/>
      <c r="U290" s="3"/>
      <c r="W290" s="3"/>
      <c r="X290" s="3"/>
      <c r="Y290" s="3"/>
      <c r="Z290" s="3"/>
    </row>
    <row r="291" spans="1:26" ht="15.75" hidden="1" customHeight="1" outlineLevel="1" x14ac:dyDescent="0.3">
      <c r="A291" s="3"/>
      <c r="B291" s="10" t="s">
        <v>328</v>
      </c>
      <c r="C291" s="62"/>
      <c r="D291" s="62"/>
      <c r="E291" s="12">
        <v>0</v>
      </c>
      <c r="F291" s="12">
        <v>0</v>
      </c>
      <c r="G291" s="65"/>
      <c r="H291" s="65"/>
      <c r="I291" s="89"/>
      <c r="J291" s="65"/>
      <c r="K291" s="37"/>
      <c r="L291" s="37"/>
      <c r="M291" s="37"/>
      <c r="N291" s="37"/>
      <c r="O291" s="37"/>
      <c r="P291" s="37"/>
      <c r="Q291" s="37"/>
      <c r="R291" s="37"/>
      <c r="S291" s="37"/>
      <c r="T291" s="37"/>
      <c r="U291" s="3"/>
      <c r="W291" s="3"/>
      <c r="X291" s="3"/>
      <c r="Y291" s="3"/>
      <c r="Z291" s="3"/>
    </row>
    <row r="292" spans="1:26" ht="15.75" hidden="1" customHeight="1" outlineLevel="1" x14ac:dyDescent="0.3">
      <c r="A292" s="3"/>
      <c r="B292" s="10" t="s">
        <v>370</v>
      </c>
      <c r="C292" s="62"/>
      <c r="D292" s="62"/>
      <c r="E292" s="12">
        <v>0</v>
      </c>
      <c r="F292" s="12">
        <v>0</v>
      </c>
      <c r="G292" s="65"/>
      <c r="H292" s="65"/>
      <c r="I292" s="89"/>
      <c r="J292" s="65"/>
      <c r="K292" s="37"/>
      <c r="L292" s="37"/>
      <c r="M292" s="37"/>
      <c r="N292" s="37"/>
      <c r="O292" s="37"/>
      <c r="P292" s="37"/>
      <c r="Q292" s="37"/>
      <c r="R292" s="37"/>
      <c r="S292" s="37"/>
      <c r="T292" s="37"/>
      <c r="U292" s="3"/>
      <c r="W292" s="3"/>
      <c r="X292" s="3"/>
      <c r="Y292" s="3"/>
      <c r="Z292" s="3"/>
    </row>
    <row r="293" spans="1:26" ht="15.75" hidden="1" customHeight="1" outlineLevel="1" x14ac:dyDescent="0.3">
      <c r="A293" s="3"/>
      <c r="B293" s="10" t="s">
        <v>371</v>
      </c>
      <c r="C293" s="62"/>
      <c r="D293" s="62"/>
      <c r="E293" s="12">
        <v>0</v>
      </c>
      <c r="F293" s="12">
        <v>0</v>
      </c>
      <c r="G293" s="65"/>
      <c r="H293" s="65"/>
      <c r="I293" s="89"/>
      <c r="J293" s="65"/>
      <c r="K293" s="37"/>
      <c r="L293" s="37"/>
      <c r="M293" s="37"/>
      <c r="N293" s="37"/>
      <c r="O293" s="37"/>
      <c r="P293" s="37"/>
      <c r="Q293" s="37"/>
      <c r="R293" s="37"/>
      <c r="S293" s="37"/>
      <c r="T293" s="37"/>
      <c r="U293" s="3"/>
      <c r="W293" s="3"/>
      <c r="X293" s="3"/>
      <c r="Y293" s="3"/>
      <c r="Z293" s="3"/>
    </row>
    <row r="294" spans="1:26" ht="15.75" hidden="1" customHeight="1" outlineLevel="1" x14ac:dyDescent="0.3">
      <c r="A294" s="3"/>
      <c r="B294" s="10" t="s">
        <v>372</v>
      </c>
      <c r="C294" s="62"/>
      <c r="D294" s="62"/>
      <c r="E294" s="12">
        <v>0</v>
      </c>
      <c r="F294" s="12">
        <v>0</v>
      </c>
      <c r="G294" s="65"/>
      <c r="H294" s="65"/>
      <c r="I294" s="89"/>
      <c r="J294" s="65"/>
      <c r="K294" s="37"/>
      <c r="L294" s="37"/>
      <c r="M294" s="37"/>
      <c r="N294" s="37"/>
      <c r="O294" s="37"/>
      <c r="P294" s="37"/>
      <c r="Q294" s="37"/>
      <c r="R294" s="37"/>
      <c r="S294" s="37"/>
      <c r="T294" s="37"/>
      <c r="U294" s="3"/>
      <c r="W294" s="3"/>
      <c r="X294" s="3"/>
      <c r="Y294" s="3"/>
      <c r="Z294" s="3"/>
    </row>
    <row r="295" spans="1:26" ht="15.75" hidden="1" customHeight="1" outlineLevel="1" x14ac:dyDescent="0.3">
      <c r="A295" s="3"/>
      <c r="B295" s="91" t="s">
        <v>64</v>
      </c>
      <c r="C295" s="92"/>
      <c r="D295" s="92"/>
      <c r="E295" s="93">
        <f>SUM(E296:E316)</f>
        <v>0</v>
      </c>
      <c r="F295" s="93">
        <f>SUMIF(D296:D316,"OK",F296:F316)</f>
        <v>0</v>
      </c>
      <c r="G295" s="94"/>
      <c r="H295" s="94"/>
      <c r="I295" s="95"/>
      <c r="J295" s="94"/>
      <c r="K295" s="37"/>
      <c r="L295" s="37"/>
      <c r="M295" s="37"/>
      <c r="N295" s="37"/>
      <c r="O295" s="37"/>
      <c r="P295" s="37"/>
      <c r="Q295" s="37"/>
      <c r="R295" s="37"/>
      <c r="S295" s="37"/>
      <c r="T295" s="37"/>
      <c r="U295" s="3"/>
      <c r="W295" s="3"/>
      <c r="X295" s="3"/>
      <c r="Y295" s="3"/>
      <c r="Z295" s="3"/>
    </row>
    <row r="296" spans="1:26" ht="15.75" hidden="1" customHeight="1" outlineLevel="1" x14ac:dyDescent="0.3">
      <c r="A296" s="3"/>
      <c r="B296" s="10" t="s">
        <v>353</v>
      </c>
      <c r="C296" s="62"/>
      <c r="D296" s="62"/>
      <c r="E296" s="12">
        <v>0</v>
      </c>
      <c r="F296" s="12">
        <v>0</v>
      </c>
      <c r="G296" s="65"/>
      <c r="H296" s="65"/>
      <c r="I296" s="157"/>
      <c r="J296" s="65"/>
      <c r="K296" s="37"/>
      <c r="L296" s="37"/>
      <c r="M296" s="37"/>
      <c r="N296" s="37"/>
      <c r="O296" s="37"/>
      <c r="P296" s="37"/>
      <c r="Q296" s="37"/>
      <c r="R296" s="37"/>
      <c r="S296" s="37"/>
      <c r="T296" s="37"/>
      <c r="U296" s="3"/>
      <c r="W296" s="3"/>
      <c r="X296" s="3"/>
      <c r="Y296" s="3"/>
      <c r="Z296" s="3"/>
    </row>
    <row r="297" spans="1:26" ht="15.75" hidden="1" customHeight="1" outlineLevel="1" x14ac:dyDescent="0.3">
      <c r="A297" s="3"/>
      <c r="B297" s="10" t="s">
        <v>354</v>
      </c>
      <c r="C297" s="62"/>
      <c r="D297" s="62"/>
      <c r="E297" s="12">
        <v>0</v>
      </c>
      <c r="F297" s="12">
        <v>0</v>
      </c>
      <c r="G297" s="65"/>
      <c r="H297" s="65"/>
      <c r="I297" s="157"/>
      <c r="J297" s="65"/>
      <c r="K297" s="37"/>
      <c r="L297" s="37"/>
      <c r="M297" s="37"/>
      <c r="N297" s="37"/>
      <c r="O297" s="37"/>
      <c r="P297" s="37"/>
      <c r="Q297" s="37"/>
      <c r="R297" s="37"/>
      <c r="S297" s="37"/>
      <c r="T297" s="37"/>
      <c r="U297" s="3"/>
      <c r="W297" s="3"/>
      <c r="X297" s="3"/>
      <c r="Y297" s="3"/>
      <c r="Z297" s="3"/>
    </row>
    <row r="298" spans="1:26" ht="15.75" hidden="1" customHeight="1" outlineLevel="1" x14ac:dyDescent="0.3">
      <c r="A298" s="3"/>
      <c r="B298" s="10" t="s">
        <v>355</v>
      </c>
      <c r="C298" s="62"/>
      <c r="D298" s="62"/>
      <c r="E298" s="12">
        <v>0</v>
      </c>
      <c r="F298" s="12">
        <v>0</v>
      </c>
      <c r="G298" s="65"/>
      <c r="H298" s="65"/>
      <c r="I298" s="157"/>
      <c r="J298" s="65"/>
      <c r="K298" s="37"/>
      <c r="L298" s="37"/>
      <c r="M298" s="37"/>
      <c r="N298" s="37"/>
      <c r="O298" s="37"/>
      <c r="P298" s="37"/>
      <c r="Q298" s="37"/>
      <c r="R298" s="37"/>
      <c r="S298" s="37"/>
      <c r="T298" s="37"/>
      <c r="U298" s="3"/>
      <c r="W298" s="3"/>
      <c r="X298" s="3"/>
      <c r="Y298" s="3"/>
      <c r="Z298" s="3"/>
    </row>
    <row r="299" spans="1:26" ht="15.75" hidden="1" customHeight="1" outlineLevel="1" x14ac:dyDescent="0.3">
      <c r="A299" s="3"/>
      <c r="B299" s="10" t="s">
        <v>369</v>
      </c>
      <c r="C299" s="62"/>
      <c r="D299" s="62"/>
      <c r="E299" s="12">
        <v>0</v>
      </c>
      <c r="F299" s="12">
        <v>0</v>
      </c>
      <c r="G299" s="65"/>
      <c r="H299" s="65"/>
      <c r="I299" s="157"/>
      <c r="J299" s="65"/>
      <c r="K299" s="37"/>
      <c r="L299" s="37"/>
      <c r="M299" s="37"/>
      <c r="N299" s="37"/>
      <c r="O299" s="37"/>
      <c r="P299" s="37"/>
      <c r="Q299" s="37"/>
      <c r="R299" s="37"/>
      <c r="S299" s="37"/>
      <c r="T299" s="37"/>
      <c r="U299" s="3"/>
      <c r="W299" s="3"/>
      <c r="X299" s="3"/>
      <c r="Y299" s="3"/>
      <c r="Z299" s="3"/>
    </row>
    <row r="300" spans="1:26" ht="15.75" hidden="1" customHeight="1" outlineLevel="1" x14ac:dyDescent="0.3">
      <c r="A300" s="3"/>
      <c r="B300" s="10" t="s">
        <v>327</v>
      </c>
      <c r="C300" s="62"/>
      <c r="D300" s="62"/>
      <c r="E300" s="12">
        <v>0</v>
      </c>
      <c r="F300" s="12">
        <v>0</v>
      </c>
      <c r="G300" s="89"/>
      <c r="H300" s="65"/>
      <c r="I300" s="157"/>
      <c r="J300" s="65"/>
      <c r="K300" s="37"/>
      <c r="L300" s="37"/>
      <c r="M300" s="37"/>
      <c r="N300" s="37"/>
      <c r="O300" s="37"/>
      <c r="P300" s="37"/>
      <c r="Q300" s="37"/>
      <c r="R300" s="37"/>
      <c r="S300" s="37"/>
      <c r="T300" s="37"/>
      <c r="U300" s="3"/>
      <c r="W300" s="3"/>
      <c r="X300" s="3"/>
      <c r="Y300" s="3"/>
      <c r="Z300" s="3"/>
    </row>
    <row r="301" spans="1:26" ht="15.75" hidden="1" customHeight="1" outlineLevel="1" x14ac:dyDescent="0.3">
      <c r="A301" s="3"/>
      <c r="B301" s="10" t="s">
        <v>328</v>
      </c>
      <c r="C301" s="62"/>
      <c r="D301" s="62"/>
      <c r="E301" s="12">
        <v>0</v>
      </c>
      <c r="F301" s="12">
        <v>0</v>
      </c>
      <c r="G301" s="65"/>
      <c r="H301" s="65"/>
      <c r="I301" s="157"/>
      <c r="J301" s="65"/>
      <c r="K301" s="37"/>
      <c r="L301" s="37"/>
      <c r="M301" s="37"/>
      <c r="N301" s="37"/>
      <c r="O301" s="37"/>
      <c r="P301" s="37"/>
      <c r="Q301" s="37"/>
      <c r="R301" s="37"/>
      <c r="S301" s="37"/>
      <c r="T301" s="37"/>
      <c r="U301" s="3"/>
      <c r="W301" s="3"/>
      <c r="X301" s="3"/>
      <c r="Y301" s="3"/>
      <c r="Z301" s="3"/>
    </row>
    <row r="302" spans="1:26" ht="15.75" hidden="1" customHeight="1" outlineLevel="1" x14ac:dyDescent="0.3">
      <c r="A302" s="3"/>
      <c r="B302" s="10" t="s">
        <v>370</v>
      </c>
      <c r="C302" s="62"/>
      <c r="D302" s="62"/>
      <c r="E302" s="12">
        <v>0</v>
      </c>
      <c r="F302" s="12">
        <v>0</v>
      </c>
      <c r="G302" s="65"/>
      <c r="H302" s="65"/>
      <c r="I302" s="157"/>
      <c r="J302" s="65"/>
      <c r="K302" s="37"/>
      <c r="L302" s="37"/>
      <c r="M302" s="37"/>
      <c r="N302" s="37"/>
      <c r="O302" s="37"/>
      <c r="P302" s="37"/>
      <c r="Q302" s="37"/>
      <c r="R302" s="37"/>
      <c r="S302" s="37"/>
      <c r="T302" s="37"/>
      <c r="U302" s="3"/>
      <c r="W302" s="3"/>
      <c r="X302" s="3"/>
      <c r="Y302" s="3"/>
      <c r="Z302" s="3"/>
    </row>
    <row r="303" spans="1:26" ht="15.75" hidden="1" customHeight="1" outlineLevel="1" x14ac:dyDescent="0.3">
      <c r="A303" s="3"/>
      <c r="B303" s="10" t="s">
        <v>371</v>
      </c>
      <c r="C303" s="62"/>
      <c r="D303" s="62"/>
      <c r="E303" s="12">
        <v>0</v>
      </c>
      <c r="F303" s="12">
        <v>0</v>
      </c>
      <c r="G303" s="65"/>
      <c r="H303" s="65"/>
      <c r="I303" s="157"/>
      <c r="J303" s="65"/>
      <c r="K303" s="37"/>
      <c r="L303" s="37"/>
      <c r="M303" s="37"/>
      <c r="N303" s="37"/>
      <c r="O303" s="37"/>
      <c r="P303" s="37"/>
      <c r="Q303" s="37"/>
      <c r="R303" s="37"/>
      <c r="S303" s="37"/>
      <c r="T303" s="37"/>
      <c r="U303" s="3"/>
      <c r="W303" s="3"/>
      <c r="X303" s="3"/>
      <c r="Y303" s="3"/>
      <c r="Z303" s="3"/>
    </row>
    <row r="304" spans="1:26" ht="15.75" hidden="1" customHeight="1" outlineLevel="1" x14ac:dyDescent="0.3">
      <c r="A304" s="3"/>
      <c r="B304" s="10" t="s">
        <v>372</v>
      </c>
      <c r="C304" s="62"/>
      <c r="D304" s="62"/>
      <c r="E304" s="12">
        <v>0</v>
      </c>
      <c r="F304" s="12">
        <v>0</v>
      </c>
      <c r="G304" s="65"/>
      <c r="H304" s="65"/>
      <c r="I304" s="157"/>
      <c r="J304" s="65"/>
      <c r="K304" s="37"/>
      <c r="L304" s="37"/>
      <c r="M304" s="37"/>
      <c r="N304" s="37"/>
      <c r="O304" s="37"/>
      <c r="P304" s="37"/>
      <c r="Q304" s="37"/>
      <c r="R304" s="37"/>
      <c r="S304" s="37"/>
      <c r="T304" s="37"/>
      <c r="U304" s="3"/>
      <c r="W304" s="3"/>
      <c r="X304" s="3"/>
      <c r="Y304" s="3"/>
      <c r="Z304" s="3"/>
    </row>
    <row r="305" spans="1:26" ht="15.75" hidden="1" customHeight="1" outlineLevel="1" x14ac:dyDescent="0.3">
      <c r="A305" s="3"/>
      <c r="B305" s="10" t="s">
        <v>1547</v>
      </c>
      <c r="C305" s="62"/>
      <c r="D305" s="62"/>
      <c r="E305" s="12">
        <v>0</v>
      </c>
      <c r="F305" s="12">
        <v>0</v>
      </c>
      <c r="G305" s="65"/>
      <c r="H305" s="65"/>
      <c r="I305" s="157"/>
      <c r="J305" s="65"/>
      <c r="K305" s="37"/>
      <c r="L305" s="37"/>
      <c r="M305" s="37"/>
      <c r="N305" s="37"/>
      <c r="O305" s="37"/>
      <c r="P305" s="37"/>
      <c r="Q305" s="37"/>
      <c r="R305" s="37"/>
      <c r="S305" s="37"/>
      <c r="T305" s="37"/>
      <c r="U305" s="3"/>
      <c r="W305" s="3"/>
      <c r="X305" s="3"/>
      <c r="Y305" s="3"/>
      <c r="Z305" s="3"/>
    </row>
    <row r="306" spans="1:26" ht="15.75" hidden="1" customHeight="1" outlineLevel="1" x14ac:dyDescent="0.3">
      <c r="A306" s="3"/>
      <c r="B306" s="10" t="s">
        <v>1548</v>
      </c>
      <c r="C306" s="62"/>
      <c r="D306" s="62"/>
      <c r="E306" s="12">
        <v>0</v>
      </c>
      <c r="F306" s="12">
        <v>0</v>
      </c>
      <c r="G306" s="65"/>
      <c r="H306" s="65"/>
      <c r="I306" s="157"/>
      <c r="J306" s="65"/>
      <c r="K306" s="37"/>
      <c r="L306" s="37"/>
      <c r="M306" s="37"/>
      <c r="N306" s="37"/>
      <c r="O306" s="37"/>
      <c r="P306" s="37"/>
      <c r="Q306" s="37"/>
      <c r="R306" s="37"/>
      <c r="S306" s="37"/>
      <c r="T306" s="37"/>
      <c r="U306" s="3"/>
      <c r="W306" s="3"/>
      <c r="X306" s="3"/>
      <c r="Y306" s="3"/>
      <c r="Z306" s="3"/>
    </row>
    <row r="307" spans="1:26" ht="15.75" hidden="1" customHeight="1" outlineLevel="1" x14ac:dyDescent="0.3">
      <c r="A307" s="3"/>
      <c r="B307" s="10" t="s">
        <v>1549</v>
      </c>
      <c r="C307" s="62"/>
      <c r="D307" s="62"/>
      <c r="E307" s="12">
        <v>0</v>
      </c>
      <c r="F307" s="12">
        <v>0</v>
      </c>
      <c r="G307" s="65"/>
      <c r="H307" s="65"/>
      <c r="I307" s="157"/>
      <c r="J307" s="65"/>
      <c r="K307" s="37"/>
      <c r="L307" s="37"/>
      <c r="M307" s="37"/>
      <c r="N307" s="37"/>
      <c r="O307" s="37"/>
      <c r="P307" s="37"/>
      <c r="Q307" s="37"/>
      <c r="R307" s="37"/>
      <c r="S307" s="37"/>
      <c r="T307" s="37"/>
      <c r="U307" s="3"/>
      <c r="W307" s="3"/>
      <c r="X307" s="3"/>
      <c r="Y307" s="3"/>
      <c r="Z307" s="3"/>
    </row>
    <row r="308" spans="1:26" ht="15.75" hidden="1" customHeight="1" outlineLevel="1" x14ac:dyDescent="0.3">
      <c r="A308" s="3"/>
      <c r="B308" s="10" t="s">
        <v>1550</v>
      </c>
      <c r="C308" s="62"/>
      <c r="D308" s="62"/>
      <c r="E308" s="12">
        <v>0</v>
      </c>
      <c r="F308" s="12">
        <v>0</v>
      </c>
      <c r="G308" s="65"/>
      <c r="H308" s="65"/>
      <c r="I308" s="157"/>
      <c r="J308" s="65"/>
      <c r="K308" s="37"/>
      <c r="L308" s="37"/>
      <c r="M308" s="37"/>
      <c r="N308" s="37"/>
      <c r="O308" s="37"/>
      <c r="P308" s="37"/>
      <c r="Q308" s="37"/>
      <c r="R308" s="37"/>
      <c r="S308" s="37"/>
      <c r="T308" s="37"/>
      <c r="U308" s="3"/>
      <c r="W308" s="3"/>
      <c r="X308" s="3"/>
      <c r="Y308" s="3"/>
      <c r="Z308" s="3"/>
    </row>
    <row r="309" spans="1:26" ht="15.75" hidden="1" customHeight="1" outlineLevel="1" x14ac:dyDescent="0.3">
      <c r="A309" s="3"/>
      <c r="B309" s="10" t="s">
        <v>1551</v>
      </c>
      <c r="C309" s="62"/>
      <c r="D309" s="62"/>
      <c r="E309" s="12">
        <v>0</v>
      </c>
      <c r="F309" s="12">
        <v>0</v>
      </c>
      <c r="G309" s="65"/>
      <c r="H309" s="65"/>
      <c r="I309" s="157"/>
      <c r="J309" s="65"/>
      <c r="K309" s="37"/>
      <c r="L309" s="37"/>
      <c r="M309" s="37"/>
      <c r="N309" s="37"/>
      <c r="O309" s="37"/>
      <c r="P309" s="37"/>
      <c r="Q309" s="37"/>
      <c r="R309" s="37"/>
      <c r="S309" s="37"/>
      <c r="T309" s="37"/>
      <c r="U309" s="3"/>
      <c r="W309" s="3"/>
      <c r="X309" s="3"/>
      <c r="Y309" s="3"/>
      <c r="Z309" s="3"/>
    </row>
    <row r="310" spans="1:26" ht="15.75" hidden="1" customHeight="1" outlineLevel="1" x14ac:dyDescent="0.3">
      <c r="A310" s="3"/>
      <c r="B310" s="10" t="s">
        <v>1552</v>
      </c>
      <c r="C310" s="62"/>
      <c r="D310" s="62"/>
      <c r="E310" s="12">
        <v>0</v>
      </c>
      <c r="F310" s="12">
        <v>0</v>
      </c>
      <c r="G310" s="65"/>
      <c r="H310" s="65"/>
      <c r="I310" s="157"/>
      <c r="J310" s="65"/>
      <c r="K310" s="37"/>
      <c r="L310" s="37"/>
      <c r="M310" s="37"/>
      <c r="N310" s="37"/>
      <c r="O310" s="37"/>
      <c r="P310" s="37"/>
      <c r="Q310" s="37"/>
      <c r="R310" s="37"/>
      <c r="S310" s="37"/>
      <c r="T310" s="37"/>
      <c r="U310" s="3"/>
      <c r="W310" s="3"/>
      <c r="X310" s="3"/>
      <c r="Y310" s="3"/>
      <c r="Z310" s="3"/>
    </row>
    <row r="311" spans="1:26" ht="15.75" hidden="1" customHeight="1" outlineLevel="1" x14ac:dyDescent="0.3">
      <c r="A311" s="3"/>
      <c r="B311" s="10" t="s">
        <v>1553</v>
      </c>
      <c r="C311" s="62"/>
      <c r="D311" s="62"/>
      <c r="E311" s="12">
        <v>0</v>
      </c>
      <c r="F311" s="12">
        <v>0</v>
      </c>
      <c r="G311" s="65"/>
      <c r="H311" s="65"/>
      <c r="I311" s="157"/>
      <c r="J311" s="65"/>
      <c r="K311" s="37"/>
      <c r="L311" s="37"/>
      <c r="M311" s="37"/>
      <c r="N311" s="37"/>
      <c r="O311" s="37"/>
      <c r="P311" s="37"/>
      <c r="Q311" s="37"/>
      <c r="R311" s="37"/>
      <c r="S311" s="37"/>
      <c r="T311" s="37"/>
      <c r="U311" s="3"/>
      <c r="W311" s="3"/>
      <c r="X311" s="3"/>
      <c r="Y311" s="3"/>
      <c r="Z311" s="3"/>
    </row>
    <row r="312" spans="1:26" ht="15.75" hidden="1" customHeight="1" outlineLevel="1" x14ac:dyDescent="0.3">
      <c r="A312" s="3"/>
      <c r="B312" s="10" t="s">
        <v>1554</v>
      </c>
      <c r="C312" s="62"/>
      <c r="D312" s="62"/>
      <c r="E312" s="12">
        <v>0</v>
      </c>
      <c r="F312" s="12">
        <v>0</v>
      </c>
      <c r="G312" s="65"/>
      <c r="H312" s="65"/>
      <c r="I312" s="157"/>
      <c r="J312" s="65"/>
      <c r="K312" s="37"/>
      <c r="L312" s="37"/>
      <c r="M312" s="37"/>
      <c r="N312" s="37"/>
      <c r="O312" s="37"/>
      <c r="P312" s="37"/>
      <c r="Q312" s="37"/>
      <c r="R312" s="37"/>
      <c r="S312" s="37"/>
      <c r="T312" s="37"/>
      <c r="U312" s="3"/>
      <c r="W312" s="3"/>
      <c r="X312" s="3"/>
      <c r="Y312" s="3"/>
      <c r="Z312" s="3"/>
    </row>
    <row r="313" spans="1:26" ht="15.75" hidden="1" customHeight="1" outlineLevel="1" x14ac:dyDescent="0.3">
      <c r="A313" s="3"/>
      <c r="B313" s="10" t="s">
        <v>1555</v>
      </c>
      <c r="C313" s="62"/>
      <c r="D313" s="62"/>
      <c r="E313" s="12">
        <v>0</v>
      </c>
      <c r="F313" s="12">
        <v>0</v>
      </c>
      <c r="G313" s="65"/>
      <c r="H313" s="65"/>
      <c r="I313" s="157"/>
      <c r="J313" s="65"/>
      <c r="K313" s="37"/>
      <c r="L313" s="37"/>
      <c r="M313" s="37"/>
      <c r="N313" s="37"/>
      <c r="O313" s="37"/>
      <c r="P313" s="37"/>
      <c r="Q313" s="37"/>
      <c r="R313" s="37"/>
      <c r="S313" s="37"/>
      <c r="T313" s="37"/>
      <c r="U313" s="3"/>
      <c r="W313" s="3"/>
      <c r="X313" s="3"/>
      <c r="Y313" s="3"/>
      <c r="Z313" s="3"/>
    </row>
    <row r="314" spans="1:26" ht="15.75" hidden="1" customHeight="1" outlineLevel="1" x14ac:dyDescent="0.3">
      <c r="A314" s="3"/>
      <c r="B314" s="10" t="s">
        <v>1556</v>
      </c>
      <c r="C314" s="62"/>
      <c r="D314" s="62"/>
      <c r="E314" s="12">
        <v>0</v>
      </c>
      <c r="F314" s="12">
        <v>0</v>
      </c>
      <c r="G314" s="65"/>
      <c r="H314" s="65"/>
      <c r="I314" s="157"/>
      <c r="J314" s="65"/>
      <c r="K314" s="37"/>
      <c r="L314" s="37"/>
      <c r="M314" s="37"/>
      <c r="N314" s="37"/>
      <c r="O314" s="37"/>
      <c r="P314" s="37"/>
      <c r="Q314" s="37"/>
      <c r="R314" s="37"/>
      <c r="S314" s="37"/>
      <c r="T314" s="37"/>
      <c r="U314" s="3"/>
      <c r="W314" s="3"/>
      <c r="X314" s="3"/>
      <c r="Y314" s="3"/>
      <c r="Z314" s="3"/>
    </row>
    <row r="315" spans="1:26" ht="15.75" hidden="1" customHeight="1" outlineLevel="1" x14ac:dyDescent="0.3">
      <c r="A315" s="3"/>
      <c r="B315" s="10" t="s">
        <v>1557</v>
      </c>
      <c r="C315" s="62"/>
      <c r="D315" s="62"/>
      <c r="E315" s="12">
        <v>0</v>
      </c>
      <c r="F315" s="12">
        <v>0</v>
      </c>
      <c r="G315" s="65"/>
      <c r="H315" s="65"/>
      <c r="I315" s="157"/>
      <c r="J315" s="65"/>
      <c r="K315" s="37"/>
      <c r="L315" s="37"/>
      <c r="M315" s="37"/>
      <c r="N315" s="37"/>
      <c r="O315" s="37"/>
      <c r="P315" s="37"/>
      <c r="Q315" s="37"/>
      <c r="R315" s="37"/>
      <c r="S315" s="37"/>
      <c r="T315" s="37"/>
      <c r="U315" s="3"/>
      <c r="W315" s="3"/>
      <c r="X315" s="3"/>
      <c r="Y315" s="3"/>
      <c r="Z315" s="3"/>
    </row>
    <row r="316" spans="1:26" ht="15.75" hidden="1" customHeight="1" outlineLevel="1" x14ac:dyDescent="0.3">
      <c r="A316" s="3"/>
      <c r="B316" s="10" t="s">
        <v>1558</v>
      </c>
      <c r="C316" s="62"/>
      <c r="D316" s="62"/>
      <c r="E316" s="12">
        <v>0</v>
      </c>
      <c r="F316" s="12">
        <v>0</v>
      </c>
      <c r="G316" s="65"/>
      <c r="H316" s="65"/>
      <c r="I316" s="89"/>
      <c r="J316" s="65"/>
      <c r="K316" s="37"/>
      <c r="L316" s="37"/>
      <c r="M316" s="37"/>
      <c r="N316" s="37"/>
      <c r="O316" s="37"/>
      <c r="P316" s="37"/>
      <c r="Q316" s="37"/>
      <c r="R316" s="37"/>
      <c r="S316" s="37"/>
      <c r="T316" s="37"/>
      <c r="U316" s="3"/>
      <c r="W316" s="3"/>
      <c r="X316" s="3"/>
      <c r="Y316" s="3"/>
      <c r="Z316" s="3"/>
    </row>
    <row r="317" spans="1:26" ht="15.75" hidden="1" customHeight="1" outlineLevel="1" x14ac:dyDescent="0.3">
      <c r="A317" s="3"/>
      <c r="B317" s="91" t="s">
        <v>689</v>
      </c>
      <c r="C317" s="92"/>
      <c r="D317" s="92"/>
      <c r="E317" s="93">
        <f>SUM(E318:E326)</f>
        <v>0</v>
      </c>
      <c r="F317" s="93">
        <f>SUMIF(D318:D326,"OK",F318:F326)</f>
        <v>0</v>
      </c>
      <c r="G317" s="94"/>
      <c r="H317" s="94"/>
      <c r="I317" s="95"/>
      <c r="J317" s="94"/>
      <c r="K317" s="37"/>
      <c r="L317" s="37"/>
      <c r="M317" s="37"/>
      <c r="N317" s="37"/>
      <c r="O317" s="37"/>
      <c r="P317" s="37"/>
      <c r="Q317" s="37"/>
      <c r="R317" s="37"/>
      <c r="S317" s="37"/>
      <c r="T317" s="37"/>
      <c r="U317" s="3"/>
      <c r="W317" s="3"/>
      <c r="X317" s="3"/>
      <c r="Y317" s="3"/>
      <c r="Z317" s="3"/>
    </row>
    <row r="318" spans="1:26" ht="15.75" hidden="1" customHeight="1" outlineLevel="1" x14ac:dyDescent="0.3">
      <c r="A318" s="3"/>
      <c r="B318" s="10" t="s">
        <v>1608</v>
      </c>
      <c r="C318" s="62"/>
      <c r="D318" s="62"/>
      <c r="E318" s="12">
        <v>0</v>
      </c>
      <c r="F318" s="12">
        <v>0</v>
      </c>
      <c r="G318" s="65"/>
      <c r="H318" s="65"/>
      <c r="I318" s="112"/>
      <c r="J318" s="65"/>
      <c r="K318" s="37"/>
      <c r="L318" s="37"/>
      <c r="M318" s="37"/>
      <c r="N318" s="37"/>
      <c r="O318" s="37"/>
      <c r="P318" s="37"/>
      <c r="Q318" s="37"/>
      <c r="R318" s="37"/>
      <c r="S318" s="37"/>
      <c r="T318" s="37"/>
      <c r="U318" s="3"/>
      <c r="W318" s="3"/>
      <c r="X318" s="3"/>
      <c r="Y318" s="3"/>
      <c r="Z318" s="3"/>
    </row>
    <row r="319" spans="1:26" ht="15.75" hidden="1" customHeight="1" outlineLevel="1" x14ac:dyDescent="0.3">
      <c r="A319" s="3"/>
      <c r="B319" s="10" t="s">
        <v>354</v>
      </c>
      <c r="C319" s="62"/>
      <c r="D319" s="62"/>
      <c r="E319" s="12">
        <v>0</v>
      </c>
      <c r="F319" s="12">
        <v>0</v>
      </c>
      <c r="G319" s="65"/>
      <c r="H319" s="65"/>
      <c r="I319" s="157"/>
      <c r="J319" s="65"/>
      <c r="K319" s="37"/>
      <c r="L319" s="37"/>
      <c r="M319" s="37"/>
      <c r="N319" s="37"/>
      <c r="O319" s="37"/>
      <c r="P319" s="37"/>
      <c r="Q319" s="37"/>
      <c r="R319" s="37"/>
      <c r="S319" s="37"/>
      <c r="T319" s="37"/>
      <c r="U319" s="3"/>
      <c r="W319" s="3"/>
      <c r="X319" s="3"/>
      <c r="Y319" s="3"/>
      <c r="Z319" s="3"/>
    </row>
    <row r="320" spans="1:26" ht="15.75" hidden="1" customHeight="1" outlineLevel="1" x14ac:dyDescent="0.3">
      <c r="A320" s="3"/>
      <c r="B320" s="10" t="s">
        <v>355</v>
      </c>
      <c r="C320" s="62"/>
      <c r="D320" s="62"/>
      <c r="E320" s="12">
        <v>0</v>
      </c>
      <c r="F320" s="12">
        <v>0</v>
      </c>
      <c r="G320" s="65"/>
      <c r="H320" s="65"/>
      <c r="I320" s="89"/>
      <c r="J320" s="65"/>
      <c r="K320" s="37"/>
      <c r="L320" s="37"/>
      <c r="M320" s="37"/>
      <c r="N320" s="37"/>
      <c r="O320" s="37"/>
      <c r="P320" s="37"/>
      <c r="Q320" s="37"/>
      <c r="R320" s="37"/>
      <c r="S320" s="37"/>
      <c r="T320" s="37"/>
      <c r="U320" s="3"/>
      <c r="W320" s="3"/>
      <c r="X320" s="3"/>
      <c r="Y320" s="3"/>
      <c r="Z320" s="3"/>
    </row>
    <row r="321" spans="1:26" ht="15.75" hidden="1" customHeight="1" outlineLevel="1" x14ac:dyDescent="0.3">
      <c r="A321" s="3"/>
      <c r="B321" s="10" t="s">
        <v>369</v>
      </c>
      <c r="C321" s="62"/>
      <c r="D321" s="62"/>
      <c r="E321" s="12">
        <v>0</v>
      </c>
      <c r="F321" s="12">
        <v>0</v>
      </c>
      <c r="G321" s="65"/>
      <c r="H321" s="65"/>
      <c r="I321" s="89"/>
      <c r="J321" s="65"/>
      <c r="K321" s="37"/>
      <c r="L321" s="37"/>
      <c r="M321" s="37"/>
      <c r="N321" s="37"/>
      <c r="O321" s="37"/>
      <c r="P321" s="37"/>
      <c r="Q321" s="37"/>
      <c r="R321" s="37"/>
      <c r="S321" s="37"/>
      <c r="T321" s="37"/>
      <c r="U321" s="3"/>
      <c r="W321" s="3"/>
      <c r="X321" s="3"/>
      <c r="Y321" s="3"/>
      <c r="Z321" s="3"/>
    </row>
    <row r="322" spans="1:26" ht="15.75" hidden="1" customHeight="1" outlineLevel="1" x14ac:dyDescent="0.3">
      <c r="A322" s="3"/>
      <c r="B322" s="10" t="s">
        <v>327</v>
      </c>
      <c r="C322" s="62"/>
      <c r="D322" s="62"/>
      <c r="E322" s="12">
        <v>0</v>
      </c>
      <c r="F322" s="12">
        <v>0</v>
      </c>
      <c r="G322" s="65"/>
      <c r="H322" s="65"/>
      <c r="I322" s="89"/>
      <c r="J322" s="65"/>
      <c r="K322" s="37"/>
      <c r="L322" s="37"/>
      <c r="M322" s="37"/>
      <c r="N322" s="37"/>
      <c r="O322" s="37"/>
      <c r="P322" s="37"/>
      <c r="Q322" s="37"/>
      <c r="R322" s="37"/>
      <c r="S322" s="37"/>
      <c r="T322" s="37"/>
      <c r="U322" s="3"/>
      <c r="W322" s="3"/>
      <c r="X322" s="3"/>
      <c r="Y322" s="3"/>
      <c r="Z322" s="3"/>
    </row>
    <row r="323" spans="1:26" ht="15.75" hidden="1" customHeight="1" outlineLevel="1" x14ac:dyDescent="0.3">
      <c r="A323" s="3"/>
      <c r="B323" s="10" t="s">
        <v>328</v>
      </c>
      <c r="C323" s="62"/>
      <c r="D323" s="62"/>
      <c r="E323" s="12">
        <v>0</v>
      </c>
      <c r="F323" s="12">
        <v>0</v>
      </c>
      <c r="G323" s="65"/>
      <c r="H323" s="65"/>
      <c r="I323" s="89"/>
      <c r="J323" s="65"/>
      <c r="K323" s="37"/>
      <c r="L323" s="37"/>
      <c r="M323" s="37"/>
      <c r="N323" s="37"/>
      <c r="O323" s="37"/>
      <c r="P323" s="37"/>
      <c r="Q323" s="37"/>
      <c r="R323" s="37"/>
      <c r="S323" s="37"/>
      <c r="T323" s="37"/>
      <c r="U323" s="3"/>
      <c r="W323" s="3"/>
      <c r="X323" s="3"/>
      <c r="Y323" s="3"/>
      <c r="Z323" s="3"/>
    </row>
    <row r="324" spans="1:26" ht="15.75" hidden="1" customHeight="1" outlineLevel="1" x14ac:dyDescent="0.3">
      <c r="A324" s="3"/>
      <c r="B324" s="10" t="s">
        <v>370</v>
      </c>
      <c r="C324" s="62"/>
      <c r="D324" s="62"/>
      <c r="E324" s="12">
        <v>0</v>
      </c>
      <c r="F324" s="12">
        <v>0</v>
      </c>
      <c r="G324" s="65"/>
      <c r="H324" s="65"/>
      <c r="I324" s="89"/>
      <c r="J324" s="65"/>
      <c r="K324" s="37"/>
      <c r="L324" s="37"/>
      <c r="M324" s="37"/>
      <c r="N324" s="37"/>
      <c r="O324" s="37"/>
      <c r="P324" s="37"/>
      <c r="Q324" s="37"/>
      <c r="R324" s="37"/>
      <c r="S324" s="37"/>
      <c r="T324" s="37"/>
      <c r="U324" s="3"/>
      <c r="W324" s="3"/>
      <c r="X324" s="3"/>
      <c r="Y324" s="3"/>
      <c r="Z324" s="3"/>
    </row>
    <row r="325" spans="1:26" ht="15.75" hidden="1" customHeight="1" outlineLevel="1" x14ac:dyDescent="0.3">
      <c r="A325" s="3"/>
      <c r="B325" s="10" t="s">
        <v>371</v>
      </c>
      <c r="C325" s="62"/>
      <c r="D325" s="62"/>
      <c r="E325" s="12">
        <v>0</v>
      </c>
      <c r="F325" s="12">
        <v>0</v>
      </c>
      <c r="G325" s="65"/>
      <c r="H325" s="65"/>
      <c r="I325" s="89"/>
      <c r="J325" s="65"/>
      <c r="K325" s="37"/>
      <c r="L325" s="37"/>
      <c r="M325" s="37"/>
      <c r="N325" s="37"/>
      <c r="O325" s="37"/>
      <c r="P325" s="37"/>
      <c r="Q325" s="37"/>
      <c r="R325" s="37"/>
      <c r="S325" s="37"/>
      <c r="T325" s="37"/>
      <c r="U325" s="3"/>
      <c r="W325" s="3"/>
      <c r="X325" s="3"/>
      <c r="Y325" s="3"/>
      <c r="Z325" s="3"/>
    </row>
    <row r="326" spans="1:26" ht="15.75" hidden="1" customHeight="1" outlineLevel="1" x14ac:dyDescent="0.3">
      <c r="A326" s="3"/>
      <c r="B326" s="10" t="s">
        <v>372</v>
      </c>
      <c r="C326" s="62"/>
      <c r="D326" s="62"/>
      <c r="E326" s="12">
        <v>0</v>
      </c>
      <c r="F326" s="12">
        <v>0</v>
      </c>
      <c r="G326" s="65"/>
      <c r="H326" s="65"/>
      <c r="I326" s="89"/>
      <c r="J326" s="65"/>
      <c r="K326" s="37"/>
      <c r="L326" s="37"/>
      <c r="M326" s="37"/>
      <c r="N326" s="37"/>
      <c r="O326" s="37"/>
      <c r="P326" s="37"/>
      <c r="Q326" s="37"/>
      <c r="R326" s="37"/>
      <c r="S326" s="37"/>
      <c r="T326" s="37"/>
      <c r="U326" s="3"/>
      <c r="W326" s="3"/>
      <c r="X326" s="3"/>
      <c r="Y326" s="3"/>
      <c r="Z326" s="3"/>
    </row>
    <row r="327" spans="1:26" ht="15.75" customHeight="1" collapsed="1" x14ac:dyDescent="0.3">
      <c r="A327" s="3"/>
      <c r="B327" s="84" t="s">
        <v>411</v>
      </c>
      <c r="C327" s="85" t="s">
        <v>43</v>
      </c>
      <c r="D327" s="85" t="s">
        <v>43</v>
      </c>
      <c r="E327" s="86">
        <f>SUM(E328:E349)</f>
        <v>0</v>
      </c>
      <c r="F327" s="86">
        <f>SUMIF(D328:D349,"OK",F328:F349)</f>
        <v>0</v>
      </c>
      <c r="G327" s="87"/>
      <c r="H327" s="87"/>
      <c r="I327" s="88"/>
      <c r="J327" s="87"/>
      <c r="K327" s="37"/>
      <c r="L327" s="37"/>
      <c r="M327" s="37"/>
      <c r="N327" s="37"/>
      <c r="O327" s="37"/>
      <c r="P327" s="37"/>
      <c r="Q327" s="37"/>
      <c r="R327" s="37"/>
      <c r="S327" s="37"/>
      <c r="T327" s="37"/>
      <c r="U327" s="3"/>
      <c r="W327" s="3"/>
      <c r="X327" s="3"/>
      <c r="Y327" s="3"/>
      <c r="Z327" s="3"/>
    </row>
    <row r="328" spans="1:26" ht="15.75" hidden="1" customHeight="1" outlineLevel="1" x14ac:dyDescent="0.3">
      <c r="A328" s="3"/>
      <c r="B328" s="10" t="s">
        <v>412</v>
      </c>
      <c r="C328" s="62"/>
      <c r="D328" s="62"/>
      <c r="E328" s="12">
        <v>0</v>
      </c>
      <c r="F328" s="12">
        <v>0</v>
      </c>
      <c r="G328" s="65"/>
      <c r="H328" s="65"/>
      <c r="I328" s="89"/>
      <c r="J328" s="65"/>
      <c r="K328" s="37"/>
      <c r="L328" s="37"/>
      <c r="M328" s="37"/>
      <c r="N328" s="37"/>
      <c r="O328" s="37"/>
      <c r="P328" s="37"/>
      <c r="Q328" s="37"/>
      <c r="R328" s="37"/>
      <c r="S328" s="37"/>
      <c r="T328" s="37"/>
      <c r="U328" s="3"/>
      <c r="W328" s="3"/>
      <c r="X328" s="3"/>
      <c r="Y328" s="3"/>
      <c r="Z328" s="3"/>
    </row>
    <row r="329" spans="1:26" ht="15.75" hidden="1" customHeight="1" outlineLevel="1" x14ac:dyDescent="0.3">
      <c r="A329" s="3"/>
      <c r="B329" s="10" t="s">
        <v>413</v>
      </c>
      <c r="C329" s="62"/>
      <c r="D329" s="62"/>
      <c r="E329" s="12">
        <v>0</v>
      </c>
      <c r="F329" s="12">
        <v>0</v>
      </c>
      <c r="G329" s="89"/>
      <c r="H329" s="65"/>
      <c r="I329" s="157"/>
      <c r="J329" s="65"/>
      <c r="K329" s="37"/>
      <c r="L329" s="37"/>
      <c r="M329" s="37"/>
      <c r="N329" s="37"/>
      <c r="O329" s="37"/>
      <c r="P329" s="37"/>
      <c r="Q329" s="37"/>
      <c r="R329" s="37"/>
      <c r="S329" s="37"/>
      <c r="T329" s="37"/>
      <c r="U329" s="3"/>
      <c r="W329" s="3"/>
      <c r="X329" s="3"/>
      <c r="Y329" s="3"/>
      <c r="Z329" s="3"/>
    </row>
    <row r="330" spans="1:26" ht="15.75" hidden="1" customHeight="1" outlineLevel="1" x14ac:dyDescent="0.3">
      <c r="A330" s="3"/>
      <c r="B330" s="10" t="s">
        <v>413</v>
      </c>
      <c r="C330" s="62"/>
      <c r="D330" s="62"/>
      <c r="E330" s="12">
        <v>0</v>
      </c>
      <c r="F330" s="12">
        <v>0</v>
      </c>
      <c r="G330" s="65"/>
      <c r="H330" s="65"/>
      <c r="I330" s="157"/>
      <c r="J330" s="65"/>
      <c r="K330" s="37"/>
      <c r="L330" s="37"/>
      <c r="M330" s="37"/>
      <c r="N330" s="37"/>
      <c r="O330" s="37"/>
      <c r="P330" s="37"/>
      <c r="Q330" s="37"/>
      <c r="R330" s="37"/>
      <c r="S330" s="37"/>
      <c r="T330" s="37"/>
      <c r="U330" s="3"/>
      <c r="W330" s="3"/>
      <c r="X330" s="3"/>
      <c r="Y330" s="3"/>
      <c r="Z330" s="3"/>
    </row>
    <row r="331" spans="1:26" ht="15.75" hidden="1" customHeight="1" outlineLevel="1" x14ac:dyDescent="0.3">
      <c r="A331" s="3"/>
      <c r="B331" s="10" t="s">
        <v>414</v>
      </c>
      <c r="C331" s="62"/>
      <c r="D331" s="62"/>
      <c r="E331" s="12">
        <v>0</v>
      </c>
      <c r="F331" s="12">
        <v>0</v>
      </c>
      <c r="G331" s="65"/>
      <c r="H331" s="65"/>
      <c r="I331" s="89"/>
      <c r="J331" s="65"/>
      <c r="K331" s="37"/>
      <c r="L331" s="37"/>
      <c r="M331" s="37"/>
      <c r="N331" s="37"/>
      <c r="O331" s="37"/>
      <c r="P331" s="37"/>
      <c r="Q331" s="37"/>
      <c r="R331" s="37"/>
      <c r="S331" s="37"/>
      <c r="T331" s="37"/>
      <c r="U331" s="3"/>
      <c r="W331" s="3"/>
      <c r="X331" s="3"/>
      <c r="Y331" s="3"/>
      <c r="Z331" s="3"/>
    </row>
    <row r="332" spans="1:26" ht="15.75" hidden="1" customHeight="1" outlineLevel="1" x14ac:dyDescent="0.3">
      <c r="A332" s="3"/>
      <c r="B332" s="10" t="s">
        <v>414</v>
      </c>
      <c r="C332" s="62"/>
      <c r="D332" s="62"/>
      <c r="E332" s="12">
        <v>0</v>
      </c>
      <c r="F332" s="12">
        <v>0</v>
      </c>
      <c r="G332" s="65"/>
      <c r="H332" s="65"/>
      <c r="I332" s="89"/>
      <c r="J332" s="65"/>
      <c r="K332" s="37"/>
      <c r="L332" s="37"/>
      <c r="M332" s="37"/>
      <c r="N332" s="37"/>
      <c r="O332" s="37"/>
      <c r="P332" s="37"/>
      <c r="Q332" s="37"/>
      <c r="R332" s="37"/>
      <c r="S332" s="37"/>
      <c r="T332" s="37"/>
      <c r="U332" s="3"/>
      <c r="W332" s="3"/>
      <c r="X332" s="3"/>
      <c r="Y332" s="3"/>
      <c r="Z332" s="3"/>
    </row>
    <row r="333" spans="1:26" ht="15.75" hidden="1" customHeight="1" outlineLevel="1" x14ac:dyDescent="0.3">
      <c r="A333" s="3"/>
      <c r="B333" s="10" t="s">
        <v>414</v>
      </c>
      <c r="C333" s="62"/>
      <c r="D333" s="62"/>
      <c r="E333" s="12">
        <v>0</v>
      </c>
      <c r="F333" s="12">
        <v>0</v>
      </c>
      <c r="G333" s="65"/>
      <c r="H333" s="65"/>
      <c r="I333" s="89"/>
      <c r="J333" s="65"/>
      <c r="K333" s="37"/>
      <c r="L333" s="37"/>
      <c r="M333" s="37"/>
      <c r="N333" s="37"/>
      <c r="O333" s="37"/>
      <c r="P333" s="37"/>
      <c r="Q333" s="37"/>
      <c r="R333" s="37"/>
      <c r="S333" s="37"/>
      <c r="T333" s="37"/>
      <c r="U333" s="3"/>
      <c r="W333" s="3"/>
      <c r="X333" s="3"/>
      <c r="Y333" s="3"/>
      <c r="Z333" s="3"/>
    </row>
    <row r="334" spans="1:26" ht="15.75" hidden="1" customHeight="1" outlineLevel="1" x14ac:dyDescent="0.3">
      <c r="A334" s="3"/>
      <c r="B334" s="10" t="s">
        <v>415</v>
      </c>
      <c r="C334" s="62"/>
      <c r="D334" s="62"/>
      <c r="E334" s="12">
        <v>0</v>
      </c>
      <c r="F334" s="12">
        <v>0</v>
      </c>
      <c r="G334" s="65"/>
      <c r="H334" s="65"/>
      <c r="I334" s="157"/>
      <c r="J334" s="65"/>
      <c r="K334" s="37"/>
      <c r="L334" s="37"/>
      <c r="M334" s="37"/>
      <c r="N334" s="37"/>
      <c r="O334" s="37"/>
      <c r="P334" s="37"/>
      <c r="Q334" s="37"/>
      <c r="R334" s="37"/>
      <c r="S334" s="37"/>
      <c r="T334" s="37"/>
      <c r="U334" s="3"/>
      <c r="W334" s="3"/>
      <c r="X334" s="3"/>
      <c r="Y334" s="3"/>
      <c r="Z334" s="3"/>
    </row>
    <row r="335" spans="1:26" ht="15.75" hidden="1" customHeight="1" outlineLevel="1" x14ac:dyDescent="0.3">
      <c r="A335" s="3"/>
      <c r="B335" s="10" t="s">
        <v>415</v>
      </c>
      <c r="C335" s="62"/>
      <c r="D335" s="62"/>
      <c r="E335" s="12">
        <v>0</v>
      </c>
      <c r="F335" s="12">
        <v>0</v>
      </c>
      <c r="G335" s="65"/>
      <c r="H335" s="65"/>
      <c r="I335" s="157"/>
      <c r="J335" s="65"/>
      <c r="K335" s="37"/>
      <c r="L335" s="37"/>
      <c r="M335" s="37"/>
      <c r="N335" s="37"/>
      <c r="O335" s="37"/>
      <c r="P335" s="37"/>
      <c r="Q335" s="37"/>
      <c r="R335" s="37"/>
      <c r="S335" s="37"/>
      <c r="T335" s="37"/>
      <c r="U335" s="3"/>
      <c r="W335" s="3"/>
      <c r="X335" s="3"/>
      <c r="Y335" s="3"/>
      <c r="Z335" s="3"/>
    </row>
    <row r="336" spans="1:26" ht="15.75" hidden="1" customHeight="1" outlineLevel="1" x14ac:dyDescent="0.3">
      <c r="A336" s="3"/>
      <c r="B336" s="10" t="s">
        <v>415</v>
      </c>
      <c r="C336" s="62"/>
      <c r="D336" s="62"/>
      <c r="E336" s="12">
        <v>0</v>
      </c>
      <c r="F336" s="12">
        <v>0</v>
      </c>
      <c r="G336" s="65"/>
      <c r="H336" s="65"/>
      <c r="I336" s="157"/>
      <c r="J336" s="65"/>
      <c r="K336" s="37"/>
      <c r="L336" s="37"/>
      <c r="M336" s="37"/>
      <c r="N336" s="37"/>
      <c r="O336" s="37"/>
      <c r="P336" s="37"/>
      <c r="Q336" s="37"/>
      <c r="R336" s="37"/>
      <c r="S336" s="37"/>
      <c r="T336" s="37"/>
      <c r="U336" s="3"/>
      <c r="W336" s="3"/>
      <c r="X336" s="3"/>
      <c r="Y336" s="3"/>
      <c r="Z336" s="3"/>
    </row>
    <row r="337" spans="1:26" ht="15.75" hidden="1" customHeight="1" outlineLevel="1" x14ac:dyDescent="0.3">
      <c r="A337" s="3"/>
      <c r="B337" s="10" t="s">
        <v>416</v>
      </c>
      <c r="C337" s="62"/>
      <c r="D337" s="62"/>
      <c r="E337" s="12">
        <v>0</v>
      </c>
      <c r="F337" s="12">
        <v>0</v>
      </c>
      <c r="G337" s="65"/>
      <c r="H337" s="65"/>
      <c r="I337" s="157"/>
      <c r="J337" s="65"/>
      <c r="K337" s="37"/>
      <c r="L337" s="37"/>
      <c r="M337" s="37"/>
      <c r="N337" s="37"/>
      <c r="O337" s="37"/>
      <c r="P337" s="37"/>
      <c r="Q337" s="37"/>
      <c r="R337" s="37"/>
      <c r="S337" s="37"/>
      <c r="T337" s="37"/>
      <c r="U337" s="3"/>
      <c r="W337" s="3"/>
      <c r="X337" s="3"/>
      <c r="Y337" s="3"/>
      <c r="Z337" s="3"/>
    </row>
    <row r="338" spans="1:26" ht="15.75" hidden="1" customHeight="1" outlineLevel="1" x14ac:dyDescent="0.3">
      <c r="A338" s="3"/>
      <c r="B338" s="10" t="s">
        <v>416</v>
      </c>
      <c r="C338" s="62"/>
      <c r="D338" s="62"/>
      <c r="E338" s="12">
        <v>0</v>
      </c>
      <c r="F338" s="12">
        <v>0</v>
      </c>
      <c r="G338" s="65"/>
      <c r="H338" s="65"/>
      <c r="I338" s="157"/>
      <c r="J338" s="65"/>
      <c r="K338" s="37"/>
      <c r="L338" s="37"/>
      <c r="M338" s="37"/>
      <c r="N338" s="37"/>
      <c r="O338" s="37"/>
      <c r="P338" s="37"/>
      <c r="Q338" s="37"/>
      <c r="R338" s="37"/>
      <c r="S338" s="37"/>
      <c r="T338" s="37"/>
      <c r="U338" s="3"/>
      <c r="W338" s="3"/>
      <c r="X338" s="3"/>
      <c r="Y338" s="3"/>
      <c r="Z338" s="3"/>
    </row>
    <row r="339" spans="1:26" ht="15.75" hidden="1" customHeight="1" outlineLevel="1" x14ac:dyDescent="0.3">
      <c r="A339" s="3"/>
      <c r="B339" s="10" t="s">
        <v>416</v>
      </c>
      <c r="C339" s="62"/>
      <c r="D339" s="62"/>
      <c r="E339" s="12">
        <v>0</v>
      </c>
      <c r="F339" s="12">
        <v>0</v>
      </c>
      <c r="G339" s="65"/>
      <c r="H339" s="65"/>
      <c r="I339" s="157"/>
      <c r="J339" s="65"/>
      <c r="K339" s="37"/>
      <c r="L339" s="37"/>
      <c r="M339" s="37"/>
      <c r="N339" s="37"/>
      <c r="O339" s="37"/>
      <c r="P339" s="37"/>
      <c r="Q339" s="37"/>
      <c r="R339" s="37"/>
      <c r="S339" s="37"/>
      <c r="T339" s="37"/>
      <c r="U339" s="3"/>
      <c r="W339" s="3"/>
      <c r="X339" s="3"/>
      <c r="Y339" s="3"/>
      <c r="Z339" s="3"/>
    </row>
    <row r="340" spans="1:26" ht="15.75" hidden="1" customHeight="1" outlineLevel="1" x14ac:dyDescent="0.3">
      <c r="A340" s="3"/>
      <c r="B340" s="10" t="s">
        <v>416</v>
      </c>
      <c r="C340" s="62"/>
      <c r="D340" s="62"/>
      <c r="E340" s="12">
        <v>0</v>
      </c>
      <c r="F340" s="12">
        <v>0</v>
      </c>
      <c r="G340" s="65"/>
      <c r="H340" s="65"/>
      <c r="I340" s="157"/>
      <c r="J340" s="65"/>
      <c r="K340" s="37"/>
      <c r="L340" s="37"/>
      <c r="M340" s="37"/>
      <c r="N340" s="37"/>
      <c r="O340" s="37"/>
      <c r="P340" s="37"/>
      <c r="Q340" s="37"/>
      <c r="R340" s="37"/>
      <c r="S340" s="37"/>
      <c r="T340" s="37"/>
      <c r="U340" s="3"/>
      <c r="W340" s="3"/>
      <c r="X340" s="3"/>
      <c r="Y340" s="3"/>
      <c r="Z340" s="3"/>
    </row>
    <row r="341" spans="1:26" ht="15.75" hidden="1" customHeight="1" outlineLevel="1" x14ac:dyDescent="0.3">
      <c r="A341" s="3"/>
      <c r="B341" s="10" t="s">
        <v>417</v>
      </c>
      <c r="C341" s="62"/>
      <c r="D341" s="62"/>
      <c r="E341" s="12">
        <v>0</v>
      </c>
      <c r="F341" s="12">
        <v>0</v>
      </c>
      <c r="G341" s="65"/>
      <c r="H341" s="65"/>
      <c r="I341" s="157"/>
      <c r="J341" s="65"/>
      <c r="K341" s="37"/>
      <c r="L341" s="37"/>
      <c r="M341" s="37"/>
      <c r="N341" s="37"/>
      <c r="O341" s="37"/>
      <c r="P341" s="37"/>
      <c r="Q341" s="37"/>
      <c r="R341" s="37"/>
      <c r="S341" s="37"/>
      <c r="T341" s="37"/>
      <c r="U341" s="3"/>
      <c r="W341" s="3"/>
      <c r="X341" s="3"/>
      <c r="Y341" s="3"/>
      <c r="Z341" s="3"/>
    </row>
    <row r="342" spans="1:26" ht="15.75" hidden="1" customHeight="1" outlineLevel="1" x14ac:dyDescent="0.3">
      <c r="A342" s="3"/>
      <c r="B342" s="10" t="s">
        <v>417</v>
      </c>
      <c r="C342" s="62"/>
      <c r="D342" s="62"/>
      <c r="E342" s="12">
        <v>0</v>
      </c>
      <c r="F342" s="12">
        <v>0</v>
      </c>
      <c r="G342" s="65"/>
      <c r="H342" s="65"/>
      <c r="I342" s="157"/>
      <c r="J342" s="65"/>
      <c r="K342" s="37"/>
      <c r="L342" s="37"/>
      <c r="M342" s="37"/>
      <c r="N342" s="37"/>
      <c r="O342" s="37"/>
      <c r="P342" s="37"/>
      <c r="Q342" s="37"/>
      <c r="R342" s="37"/>
      <c r="S342" s="37"/>
      <c r="T342" s="37"/>
      <c r="U342" s="3"/>
      <c r="W342" s="3"/>
      <c r="X342" s="3"/>
      <c r="Y342" s="3"/>
      <c r="Z342" s="3"/>
    </row>
    <row r="343" spans="1:26" ht="15.75" hidden="1" customHeight="1" outlineLevel="1" x14ac:dyDescent="0.3">
      <c r="A343" s="3"/>
      <c r="B343" s="10" t="s">
        <v>417</v>
      </c>
      <c r="C343" s="62"/>
      <c r="D343" s="62"/>
      <c r="E343" s="12">
        <v>0</v>
      </c>
      <c r="F343" s="12">
        <v>0</v>
      </c>
      <c r="G343" s="65"/>
      <c r="H343" s="65"/>
      <c r="I343" s="157"/>
      <c r="J343" s="65"/>
      <c r="K343" s="37"/>
      <c r="L343" s="37"/>
      <c r="M343" s="37"/>
      <c r="N343" s="37"/>
      <c r="O343" s="37"/>
      <c r="P343" s="37"/>
      <c r="Q343" s="37"/>
      <c r="R343" s="37"/>
      <c r="S343" s="37"/>
      <c r="T343" s="37"/>
      <c r="U343" s="3"/>
      <c r="W343" s="3"/>
      <c r="X343" s="3"/>
      <c r="Y343" s="3"/>
      <c r="Z343" s="3"/>
    </row>
    <row r="344" spans="1:26" ht="15.75" hidden="1" customHeight="1" outlineLevel="1" x14ac:dyDescent="0.3">
      <c r="A344" s="3"/>
      <c r="B344" s="10" t="s">
        <v>417</v>
      </c>
      <c r="C344" s="62"/>
      <c r="D344" s="62"/>
      <c r="E344" s="12">
        <v>0</v>
      </c>
      <c r="F344" s="12">
        <v>0</v>
      </c>
      <c r="G344" s="65"/>
      <c r="H344" s="65"/>
      <c r="I344" s="157"/>
      <c r="J344" s="65"/>
      <c r="K344" s="37"/>
      <c r="L344" s="37"/>
      <c r="M344" s="37"/>
      <c r="N344" s="37"/>
      <c r="O344" s="37"/>
      <c r="P344" s="37"/>
      <c r="Q344" s="37"/>
      <c r="R344" s="37"/>
      <c r="S344" s="37"/>
      <c r="T344" s="37"/>
      <c r="U344" s="3"/>
      <c r="W344" s="3"/>
      <c r="X344" s="3"/>
      <c r="Y344" s="3"/>
      <c r="Z344" s="3"/>
    </row>
    <row r="345" spans="1:26" ht="15.75" hidden="1" customHeight="1" outlineLevel="1" x14ac:dyDescent="0.3">
      <c r="A345" s="3"/>
      <c r="B345" s="10" t="s">
        <v>418</v>
      </c>
      <c r="C345" s="62"/>
      <c r="D345" s="62"/>
      <c r="E345" s="12">
        <v>0</v>
      </c>
      <c r="F345" s="12">
        <v>0</v>
      </c>
      <c r="G345" s="65"/>
      <c r="H345" s="65"/>
      <c r="I345" s="156"/>
      <c r="J345" s="65"/>
      <c r="K345" s="37"/>
      <c r="L345" s="37"/>
      <c r="M345" s="37"/>
      <c r="N345" s="37"/>
      <c r="O345" s="37"/>
      <c r="P345" s="37"/>
      <c r="Q345" s="37"/>
      <c r="R345" s="37"/>
      <c r="S345" s="37"/>
      <c r="T345" s="37"/>
      <c r="U345" s="3"/>
      <c r="W345" s="3"/>
      <c r="X345" s="3"/>
      <c r="Y345" s="3"/>
      <c r="Z345" s="3"/>
    </row>
    <row r="346" spans="1:26" ht="15.75" hidden="1" customHeight="1" outlineLevel="1" x14ac:dyDescent="0.3">
      <c r="A346" s="3"/>
      <c r="B346" s="10" t="s">
        <v>419</v>
      </c>
      <c r="C346" s="62"/>
      <c r="D346" s="62"/>
      <c r="E346" s="12">
        <v>0</v>
      </c>
      <c r="F346" s="12">
        <v>0</v>
      </c>
      <c r="G346" s="65"/>
      <c r="H346" s="65"/>
      <c r="I346" s="112"/>
      <c r="J346" s="65"/>
      <c r="K346" s="37"/>
      <c r="L346" s="37"/>
      <c r="M346" s="37"/>
      <c r="N346" s="37"/>
      <c r="O346" s="37"/>
      <c r="P346" s="37"/>
      <c r="Q346" s="37"/>
      <c r="R346" s="37"/>
      <c r="S346" s="37"/>
      <c r="T346" s="37"/>
      <c r="U346" s="3"/>
      <c r="W346" s="3"/>
      <c r="X346" s="3"/>
      <c r="Y346" s="3"/>
      <c r="Z346" s="3"/>
    </row>
    <row r="347" spans="1:26" ht="15.75" hidden="1" customHeight="1" outlineLevel="1" x14ac:dyDescent="0.3">
      <c r="A347" s="3"/>
      <c r="B347" s="10" t="s">
        <v>419</v>
      </c>
      <c r="C347" s="62"/>
      <c r="D347" s="62"/>
      <c r="E347" s="12">
        <v>0</v>
      </c>
      <c r="F347" s="12">
        <v>0</v>
      </c>
      <c r="G347" s="65"/>
      <c r="H347" s="65"/>
      <c r="I347" s="112"/>
      <c r="J347" s="65"/>
      <c r="K347" s="37"/>
      <c r="L347" s="37"/>
      <c r="M347" s="37"/>
      <c r="N347" s="37"/>
      <c r="O347" s="37"/>
      <c r="P347" s="37"/>
      <c r="Q347" s="37"/>
      <c r="R347" s="37"/>
      <c r="S347" s="37"/>
      <c r="T347" s="37"/>
      <c r="U347" s="3"/>
      <c r="W347" s="3"/>
      <c r="X347" s="3"/>
      <c r="Y347" s="3"/>
      <c r="Z347" s="3"/>
    </row>
    <row r="348" spans="1:26" ht="15.75" hidden="1" customHeight="1" outlineLevel="1" x14ac:dyDescent="0.3">
      <c r="A348" s="3"/>
      <c r="B348" s="10" t="s">
        <v>420</v>
      </c>
      <c r="C348" s="62"/>
      <c r="D348" s="62"/>
      <c r="E348" s="12">
        <v>0</v>
      </c>
      <c r="F348" s="12">
        <v>0</v>
      </c>
      <c r="G348" s="65"/>
      <c r="H348" s="65"/>
      <c r="I348" s="89"/>
      <c r="J348" s="65"/>
      <c r="K348" s="37"/>
      <c r="L348" s="37"/>
      <c r="M348" s="37"/>
      <c r="N348" s="37"/>
      <c r="O348" s="37"/>
      <c r="P348" s="37"/>
      <c r="Q348" s="37"/>
      <c r="R348" s="37"/>
      <c r="S348" s="37"/>
      <c r="T348" s="37"/>
      <c r="U348" s="3"/>
      <c r="W348" s="3"/>
      <c r="X348" s="3"/>
      <c r="Y348" s="3"/>
      <c r="Z348" s="3"/>
    </row>
    <row r="349" spans="1:26" ht="15.75" hidden="1" customHeight="1" outlineLevel="1" x14ac:dyDescent="0.3">
      <c r="A349" s="3"/>
      <c r="B349" s="10" t="s">
        <v>65</v>
      </c>
      <c r="C349" s="62"/>
      <c r="D349" s="62"/>
      <c r="E349" s="12">
        <v>0</v>
      </c>
      <c r="F349" s="12">
        <v>0</v>
      </c>
      <c r="G349" s="65"/>
      <c r="H349" s="65"/>
      <c r="I349" s="89"/>
      <c r="J349" s="65"/>
      <c r="K349" s="37"/>
      <c r="L349" s="37"/>
      <c r="M349" s="37"/>
      <c r="N349" s="37"/>
      <c r="O349" s="37"/>
      <c r="P349" s="37"/>
      <c r="Q349" s="37"/>
      <c r="R349" s="37"/>
      <c r="S349" s="37"/>
      <c r="T349" s="37"/>
      <c r="U349" s="3"/>
      <c r="W349" s="3"/>
      <c r="X349" s="3"/>
      <c r="Y349" s="3"/>
      <c r="Z349" s="3"/>
    </row>
    <row r="350" spans="1:26" ht="15.75" customHeight="1" collapsed="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6" ht="14.2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6" ht="57" customHeight="1" x14ac:dyDescent="0.3">
      <c r="A352" s="3"/>
      <c r="B352" s="223" t="s">
        <v>1609</v>
      </c>
      <c r="C352" s="224"/>
      <c r="D352" s="224"/>
      <c r="E352" s="224"/>
      <c r="F352" s="224"/>
      <c r="G352" s="224"/>
      <c r="H352" s="224"/>
      <c r="I352" s="198"/>
      <c r="J352" s="98"/>
      <c r="K352" s="37"/>
      <c r="L352" s="37"/>
      <c r="M352" s="37"/>
      <c r="N352" s="37"/>
      <c r="O352" s="37"/>
      <c r="P352" s="37"/>
      <c r="Q352" s="37"/>
      <c r="R352" s="37"/>
      <c r="S352" s="37"/>
      <c r="T352" s="37"/>
      <c r="U352" s="3"/>
    </row>
    <row r="353" spans="1:21" ht="14.2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4.2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4.2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4.2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4.2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4.2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4.2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4.2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4.2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4.2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4.2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4.2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4.2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4.2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4.2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4.2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4.2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4.2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4.2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4.2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4.2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4.2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4.2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4.2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4.2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4.2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4.2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4.2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4.2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4.2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4.2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4.2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4.2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4.2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4.2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4.2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4.2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4.2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4.2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4.2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4.2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4.2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4.2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4.2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4.2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4.2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4.2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4.2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4.2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4.2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4.2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4.2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4.2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4.2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4.2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4.2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4.2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4.2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4.2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4.2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4.2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4.2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4.2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4.2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4.2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4.2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4.2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4.2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4.2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4.2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4.2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4.2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4.2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4.2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4.2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4.2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4.2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4.2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4.2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4.2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4.2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4.2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4.2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4.2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4.2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4.2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4.2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4.2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4.2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4.2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4.2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4.2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4.2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4.2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4.2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4.2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4.2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4.2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4.2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4.2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4.2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4.2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4.2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4.2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4.2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4.2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4.2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4.2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4.2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4.2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4.2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4.2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4.2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4.2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4.2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4.2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4.2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4.2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4.2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4.2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4.2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4.2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4.2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4.2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4.2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4.2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4.2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4.2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4.2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4.2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4.2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4.2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4.2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4.2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4.2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4.2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4.2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4.2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4.2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4.2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4.2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4.2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4.2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4.2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4.2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4.2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4.2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4.2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4.2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4.2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4.2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4.2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4.2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4.2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4.2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4.2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4.2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4.2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4.2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4.2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4.2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4.2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4.2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4.2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4.2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4.2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4.2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4.2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4.25" customHeight="1" x14ac:dyDescent="0.3">
      <c r="A521" s="3"/>
      <c r="B521" s="3"/>
      <c r="C521" s="37"/>
      <c r="D521" s="37"/>
      <c r="E521" s="37"/>
      <c r="F521" s="37"/>
      <c r="G521" s="98"/>
      <c r="H521" s="98"/>
      <c r="I521" s="99"/>
      <c r="J521" s="98"/>
      <c r="K521" s="37"/>
      <c r="L521" s="37"/>
      <c r="M521" s="37"/>
      <c r="N521" s="37"/>
      <c r="O521" s="37"/>
      <c r="P521" s="37"/>
      <c r="Q521" s="37"/>
      <c r="R521" s="37"/>
      <c r="S521" s="37"/>
      <c r="T521" s="37"/>
      <c r="U521" s="3"/>
    </row>
    <row r="522" spans="1:21" ht="14.25" customHeight="1" x14ac:dyDescent="0.3">
      <c r="A522" s="3"/>
      <c r="B522" s="3"/>
      <c r="C522" s="37"/>
      <c r="D522" s="37"/>
      <c r="E522" s="37"/>
      <c r="F522" s="37"/>
      <c r="G522" s="98"/>
      <c r="H522" s="98"/>
      <c r="I522" s="99"/>
      <c r="J522" s="98"/>
      <c r="K522" s="37"/>
      <c r="L522" s="37"/>
      <c r="M522" s="37"/>
      <c r="N522" s="37"/>
      <c r="O522" s="37"/>
      <c r="P522" s="37"/>
      <c r="Q522" s="37"/>
      <c r="R522" s="37"/>
      <c r="S522" s="37"/>
      <c r="T522" s="37"/>
      <c r="U522" s="3"/>
    </row>
    <row r="523" spans="1:21" ht="14.25" customHeight="1" x14ac:dyDescent="0.3">
      <c r="A523" s="3"/>
      <c r="B523" s="3"/>
      <c r="C523" s="37"/>
      <c r="D523" s="37"/>
      <c r="E523" s="37"/>
      <c r="F523" s="37"/>
      <c r="G523" s="98"/>
      <c r="H523" s="98"/>
      <c r="I523" s="99"/>
      <c r="J523" s="98"/>
      <c r="K523" s="37"/>
      <c r="L523" s="37"/>
      <c r="M523" s="37"/>
      <c r="N523" s="37"/>
      <c r="O523" s="37"/>
      <c r="P523" s="37"/>
      <c r="Q523" s="37"/>
      <c r="R523" s="37"/>
      <c r="S523" s="37"/>
      <c r="T523" s="37"/>
      <c r="U523" s="3"/>
    </row>
    <row r="524" spans="1:21" ht="14.25" customHeight="1" x14ac:dyDescent="0.3">
      <c r="A524" s="3"/>
      <c r="B524" s="3"/>
      <c r="C524" s="37"/>
      <c r="D524" s="37"/>
      <c r="E524" s="37"/>
      <c r="F524" s="37"/>
      <c r="G524" s="98"/>
      <c r="H524" s="98"/>
      <c r="I524" s="99"/>
      <c r="J524" s="98"/>
      <c r="K524" s="37"/>
      <c r="L524" s="37"/>
      <c r="M524" s="37"/>
      <c r="N524" s="37"/>
      <c r="O524" s="37"/>
      <c r="P524" s="37"/>
      <c r="Q524" s="37"/>
      <c r="R524" s="37"/>
      <c r="S524" s="37"/>
      <c r="T524" s="37"/>
      <c r="U524" s="3"/>
    </row>
    <row r="525" spans="1:21" ht="14.25" customHeight="1" x14ac:dyDescent="0.3">
      <c r="A525" s="3"/>
      <c r="B525" s="3"/>
      <c r="C525" s="37"/>
      <c r="D525" s="37"/>
      <c r="E525" s="37"/>
      <c r="F525" s="37"/>
      <c r="G525" s="98"/>
      <c r="H525" s="98"/>
      <c r="I525" s="99"/>
      <c r="J525" s="98"/>
      <c r="K525" s="37"/>
      <c r="L525" s="37"/>
      <c r="M525" s="37"/>
      <c r="N525" s="37"/>
      <c r="O525" s="37"/>
      <c r="P525" s="37"/>
      <c r="Q525" s="37"/>
      <c r="R525" s="37"/>
      <c r="S525" s="37"/>
      <c r="T525" s="37"/>
      <c r="U525" s="3"/>
    </row>
    <row r="526" spans="1:21" ht="14.25" customHeight="1" x14ac:dyDescent="0.3">
      <c r="A526" s="3"/>
      <c r="B526" s="3"/>
      <c r="C526" s="37"/>
      <c r="D526" s="37"/>
      <c r="E526" s="37"/>
      <c r="F526" s="37"/>
      <c r="G526" s="98"/>
      <c r="H526" s="98"/>
      <c r="I526" s="99"/>
      <c r="J526" s="98"/>
      <c r="K526" s="37"/>
      <c r="L526" s="37"/>
      <c r="M526" s="37"/>
      <c r="N526" s="37"/>
      <c r="O526" s="37"/>
      <c r="P526" s="37"/>
      <c r="Q526" s="37"/>
      <c r="R526" s="37"/>
      <c r="S526" s="37"/>
      <c r="T526" s="37"/>
      <c r="U526" s="3"/>
    </row>
    <row r="527" spans="1:21" ht="14.25" customHeight="1" x14ac:dyDescent="0.3">
      <c r="A527" s="3"/>
      <c r="B527" s="3"/>
      <c r="C527" s="37"/>
      <c r="D527" s="37"/>
      <c r="E527" s="37"/>
      <c r="F527" s="37"/>
      <c r="G527" s="98"/>
      <c r="H527" s="98"/>
      <c r="I527" s="99"/>
      <c r="J527" s="98"/>
      <c r="K527" s="37"/>
      <c r="L527" s="37"/>
      <c r="M527" s="37"/>
      <c r="N527" s="37"/>
      <c r="O527" s="37"/>
      <c r="P527" s="37"/>
      <c r="Q527" s="37"/>
      <c r="R527" s="37"/>
      <c r="S527" s="37"/>
      <c r="T527" s="37"/>
      <c r="U527" s="3"/>
    </row>
    <row r="528" spans="1:21" ht="14.25" customHeight="1" x14ac:dyDescent="0.3">
      <c r="A528" s="3"/>
      <c r="B528" s="3"/>
      <c r="C528" s="37"/>
      <c r="D528" s="37"/>
      <c r="E528" s="37"/>
      <c r="F528" s="37"/>
      <c r="G528" s="98"/>
      <c r="H528" s="98"/>
      <c r="I528" s="99"/>
      <c r="J528" s="98"/>
      <c r="K528" s="37"/>
      <c r="L528" s="37"/>
      <c r="M528" s="37"/>
      <c r="N528" s="37"/>
      <c r="O528" s="37"/>
      <c r="P528" s="37"/>
      <c r="Q528" s="37"/>
      <c r="R528" s="37"/>
      <c r="S528" s="37"/>
      <c r="T528" s="37"/>
      <c r="U528" s="3"/>
    </row>
    <row r="529" spans="1:21" ht="14.25" customHeight="1" x14ac:dyDescent="0.3">
      <c r="A529" s="3"/>
      <c r="B529" s="3"/>
      <c r="C529" s="37"/>
      <c r="D529" s="37"/>
      <c r="E529" s="37"/>
      <c r="F529" s="37"/>
      <c r="G529" s="98"/>
      <c r="H529" s="98"/>
      <c r="I529" s="99"/>
      <c r="J529" s="98"/>
      <c r="K529" s="37"/>
      <c r="L529" s="37"/>
      <c r="M529" s="37"/>
      <c r="N529" s="37"/>
      <c r="O529" s="37"/>
      <c r="P529" s="37"/>
      <c r="Q529" s="37"/>
      <c r="R529" s="37"/>
      <c r="S529" s="37"/>
      <c r="T529" s="37"/>
      <c r="U529" s="3"/>
    </row>
    <row r="530" spans="1:21" ht="14.25" customHeight="1" x14ac:dyDescent="0.3">
      <c r="A530" s="3"/>
      <c r="B530" s="3"/>
      <c r="C530" s="37"/>
      <c r="D530" s="37"/>
      <c r="E530" s="37"/>
      <c r="F530" s="37"/>
      <c r="G530" s="98"/>
      <c r="H530" s="98"/>
      <c r="I530" s="99"/>
      <c r="J530" s="98"/>
      <c r="K530" s="37"/>
      <c r="L530" s="37"/>
      <c r="M530" s="37"/>
      <c r="N530" s="37"/>
      <c r="O530" s="37"/>
      <c r="P530" s="37"/>
      <c r="Q530" s="37"/>
      <c r="R530" s="37"/>
      <c r="S530" s="37"/>
      <c r="T530" s="37"/>
      <c r="U530" s="3"/>
    </row>
    <row r="531" spans="1:21" ht="14.25" customHeight="1" x14ac:dyDescent="0.3">
      <c r="A531" s="3"/>
      <c r="B531" s="3"/>
      <c r="C531" s="37"/>
      <c r="D531" s="37"/>
      <c r="E531" s="37"/>
      <c r="F531" s="37"/>
      <c r="G531" s="98"/>
      <c r="H531" s="98"/>
      <c r="I531" s="99"/>
      <c r="J531" s="98"/>
      <c r="K531" s="37"/>
      <c r="L531" s="37"/>
      <c r="M531" s="37"/>
      <c r="N531" s="37"/>
      <c r="O531" s="37"/>
      <c r="P531" s="37"/>
      <c r="Q531" s="37"/>
      <c r="R531" s="37"/>
      <c r="S531" s="37"/>
      <c r="T531" s="37"/>
      <c r="U531" s="3"/>
    </row>
    <row r="532" spans="1:21" ht="14.25" customHeight="1" x14ac:dyDescent="0.3">
      <c r="A532" s="3"/>
      <c r="B532" s="3"/>
      <c r="C532" s="37"/>
      <c r="D532" s="37"/>
      <c r="E532" s="37"/>
      <c r="F532" s="37"/>
      <c r="G532" s="98"/>
      <c r="H532" s="98"/>
      <c r="I532" s="99"/>
      <c r="J532" s="98"/>
      <c r="K532" s="37"/>
      <c r="L532" s="37"/>
      <c r="M532" s="37"/>
      <c r="N532" s="37"/>
      <c r="O532" s="37"/>
      <c r="P532" s="37"/>
      <c r="Q532" s="37"/>
      <c r="R532" s="37"/>
      <c r="S532" s="37"/>
      <c r="T532" s="37"/>
      <c r="U532" s="3"/>
    </row>
    <row r="533" spans="1:21" ht="14.25" customHeight="1" x14ac:dyDescent="0.3">
      <c r="A533" s="3"/>
      <c r="B533" s="3"/>
      <c r="C533" s="37"/>
      <c r="D533" s="37"/>
      <c r="E533" s="37"/>
      <c r="F533" s="37"/>
      <c r="G533" s="98"/>
      <c r="H533" s="98"/>
      <c r="I533" s="99"/>
      <c r="J533" s="98"/>
      <c r="K533" s="37"/>
      <c r="L533" s="37"/>
      <c r="M533" s="37"/>
      <c r="N533" s="37"/>
      <c r="O533" s="37"/>
      <c r="P533" s="37"/>
      <c r="Q533" s="37"/>
      <c r="R533" s="37"/>
      <c r="S533" s="37"/>
      <c r="T533" s="37"/>
      <c r="U533" s="3"/>
    </row>
    <row r="534" spans="1:21" ht="14.25" customHeight="1" x14ac:dyDescent="0.3">
      <c r="A534" s="3"/>
      <c r="B534" s="3"/>
      <c r="C534" s="37"/>
      <c r="D534" s="37"/>
      <c r="E534" s="37"/>
      <c r="F534" s="37"/>
      <c r="G534" s="98"/>
      <c r="H534" s="98"/>
      <c r="I534" s="99"/>
      <c r="J534" s="98"/>
      <c r="K534" s="37"/>
      <c r="L534" s="37"/>
      <c r="M534" s="37"/>
      <c r="N534" s="37"/>
      <c r="O534" s="37"/>
      <c r="P534" s="37"/>
      <c r="Q534" s="37"/>
      <c r="R534" s="37"/>
      <c r="S534" s="37"/>
      <c r="T534" s="37"/>
      <c r="U534" s="3"/>
    </row>
    <row r="535" spans="1:21" ht="14.25" customHeight="1" x14ac:dyDescent="0.3">
      <c r="A535" s="3"/>
      <c r="B535" s="3"/>
      <c r="C535" s="37"/>
      <c r="D535" s="37"/>
      <c r="E535" s="37"/>
      <c r="F535" s="37"/>
      <c r="G535" s="98"/>
      <c r="H535" s="98"/>
      <c r="I535" s="99"/>
      <c r="J535" s="98"/>
      <c r="K535" s="37"/>
      <c r="L535" s="37"/>
      <c r="M535" s="37"/>
      <c r="N535" s="37"/>
      <c r="O535" s="37"/>
      <c r="P535" s="37"/>
      <c r="Q535" s="37"/>
      <c r="R535" s="37"/>
      <c r="S535" s="37"/>
      <c r="T535" s="37"/>
      <c r="U535" s="3"/>
    </row>
    <row r="536" spans="1:21" ht="14.25" customHeight="1" x14ac:dyDescent="0.3">
      <c r="A536" s="3"/>
      <c r="B536" s="3"/>
      <c r="C536" s="37"/>
      <c r="D536" s="37"/>
      <c r="E536" s="37"/>
      <c r="F536" s="37"/>
      <c r="G536" s="98"/>
      <c r="H536" s="98"/>
      <c r="I536" s="99"/>
      <c r="J536" s="98"/>
      <c r="K536" s="37"/>
      <c r="L536" s="37"/>
      <c r="M536" s="37"/>
      <c r="N536" s="37"/>
      <c r="O536" s="37"/>
      <c r="P536" s="37"/>
      <c r="Q536" s="37"/>
      <c r="R536" s="37"/>
      <c r="S536" s="37"/>
      <c r="T536" s="37"/>
      <c r="U536" s="3"/>
    </row>
    <row r="537" spans="1:21" ht="14.25" customHeight="1" x14ac:dyDescent="0.3">
      <c r="A537" s="3"/>
      <c r="B537" s="3"/>
      <c r="C537" s="37"/>
      <c r="D537" s="37"/>
      <c r="E537" s="37"/>
      <c r="F537" s="37"/>
      <c r="G537" s="98"/>
      <c r="H537" s="98"/>
      <c r="I537" s="99"/>
      <c r="J537" s="98"/>
      <c r="K537" s="37"/>
      <c r="L537" s="37"/>
      <c r="M537" s="37"/>
      <c r="N537" s="37"/>
      <c r="O537" s="37"/>
      <c r="P537" s="37"/>
      <c r="Q537" s="37"/>
      <c r="R537" s="37"/>
      <c r="S537" s="37"/>
      <c r="T537" s="37"/>
      <c r="U537" s="3"/>
    </row>
    <row r="538" spans="1:21" ht="14.25" customHeight="1" x14ac:dyDescent="0.3">
      <c r="A538" s="3"/>
      <c r="B538" s="3"/>
      <c r="C538" s="37"/>
      <c r="D538" s="37"/>
      <c r="E538" s="37"/>
      <c r="F538" s="37"/>
      <c r="G538" s="98"/>
      <c r="H538" s="98"/>
      <c r="I538" s="99"/>
      <c r="J538" s="98"/>
      <c r="K538" s="37"/>
      <c r="L538" s="37"/>
      <c r="M538" s="37"/>
      <c r="N538" s="37"/>
      <c r="O538" s="37"/>
      <c r="P538" s="37"/>
      <c r="Q538" s="37"/>
      <c r="R538" s="37"/>
      <c r="S538" s="37"/>
      <c r="T538" s="37"/>
      <c r="U538" s="3"/>
    </row>
    <row r="539" spans="1:21" ht="14.25" customHeight="1" x14ac:dyDescent="0.3">
      <c r="A539" s="3"/>
      <c r="B539" s="3"/>
      <c r="C539" s="37"/>
      <c r="D539" s="37"/>
      <c r="E539" s="37"/>
      <c r="F539" s="37"/>
      <c r="G539" s="98"/>
      <c r="H539" s="98"/>
      <c r="I539" s="99"/>
      <c r="J539" s="98"/>
      <c r="K539" s="37"/>
      <c r="L539" s="37"/>
      <c r="M539" s="37"/>
      <c r="N539" s="37"/>
      <c r="O539" s="37"/>
      <c r="P539" s="37"/>
      <c r="Q539" s="37"/>
      <c r="R539" s="37"/>
      <c r="S539" s="37"/>
      <c r="T539" s="37"/>
      <c r="U539" s="3"/>
    </row>
    <row r="540" spans="1:21" ht="14.25" customHeight="1" x14ac:dyDescent="0.3">
      <c r="A540" s="3"/>
      <c r="B540" s="3"/>
      <c r="C540" s="37"/>
      <c r="D540" s="37"/>
      <c r="E540" s="37"/>
      <c r="F540" s="37"/>
      <c r="G540" s="98"/>
      <c r="H540" s="98"/>
      <c r="I540" s="99"/>
      <c r="J540" s="98"/>
      <c r="K540" s="37"/>
      <c r="L540" s="37"/>
      <c r="M540" s="37"/>
      <c r="N540" s="37"/>
      <c r="O540" s="37"/>
      <c r="P540" s="37"/>
      <c r="Q540" s="37"/>
      <c r="R540" s="37"/>
      <c r="S540" s="37"/>
      <c r="T540" s="37"/>
      <c r="U540" s="3"/>
    </row>
    <row r="541" spans="1:21" ht="14.25" customHeight="1" x14ac:dyDescent="0.3">
      <c r="A541" s="3"/>
      <c r="B541" s="3"/>
      <c r="C541" s="37"/>
      <c r="D541" s="37"/>
      <c r="E541" s="37"/>
      <c r="F541" s="37"/>
      <c r="G541" s="98"/>
      <c r="H541" s="98"/>
      <c r="I541" s="99"/>
      <c r="J541" s="98"/>
      <c r="K541" s="37"/>
      <c r="L541" s="37"/>
      <c r="M541" s="37"/>
      <c r="N541" s="37"/>
      <c r="O541" s="37"/>
      <c r="P541" s="37"/>
      <c r="Q541" s="37"/>
      <c r="R541" s="37"/>
      <c r="S541" s="37"/>
      <c r="T541" s="37"/>
      <c r="U541" s="3"/>
    </row>
    <row r="542" spans="1:21" ht="14.25" customHeight="1" x14ac:dyDescent="0.3">
      <c r="A542" s="3"/>
      <c r="B542" s="3"/>
      <c r="C542" s="37"/>
      <c r="D542" s="37"/>
      <c r="E542" s="37"/>
      <c r="F542" s="37"/>
      <c r="G542" s="98"/>
      <c r="H542" s="98"/>
      <c r="I542" s="99"/>
      <c r="J542" s="98"/>
      <c r="K542" s="37"/>
      <c r="L542" s="37"/>
      <c r="M542" s="37"/>
      <c r="N542" s="37"/>
      <c r="O542" s="37"/>
      <c r="P542" s="37"/>
      <c r="Q542" s="37"/>
      <c r="R542" s="37"/>
      <c r="S542" s="37"/>
      <c r="T542" s="37"/>
      <c r="U542" s="3"/>
    </row>
    <row r="543" spans="1:21" ht="14.25" customHeight="1" x14ac:dyDescent="0.3">
      <c r="A543" s="3"/>
      <c r="B543" s="3"/>
      <c r="C543" s="37"/>
      <c r="D543" s="37"/>
      <c r="E543" s="37"/>
      <c r="F543" s="37"/>
      <c r="G543" s="98"/>
      <c r="H543" s="98"/>
      <c r="I543" s="99"/>
      <c r="J543" s="98"/>
      <c r="K543" s="37"/>
      <c r="L543" s="37"/>
      <c r="M543" s="37"/>
      <c r="N543" s="37"/>
      <c r="O543" s="37"/>
      <c r="P543" s="37"/>
      <c r="Q543" s="37"/>
      <c r="R543" s="37"/>
      <c r="S543" s="37"/>
      <c r="T543" s="37"/>
      <c r="U543" s="3"/>
    </row>
    <row r="544" spans="1:21" ht="14.25" customHeight="1" x14ac:dyDescent="0.3">
      <c r="A544" s="3"/>
      <c r="B544" s="3"/>
      <c r="C544" s="37"/>
      <c r="D544" s="37"/>
      <c r="E544" s="37"/>
      <c r="F544" s="37"/>
      <c r="G544" s="98"/>
      <c r="H544" s="98"/>
      <c r="I544" s="99"/>
      <c r="J544" s="98"/>
      <c r="K544" s="37"/>
      <c r="L544" s="37"/>
      <c r="M544" s="37"/>
      <c r="N544" s="37"/>
      <c r="O544" s="37"/>
      <c r="P544" s="37"/>
      <c r="Q544" s="37"/>
      <c r="R544" s="37"/>
      <c r="S544" s="37"/>
      <c r="T544" s="37"/>
      <c r="U544" s="3"/>
    </row>
    <row r="545" spans="1:21" ht="14.25" customHeight="1" x14ac:dyDescent="0.3">
      <c r="A545" s="3"/>
      <c r="B545" s="3"/>
      <c r="C545" s="37"/>
      <c r="D545" s="37"/>
      <c r="E545" s="37"/>
      <c r="F545" s="37"/>
      <c r="G545" s="98"/>
      <c r="H545" s="98"/>
      <c r="I545" s="99"/>
      <c r="J545" s="98"/>
      <c r="K545" s="37"/>
      <c r="L545" s="37"/>
      <c r="M545" s="37"/>
      <c r="N545" s="37"/>
      <c r="O545" s="37"/>
      <c r="P545" s="37"/>
      <c r="Q545" s="37"/>
      <c r="R545" s="37"/>
      <c r="S545" s="37"/>
      <c r="T545" s="37"/>
      <c r="U545" s="3"/>
    </row>
    <row r="546" spans="1:21" ht="14.25" customHeight="1" x14ac:dyDescent="0.3">
      <c r="A546" s="3"/>
      <c r="B546" s="3"/>
      <c r="C546" s="37"/>
      <c r="D546" s="37"/>
      <c r="E546" s="37"/>
      <c r="F546" s="37"/>
      <c r="G546" s="98"/>
      <c r="H546" s="98"/>
      <c r="I546" s="99"/>
      <c r="J546" s="98"/>
      <c r="K546" s="37"/>
      <c r="L546" s="37"/>
      <c r="M546" s="37"/>
      <c r="N546" s="37"/>
      <c r="O546" s="37"/>
      <c r="P546" s="37"/>
      <c r="Q546" s="37"/>
      <c r="R546" s="37"/>
      <c r="S546" s="37"/>
      <c r="T546" s="37"/>
      <c r="U546" s="3"/>
    </row>
    <row r="547" spans="1:21" ht="14.25" customHeight="1" x14ac:dyDescent="0.3">
      <c r="A547" s="3"/>
      <c r="B547" s="3"/>
      <c r="C547" s="37"/>
      <c r="D547" s="37"/>
      <c r="E547" s="37"/>
      <c r="F547" s="37"/>
      <c r="G547" s="98"/>
      <c r="H547" s="98"/>
      <c r="I547" s="99"/>
      <c r="J547" s="98"/>
      <c r="K547" s="37"/>
      <c r="L547" s="37"/>
      <c r="M547" s="37"/>
      <c r="N547" s="37"/>
      <c r="O547" s="37"/>
      <c r="P547" s="37"/>
      <c r="Q547" s="37"/>
      <c r="R547" s="37"/>
      <c r="S547" s="37"/>
      <c r="T547" s="37"/>
      <c r="U547" s="3"/>
    </row>
    <row r="548" spans="1:21" ht="14.25" customHeight="1" x14ac:dyDescent="0.3">
      <c r="A548" s="3"/>
      <c r="B548" s="3"/>
      <c r="C548" s="37"/>
      <c r="D548" s="37"/>
      <c r="E548" s="37"/>
      <c r="F548" s="37"/>
      <c r="G548" s="98"/>
      <c r="H548" s="98"/>
      <c r="I548" s="99"/>
      <c r="J548" s="98"/>
      <c r="K548" s="37"/>
      <c r="L548" s="37"/>
      <c r="M548" s="37"/>
      <c r="N548" s="37"/>
      <c r="O548" s="37"/>
      <c r="P548" s="37"/>
      <c r="Q548" s="37"/>
      <c r="R548" s="37"/>
      <c r="S548" s="37"/>
      <c r="T548" s="37"/>
      <c r="U548" s="3"/>
    </row>
    <row r="549" spans="1:21" ht="14.25" customHeight="1" x14ac:dyDescent="0.3">
      <c r="A549" s="3"/>
      <c r="B549" s="3"/>
      <c r="C549" s="37"/>
      <c r="D549" s="37"/>
      <c r="E549" s="37"/>
      <c r="F549" s="37"/>
      <c r="G549" s="98"/>
      <c r="H549" s="98"/>
      <c r="I549" s="99"/>
      <c r="J549" s="98"/>
      <c r="K549" s="37"/>
      <c r="L549" s="37"/>
      <c r="M549" s="37"/>
      <c r="N549" s="37"/>
      <c r="O549" s="37"/>
      <c r="P549" s="37"/>
      <c r="Q549" s="37"/>
      <c r="R549" s="37"/>
      <c r="S549" s="37"/>
      <c r="T549" s="37"/>
      <c r="U549" s="3"/>
    </row>
    <row r="550" spans="1:21" ht="14.25" customHeight="1" x14ac:dyDescent="0.3"/>
    <row r="551" spans="1:21" ht="14.25" customHeight="1" x14ac:dyDescent="0.3"/>
    <row r="552" spans="1:21" ht="14.25" customHeight="1" x14ac:dyDescent="0.3"/>
    <row r="553" spans="1:21" ht="15.7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349" xr:uid="{00000000-0009-0000-0000-00001D000000}"/>
  <mergeCells count="11">
    <mergeCell ref="J4:J5"/>
    <mergeCell ref="I17:I21"/>
    <mergeCell ref="G17:G21"/>
    <mergeCell ref="G22:G28"/>
    <mergeCell ref="I22:I28"/>
    <mergeCell ref="B352:I352"/>
    <mergeCell ref="B2:B3"/>
    <mergeCell ref="C2:F3"/>
    <mergeCell ref="B4:B5"/>
    <mergeCell ref="H4:H5"/>
    <mergeCell ref="I4:I5"/>
  </mergeCells>
  <dataValidations count="1">
    <dataValidation type="list" allowBlank="1" showErrorMessage="1" sqref="D7:D37 D39:D62 D64:D143 D145:D153 D156:D160 D162:D166 D168:D172 D174:D178 D180:D184 D186:D263 D266:D274 D276:D284 D286:D294 D296:D316 D318:D326 D328:D349" xr:uid="{00000000-0002-0000-1D00-000001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D00-000000000000}">
          <x14:formula1>
            <xm:f>Caixa!$B$5:$B$8</xm:f>
          </x14:formula1>
          <xm:sqref>H7:H15 H17:H33 H35:H37 H39:H62 H64:H89 H92:H106 H108:H111 H113:H115 H118:H124 H126:H143 H145:H153 H156:H160 H162:H166 H168:H172 H174:H178 H180:H184 H186:H213 H215:H223 H225:H233 H235:H243 H245:H253 H255:H263 H266:H274 H276:H284 H286:H294 H296:H316 H318:H326 H328:H349</xm:sqref>
        </x14:dataValidation>
        <x14:dataValidation type="list" allowBlank="1" showErrorMessage="1" xr:uid="{00000000-0002-0000-1D00-000002000000}">
          <x14:formula1>
            <xm:f>'Plano de contas DG'!$C$43:$C$145</xm:f>
          </x14:formula1>
          <xm:sqref>J246</xm:sqref>
        </x14:dataValidation>
        <x14:dataValidation type="list" allowBlank="1" showErrorMessage="1" xr:uid="{00000000-0002-0000-1D00-000003000000}">
          <x14:formula1>
            <xm:f>'Plano de contas DG'!$C$5:$C$145</xm:f>
          </x14:formula1>
          <xm:sqref>J6:J245 J247:J349</xm:sqref>
        </x14:dataValidation>
        <x14:dataValidation type="list" allowBlank="1" showErrorMessage="1" xr:uid="{00000000-0002-0000-1D00-000004000000}">
          <x14:formula1>
            <xm:f>Caixa!$B$5:$B$7</xm:f>
          </x14:formula1>
          <xm:sqref>H16 H34 H90:H91 H107 H112 H116:H117 H125 H214 H224 H234 H244 H254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sheetPr>
  <dimension ref="A1:AA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7" ht="2.25" customHeight="1" x14ac:dyDescent="0.3">
      <c r="A1" s="38"/>
      <c r="B1" s="38"/>
      <c r="C1" s="39"/>
      <c r="D1" s="39"/>
      <c r="E1" s="39"/>
      <c r="F1" s="39"/>
      <c r="G1" s="114"/>
      <c r="H1" s="39"/>
      <c r="I1" s="39"/>
      <c r="J1" s="39"/>
      <c r="K1" s="39"/>
      <c r="L1" s="39"/>
      <c r="M1" s="39"/>
      <c r="N1" s="39"/>
      <c r="O1" s="39"/>
      <c r="P1" s="39"/>
      <c r="Q1" s="39"/>
      <c r="R1" s="39"/>
      <c r="S1" s="39"/>
      <c r="T1" s="39"/>
      <c r="U1" s="39"/>
      <c r="V1" s="39"/>
      <c r="W1" s="40"/>
      <c r="X1" s="41"/>
      <c r="Y1" s="38"/>
      <c r="Z1" s="38"/>
    </row>
    <row r="2" spans="1:27" ht="14.4" x14ac:dyDescent="0.3">
      <c r="A2" s="3"/>
      <c r="B2" s="226" t="s">
        <v>72</v>
      </c>
      <c r="C2" s="42"/>
      <c r="D2" s="43"/>
      <c r="E2" s="43"/>
      <c r="F2" s="43"/>
      <c r="G2" s="115"/>
      <c r="H2" s="43"/>
      <c r="I2" s="43"/>
      <c r="J2" s="43"/>
      <c r="K2" s="43"/>
      <c r="L2" s="43"/>
      <c r="M2" s="43"/>
      <c r="N2" s="43"/>
      <c r="O2" s="43"/>
      <c r="P2" s="43"/>
      <c r="Q2" s="43"/>
      <c r="R2" s="43"/>
      <c r="S2" s="43"/>
      <c r="T2" s="43"/>
      <c r="U2" s="43"/>
      <c r="V2" s="43"/>
      <c r="W2" s="44"/>
      <c r="X2" s="41"/>
      <c r="Y2" s="3"/>
      <c r="Z2" s="3"/>
    </row>
    <row r="3" spans="1:27" ht="14.4" x14ac:dyDescent="0.3">
      <c r="A3" s="3"/>
      <c r="B3" s="206"/>
      <c r="C3" s="45"/>
      <c r="D3" s="46"/>
      <c r="E3" s="46"/>
      <c r="F3" s="46"/>
      <c r="G3" s="116"/>
      <c r="H3" s="46"/>
      <c r="I3" s="46"/>
      <c r="J3" s="46"/>
      <c r="K3" s="46"/>
      <c r="L3" s="46"/>
      <c r="M3" s="46"/>
      <c r="N3" s="46"/>
      <c r="O3" s="46"/>
      <c r="P3" s="46"/>
      <c r="Q3" s="46"/>
      <c r="R3" s="46"/>
      <c r="S3" s="46"/>
      <c r="T3" s="46"/>
      <c r="U3" s="46"/>
      <c r="V3" s="46"/>
      <c r="W3" s="44"/>
      <c r="X3" s="47"/>
      <c r="Y3" s="3"/>
      <c r="Z3" s="3"/>
    </row>
    <row r="4" spans="1:27" ht="14.4" x14ac:dyDescent="0.3">
      <c r="A4" s="3"/>
      <c r="B4" s="227" t="s">
        <v>73</v>
      </c>
      <c r="C4" s="48"/>
      <c r="D4" s="48"/>
      <c r="E4" s="26">
        <f t="shared" ref="E4:F4" si="0">SUM(E6,E125,E154,E184,E188)</f>
        <v>0</v>
      </c>
      <c r="F4" s="26">
        <f t="shared" si="0"/>
        <v>0</v>
      </c>
      <c r="G4" s="49"/>
      <c r="H4" s="229" t="s">
        <v>1</v>
      </c>
      <c r="I4" s="243" t="s">
        <v>74</v>
      </c>
      <c r="J4" s="50"/>
      <c r="K4" s="48"/>
      <c r="L4" s="48"/>
      <c r="M4" s="26"/>
      <c r="N4" s="26"/>
      <c r="O4" s="26"/>
      <c r="P4" s="26"/>
      <c r="Q4" s="26"/>
      <c r="R4" s="26"/>
      <c r="S4" s="26"/>
      <c r="T4" s="26"/>
      <c r="U4" s="26"/>
      <c r="V4" s="48"/>
      <c r="W4" s="51"/>
      <c r="X4" s="41"/>
      <c r="Y4" s="3"/>
      <c r="Z4" s="3"/>
    </row>
    <row r="5" spans="1:27" ht="14.4" x14ac:dyDescent="0.3">
      <c r="A5" s="3"/>
      <c r="B5" s="228"/>
      <c r="C5" s="52" t="s">
        <v>75</v>
      </c>
      <c r="D5" s="52" t="s">
        <v>76</v>
      </c>
      <c r="E5" s="53" t="s">
        <v>77</v>
      </c>
      <c r="F5" s="53" t="s">
        <v>78</v>
      </c>
      <c r="G5" s="117" t="s">
        <v>79</v>
      </c>
      <c r="H5" s="208"/>
      <c r="I5" s="228"/>
      <c r="J5" s="52" t="s">
        <v>80</v>
      </c>
      <c r="K5" s="52" t="s">
        <v>81</v>
      </c>
      <c r="L5" s="52" t="s">
        <v>421</v>
      </c>
      <c r="M5" s="52" t="s">
        <v>82</v>
      </c>
      <c r="N5" s="52" t="s">
        <v>83</v>
      </c>
      <c r="O5" s="52" t="s">
        <v>84</v>
      </c>
      <c r="P5" s="52" t="s">
        <v>85</v>
      </c>
      <c r="Q5" s="52" t="s">
        <v>86</v>
      </c>
      <c r="R5" s="52" t="s">
        <v>47</v>
      </c>
      <c r="S5" s="52" t="s">
        <v>87</v>
      </c>
      <c r="T5" s="52" t="s">
        <v>88</v>
      </c>
      <c r="U5" s="52" t="s">
        <v>89</v>
      </c>
      <c r="V5" s="52" t="s">
        <v>90</v>
      </c>
      <c r="W5" s="44"/>
      <c r="X5" s="54" t="s">
        <v>91</v>
      </c>
      <c r="Y5" s="3"/>
      <c r="Z5" s="3"/>
    </row>
    <row r="6" spans="1:27" ht="20.399999999999999" x14ac:dyDescent="0.3">
      <c r="A6" s="3"/>
      <c r="B6" s="55" t="s">
        <v>92</v>
      </c>
      <c r="C6" s="56">
        <v>10</v>
      </c>
      <c r="D6" s="56" t="s">
        <v>43</v>
      </c>
      <c r="E6" s="57">
        <f>SUM(E7:E124)</f>
        <v>0</v>
      </c>
      <c r="F6" s="57">
        <f>SUMIF(D7:D124,"OK",F7:F124)+SUMIF(D7:D124,"Parcial",F7:F124)</f>
        <v>0</v>
      </c>
      <c r="G6" s="118" t="s">
        <v>43</v>
      </c>
      <c r="H6" s="59"/>
      <c r="I6" s="59"/>
      <c r="J6" s="60">
        <f>(COUNTIF(D7:D124,"Pendente")+COUNTIF(D7:D124,"Parcial"))/COUNTA(B7:B124)</f>
        <v>0</v>
      </c>
      <c r="K6" s="60" t="str">
        <f>IFERROR(-(X6/E6),"Pendente info")</f>
        <v>Pendente info</v>
      </c>
      <c r="L6" s="100">
        <f>SUM(L7:L103)/COUNTA(B7:B103)</f>
        <v>0</v>
      </c>
      <c r="M6" s="57">
        <f t="shared" ref="M6:U6" si="1">SUMIF($D$7:$D$124,"OK",M7:M124)+SUMIF($D$7:$D$124,"Parcial",M7:M124)</f>
        <v>0</v>
      </c>
      <c r="N6" s="57">
        <f t="shared" si="1"/>
        <v>0</v>
      </c>
      <c r="O6" s="57">
        <f t="shared" si="1"/>
        <v>0</v>
      </c>
      <c r="P6" s="57">
        <f t="shared" si="1"/>
        <v>0</v>
      </c>
      <c r="Q6" s="57">
        <f t="shared" si="1"/>
        <v>0</v>
      </c>
      <c r="R6" s="57">
        <f t="shared" si="1"/>
        <v>0</v>
      </c>
      <c r="S6" s="57">
        <f t="shared" si="1"/>
        <v>0</v>
      </c>
      <c r="T6" s="57">
        <f t="shared" si="1"/>
        <v>0</v>
      </c>
      <c r="U6" s="57">
        <f t="shared" si="1"/>
        <v>0</v>
      </c>
      <c r="V6" s="56" t="s">
        <v>43</v>
      </c>
      <c r="W6" s="44" t="str">
        <f t="shared" ref="W6:W124" si="2">IF(F6=SUM(M6:U6),"OK","Diferente")</f>
        <v>OK</v>
      </c>
      <c r="X6" s="47">
        <f>SUM(X7:X124)</f>
        <v>0</v>
      </c>
      <c r="Y6" s="18">
        <f>SUM(M6:U6)-F6</f>
        <v>0</v>
      </c>
      <c r="Z6" s="3"/>
    </row>
    <row r="7" spans="1:27" ht="14.4" hidden="1" outlineLevel="1" x14ac:dyDescent="0.3">
      <c r="A7" s="3"/>
      <c r="B7" s="150" t="s">
        <v>422</v>
      </c>
      <c r="C7" s="62"/>
      <c r="D7" s="62"/>
      <c r="E7" s="12"/>
      <c r="F7" s="101"/>
      <c r="G7" s="250"/>
      <c r="H7" s="103"/>
      <c r="I7" s="63"/>
      <c r="J7" s="64"/>
      <c r="K7" s="62"/>
      <c r="L7" s="62" t="str">
        <f t="shared" ref="L7:L124" si="3">IF(C7&gt;=13,1,"")</f>
        <v/>
      </c>
      <c r="M7" s="12"/>
      <c r="N7" s="12"/>
      <c r="O7" s="12"/>
      <c r="P7" s="12"/>
      <c r="Q7" s="12"/>
      <c r="R7" s="12"/>
      <c r="S7" s="12"/>
      <c r="T7" s="12"/>
      <c r="U7" s="12"/>
      <c r="V7" s="65"/>
      <c r="W7" s="44" t="str">
        <f t="shared" si="2"/>
        <v>OK</v>
      </c>
      <c r="X7" s="47" t="str">
        <f t="shared" ref="X7:X124" si="4">IF(W7="Diferente",F7-SUM(M7:U7),"")</f>
        <v/>
      </c>
      <c r="Y7" s="3"/>
      <c r="Z7" s="127"/>
      <c r="AA7" s="18"/>
    </row>
    <row r="8" spans="1:27" ht="14.4" hidden="1" outlineLevel="1" x14ac:dyDescent="0.3">
      <c r="A8" s="3"/>
      <c r="B8" s="150" t="s">
        <v>424</v>
      </c>
      <c r="C8" s="62"/>
      <c r="D8" s="62"/>
      <c r="E8" s="12"/>
      <c r="F8" s="101"/>
      <c r="G8" s="251"/>
      <c r="H8" s="103"/>
      <c r="I8" s="63"/>
      <c r="J8" s="64"/>
      <c r="K8" s="62"/>
      <c r="L8" s="62" t="str">
        <f t="shared" si="3"/>
        <v/>
      </c>
      <c r="M8" s="12"/>
      <c r="N8" s="12"/>
      <c r="O8" s="12"/>
      <c r="P8" s="12"/>
      <c r="Q8" s="12"/>
      <c r="R8" s="12"/>
      <c r="S8" s="12"/>
      <c r="T8" s="12"/>
      <c r="U8" s="12"/>
      <c r="V8" s="65"/>
      <c r="W8" s="44" t="str">
        <f t="shared" si="2"/>
        <v>OK</v>
      </c>
      <c r="X8" s="47" t="str">
        <f t="shared" si="4"/>
        <v/>
      </c>
      <c r="Y8" s="3"/>
      <c r="Z8" s="127"/>
      <c r="AA8" s="18"/>
    </row>
    <row r="9" spans="1:27" ht="14.4" hidden="1" outlineLevel="1" x14ac:dyDescent="0.3">
      <c r="A9" s="3"/>
      <c r="B9" s="150" t="s">
        <v>425</v>
      </c>
      <c r="C9" s="62"/>
      <c r="D9" s="62"/>
      <c r="E9" s="12"/>
      <c r="F9" s="101"/>
      <c r="G9" s="251"/>
      <c r="H9" s="103"/>
      <c r="I9" s="63"/>
      <c r="J9" s="64"/>
      <c r="K9" s="62"/>
      <c r="L9" s="62" t="str">
        <f t="shared" si="3"/>
        <v/>
      </c>
      <c r="M9" s="12"/>
      <c r="N9" s="12"/>
      <c r="O9" s="12"/>
      <c r="P9" s="12"/>
      <c r="Q9" s="12"/>
      <c r="R9" s="12"/>
      <c r="S9" s="12"/>
      <c r="T9" s="12"/>
      <c r="U9" s="12"/>
      <c r="V9" s="65"/>
      <c r="W9" s="44" t="str">
        <f t="shared" si="2"/>
        <v>OK</v>
      </c>
      <c r="X9" s="47" t="str">
        <f t="shared" si="4"/>
        <v/>
      </c>
      <c r="Y9" s="3"/>
      <c r="Z9" s="127"/>
      <c r="AA9" s="18"/>
    </row>
    <row r="10" spans="1:27" ht="14.4" hidden="1" outlineLevel="1" x14ac:dyDescent="0.3">
      <c r="A10" s="3"/>
      <c r="B10" s="150" t="s">
        <v>426</v>
      </c>
      <c r="C10" s="62"/>
      <c r="D10" s="62"/>
      <c r="E10" s="12"/>
      <c r="F10" s="101"/>
      <c r="G10" s="252"/>
      <c r="H10" s="103"/>
      <c r="I10" s="63"/>
      <c r="J10" s="64"/>
      <c r="K10" s="62"/>
      <c r="L10" s="62" t="str">
        <f t="shared" si="3"/>
        <v/>
      </c>
      <c r="M10" s="12"/>
      <c r="N10" s="12"/>
      <c r="O10" s="12"/>
      <c r="P10" s="12"/>
      <c r="Q10" s="12"/>
      <c r="R10" s="12"/>
      <c r="S10" s="12"/>
      <c r="T10" s="12"/>
      <c r="U10" s="12"/>
      <c r="V10" s="65"/>
      <c r="W10" s="44" t="str">
        <f t="shared" si="2"/>
        <v>OK</v>
      </c>
      <c r="X10" s="47" t="str">
        <f t="shared" si="4"/>
        <v/>
      </c>
      <c r="Y10" s="3"/>
      <c r="Z10" s="127"/>
      <c r="AA10" s="18"/>
    </row>
    <row r="11" spans="1:27" ht="14.4" hidden="1" outlineLevel="1" x14ac:dyDescent="0.3">
      <c r="A11" s="3"/>
      <c r="B11" s="109" t="s">
        <v>427</v>
      </c>
      <c r="C11" s="62"/>
      <c r="D11" s="62"/>
      <c r="E11" s="12"/>
      <c r="F11" s="101"/>
      <c r="G11" s="250"/>
      <c r="H11" s="103"/>
      <c r="I11" s="63"/>
      <c r="J11" s="64"/>
      <c r="K11" s="62"/>
      <c r="L11" s="62" t="str">
        <f t="shared" si="3"/>
        <v/>
      </c>
      <c r="M11" s="12"/>
      <c r="N11" s="12"/>
      <c r="O11" s="12"/>
      <c r="P11" s="12"/>
      <c r="Q11" s="12"/>
      <c r="R11" s="12"/>
      <c r="S11" s="12"/>
      <c r="T11" s="12"/>
      <c r="U11" s="160"/>
      <c r="V11" s="65"/>
      <c r="W11" s="44" t="str">
        <f t="shared" si="2"/>
        <v>OK</v>
      </c>
      <c r="X11" s="47" t="str">
        <f t="shared" si="4"/>
        <v/>
      </c>
      <c r="Y11" s="3"/>
      <c r="Z11" s="127"/>
      <c r="AA11" s="18"/>
    </row>
    <row r="12" spans="1:27" ht="14.4" hidden="1" outlineLevel="1" x14ac:dyDescent="0.3">
      <c r="A12" s="3"/>
      <c r="B12" s="109" t="s">
        <v>428</v>
      </c>
      <c r="C12" s="62"/>
      <c r="D12" s="62"/>
      <c r="E12" s="12"/>
      <c r="F12" s="101"/>
      <c r="G12" s="252"/>
      <c r="H12" s="103"/>
      <c r="I12" s="63"/>
      <c r="J12" s="64"/>
      <c r="K12" s="62"/>
      <c r="L12" s="62" t="str">
        <f t="shared" si="3"/>
        <v/>
      </c>
      <c r="M12" s="12"/>
      <c r="N12" s="12"/>
      <c r="O12" s="12"/>
      <c r="P12" s="12"/>
      <c r="Q12" s="12"/>
      <c r="R12" s="12"/>
      <c r="S12" s="12"/>
      <c r="T12" s="12"/>
      <c r="U12" s="12"/>
      <c r="V12" s="65"/>
      <c r="W12" s="44" t="str">
        <f t="shared" si="2"/>
        <v>OK</v>
      </c>
      <c r="X12" s="47" t="str">
        <f t="shared" si="4"/>
        <v/>
      </c>
      <c r="Y12" s="3"/>
      <c r="Z12" s="127"/>
      <c r="AA12" s="18"/>
    </row>
    <row r="13" spans="1:27" ht="15" hidden="1" customHeight="1" outlineLevel="1" x14ac:dyDescent="0.3">
      <c r="A13" s="3"/>
      <c r="B13" s="150" t="s">
        <v>429</v>
      </c>
      <c r="C13" s="62"/>
      <c r="D13" s="62"/>
      <c r="E13" s="12"/>
      <c r="F13" s="101"/>
      <c r="G13" s="253"/>
      <c r="H13" s="103"/>
      <c r="I13" s="63"/>
      <c r="J13" s="64"/>
      <c r="K13" s="62"/>
      <c r="L13" s="62" t="str">
        <f t="shared" si="3"/>
        <v/>
      </c>
      <c r="M13" s="12"/>
      <c r="N13" s="12"/>
      <c r="O13" s="12"/>
      <c r="P13" s="12"/>
      <c r="Q13" s="12"/>
      <c r="R13" s="12"/>
      <c r="S13" s="12"/>
      <c r="T13" s="12"/>
      <c r="U13" s="12"/>
      <c r="V13" s="65"/>
      <c r="W13" s="44" t="str">
        <f t="shared" si="2"/>
        <v>OK</v>
      </c>
      <c r="X13" s="47" t="str">
        <f t="shared" si="4"/>
        <v/>
      </c>
      <c r="Y13" s="3"/>
      <c r="Z13" s="127"/>
      <c r="AA13" s="18"/>
    </row>
    <row r="14" spans="1:27" ht="15" hidden="1" customHeight="1" outlineLevel="1" x14ac:dyDescent="0.3">
      <c r="A14" s="3"/>
      <c r="B14" s="150" t="s">
        <v>431</v>
      </c>
      <c r="C14" s="62"/>
      <c r="D14" s="62"/>
      <c r="E14" s="12"/>
      <c r="F14" s="101"/>
      <c r="G14" s="252"/>
      <c r="H14" s="103"/>
      <c r="I14" s="63"/>
      <c r="J14" s="64"/>
      <c r="K14" s="62"/>
      <c r="L14" s="62" t="str">
        <f t="shared" si="3"/>
        <v/>
      </c>
      <c r="M14" s="12"/>
      <c r="N14" s="12"/>
      <c r="O14" s="12"/>
      <c r="P14" s="12"/>
      <c r="Q14" s="12"/>
      <c r="R14" s="12"/>
      <c r="S14" s="12"/>
      <c r="T14" s="12"/>
      <c r="U14" s="12"/>
      <c r="V14" s="65"/>
      <c r="W14" s="44" t="str">
        <f t="shared" si="2"/>
        <v>OK</v>
      </c>
      <c r="X14" s="47" t="str">
        <f t="shared" si="4"/>
        <v/>
      </c>
      <c r="Y14" s="3"/>
      <c r="Z14" s="127"/>
      <c r="AA14" s="18"/>
    </row>
    <row r="15" spans="1:27" ht="18" hidden="1" customHeight="1" outlineLevel="1" x14ac:dyDescent="0.3">
      <c r="A15" s="3"/>
      <c r="B15" s="109" t="s">
        <v>432</v>
      </c>
      <c r="C15" s="62"/>
      <c r="D15" s="62"/>
      <c r="E15" s="12"/>
      <c r="F15" s="101"/>
      <c r="G15" s="253"/>
      <c r="H15" s="103"/>
      <c r="I15" s="63"/>
      <c r="J15" s="64"/>
      <c r="K15" s="62"/>
      <c r="L15" s="62" t="str">
        <f t="shared" si="3"/>
        <v/>
      </c>
      <c r="M15" s="12"/>
      <c r="N15" s="12"/>
      <c r="O15" s="12"/>
      <c r="P15" s="12"/>
      <c r="Q15" s="12"/>
      <c r="R15" s="12"/>
      <c r="S15" s="12"/>
      <c r="T15" s="12"/>
      <c r="U15" s="12"/>
      <c r="V15" s="65"/>
      <c r="W15" s="44" t="str">
        <f t="shared" si="2"/>
        <v>OK</v>
      </c>
      <c r="X15" s="47" t="str">
        <f t="shared" si="4"/>
        <v/>
      </c>
      <c r="Y15" s="3"/>
      <c r="Z15" s="127"/>
      <c r="AA15" s="18"/>
    </row>
    <row r="16" spans="1:27" ht="18" hidden="1" customHeight="1" outlineLevel="1" x14ac:dyDescent="0.3">
      <c r="A16" s="3"/>
      <c r="B16" s="109" t="s">
        <v>433</v>
      </c>
      <c r="C16" s="62"/>
      <c r="D16" s="62"/>
      <c r="E16" s="12"/>
      <c r="F16" s="101"/>
      <c r="G16" s="252"/>
      <c r="H16" s="103"/>
      <c r="I16" s="63"/>
      <c r="J16" s="64"/>
      <c r="K16" s="62"/>
      <c r="L16" s="62" t="str">
        <f t="shared" si="3"/>
        <v/>
      </c>
      <c r="M16" s="12"/>
      <c r="N16" s="12"/>
      <c r="O16" s="12"/>
      <c r="P16" s="12"/>
      <c r="Q16" s="12"/>
      <c r="R16" s="12"/>
      <c r="S16" s="12"/>
      <c r="T16" s="12"/>
      <c r="U16" s="12"/>
      <c r="V16" s="65"/>
      <c r="W16" s="44" t="str">
        <f t="shared" si="2"/>
        <v>OK</v>
      </c>
      <c r="X16" s="47" t="str">
        <f t="shared" si="4"/>
        <v/>
      </c>
      <c r="Y16" s="3"/>
      <c r="Z16" s="127"/>
      <c r="AA16" s="18"/>
    </row>
    <row r="17" spans="1:27" ht="14.4" hidden="1" outlineLevel="1" x14ac:dyDescent="0.3">
      <c r="A17" s="3"/>
      <c r="B17" s="150" t="s">
        <v>434</v>
      </c>
      <c r="C17" s="62"/>
      <c r="D17" s="62"/>
      <c r="E17" s="12"/>
      <c r="F17" s="101"/>
      <c r="G17" s="250"/>
      <c r="H17" s="103"/>
      <c r="I17" s="63"/>
      <c r="J17" s="64"/>
      <c r="K17" s="62"/>
      <c r="L17" s="62" t="str">
        <f t="shared" si="3"/>
        <v/>
      </c>
      <c r="M17" s="12"/>
      <c r="N17" s="12"/>
      <c r="O17" s="12"/>
      <c r="P17" s="12"/>
      <c r="Q17" s="12"/>
      <c r="R17" s="12"/>
      <c r="S17" s="12"/>
      <c r="T17" s="12"/>
      <c r="U17" s="12"/>
      <c r="V17" s="65"/>
      <c r="W17" s="44" t="str">
        <f t="shared" si="2"/>
        <v>OK</v>
      </c>
      <c r="X17" s="47" t="str">
        <f t="shared" si="4"/>
        <v/>
      </c>
      <c r="Y17" s="3"/>
      <c r="Z17" s="127"/>
      <c r="AA17" s="18"/>
    </row>
    <row r="18" spans="1:27" ht="14.4" hidden="1" outlineLevel="1" x14ac:dyDescent="0.3">
      <c r="A18" s="3"/>
      <c r="B18" s="150" t="s">
        <v>435</v>
      </c>
      <c r="C18" s="62"/>
      <c r="D18" s="62"/>
      <c r="E18" s="12"/>
      <c r="F18" s="101"/>
      <c r="G18" s="252"/>
      <c r="H18" s="103"/>
      <c r="I18" s="63"/>
      <c r="J18" s="64"/>
      <c r="K18" s="62"/>
      <c r="L18" s="62" t="str">
        <f t="shared" si="3"/>
        <v/>
      </c>
      <c r="M18" s="12"/>
      <c r="N18" s="12"/>
      <c r="O18" s="12"/>
      <c r="P18" s="12"/>
      <c r="Q18" s="12"/>
      <c r="R18" s="12"/>
      <c r="S18" s="12"/>
      <c r="T18" s="12"/>
      <c r="U18" s="12"/>
      <c r="V18" s="65"/>
      <c r="W18" s="44" t="str">
        <f t="shared" si="2"/>
        <v>OK</v>
      </c>
      <c r="X18" s="47" t="str">
        <f t="shared" si="4"/>
        <v/>
      </c>
      <c r="Y18" s="3"/>
      <c r="Z18" s="127"/>
      <c r="AA18" s="18"/>
    </row>
    <row r="19" spans="1:27" ht="14.4" hidden="1" outlineLevel="1" x14ac:dyDescent="0.3">
      <c r="A19" s="3"/>
      <c r="B19" s="109" t="s">
        <v>436</v>
      </c>
      <c r="C19" s="62"/>
      <c r="D19" s="62"/>
      <c r="E19" s="12"/>
      <c r="F19" s="101"/>
      <c r="G19" s="250"/>
      <c r="H19" s="103"/>
      <c r="I19" s="63"/>
      <c r="J19" s="64"/>
      <c r="K19" s="62"/>
      <c r="L19" s="62" t="str">
        <f t="shared" si="3"/>
        <v/>
      </c>
      <c r="M19" s="12"/>
      <c r="N19" s="12"/>
      <c r="O19" s="12"/>
      <c r="P19" s="12"/>
      <c r="Q19" s="12"/>
      <c r="R19" s="12"/>
      <c r="S19" s="12"/>
      <c r="T19" s="12"/>
      <c r="U19" s="160"/>
      <c r="V19" s="65"/>
      <c r="W19" s="44" t="str">
        <f t="shared" si="2"/>
        <v>OK</v>
      </c>
      <c r="X19" s="47" t="str">
        <f t="shared" si="4"/>
        <v/>
      </c>
      <c r="Y19" s="3"/>
      <c r="Z19" s="127"/>
      <c r="AA19" s="18"/>
    </row>
    <row r="20" spans="1:27" ht="14.4" hidden="1" outlineLevel="1" x14ac:dyDescent="0.3">
      <c r="A20" s="3"/>
      <c r="B20" s="109" t="s">
        <v>437</v>
      </c>
      <c r="C20" s="62"/>
      <c r="D20" s="62"/>
      <c r="E20" s="12"/>
      <c r="F20" s="101"/>
      <c r="G20" s="252"/>
      <c r="H20" s="103"/>
      <c r="I20" s="63"/>
      <c r="J20" s="64"/>
      <c r="K20" s="62"/>
      <c r="L20" s="62" t="str">
        <f t="shared" si="3"/>
        <v/>
      </c>
      <c r="M20" s="12"/>
      <c r="N20" s="12"/>
      <c r="O20" s="12"/>
      <c r="P20" s="12"/>
      <c r="Q20" s="12"/>
      <c r="R20" s="12"/>
      <c r="S20" s="12"/>
      <c r="T20" s="12"/>
      <c r="U20" s="12"/>
      <c r="V20" s="65"/>
      <c r="W20" s="44" t="str">
        <f t="shared" si="2"/>
        <v>OK</v>
      </c>
      <c r="X20" s="47" t="str">
        <f t="shared" si="4"/>
        <v/>
      </c>
      <c r="Y20" s="3"/>
      <c r="Z20" s="127"/>
      <c r="AA20" s="18"/>
    </row>
    <row r="21" spans="1:27" ht="15.75" hidden="1" customHeight="1" outlineLevel="1" x14ac:dyDescent="0.3">
      <c r="A21" s="3"/>
      <c r="B21" s="150" t="s">
        <v>438</v>
      </c>
      <c r="C21" s="62"/>
      <c r="D21" s="62"/>
      <c r="E21" s="12"/>
      <c r="F21" s="101"/>
      <c r="G21" s="253"/>
      <c r="H21" s="103"/>
      <c r="I21" s="63"/>
      <c r="J21" s="64"/>
      <c r="K21" s="62"/>
      <c r="L21" s="62" t="str">
        <f t="shared" si="3"/>
        <v/>
      </c>
      <c r="M21" s="12"/>
      <c r="N21" s="12"/>
      <c r="O21" s="12"/>
      <c r="P21" s="12"/>
      <c r="Q21" s="12"/>
      <c r="R21" s="12"/>
      <c r="S21" s="12"/>
      <c r="T21" s="12"/>
      <c r="U21" s="12"/>
      <c r="V21" s="65"/>
      <c r="W21" s="44" t="str">
        <f t="shared" si="2"/>
        <v>OK</v>
      </c>
      <c r="X21" s="47" t="str">
        <f t="shared" si="4"/>
        <v/>
      </c>
      <c r="Y21" s="3"/>
      <c r="Z21" s="127"/>
      <c r="AA21" s="18"/>
    </row>
    <row r="22" spans="1:27" ht="15.75" hidden="1" customHeight="1" outlineLevel="1" x14ac:dyDescent="0.3">
      <c r="A22" s="3"/>
      <c r="B22" s="150" t="s">
        <v>439</v>
      </c>
      <c r="C22" s="62"/>
      <c r="D22" s="62"/>
      <c r="E22" s="12"/>
      <c r="F22" s="101"/>
      <c r="G22" s="252"/>
      <c r="H22" s="103"/>
      <c r="I22" s="63"/>
      <c r="J22" s="64"/>
      <c r="K22" s="62"/>
      <c r="L22" s="62" t="str">
        <f t="shared" si="3"/>
        <v/>
      </c>
      <c r="M22" s="12"/>
      <c r="N22" s="12"/>
      <c r="O22" s="12"/>
      <c r="P22" s="12"/>
      <c r="Q22" s="12"/>
      <c r="R22" s="12"/>
      <c r="S22" s="12"/>
      <c r="T22" s="12"/>
      <c r="U22" s="160"/>
      <c r="V22" s="65"/>
      <c r="W22" s="44" t="str">
        <f t="shared" si="2"/>
        <v>OK</v>
      </c>
      <c r="X22" s="47" t="str">
        <f t="shared" si="4"/>
        <v/>
      </c>
      <c r="Y22" s="3"/>
      <c r="Z22" s="127"/>
      <c r="AA22" s="18"/>
    </row>
    <row r="23" spans="1:27" ht="15.75" hidden="1" customHeight="1" outlineLevel="1" x14ac:dyDescent="0.3">
      <c r="A23" s="3"/>
      <c r="B23" s="109" t="s">
        <v>440</v>
      </c>
      <c r="C23" s="62"/>
      <c r="D23" s="62"/>
      <c r="E23" s="12"/>
      <c r="F23" s="101"/>
      <c r="G23" s="253"/>
      <c r="H23" s="103"/>
      <c r="I23" s="63"/>
      <c r="J23" s="64"/>
      <c r="K23" s="12"/>
      <c r="L23" s="62" t="str">
        <f t="shared" si="3"/>
        <v/>
      </c>
      <c r="M23" s="12"/>
      <c r="N23" s="12"/>
      <c r="O23" s="12"/>
      <c r="P23" s="12"/>
      <c r="Q23" s="12"/>
      <c r="R23" s="12"/>
      <c r="S23" s="12"/>
      <c r="T23" s="12"/>
      <c r="U23" s="12"/>
      <c r="V23" s="65"/>
      <c r="W23" s="44" t="str">
        <f t="shared" si="2"/>
        <v>OK</v>
      </c>
      <c r="X23" s="47" t="str">
        <f t="shared" si="4"/>
        <v/>
      </c>
      <c r="Y23" s="3"/>
      <c r="Z23" s="127"/>
      <c r="AA23" s="18"/>
    </row>
    <row r="24" spans="1:27" ht="15.75" hidden="1" customHeight="1" outlineLevel="1" x14ac:dyDescent="0.3">
      <c r="A24" s="3"/>
      <c r="B24" s="109" t="s">
        <v>441</v>
      </c>
      <c r="C24" s="62"/>
      <c r="D24" s="62"/>
      <c r="E24" s="12"/>
      <c r="F24" s="101"/>
      <c r="G24" s="252"/>
      <c r="H24" s="103"/>
      <c r="I24" s="63"/>
      <c r="J24" s="64"/>
      <c r="K24" s="12"/>
      <c r="L24" s="62" t="str">
        <f t="shared" si="3"/>
        <v/>
      </c>
      <c r="M24" s="12"/>
      <c r="N24" s="12"/>
      <c r="O24" s="12"/>
      <c r="P24" s="12"/>
      <c r="Q24" s="12"/>
      <c r="R24" s="12"/>
      <c r="S24" s="12"/>
      <c r="T24" s="12"/>
      <c r="U24" s="12"/>
      <c r="V24" s="65"/>
      <c r="W24" s="44" t="str">
        <f t="shared" si="2"/>
        <v>OK</v>
      </c>
      <c r="X24" s="47" t="str">
        <f t="shared" si="4"/>
        <v/>
      </c>
      <c r="Y24" s="3"/>
      <c r="Z24" s="127"/>
      <c r="AA24" s="18"/>
    </row>
    <row r="25" spans="1:27" ht="15.75" hidden="1" customHeight="1" outlineLevel="1" x14ac:dyDescent="0.3">
      <c r="A25" s="3"/>
      <c r="B25" s="150" t="s">
        <v>442</v>
      </c>
      <c r="C25" s="62"/>
      <c r="D25" s="62"/>
      <c r="E25" s="12"/>
      <c r="F25" s="101"/>
      <c r="G25" s="121"/>
      <c r="H25" s="103"/>
      <c r="I25" s="63"/>
      <c r="J25" s="64"/>
      <c r="K25" s="12"/>
      <c r="L25" s="62" t="str">
        <f t="shared" si="3"/>
        <v/>
      </c>
      <c r="M25" s="12"/>
      <c r="N25" s="12"/>
      <c r="O25" s="12"/>
      <c r="P25" s="12"/>
      <c r="Q25" s="12"/>
      <c r="R25" s="12"/>
      <c r="S25" s="12"/>
      <c r="T25" s="12"/>
      <c r="U25" s="12"/>
      <c r="V25" s="65"/>
      <c r="W25" s="44" t="str">
        <f t="shared" si="2"/>
        <v>OK</v>
      </c>
      <c r="X25" s="47" t="str">
        <f t="shared" si="4"/>
        <v/>
      </c>
      <c r="Y25" s="3"/>
      <c r="Z25" s="127"/>
      <c r="AA25" s="18"/>
    </row>
    <row r="26" spans="1:27" ht="15.75" hidden="1" customHeight="1" outlineLevel="1" x14ac:dyDescent="0.3">
      <c r="A26" s="3"/>
      <c r="B26" s="109" t="s">
        <v>443</v>
      </c>
      <c r="C26" s="62"/>
      <c r="D26" s="62"/>
      <c r="E26" s="12"/>
      <c r="F26" s="101"/>
      <c r="G26" s="119"/>
      <c r="H26" s="103"/>
      <c r="I26" s="63"/>
      <c r="J26" s="64"/>
      <c r="K26" s="12"/>
      <c r="L26" s="62" t="str">
        <f t="shared" si="3"/>
        <v/>
      </c>
      <c r="M26" s="12"/>
      <c r="N26" s="12"/>
      <c r="O26" s="12"/>
      <c r="P26" s="12"/>
      <c r="Q26" s="12"/>
      <c r="R26" s="12"/>
      <c r="S26" s="12"/>
      <c r="T26" s="12"/>
      <c r="U26" s="12"/>
      <c r="V26" s="65"/>
      <c r="W26" s="44" t="str">
        <f t="shared" si="2"/>
        <v>OK</v>
      </c>
      <c r="X26" s="47" t="str">
        <f t="shared" si="4"/>
        <v/>
      </c>
      <c r="Y26" s="3"/>
      <c r="Z26" s="127"/>
      <c r="AA26" s="18"/>
    </row>
    <row r="27" spans="1:27" ht="15.75" hidden="1" customHeight="1" outlineLevel="1" x14ac:dyDescent="0.3">
      <c r="A27" s="3"/>
      <c r="B27" s="150" t="s">
        <v>444</v>
      </c>
      <c r="C27" s="62"/>
      <c r="D27" s="62"/>
      <c r="E27" s="12"/>
      <c r="F27" s="101"/>
      <c r="G27" s="253"/>
      <c r="H27" s="103"/>
      <c r="I27" s="63"/>
      <c r="J27" s="64"/>
      <c r="K27" s="12"/>
      <c r="L27" s="62" t="str">
        <f t="shared" si="3"/>
        <v/>
      </c>
      <c r="M27" s="12"/>
      <c r="N27" s="12"/>
      <c r="O27" s="12"/>
      <c r="P27" s="12"/>
      <c r="Q27" s="12"/>
      <c r="R27" s="12"/>
      <c r="S27" s="12"/>
      <c r="T27" s="12"/>
      <c r="U27" s="160"/>
      <c r="V27" s="65"/>
      <c r="W27" s="44" t="str">
        <f t="shared" si="2"/>
        <v>OK</v>
      </c>
      <c r="X27" s="47" t="str">
        <f t="shared" si="4"/>
        <v/>
      </c>
      <c r="Y27" s="3"/>
      <c r="Z27" s="127"/>
      <c r="AA27" s="18"/>
    </row>
    <row r="28" spans="1:27" ht="15.75" hidden="1" customHeight="1" outlineLevel="1" x14ac:dyDescent="0.3">
      <c r="A28" s="3"/>
      <c r="B28" s="150" t="s">
        <v>446</v>
      </c>
      <c r="C28" s="62"/>
      <c r="D28" s="62"/>
      <c r="E28" s="12"/>
      <c r="F28" s="101"/>
      <c r="G28" s="252"/>
      <c r="H28" s="103"/>
      <c r="I28" s="63"/>
      <c r="J28" s="64"/>
      <c r="K28" s="12"/>
      <c r="L28" s="62" t="str">
        <f t="shared" si="3"/>
        <v/>
      </c>
      <c r="M28" s="12"/>
      <c r="N28" s="12"/>
      <c r="O28" s="12"/>
      <c r="P28" s="12"/>
      <c r="Q28" s="12"/>
      <c r="R28" s="12"/>
      <c r="S28" s="12"/>
      <c r="T28" s="12"/>
      <c r="U28" s="12"/>
      <c r="V28" s="65"/>
      <c r="W28" s="44" t="str">
        <f t="shared" si="2"/>
        <v>OK</v>
      </c>
      <c r="X28" s="47" t="str">
        <f t="shared" si="4"/>
        <v/>
      </c>
      <c r="Y28" s="3"/>
      <c r="Z28" s="127"/>
      <c r="AA28" s="18"/>
    </row>
    <row r="29" spans="1:27" ht="15.75" hidden="1" customHeight="1" outlineLevel="1" x14ac:dyDescent="0.3">
      <c r="A29" s="3"/>
      <c r="B29" s="109" t="s">
        <v>447</v>
      </c>
      <c r="C29" s="62"/>
      <c r="D29" s="62"/>
      <c r="E29" s="12"/>
      <c r="F29" s="101"/>
      <c r="G29" s="253"/>
      <c r="H29" s="103"/>
      <c r="I29" s="63"/>
      <c r="J29" s="64"/>
      <c r="K29" s="12"/>
      <c r="L29" s="62" t="str">
        <f t="shared" si="3"/>
        <v/>
      </c>
      <c r="M29" s="12"/>
      <c r="N29" s="12"/>
      <c r="O29" s="12"/>
      <c r="P29" s="12"/>
      <c r="Q29" s="12"/>
      <c r="R29" s="12"/>
      <c r="S29" s="12"/>
      <c r="T29" s="12"/>
      <c r="U29" s="12"/>
      <c r="V29" s="65"/>
      <c r="W29" s="44" t="str">
        <f t="shared" si="2"/>
        <v>OK</v>
      </c>
      <c r="X29" s="47" t="str">
        <f t="shared" si="4"/>
        <v/>
      </c>
      <c r="Y29" s="3"/>
      <c r="Z29" s="127"/>
      <c r="AA29" s="18"/>
    </row>
    <row r="30" spans="1:27" ht="15.75" hidden="1" customHeight="1" outlineLevel="1" x14ac:dyDescent="0.3">
      <c r="A30" s="3"/>
      <c r="B30" s="109" t="s">
        <v>448</v>
      </c>
      <c r="C30" s="62"/>
      <c r="D30" s="62"/>
      <c r="E30" s="12"/>
      <c r="F30" s="101"/>
      <c r="G30" s="252"/>
      <c r="H30" s="103"/>
      <c r="I30" s="63"/>
      <c r="J30" s="64"/>
      <c r="K30" s="12"/>
      <c r="L30" s="62" t="str">
        <f t="shared" si="3"/>
        <v/>
      </c>
      <c r="M30" s="12"/>
      <c r="N30" s="12"/>
      <c r="O30" s="12"/>
      <c r="P30" s="12"/>
      <c r="Q30" s="12"/>
      <c r="R30" s="12"/>
      <c r="S30" s="12"/>
      <c r="T30" s="12"/>
      <c r="U30" s="12"/>
      <c r="V30" s="65"/>
      <c r="W30" s="44" t="str">
        <f t="shared" si="2"/>
        <v>OK</v>
      </c>
      <c r="X30" s="47" t="str">
        <f t="shared" si="4"/>
        <v/>
      </c>
      <c r="Y30" s="3"/>
      <c r="Z30" s="127"/>
      <c r="AA30" s="18"/>
    </row>
    <row r="31" spans="1:27" ht="15.75" hidden="1" customHeight="1" outlineLevel="1" x14ac:dyDescent="0.3">
      <c r="A31" s="3"/>
      <c r="B31" s="150" t="s">
        <v>449</v>
      </c>
      <c r="C31" s="62"/>
      <c r="D31" s="62"/>
      <c r="E31" s="12"/>
      <c r="F31" s="101"/>
      <c r="G31" s="253"/>
      <c r="H31" s="103"/>
      <c r="I31" s="63"/>
      <c r="J31" s="64"/>
      <c r="K31" s="12"/>
      <c r="L31" s="62" t="str">
        <f t="shared" si="3"/>
        <v/>
      </c>
      <c r="M31" s="12"/>
      <c r="N31" s="12"/>
      <c r="O31" s="12"/>
      <c r="P31" s="12"/>
      <c r="Q31" s="12"/>
      <c r="R31" s="12"/>
      <c r="S31" s="12"/>
      <c r="T31" s="12"/>
      <c r="U31" s="12"/>
      <c r="V31" s="65"/>
      <c r="W31" s="44" t="str">
        <f t="shared" si="2"/>
        <v>OK</v>
      </c>
      <c r="X31" s="47" t="str">
        <f t="shared" si="4"/>
        <v/>
      </c>
      <c r="Y31" s="3"/>
      <c r="Z31" s="127"/>
      <c r="AA31" s="18"/>
    </row>
    <row r="32" spans="1:27" ht="15.75" hidden="1" customHeight="1" outlineLevel="1" x14ac:dyDescent="0.3">
      <c r="A32" s="3"/>
      <c r="B32" s="150" t="s">
        <v>450</v>
      </c>
      <c r="C32" s="62"/>
      <c r="D32" s="62"/>
      <c r="E32" s="12"/>
      <c r="F32" s="101"/>
      <c r="G32" s="252"/>
      <c r="H32" s="103"/>
      <c r="I32" s="63"/>
      <c r="J32" s="64"/>
      <c r="K32" s="12"/>
      <c r="L32" s="62" t="str">
        <f t="shared" si="3"/>
        <v/>
      </c>
      <c r="M32" s="12"/>
      <c r="N32" s="12"/>
      <c r="O32" s="12"/>
      <c r="P32" s="12"/>
      <c r="Q32" s="12"/>
      <c r="R32" s="12"/>
      <c r="S32" s="12"/>
      <c r="T32" s="12"/>
      <c r="U32" s="12"/>
      <c r="V32" s="65"/>
      <c r="W32" s="44" t="str">
        <f t="shared" si="2"/>
        <v>OK</v>
      </c>
      <c r="X32" s="47" t="str">
        <f t="shared" si="4"/>
        <v/>
      </c>
      <c r="Y32" s="3"/>
      <c r="Z32" s="127"/>
      <c r="AA32" s="18"/>
    </row>
    <row r="33" spans="1:27" ht="15.75" hidden="1" customHeight="1" outlineLevel="1" x14ac:dyDescent="0.3">
      <c r="A33" s="3"/>
      <c r="B33" s="109" t="s">
        <v>451</v>
      </c>
      <c r="C33" s="62"/>
      <c r="D33" s="62"/>
      <c r="E33" s="12"/>
      <c r="F33" s="101"/>
      <c r="G33" s="253"/>
      <c r="H33" s="103"/>
      <c r="I33" s="63"/>
      <c r="J33" s="64"/>
      <c r="K33" s="12"/>
      <c r="L33" s="62" t="str">
        <f t="shared" si="3"/>
        <v/>
      </c>
      <c r="M33" s="12"/>
      <c r="N33" s="12"/>
      <c r="O33" s="12"/>
      <c r="P33" s="12"/>
      <c r="Q33" s="12"/>
      <c r="R33" s="12"/>
      <c r="S33" s="12"/>
      <c r="T33" s="12"/>
      <c r="U33" s="12"/>
      <c r="V33" s="65"/>
      <c r="W33" s="44" t="str">
        <f t="shared" si="2"/>
        <v>OK</v>
      </c>
      <c r="X33" s="47" t="str">
        <f t="shared" si="4"/>
        <v/>
      </c>
      <c r="Y33" s="3"/>
      <c r="Z33" s="127"/>
      <c r="AA33" s="18"/>
    </row>
    <row r="34" spans="1:27" ht="15.75" hidden="1" customHeight="1" outlineLevel="1" x14ac:dyDescent="0.3">
      <c r="A34" s="3"/>
      <c r="B34" s="109" t="s">
        <v>452</v>
      </c>
      <c r="C34" s="62"/>
      <c r="D34" s="62"/>
      <c r="E34" s="12"/>
      <c r="F34" s="101"/>
      <c r="G34" s="252"/>
      <c r="H34" s="103"/>
      <c r="I34" s="63"/>
      <c r="J34" s="64"/>
      <c r="K34" s="12"/>
      <c r="L34" s="62" t="str">
        <f t="shared" si="3"/>
        <v/>
      </c>
      <c r="M34" s="12"/>
      <c r="N34" s="12"/>
      <c r="O34" s="12"/>
      <c r="P34" s="12"/>
      <c r="Q34" s="12"/>
      <c r="R34" s="12"/>
      <c r="S34" s="12"/>
      <c r="T34" s="12"/>
      <c r="U34" s="12"/>
      <c r="V34" s="65"/>
      <c r="W34" s="44" t="str">
        <f t="shared" si="2"/>
        <v>OK</v>
      </c>
      <c r="X34" s="47" t="str">
        <f t="shared" si="4"/>
        <v/>
      </c>
      <c r="Y34" s="3"/>
      <c r="Z34" s="127"/>
      <c r="AA34" s="18"/>
    </row>
    <row r="35" spans="1:27" ht="15.75" hidden="1" customHeight="1" outlineLevel="1" x14ac:dyDescent="0.3">
      <c r="A35" s="3"/>
      <c r="B35" s="150" t="s">
        <v>453</v>
      </c>
      <c r="C35" s="62"/>
      <c r="D35" s="62"/>
      <c r="E35" s="12"/>
      <c r="F35" s="101"/>
      <c r="G35" s="120"/>
      <c r="H35" s="103"/>
      <c r="I35" s="63"/>
      <c r="J35" s="64"/>
      <c r="K35" s="12"/>
      <c r="L35" s="62" t="str">
        <f t="shared" si="3"/>
        <v/>
      </c>
      <c r="M35" s="12"/>
      <c r="N35" s="12"/>
      <c r="O35" s="12"/>
      <c r="P35" s="12"/>
      <c r="Q35" s="12"/>
      <c r="R35" s="12"/>
      <c r="S35" s="12"/>
      <c r="T35" s="12"/>
      <c r="U35" s="12"/>
      <c r="V35" s="65"/>
      <c r="W35" s="44" t="str">
        <f t="shared" si="2"/>
        <v>OK</v>
      </c>
      <c r="X35" s="47" t="str">
        <f t="shared" si="4"/>
        <v/>
      </c>
      <c r="Y35" s="3"/>
      <c r="Z35" s="127"/>
      <c r="AA35" s="18"/>
    </row>
    <row r="36" spans="1:27" ht="15.75" hidden="1" customHeight="1" outlineLevel="1" x14ac:dyDescent="0.3">
      <c r="A36" s="3"/>
      <c r="B36" s="109" t="s">
        <v>454</v>
      </c>
      <c r="C36" s="62"/>
      <c r="D36" s="62"/>
      <c r="E36" s="12"/>
      <c r="F36" s="101"/>
      <c r="G36" s="119"/>
      <c r="H36" s="103"/>
      <c r="I36" s="63"/>
      <c r="J36" s="64"/>
      <c r="K36" s="12"/>
      <c r="L36" s="62" t="str">
        <f t="shared" si="3"/>
        <v/>
      </c>
      <c r="M36" s="12"/>
      <c r="N36" s="12"/>
      <c r="O36" s="12"/>
      <c r="P36" s="12"/>
      <c r="Q36" s="12"/>
      <c r="R36" s="12"/>
      <c r="S36" s="12"/>
      <c r="T36" s="12"/>
      <c r="U36" s="160"/>
      <c r="V36" s="65"/>
      <c r="W36" s="44" t="str">
        <f t="shared" si="2"/>
        <v>OK</v>
      </c>
      <c r="X36" s="47" t="str">
        <f t="shared" si="4"/>
        <v/>
      </c>
      <c r="Y36" s="3"/>
      <c r="Z36" s="127"/>
      <c r="AA36" s="18"/>
    </row>
    <row r="37" spans="1:27" ht="15.75" hidden="1" customHeight="1" outlineLevel="1" x14ac:dyDescent="0.3">
      <c r="A37" s="3"/>
      <c r="B37" s="150" t="s">
        <v>455</v>
      </c>
      <c r="C37" s="62"/>
      <c r="D37" s="62"/>
      <c r="E37" s="12"/>
      <c r="F37" s="101"/>
      <c r="G37" s="253"/>
      <c r="H37" s="103"/>
      <c r="I37" s="63"/>
      <c r="J37" s="64"/>
      <c r="K37" s="12"/>
      <c r="L37" s="62" t="str">
        <f t="shared" si="3"/>
        <v/>
      </c>
      <c r="M37" s="12"/>
      <c r="N37" s="12"/>
      <c r="O37" s="12"/>
      <c r="P37" s="12"/>
      <c r="Q37" s="12"/>
      <c r="R37" s="12"/>
      <c r="S37" s="12"/>
      <c r="T37" s="12"/>
      <c r="U37" s="12"/>
      <c r="V37" s="65"/>
      <c r="W37" s="44" t="str">
        <f t="shared" si="2"/>
        <v>OK</v>
      </c>
      <c r="X37" s="47" t="str">
        <f t="shared" si="4"/>
        <v/>
      </c>
      <c r="Y37" s="3"/>
      <c r="Z37" s="127"/>
      <c r="AA37" s="18"/>
    </row>
    <row r="38" spans="1:27" ht="15.75" hidden="1" customHeight="1" outlineLevel="1" x14ac:dyDescent="0.3">
      <c r="A38" s="3"/>
      <c r="B38" s="150" t="s">
        <v>456</v>
      </c>
      <c r="C38" s="62"/>
      <c r="D38" s="62"/>
      <c r="E38" s="12"/>
      <c r="F38" s="101"/>
      <c r="G38" s="252"/>
      <c r="H38" s="103"/>
      <c r="I38" s="63"/>
      <c r="J38" s="64"/>
      <c r="K38" s="12"/>
      <c r="L38" s="62" t="str">
        <f t="shared" si="3"/>
        <v/>
      </c>
      <c r="M38" s="12"/>
      <c r="N38" s="12"/>
      <c r="O38" s="12"/>
      <c r="P38" s="12"/>
      <c r="Q38" s="12"/>
      <c r="R38" s="12"/>
      <c r="S38" s="12"/>
      <c r="T38" s="12"/>
      <c r="U38" s="12"/>
      <c r="V38" s="65"/>
      <c r="W38" s="44" t="str">
        <f t="shared" si="2"/>
        <v>OK</v>
      </c>
      <c r="X38" s="47" t="str">
        <f t="shared" si="4"/>
        <v/>
      </c>
      <c r="Y38" s="3"/>
      <c r="Z38" s="127"/>
      <c r="AA38" s="18"/>
    </row>
    <row r="39" spans="1:27" ht="15.75" hidden="1" customHeight="1" outlineLevel="1" x14ac:dyDescent="0.3">
      <c r="A39" s="3"/>
      <c r="B39" s="109" t="s">
        <v>457</v>
      </c>
      <c r="C39" s="62"/>
      <c r="D39" s="62"/>
      <c r="E39" s="12"/>
      <c r="F39" s="101"/>
      <c r="G39" s="253"/>
      <c r="H39" s="103"/>
      <c r="I39" s="63"/>
      <c r="J39" s="64"/>
      <c r="K39" s="12"/>
      <c r="L39" s="62" t="str">
        <f t="shared" si="3"/>
        <v/>
      </c>
      <c r="M39" s="12"/>
      <c r="N39" s="12"/>
      <c r="O39" s="12"/>
      <c r="P39" s="12"/>
      <c r="Q39" s="12"/>
      <c r="R39" s="12"/>
      <c r="S39" s="12"/>
      <c r="T39" s="12"/>
      <c r="U39" s="160"/>
      <c r="V39" s="65"/>
      <c r="W39" s="44" t="str">
        <f t="shared" si="2"/>
        <v>OK</v>
      </c>
      <c r="X39" s="47" t="str">
        <f t="shared" si="4"/>
        <v/>
      </c>
      <c r="Y39" s="3"/>
      <c r="Z39" s="127"/>
      <c r="AA39" s="18"/>
    </row>
    <row r="40" spans="1:27" ht="15.75" hidden="1" customHeight="1" outlineLevel="1" x14ac:dyDescent="0.3">
      <c r="A40" s="3"/>
      <c r="B40" s="109" t="s">
        <v>458</v>
      </c>
      <c r="C40" s="62"/>
      <c r="D40" s="62"/>
      <c r="E40" s="12"/>
      <c r="F40" s="101"/>
      <c r="G40" s="251"/>
      <c r="H40" s="103"/>
      <c r="I40" s="63"/>
      <c r="J40" s="64"/>
      <c r="K40" s="12"/>
      <c r="L40" s="62" t="str">
        <f t="shared" si="3"/>
        <v/>
      </c>
      <c r="M40" s="12"/>
      <c r="N40" s="12"/>
      <c r="O40" s="12"/>
      <c r="P40" s="12"/>
      <c r="Q40" s="12"/>
      <c r="R40" s="12"/>
      <c r="S40" s="12"/>
      <c r="T40" s="12"/>
      <c r="U40" s="12"/>
      <c r="V40" s="65"/>
      <c r="W40" s="44" t="str">
        <f t="shared" si="2"/>
        <v>OK</v>
      </c>
      <c r="X40" s="47" t="str">
        <f t="shared" si="4"/>
        <v/>
      </c>
      <c r="Y40" s="3"/>
      <c r="Z40" s="127"/>
      <c r="AA40" s="18"/>
    </row>
    <row r="41" spans="1:27" ht="15.75" hidden="1" customHeight="1" outlineLevel="1" x14ac:dyDescent="0.3">
      <c r="A41" s="3"/>
      <c r="B41" s="109" t="s">
        <v>459</v>
      </c>
      <c r="C41" s="62"/>
      <c r="D41" s="62"/>
      <c r="E41" s="12"/>
      <c r="F41" s="101"/>
      <c r="G41" s="251"/>
      <c r="H41" s="103"/>
      <c r="I41" s="63"/>
      <c r="J41" s="64"/>
      <c r="K41" s="12"/>
      <c r="L41" s="62" t="str">
        <f t="shared" si="3"/>
        <v/>
      </c>
      <c r="M41" s="12"/>
      <c r="N41" s="12"/>
      <c r="O41" s="12"/>
      <c r="P41" s="12"/>
      <c r="Q41" s="12"/>
      <c r="R41" s="12"/>
      <c r="S41" s="12"/>
      <c r="T41" s="12"/>
      <c r="U41" s="12"/>
      <c r="V41" s="65"/>
      <c r="W41" s="44" t="str">
        <f t="shared" si="2"/>
        <v>OK</v>
      </c>
      <c r="X41" s="47" t="str">
        <f t="shared" si="4"/>
        <v/>
      </c>
      <c r="Y41" s="3"/>
      <c r="Z41" s="127"/>
      <c r="AA41" s="18"/>
    </row>
    <row r="42" spans="1:27" ht="15.75" hidden="1" customHeight="1" outlineLevel="1" x14ac:dyDescent="0.3">
      <c r="A42" s="3"/>
      <c r="B42" s="109" t="s">
        <v>460</v>
      </c>
      <c r="C42" s="62"/>
      <c r="D42" s="62"/>
      <c r="E42" s="12"/>
      <c r="F42" s="101"/>
      <c r="G42" s="252"/>
      <c r="H42" s="103"/>
      <c r="I42" s="63"/>
      <c r="J42" s="64"/>
      <c r="K42" s="12"/>
      <c r="L42" s="62" t="str">
        <f t="shared" si="3"/>
        <v/>
      </c>
      <c r="M42" s="12"/>
      <c r="N42" s="12"/>
      <c r="O42" s="12"/>
      <c r="P42" s="12"/>
      <c r="Q42" s="12"/>
      <c r="R42" s="12"/>
      <c r="S42" s="12"/>
      <c r="T42" s="12"/>
      <c r="U42" s="12"/>
      <c r="V42" s="65"/>
      <c r="W42" s="44" t="str">
        <f t="shared" si="2"/>
        <v>OK</v>
      </c>
      <c r="X42" s="47" t="str">
        <f t="shared" si="4"/>
        <v/>
      </c>
      <c r="Y42" s="3"/>
      <c r="Z42" s="127"/>
      <c r="AA42" s="18"/>
    </row>
    <row r="43" spans="1:27" ht="15.75" hidden="1" customHeight="1" outlineLevel="1" x14ac:dyDescent="0.3">
      <c r="A43" s="3"/>
      <c r="B43" s="150" t="s">
        <v>461</v>
      </c>
      <c r="C43" s="62"/>
      <c r="D43" s="62"/>
      <c r="E43" s="12"/>
      <c r="F43" s="101"/>
      <c r="G43" s="121"/>
      <c r="H43" s="63"/>
      <c r="I43" s="63"/>
      <c r="J43" s="64"/>
      <c r="K43" s="12"/>
      <c r="L43" s="62" t="str">
        <f t="shared" si="3"/>
        <v/>
      </c>
      <c r="M43" s="12"/>
      <c r="N43" s="12"/>
      <c r="O43" s="12"/>
      <c r="P43" s="12"/>
      <c r="Q43" s="12"/>
      <c r="R43" s="12"/>
      <c r="S43" s="12"/>
      <c r="T43" s="12"/>
      <c r="U43" s="12"/>
      <c r="V43" s="65"/>
      <c r="W43" s="44" t="str">
        <f t="shared" si="2"/>
        <v>OK</v>
      </c>
      <c r="X43" s="47" t="str">
        <f t="shared" si="4"/>
        <v/>
      </c>
      <c r="Y43" s="3"/>
      <c r="Z43" s="127"/>
      <c r="AA43" s="18"/>
    </row>
    <row r="44" spans="1:27" ht="15.75" hidden="1" customHeight="1" outlineLevel="1" x14ac:dyDescent="0.3">
      <c r="A44" s="3"/>
      <c r="B44" s="109" t="s">
        <v>462</v>
      </c>
      <c r="C44" s="62"/>
      <c r="D44" s="62"/>
      <c r="E44" s="12"/>
      <c r="F44" s="101"/>
      <c r="G44" s="250"/>
      <c r="H44" s="63"/>
      <c r="I44" s="63"/>
      <c r="J44" s="64"/>
      <c r="K44" s="12"/>
      <c r="L44" s="62" t="str">
        <f t="shared" si="3"/>
        <v/>
      </c>
      <c r="M44" s="12"/>
      <c r="N44" s="12"/>
      <c r="O44" s="12"/>
      <c r="P44" s="12"/>
      <c r="Q44" s="12"/>
      <c r="R44" s="12"/>
      <c r="S44" s="12"/>
      <c r="T44" s="12"/>
      <c r="U44" s="12"/>
      <c r="V44" s="65"/>
      <c r="W44" s="44" t="str">
        <f t="shared" si="2"/>
        <v>OK</v>
      </c>
      <c r="X44" s="47" t="str">
        <f t="shared" si="4"/>
        <v/>
      </c>
      <c r="Y44" s="3"/>
      <c r="Z44" s="127"/>
      <c r="AA44" s="18"/>
    </row>
    <row r="45" spans="1:27" ht="15.75" hidden="1" customHeight="1" outlineLevel="1" x14ac:dyDescent="0.3">
      <c r="A45" s="3"/>
      <c r="B45" s="109" t="s">
        <v>463</v>
      </c>
      <c r="C45" s="62"/>
      <c r="D45" s="62"/>
      <c r="E45" s="12"/>
      <c r="F45" s="101"/>
      <c r="G45" s="252"/>
      <c r="H45" s="63"/>
      <c r="I45" s="63"/>
      <c r="J45" s="64"/>
      <c r="K45" s="12"/>
      <c r="L45" s="62" t="str">
        <f t="shared" si="3"/>
        <v/>
      </c>
      <c r="M45" s="12"/>
      <c r="N45" s="12"/>
      <c r="O45" s="12"/>
      <c r="P45" s="12"/>
      <c r="Q45" s="12"/>
      <c r="R45" s="12"/>
      <c r="S45" s="12"/>
      <c r="T45" s="12"/>
      <c r="U45" s="12"/>
      <c r="V45" s="65"/>
      <c r="W45" s="44" t="str">
        <f t="shared" si="2"/>
        <v>OK</v>
      </c>
      <c r="X45" s="47" t="str">
        <f t="shared" si="4"/>
        <v/>
      </c>
      <c r="Y45" s="3"/>
      <c r="Z45" s="127"/>
      <c r="AA45" s="18"/>
    </row>
    <row r="46" spans="1:27" ht="15.75" hidden="1" customHeight="1" outlineLevel="1" x14ac:dyDescent="0.3">
      <c r="A46" s="3"/>
      <c r="B46" s="150" t="s">
        <v>464</v>
      </c>
      <c r="C46" s="62"/>
      <c r="D46" s="62"/>
      <c r="E46" s="12"/>
      <c r="F46" s="101"/>
      <c r="G46" s="232"/>
      <c r="H46" s="63"/>
      <c r="I46" s="63"/>
      <c r="J46" s="64"/>
      <c r="K46" s="12"/>
      <c r="L46" s="62" t="str">
        <f t="shared" si="3"/>
        <v/>
      </c>
      <c r="M46" s="12"/>
      <c r="N46" s="12"/>
      <c r="O46" s="12"/>
      <c r="P46" s="12"/>
      <c r="Q46" s="12"/>
      <c r="R46" s="12"/>
      <c r="S46" s="12"/>
      <c r="T46" s="12"/>
      <c r="U46" s="12"/>
      <c r="V46" s="65"/>
      <c r="W46" s="44" t="str">
        <f t="shared" si="2"/>
        <v>OK</v>
      </c>
      <c r="X46" s="47" t="str">
        <f t="shared" si="4"/>
        <v/>
      </c>
      <c r="Y46" s="3"/>
      <c r="Z46" s="127"/>
      <c r="AA46" s="18"/>
    </row>
    <row r="47" spans="1:27" ht="15.75" hidden="1" customHeight="1" outlineLevel="1" x14ac:dyDescent="0.3">
      <c r="A47" s="3"/>
      <c r="B47" s="150" t="s">
        <v>465</v>
      </c>
      <c r="C47" s="62"/>
      <c r="D47" s="62"/>
      <c r="E47" s="12"/>
      <c r="F47" s="101"/>
      <c r="G47" s="234"/>
      <c r="H47" s="63"/>
      <c r="I47" s="63"/>
      <c r="J47" s="64"/>
      <c r="K47" s="12"/>
      <c r="L47" s="62" t="str">
        <f t="shared" si="3"/>
        <v/>
      </c>
      <c r="M47" s="12"/>
      <c r="N47" s="12"/>
      <c r="O47" s="12"/>
      <c r="P47" s="12"/>
      <c r="Q47" s="12"/>
      <c r="R47" s="12"/>
      <c r="S47" s="12"/>
      <c r="T47" s="12"/>
      <c r="U47" s="12"/>
      <c r="V47" s="65"/>
      <c r="W47" s="44" t="str">
        <f t="shared" si="2"/>
        <v>OK</v>
      </c>
      <c r="X47" s="47" t="str">
        <f t="shared" si="4"/>
        <v/>
      </c>
      <c r="Y47" s="3"/>
      <c r="Z47" s="127"/>
      <c r="AA47" s="18"/>
    </row>
    <row r="48" spans="1:27" ht="15.75" hidden="1" customHeight="1" outlineLevel="1" x14ac:dyDescent="0.3">
      <c r="A48" s="3"/>
      <c r="B48" s="109" t="s">
        <v>466</v>
      </c>
      <c r="C48" s="62"/>
      <c r="D48" s="62"/>
      <c r="E48" s="12"/>
      <c r="F48" s="101"/>
      <c r="G48" s="232"/>
      <c r="H48" s="63"/>
      <c r="I48" s="63"/>
      <c r="J48" s="64"/>
      <c r="K48" s="12"/>
      <c r="L48" s="62" t="str">
        <f t="shared" si="3"/>
        <v/>
      </c>
      <c r="M48" s="12"/>
      <c r="N48" s="12"/>
      <c r="O48" s="12"/>
      <c r="P48" s="12"/>
      <c r="Q48" s="12"/>
      <c r="R48" s="12"/>
      <c r="S48" s="12"/>
      <c r="T48" s="12"/>
      <c r="U48" s="12"/>
      <c r="V48" s="65"/>
      <c r="W48" s="44" t="str">
        <f t="shared" si="2"/>
        <v>OK</v>
      </c>
      <c r="X48" s="47" t="str">
        <f t="shared" si="4"/>
        <v/>
      </c>
      <c r="Y48" s="3"/>
      <c r="Z48" s="127"/>
      <c r="AA48" s="18"/>
    </row>
    <row r="49" spans="1:27" ht="15.75" hidden="1" customHeight="1" outlineLevel="1" x14ac:dyDescent="0.3">
      <c r="A49" s="3"/>
      <c r="B49" s="109" t="s">
        <v>467</v>
      </c>
      <c r="C49" s="62"/>
      <c r="D49" s="62"/>
      <c r="E49" s="12"/>
      <c r="F49" s="101"/>
      <c r="G49" s="234"/>
      <c r="H49" s="63"/>
      <c r="I49" s="63"/>
      <c r="J49" s="64"/>
      <c r="K49" s="12"/>
      <c r="L49" s="62" t="str">
        <f t="shared" si="3"/>
        <v/>
      </c>
      <c r="M49" s="12"/>
      <c r="N49" s="12"/>
      <c r="O49" s="12"/>
      <c r="P49" s="12"/>
      <c r="Q49" s="12"/>
      <c r="R49" s="12"/>
      <c r="S49" s="12"/>
      <c r="T49" s="12"/>
      <c r="U49" s="12"/>
      <c r="V49" s="65"/>
      <c r="W49" s="44" t="str">
        <f t="shared" si="2"/>
        <v>OK</v>
      </c>
      <c r="X49" s="47" t="str">
        <f t="shared" si="4"/>
        <v/>
      </c>
      <c r="Y49" s="3"/>
      <c r="Z49" s="127"/>
      <c r="AA49" s="18"/>
    </row>
    <row r="50" spans="1:27" ht="15.75" hidden="1" customHeight="1" outlineLevel="1" x14ac:dyDescent="0.3">
      <c r="A50" s="3"/>
      <c r="B50" s="150" t="s">
        <v>468</v>
      </c>
      <c r="C50" s="62"/>
      <c r="D50" s="62"/>
      <c r="E50" s="12"/>
      <c r="F50" s="101"/>
      <c r="G50" s="232"/>
      <c r="H50" s="63"/>
      <c r="I50" s="63"/>
      <c r="J50" s="64"/>
      <c r="K50" s="12"/>
      <c r="L50" s="62" t="str">
        <f t="shared" si="3"/>
        <v/>
      </c>
      <c r="M50" s="12"/>
      <c r="N50" s="12"/>
      <c r="O50" s="12"/>
      <c r="P50" s="12"/>
      <c r="Q50" s="12"/>
      <c r="R50" s="12"/>
      <c r="S50" s="12"/>
      <c r="T50" s="12"/>
      <c r="U50" s="12"/>
      <c r="V50" s="65"/>
      <c r="W50" s="44" t="str">
        <f t="shared" si="2"/>
        <v>OK</v>
      </c>
      <c r="X50" s="47" t="str">
        <f t="shared" si="4"/>
        <v/>
      </c>
      <c r="Y50" s="3"/>
      <c r="Z50" s="127"/>
      <c r="AA50" s="18"/>
    </row>
    <row r="51" spans="1:27" ht="15.75" hidden="1" customHeight="1" outlineLevel="1" x14ac:dyDescent="0.3">
      <c r="A51" s="3"/>
      <c r="B51" s="150" t="s">
        <v>469</v>
      </c>
      <c r="C51" s="62"/>
      <c r="D51" s="62"/>
      <c r="E51" s="12"/>
      <c r="F51" s="101"/>
      <c r="G51" s="234"/>
      <c r="H51" s="63"/>
      <c r="I51" s="63"/>
      <c r="J51" s="64"/>
      <c r="K51" s="12"/>
      <c r="L51" s="62" t="str">
        <f t="shared" si="3"/>
        <v/>
      </c>
      <c r="M51" s="12"/>
      <c r="N51" s="12"/>
      <c r="O51" s="12"/>
      <c r="P51" s="12"/>
      <c r="Q51" s="12"/>
      <c r="R51" s="12"/>
      <c r="S51" s="12"/>
      <c r="T51" s="12"/>
      <c r="U51" s="12"/>
      <c r="V51" s="65"/>
      <c r="W51" s="44" t="str">
        <f t="shared" si="2"/>
        <v>OK</v>
      </c>
      <c r="X51" s="47" t="str">
        <f t="shared" si="4"/>
        <v/>
      </c>
      <c r="Y51" s="3"/>
      <c r="Z51" s="127"/>
      <c r="AA51" s="18"/>
    </row>
    <row r="52" spans="1:27" ht="15.75" hidden="1" customHeight="1" outlineLevel="1" x14ac:dyDescent="0.3">
      <c r="A52" s="3"/>
      <c r="B52" s="109" t="s">
        <v>470</v>
      </c>
      <c r="C52" s="62"/>
      <c r="D52" s="62"/>
      <c r="E52" s="12"/>
      <c r="F52" s="101"/>
      <c r="G52" s="253"/>
      <c r="H52" s="63"/>
      <c r="I52" s="63"/>
      <c r="J52" s="64"/>
      <c r="K52" s="12"/>
      <c r="L52" s="62" t="str">
        <f t="shared" si="3"/>
        <v/>
      </c>
      <c r="M52" s="12"/>
      <c r="N52" s="12"/>
      <c r="O52" s="12"/>
      <c r="P52" s="12"/>
      <c r="Q52" s="12"/>
      <c r="R52" s="12"/>
      <c r="S52" s="12"/>
      <c r="T52" s="12"/>
      <c r="U52" s="12"/>
      <c r="V52" s="89"/>
      <c r="W52" s="44" t="str">
        <f t="shared" si="2"/>
        <v>OK</v>
      </c>
      <c r="X52" s="47" t="str">
        <f t="shared" si="4"/>
        <v/>
      </c>
      <c r="Y52" s="3"/>
      <c r="Z52" s="127"/>
      <c r="AA52" s="18"/>
    </row>
    <row r="53" spans="1:27" ht="15.75" hidden="1" customHeight="1" outlineLevel="1" x14ac:dyDescent="0.3">
      <c r="A53" s="3"/>
      <c r="B53" s="109" t="s">
        <v>472</v>
      </c>
      <c r="C53" s="62"/>
      <c r="D53" s="62"/>
      <c r="E53" s="12"/>
      <c r="F53" s="101"/>
      <c r="G53" s="252"/>
      <c r="H53" s="63"/>
      <c r="I53" s="63"/>
      <c r="J53" s="64"/>
      <c r="K53" s="12"/>
      <c r="L53" s="62" t="str">
        <f t="shared" si="3"/>
        <v/>
      </c>
      <c r="M53" s="12"/>
      <c r="N53" s="12"/>
      <c r="O53" s="12"/>
      <c r="P53" s="12"/>
      <c r="Q53" s="12"/>
      <c r="R53" s="12"/>
      <c r="S53" s="12"/>
      <c r="T53" s="12"/>
      <c r="U53" s="12"/>
      <c r="V53" s="65"/>
      <c r="W53" s="44" t="str">
        <f t="shared" si="2"/>
        <v>OK</v>
      </c>
      <c r="X53" s="47" t="str">
        <f t="shared" si="4"/>
        <v/>
      </c>
      <c r="Y53" s="3"/>
      <c r="Z53" s="127"/>
      <c r="AA53" s="18"/>
    </row>
    <row r="54" spans="1:27" ht="15.75" hidden="1" customHeight="1" outlineLevel="1" x14ac:dyDescent="0.3">
      <c r="A54" s="3"/>
      <c r="B54" s="150" t="s">
        <v>473</v>
      </c>
      <c r="C54" s="62"/>
      <c r="D54" s="62"/>
      <c r="E54" s="12"/>
      <c r="F54" s="101"/>
      <c r="G54" s="67"/>
      <c r="H54" s="63"/>
      <c r="I54" s="63"/>
      <c r="J54" s="64"/>
      <c r="K54" s="12"/>
      <c r="L54" s="62" t="str">
        <f t="shared" si="3"/>
        <v/>
      </c>
      <c r="M54" s="12"/>
      <c r="N54" s="12"/>
      <c r="O54" s="12"/>
      <c r="P54" s="12"/>
      <c r="Q54" s="12"/>
      <c r="R54" s="12"/>
      <c r="S54" s="12"/>
      <c r="T54" s="12"/>
      <c r="U54" s="160"/>
      <c r="V54" s="65"/>
      <c r="W54" s="44" t="str">
        <f t="shared" si="2"/>
        <v>OK</v>
      </c>
      <c r="X54" s="47" t="str">
        <f t="shared" si="4"/>
        <v/>
      </c>
      <c r="Y54" s="3"/>
      <c r="Z54" s="127"/>
      <c r="AA54" s="18"/>
    </row>
    <row r="55" spans="1:27" ht="21" hidden="1" customHeight="1" outlineLevel="1" x14ac:dyDescent="0.3">
      <c r="A55" s="3"/>
      <c r="B55" s="109" t="s">
        <v>474</v>
      </c>
      <c r="C55" s="62"/>
      <c r="D55" s="62"/>
      <c r="E55" s="12"/>
      <c r="F55" s="101"/>
      <c r="G55" s="235"/>
      <c r="H55" s="63"/>
      <c r="I55" s="63"/>
      <c r="J55" s="64"/>
      <c r="K55" s="12"/>
      <c r="L55" s="62" t="str">
        <f t="shared" si="3"/>
        <v/>
      </c>
      <c r="M55" s="12"/>
      <c r="N55" s="12"/>
      <c r="O55" s="12"/>
      <c r="P55" s="12"/>
      <c r="Q55" s="12"/>
      <c r="R55" s="12"/>
      <c r="S55" s="12"/>
      <c r="T55" s="12"/>
      <c r="U55" s="12"/>
      <c r="V55" s="65"/>
      <c r="W55" s="44" t="str">
        <f t="shared" si="2"/>
        <v>OK</v>
      </c>
      <c r="X55" s="47" t="str">
        <f t="shared" si="4"/>
        <v/>
      </c>
      <c r="Y55" s="3"/>
      <c r="Z55" s="127"/>
      <c r="AA55" s="18"/>
    </row>
    <row r="56" spans="1:27" ht="21" hidden="1" customHeight="1" outlineLevel="1" x14ac:dyDescent="0.3">
      <c r="A56" s="3"/>
      <c r="B56" s="109" t="s">
        <v>476</v>
      </c>
      <c r="C56" s="62"/>
      <c r="D56" s="62"/>
      <c r="E56" s="12"/>
      <c r="F56" s="101"/>
      <c r="G56" s="234"/>
      <c r="H56" s="63"/>
      <c r="I56" s="63"/>
      <c r="J56" s="64"/>
      <c r="K56" s="12"/>
      <c r="L56" s="62" t="str">
        <f t="shared" si="3"/>
        <v/>
      </c>
      <c r="M56" s="12"/>
      <c r="N56" s="12"/>
      <c r="O56" s="12"/>
      <c r="P56" s="12"/>
      <c r="Q56" s="12"/>
      <c r="R56" s="12"/>
      <c r="S56" s="12"/>
      <c r="T56" s="12"/>
      <c r="U56" s="12"/>
      <c r="V56" s="65"/>
      <c r="W56" s="44" t="str">
        <f t="shared" si="2"/>
        <v>OK</v>
      </c>
      <c r="X56" s="47" t="str">
        <f t="shared" si="4"/>
        <v/>
      </c>
      <c r="Y56" s="3"/>
      <c r="Z56" s="127"/>
      <c r="AA56" s="18"/>
    </row>
    <row r="57" spans="1:27" ht="15.75" hidden="1" customHeight="1" outlineLevel="1" x14ac:dyDescent="0.3">
      <c r="A57" s="3"/>
      <c r="B57" s="150" t="s">
        <v>477</v>
      </c>
      <c r="C57" s="62"/>
      <c r="D57" s="62"/>
      <c r="E57" s="12"/>
      <c r="F57" s="101"/>
      <c r="G57" s="69"/>
      <c r="H57" s="63"/>
      <c r="I57" s="63"/>
      <c r="J57" s="64"/>
      <c r="K57" s="12"/>
      <c r="L57" s="62" t="str">
        <f t="shared" si="3"/>
        <v/>
      </c>
      <c r="M57" s="12"/>
      <c r="N57" s="12"/>
      <c r="O57" s="12"/>
      <c r="P57" s="12"/>
      <c r="Q57" s="12"/>
      <c r="R57" s="12"/>
      <c r="S57" s="12"/>
      <c r="T57" s="12"/>
      <c r="U57" s="12"/>
      <c r="V57" s="65"/>
      <c r="W57" s="44" t="str">
        <f t="shared" si="2"/>
        <v>OK</v>
      </c>
      <c r="X57" s="47" t="str">
        <f t="shared" si="4"/>
        <v/>
      </c>
      <c r="Y57" s="3"/>
      <c r="Z57" s="127"/>
      <c r="AA57" s="18"/>
    </row>
    <row r="58" spans="1:27" ht="15.75" hidden="1" customHeight="1" outlineLevel="1" x14ac:dyDescent="0.3">
      <c r="A58" s="3"/>
      <c r="B58" s="109" t="s">
        <v>478</v>
      </c>
      <c r="C58" s="62"/>
      <c r="D58" s="62"/>
      <c r="E58" s="12"/>
      <c r="F58" s="101"/>
      <c r="G58" s="232"/>
      <c r="H58" s="63"/>
      <c r="I58" s="63"/>
      <c r="J58" s="64"/>
      <c r="K58" s="12"/>
      <c r="L58" s="62" t="str">
        <f t="shared" si="3"/>
        <v/>
      </c>
      <c r="M58" s="12"/>
      <c r="N58" s="12"/>
      <c r="O58" s="12"/>
      <c r="P58" s="12"/>
      <c r="Q58" s="12"/>
      <c r="R58" s="12"/>
      <c r="S58" s="12"/>
      <c r="T58" s="12"/>
      <c r="U58" s="160"/>
      <c r="V58" s="65"/>
      <c r="W58" s="44" t="str">
        <f t="shared" si="2"/>
        <v>OK</v>
      </c>
      <c r="X58" s="47" t="str">
        <f t="shared" si="4"/>
        <v/>
      </c>
      <c r="Y58" s="3"/>
      <c r="Z58" s="127"/>
      <c r="AA58" s="18"/>
    </row>
    <row r="59" spans="1:27" ht="15.75" hidden="1" customHeight="1" outlineLevel="1" x14ac:dyDescent="0.3">
      <c r="A59" s="3"/>
      <c r="B59" s="109" t="s">
        <v>479</v>
      </c>
      <c r="C59" s="62"/>
      <c r="D59" s="62"/>
      <c r="E59" s="12"/>
      <c r="F59" s="101"/>
      <c r="G59" s="234"/>
      <c r="H59" s="63"/>
      <c r="I59" s="63"/>
      <c r="J59" s="64"/>
      <c r="K59" s="12"/>
      <c r="L59" s="62" t="str">
        <f t="shared" si="3"/>
        <v/>
      </c>
      <c r="M59" s="12"/>
      <c r="N59" s="12"/>
      <c r="O59" s="12"/>
      <c r="P59" s="12"/>
      <c r="Q59" s="12"/>
      <c r="R59" s="12"/>
      <c r="S59" s="12"/>
      <c r="T59" s="12"/>
      <c r="U59" s="12"/>
      <c r="V59" s="65"/>
      <c r="W59" s="44" t="str">
        <f t="shared" si="2"/>
        <v>OK</v>
      </c>
      <c r="X59" s="47" t="str">
        <f t="shared" si="4"/>
        <v/>
      </c>
      <c r="Y59" s="3"/>
      <c r="Z59" s="127"/>
      <c r="AA59" s="18"/>
    </row>
    <row r="60" spans="1:27" ht="15.75" hidden="1" customHeight="1" outlineLevel="1" x14ac:dyDescent="0.3">
      <c r="A60" s="3"/>
      <c r="B60" s="150" t="s">
        <v>480</v>
      </c>
      <c r="C60" s="62"/>
      <c r="D60" s="62"/>
      <c r="E60" s="12"/>
      <c r="F60" s="101"/>
      <c r="G60" s="67"/>
      <c r="H60" s="63"/>
      <c r="I60" s="63"/>
      <c r="J60" s="64"/>
      <c r="K60" s="12"/>
      <c r="L60" s="62" t="str">
        <f t="shared" si="3"/>
        <v/>
      </c>
      <c r="M60" s="12"/>
      <c r="N60" s="12"/>
      <c r="O60" s="12"/>
      <c r="P60" s="12"/>
      <c r="Q60" s="12"/>
      <c r="R60" s="12"/>
      <c r="S60" s="12"/>
      <c r="T60" s="12"/>
      <c r="U60" s="12"/>
      <c r="V60" s="65"/>
      <c r="W60" s="44" t="str">
        <f t="shared" si="2"/>
        <v>OK</v>
      </c>
      <c r="X60" s="47" t="str">
        <f t="shared" si="4"/>
        <v/>
      </c>
      <c r="Y60" s="3"/>
      <c r="Z60" s="127"/>
      <c r="AA60" s="18"/>
    </row>
    <row r="61" spans="1:27" ht="15.75" hidden="1" customHeight="1" outlineLevel="1" x14ac:dyDescent="0.3">
      <c r="A61" s="3"/>
      <c r="B61" s="109" t="s">
        <v>481</v>
      </c>
      <c r="C61" s="62"/>
      <c r="D61" s="62"/>
      <c r="E61" s="12"/>
      <c r="F61" s="101"/>
      <c r="G61" s="69"/>
      <c r="H61" s="63"/>
      <c r="I61" s="63"/>
      <c r="J61" s="64"/>
      <c r="K61" s="12"/>
      <c r="L61" s="62" t="str">
        <f t="shared" si="3"/>
        <v/>
      </c>
      <c r="M61" s="12"/>
      <c r="N61" s="12"/>
      <c r="O61" s="12"/>
      <c r="P61" s="12"/>
      <c r="Q61" s="12"/>
      <c r="R61" s="12"/>
      <c r="S61" s="12"/>
      <c r="T61" s="12"/>
      <c r="U61" s="12"/>
      <c r="V61" s="89"/>
      <c r="W61" s="44" t="str">
        <f t="shared" si="2"/>
        <v>OK</v>
      </c>
      <c r="X61" s="47" t="str">
        <f t="shared" si="4"/>
        <v/>
      </c>
      <c r="Y61" s="127"/>
      <c r="Z61" s="127"/>
      <c r="AA61" s="18"/>
    </row>
    <row r="62" spans="1:27" ht="15.75" hidden="1" customHeight="1" outlineLevel="1" x14ac:dyDescent="0.3">
      <c r="A62" s="3"/>
      <c r="B62" s="150" t="s">
        <v>482</v>
      </c>
      <c r="C62" s="62"/>
      <c r="D62" s="62"/>
      <c r="E62" s="12"/>
      <c r="F62" s="101"/>
      <c r="G62" s="235"/>
      <c r="H62" s="63"/>
      <c r="I62" s="63"/>
      <c r="J62" s="64"/>
      <c r="K62" s="12"/>
      <c r="L62" s="62" t="str">
        <f t="shared" si="3"/>
        <v/>
      </c>
      <c r="M62" s="12"/>
      <c r="N62" s="12"/>
      <c r="O62" s="12"/>
      <c r="P62" s="12"/>
      <c r="Q62" s="12"/>
      <c r="R62" s="12"/>
      <c r="S62" s="12"/>
      <c r="T62" s="12"/>
      <c r="U62" s="12"/>
      <c r="V62" s="65"/>
      <c r="W62" s="44" t="str">
        <f t="shared" si="2"/>
        <v>OK</v>
      </c>
      <c r="X62" s="47" t="str">
        <f t="shared" si="4"/>
        <v/>
      </c>
      <c r="Y62" s="3"/>
      <c r="Z62" s="127"/>
      <c r="AA62" s="18"/>
    </row>
    <row r="63" spans="1:27" ht="15.75" hidden="1" customHeight="1" outlineLevel="1" x14ac:dyDescent="0.3">
      <c r="A63" s="3"/>
      <c r="B63" s="150" t="s">
        <v>483</v>
      </c>
      <c r="C63" s="62"/>
      <c r="D63" s="62"/>
      <c r="E63" s="12"/>
      <c r="F63" s="101"/>
      <c r="G63" s="234"/>
      <c r="H63" s="63"/>
      <c r="I63" s="63"/>
      <c r="J63" s="64"/>
      <c r="K63" s="12"/>
      <c r="L63" s="62" t="str">
        <f t="shared" si="3"/>
        <v/>
      </c>
      <c r="M63" s="12"/>
      <c r="N63" s="12"/>
      <c r="O63" s="12"/>
      <c r="P63" s="12"/>
      <c r="Q63" s="12"/>
      <c r="R63" s="12"/>
      <c r="S63" s="12"/>
      <c r="T63" s="12"/>
      <c r="U63" s="12"/>
      <c r="V63" s="65"/>
      <c r="W63" s="44" t="str">
        <f t="shared" si="2"/>
        <v>OK</v>
      </c>
      <c r="X63" s="47" t="str">
        <f t="shared" si="4"/>
        <v/>
      </c>
      <c r="Y63" s="3"/>
      <c r="Z63" s="127"/>
      <c r="AA63" s="18"/>
    </row>
    <row r="64" spans="1:27" ht="15.75" hidden="1" customHeight="1" outlineLevel="1" x14ac:dyDescent="0.3">
      <c r="A64" s="3"/>
      <c r="B64" s="109" t="s">
        <v>484</v>
      </c>
      <c r="C64" s="62"/>
      <c r="D64" s="62"/>
      <c r="E64" s="12"/>
      <c r="F64" s="101"/>
      <c r="G64" s="69"/>
      <c r="H64" s="63"/>
      <c r="I64" s="63"/>
      <c r="J64" s="64"/>
      <c r="K64" s="12"/>
      <c r="L64" s="62" t="str">
        <f t="shared" si="3"/>
        <v/>
      </c>
      <c r="M64" s="12"/>
      <c r="N64" s="12"/>
      <c r="O64" s="12"/>
      <c r="P64" s="12"/>
      <c r="Q64" s="12"/>
      <c r="R64" s="12"/>
      <c r="S64" s="12"/>
      <c r="T64" s="12"/>
      <c r="U64" s="12"/>
      <c r="V64" s="65"/>
      <c r="W64" s="44" t="str">
        <f t="shared" si="2"/>
        <v>OK</v>
      </c>
      <c r="X64" s="47" t="str">
        <f t="shared" si="4"/>
        <v/>
      </c>
      <c r="Y64" s="3"/>
      <c r="Z64" s="127"/>
      <c r="AA64" s="18"/>
    </row>
    <row r="65" spans="1:27" ht="15.75" hidden="1" customHeight="1" outlineLevel="1" x14ac:dyDescent="0.3">
      <c r="A65" s="3"/>
      <c r="B65" s="150" t="s">
        <v>486</v>
      </c>
      <c r="C65" s="62"/>
      <c r="D65" s="62"/>
      <c r="E65" s="12"/>
      <c r="F65" s="101"/>
      <c r="G65" s="69"/>
      <c r="H65" s="63"/>
      <c r="I65" s="63"/>
      <c r="J65" s="64"/>
      <c r="K65" s="12"/>
      <c r="L65" s="62" t="str">
        <f t="shared" si="3"/>
        <v/>
      </c>
      <c r="M65" s="12"/>
      <c r="N65" s="12"/>
      <c r="O65" s="12"/>
      <c r="P65" s="12"/>
      <c r="Q65" s="12"/>
      <c r="R65" s="12"/>
      <c r="S65" s="12"/>
      <c r="T65" s="12"/>
      <c r="U65" s="160"/>
      <c r="V65" s="65"/>
      <c r="W65" s="44" t="str">
        <f t="shared" si="2"/>
        <v>OK</v>
      </c>
      <c r="X65" s="47" t="str">
        <f t="shared" si="4"/>
        <v/>
      </c>
      <c r="Y65" s="3"/>
      <c r="Z65" s="127"/>
      <c r="AA65" s="18"/>
    </row>
    <row r="66" spans="1:27" ht="15.75" hidden="1" customHeight="1" outlineLevel="1" x14ac:dyDescent="0.3">
      <c r="A66" s="3"/>
      <c r="B66" s="109" t="s">
        <v>488</v>
      </c>
      <c r="C66" s="62"/>
      <c r="D66" s="62"/>
      <c r="E66" s="12"/>
      <c r="F66" s="101"/>
      <c r="G66" s="69"/>
      <c r="H66" s="63"/>
      <c r="I66" s="63"/>
      <c r="J66" s="64"/>
      <c r="K66" s="12"/>
      <c r="L66" s="62" t="str">
        <f t="shared" si="3"/>
        <v/>
      </c>
      <c r="M66" s="12"/>
      <c r="N66" s="12"/>
      <c r="O66" s="12"/>
      <c r="P66" s="12"/>
      <c r="Q66" s="12"/>
      <c r="R66" s="12"/>
      <c r="S66" s="12"/>
      <c r="T66" s="12"/>
      <c r="U66" s="12"/>
      <c r="V66" s="65"/>
      <c r="W66" s="44" t="str">
        <f t="shared" si="2"/>
        <v>OK</v>
      </c>
      <c r="X66" s="47" t="str">
        <f t="shared" si="4"/>
        <v/>
      </c>
      <c r="Y66" s="3"/>
      <c r="Z66" s="127"/>
      <c r="AA66" s="18"/>
    </row>
    <row r="67" spans="1:27" ht="15.75" hidden="1" customHeight="1" outlineLevel="1" x14ac:dyDescent="0.3">
      <c r="A67" s="3"/>
      <c r="B67" s="150" t="s">
        <v>489</v>
      </c>
      <c r="C67" s="62"/>
      <c r="D67" s="62"/>
      <c r="E67" s="12"/>
      <c r="F67" s="101"/>
      <c r="G67" s="232"/>
      <c r="H67" s="63"/>
      <c r="I67" s="63"/>
      <c r="J67" s="64"/>
      <c r="K67" s="12"/>
      <c r="L67" s="62" t="str">
        <f t="shared" si="3"/>
        <v/>
      </c>
      <c r="M67" s="12"/>
      <c r="N67" s="12"/>
      <c r="O67" s="12"/>
      <c r="P67" s="12"/>
      <c r="Q67" s="12"/>
      <c r="R67" s="12"/>
      <c r="S67" s="12"/>
      <c r="T67" s="12"/>
      <c r="U67" s="12"/>
      <c r="V67" s="65"/>
      <c r="W67" s="44" t="str">
        <f t="shared" si="2"/>
        <v>OK</v>
      </c>
      <c r="X67" s="47" t="str">
        <f t="shared" si="4"/>
        <v/>
      </c>
      <c r="Y67" s="3"/>
      <c r="Z67" s="127"/>
      <c r="AA67" s="18"/>
    </row>
    <row r="68" spans="1:27" ht="15.75" hidden="1" customHeight="1" outlineLevel="1" x14ac:dyDescent="0.3">
      <c r="A68" s="3"/>
      <c r="B68" s="150" t="s">
        <v>490</v>
      </c>
      <c r="C68" s="62"/>
      <c r="D68" s="62"/>
      <c r="E68" s="12"/>
      <c r="F68" s="101"/>
      <c r="G68" s="234"/>
      <c r="H68" s="63"/>
      <c r="I68" s="63"/>
      <c r="J68" s="64"/>
      <c r="K68" s="12"/>
      <c r="L68" s="62" t="str">
        <f t="shared" si="3"/>
        <v/>
      </c>
      <c r="M68" s="12"/>
      <c r="N68" s="12"/>
      <c r="O68" s="12"/>
      <c r="P68" s="12"/>
      <c r="Q68" s="12"/>
      <c r="R68" s="12"/>
      <c r="S68" s="12"/>
      <c r="T68" s="12"/>
      <c r="U68" s="12"/>
      <c r="V68" s="65"/>
      <c r="W68" s="44" t="str">
        <f t="shared" si="2"/>
        <v>OK</v>
      </c>
      <c r="X68" s="47" t="str">
        <f t="shared" si="4"/>
        <v/>
      </c>
      <c r="Y68" s="3"/>
      <c r="Z68" s="127"/>
      <c r="AA68" s="18"/>
    </row>
    <row r="69" spans="1:27" ht="15.75" hidden="1" customHeight="1" outlineLevel="1" x14ac:dyDescent="0.3">
      <c r="A69" s="3"/>
      <c r="B69" s="109" t="s">
        <v>491</v>
      </c>
      <c r="C69" s="62"/>
      <c r="D69" s="62"/>
      <c r="E69" s="12"/>
      <c r="F69" s="101"/>
      <c r="G69" s="69"/>
      <c r="H69" s="63"/>
      <c r="I69" s="63"/>
      <c r="J69" s="64"/>
      <c r="K69" s="12"/>
      <c r="L69" s="62" t="str">
        <f t="shared" si="3"/>
        <v/>
      </c>
      <c r="M69" s="12"/>
      <c r="N69" s="12"/>
      <c r="O69" s="12"/>
      <c r="P69" s="12"/>
      <c r="Q69" s="12"/>
      <c r="R69" s="12"/>
      <c r="S69" s="12"/>
      <c r="T69" s="12"/>
      <c r="U69" s="12"/>
      <c r="V69" s="65"/>
      <c r="W69" s="44" t="str">
        <f t="shared" si="2"/>
        <v>OK</v>
      </c>
      <c r="X69" s="47" t="str">
        <f t="shared" si="4"/>
        <v/>
      </c>
      <c r="Y69" s="3"/>
      <c r="Z69" s="127"/>
      <c r="AA69" s="18"/>
    </row>
    <row r="70" spans="1:27" ht="15.75" hidden="1" customHeight="1" outlineLevel="1" x14ac:dyDescent="0.3">
      <c r="A70" s="3"/>
      <c r="B70" s="150" t="s">
        <v>492</v>
      </c>
      <c r="C70" s="62"/>
      <c r="D70" s="62"/>
      <c r="E70" s="12"/>
      <c r="F70" s="101"/>
      <c r="G70" s="67"/>
      <c r="H70" s="63"/>
      <c r="I70" s="63"/>
      <c r="J70" s="64"/>
      <c r="K70" s="12"/>
      <c r="L70" s="62" t="str">
        <f t="shared" si="3"/>
        <v/>
      </c>
      <c r="M70" s="12"/>
      <c r="N70" s="12"/>
      <c r="O70" s="12"/>
      <c r="P70" s="12"/>
      <c r="Q70" s="12"/>
      <c r="R70" s="12"/>
      <c r="S70" s="12"/>
      <c r="T70" s="12"/>
      <c r="U70" s="12"/>
      <c r="V70" s="65"/>
      <c r="W70" s="44" t="str">
        <f t="shared" si="2"/>
        <v>OK</v>
      </c>
      <c r="X70" s="47" t="str">
        <f t="shared" si="4"/>
        <v/>
      </c>
      <c r="Y70" s="3"/>
      <c r="Z70" s="127"/>
      <c r="AA70" s="18"/>
    </row>
    <row r="71" spans="1:27" ht="15.75" hidden="1" customHeight="1" outlineLevel="1" x14ac:dyDescent="0.3">
      <c r="A71" s="3"/>
      <c r="B71" s="109" t="s">
        <v>493</v>
      </c>
      <c r="C71" s="62"/>
      <c r="D71" s="62"/>
      <c r="E71" s="12"/>
      <c r="F71" s="101"/>
      <c r="G71" s="67"/>
      <c r="H71" s="63"/>
      <c r="I71" s="63"/>
      <c r="J71" s="64"/>
      <c r="K71" s="12"/>
      <c r="L71" s="62" t="str">
        <f t="shared" si="3"/>
        <v/>
      </c>
      <c r="M71" s="12"/>
      <c r="N71" s="12"/>
      <c r="O71" s="12"/>
      <c r="P71" s="12"/>
      <c r="Q71" s="12"/>
      <c r="R71" s="12"/>
      <c r="S71" s="12"/>
      <c r="T71" s="12"/>
      <c r="U71" s="12"/>
      <c r="V71" s="65"/>
      <c r="W71" s="44" t="str">
        <f t="shared" si="2"/>
        <v>OK</v>
      </c>
      <c r="X71" s="47" t="str">
        <f t="shared" si="4"/>
        <v/>
      </c>
      <c r="Y71" s="3"/>
      <c r="Z71" s="127"/>
      <c r="AA71" s="18"/>
    </row>
    <row r="72" spans="1:27" ht="15.75" hidden="1" customHeight="1" outlineLevel="1" x14ac:dyDescent="0.3">
      <c r="A72" s="3"/>
      <c r="B72" s="150" t="s">
        <v>494</v>
      </c>
      <c r="C72" s="62"/>
      <c r="D72" s="62"/>
      <c r="E72" s="12"/>
      <c r="F72" s="101"/>
      <c r="G72" s="235"/>
      <c r="H72" s="63"/>
      <c r="I72" s="63"/>
      <c r="J72" s="64"/>
      <c r="K72" s="12"/>
      <c r="L72" s="62" t="str">
        <f t="shared" si="3"/>
        <v/>
      </c>
      <c r="M72" s="12"/>
      <c r="N72" s="12"/>
      <c r="O72" s="12"/>
      <c r="P72" s="12"/>
      <c r="Q72" s="12"/>
      <c r="R72" s="12"/>
      <c r="S72" s="12"/>
      <c r="T72" s="12"/>
      <c r="U72" s="12"/>
      <c r="V72" s="65"/>
      <c r="W72" s="44" t="str">
        <f t="shared" si="2"/>
        <v>OK</v>
      </c>
      <c r="X72" s="47" t="str">
        <f t="shared" si="4"/>
        <v/>
      </c>
      <c r="Y72" s="3"/>
      <c r="Z72" s="127"/>
      <c r="AA72" s="18"/>
    </row>
    <row r="73" spans="1:27" ht="15.75" hidden="1" customHeight="1" outlineLevel="1" x14ac:dyDescent="0.3">
      <c r="A73" s="3"/>
      <c r="B73" s="150" t="s">
        <v>495</v>
      </c>
      <c r="C73" s="62"/>
      <c r="D73" s="62"/>
      <c r="E73" s="12"/>
      <c r="F73" s="101"/>
      <c r="G73" s="234"/>
      <c r="H73" s="63"/>
      <c r="I73" s="63"/>
      <c r="J73" s="64"/>
      <c r="K73" s="12"/>
      <c r="L73" s="62" t="str">
        <f t="shared" si="3"/>
        <v/>
      </c>
      <c r="M73" s="12"/>
      <c r="N73" s="12"/>
      <c r="O73" s="12"/>
      <c r="P73" s="12"/>
      <c r="Q73" s="12"/>
      <c r="R73" s="12"/>
      <c r="S73" s="12"/>
      <c r="T73" s="12"/>
      <c r="U73" s="12"/>
      <c r="V73" s="65"/>
      <c r="W73" s="44" t="str">
        <f t="shared" si="2"/>
        <v>OK</v>
      </c>
      <c r="X73" s="47" t="str">
        <f t="shared" si="4"/>
        <v/>
      </c>
      <c r="Y73" s="3"/>
      <c r="Z73" s="127"/>
      <c r="AA73" s="18"/>
    </row>
    <row r="74" spans="1:27" ht="15.75" hidden="1" customHeight="1" outlineLevel="1" x14ac:dyDescent="0.3">
      <c r="A74" s="3"/>
      <c r="B74" s="109" t="s">
        <v>496</v>
      </c>
      <c r="C74" s="62"/>
      <c r="D74" s="62"/>
      <c r="E74" s="12"/>
      <c r="F74" s="101"/>
      <c r="G74" s="67"/>
      <c r="H74" s="63"/>
      <c r="I74" s="63"/>
      <c r="J74" s="64"/>
      <c r="K74" s="12"/>
      <c r="L74" s="62" t="str">
        <f t="shared" si="3"/>
        <v/>
      </c>
      <c r="M74" s="12"/>
      <c r="N74" s="12"/>
      <c r="O74" s="12"/>
      <c r="P74" s="12"/>
      <c r="Q74" s="12"/>
      <c r="R74" s="12"/>
      <c r="S74" s="12"/>
      <c r="T74" s="12"/>
      <c r="U74" s="12"/>
      <c r="V74" s="65"/>
      <c r="W74" s="44" t="str">
        <f t="shared" si="2"/>
        <v>OK</v>
      </c>
      <c r="X74" s="47" t="str">
        <f t="shared" si="4"/>
        <v/>
      </c>
      <c r="Y74" s="3"/>
      <c r="Z74" s="127"/>
      <c r="AA74" s="18"/>
    </row>
    <row r="75" spans="1:27" ht="15.75" hidden="1" customHeight="1" outlineLevel="1" x14ac:dyDescent="0.3">
      <c r="A75" s="3"/>
      <c r="B75" s="150" t="s">
        <v>497</v>
      </c>
      <c r="C75" s="62"/>
      <c r="D75" s="62"/>
      <c r="E75" s="12"/>
      <c r="F75" s="101"/>
      <c r="G75" s="67"/>
      <c r="H75" s="63"/>
      <c r="I75" s="63"/>
      <c r="J75" s="64"/>
      <c r="K75" s="12"/>
      <c r="L75" s="62" t="str">
        <f t="shared" si="3"/>
        <v/>
      </c>
      <c r="M75" s="12"/>
      <c r="N75" s="12"/>
      <c r="O75" s="12"/>
      <c r="P75" s="12"/>
      <c r="Q75" s="12"/>
      <c r="R75" s="12"/>
      <c r="S75" s="12"/>
      <c r="T75" s="12"/>
      <c r="U75" s="160"/>
      <c r="V75" s="65"/>
      <c r="W75" s="44" t="str">
        <f t="shared" si="2"/>
        <v>OK</v>
      </c>
      <c r="X75" s="47" t="str">
        <f t="shared" si="4"/>
        <v/>
      </c>
      <c r="Y75" s="3"/>
      <c r="Z75" s="127"/>
      <c r="AA75" s="18"/>
    </row>
    <row r="76" spans="1:27" ht="15.75" hidden="1" customHeight="1" outlineLevel="1" x14ac:dyDescent="0.3">
      <c r="A76" s="3"/>
      <c r="B76" s="109" t="s">
        <v>498</v>
      </c>
      <c r="C76" s="62"/>
      <c r="D76" s="62"/>
      <c r="E76" s="12"/>
      <c r="F76" s="101"/>
      <c r="G76" s="67"/>
      <c r="H76" s="63"/>
      <c r="I76" s="63"/>
      <c r="J76" s="64"/>
      <c r="K76" s="12"/>
      <c r="L76" s="62" t="str">
        <f t="shared" si="3"/>
        <v/>
      </c>
      <c r="M76" s="12"/>
      <c r="N76" s="12"/>
      <c r="O76" s="12"/>
      <c r="P76" s="12"/>
      <c r="Q76" s="12"/>
      <c r="R76" s="12"/>
      <c r="S76" s="12"/>
      <c r="T76" s="12"/>
      <c r="U76" s="12"/>
      <c r="V76" s="65"/>
      <c r="W76" s="44" t="str">
        <f t="shared" si="2"/>
        <v>OK</v>
      </c>
      <c r="X76" s="47" t="str">
        <f t="shared" si="4"/>
        <v/>
      </c>
      <c r="Y76" s="3"/>
      <c r="Z76" s="127"/>
      <c r="AA76" s="18"/>
    </row>
    <row r="77" spans="1:27" ht="15.75" hidden="1" customHeight="1" outlineLevel="1" x14ac:dyDescent="0.3">
      <c r="A77" s="3"/>
      <c r="B77" s="150" t="s">
        <v>499</v>
      </c>
      <c r="C77" s="62"/>
      <c r="D77" s="62"/>
      <c r="E77" s="12"/>
      <c r="F77" s="101"/>
      <c r="G77" s="69"/>
      <c r="H77" s="63"/>
      <c r="I77" s="63"/>
      <c r="J77" s="64"/>
      <c r="K77" s="12"/>
      <c r="L77" s="62" t="str">
        <f t="shared" si="3"/>
        <v/>
      </c>
      <c r="M77" s="12"/>
      <c r="N77" s="12"/>
      <c r="O77" s="12"/>
      <c r="P77" s="12"/>
      <c r="Q77" s="12"/>
      <c r="R77" s="12"/>
      <c r="S77" s="12"/>
      <c r="T77" s="12"/>
      <c r="U77" s="160"/>
      <c r="V77" s="65"/>
      <c r="W77" s="44" t="str">
        <f t="shared" si="2"/>
        <v>OK</v>
      </c>
      <c r="X77" s="47" t="str">
        <f t="shared" si="4"/>
        <v/>
      </c>
      <c r="Y77" s="3"/>
      <c r="Z77" s="127"/>
      <c r="AA77" s="18"/>
    </row>
    <row r="78" spans="1:27" ht="15.75" hidden="1" customHeight="1" outlineLevel="1" x14ac:dyDescent="0.3">
      <c r="A78" s="3"/>
      <c r="B78" s="109" t="s">
        <v>500</v>
      </c>
      <c r="C78" s="62"/>
      <c r="D78" s="62"/>
      <c r="E78" s="12"/>
      <c r="F78" s="101"/>
      <c r="G78" s="235"/>
      <c r="H78" s="63"/>
      <c r="I78" s="63"/>
      <c r="J78" s="64"/>
      <c r="K78" s="12"/>
      <c r="L78" s="62" t="str">
        <f t="shared" si="3"/>
        <v/>
      </c>
      <c r="M78" s="12"/>
      <c r="N78" s="12"/>
      <c r="O78" s="12"/>
      <c r="P78" s="12"/>
      <c r="Q78" s="12"/>
      <c r="R78" s="12"/>
      <c r="S78" s="12"/>
      <c r="T78" s="12"/>
      <c r="U78" s="12"/>
      <c r="V78" s="65"/>
      <c r="W78" s="44" t="str">
        <f t="shared" si="2"/>
        <v>OK</v>
      </c>
      <c r="X78" s="47" t="str">
        <f t="shared" si="4"/>
        <v/>
      </c>
      <c r="Y78" s="3"/>
      <c r="Z78" s="127"/>
      <c r="AA78" s="18"/>
    </row>
    <row r="79" spans="1:27" ht="15.75" hidden="1" customHeight="1" outlineLevel="1" x14ac:dyDescent="0.3">
      <c r="A79" s="3"/>
      <c r="B79" s="109" t="s">
        <v>501</v>
      </c>
      <c r="C79" s="62"/>
      <c r="D79" s="62"/>
      <c r="E79" s="12"/>
      <c r="F79" s="101"/>
      <c r="G79" s="234"/>
      <c r="H79" s="63"/>
      <c r="I79" s="63"/>
      <c r="J79" s="64"/>
      <c r="K79" s="12"/>
      <c r="L79" s="62" t="str">
        <f t="shared" si="3"/>
        <v/>
      </c>
      <c r="M79" s="12"/>
      <c r="N79" s="12"/>
      <c r="O79" s="12"/>
      <c r="P79" s="12"/>
      <c r="Q79" s="12"/>
      <c r="R79" s="12"/>
      <c r="S79" s="12"/>
      <c r="T79" s="12"/>
      <c r="U79" s="12"/>
      <c r="V79" s="65"/>
      <c r="W79" s="44" t="str">
        <f t="shared" si="2"/>
        <v>OK</v>
      </c>
      <c r="X79" s="47" t="str">
        <f t="shared" si="4"/>
        <v/>
      </c>
      <c r="Y79" s="3"/>
      <c r="Z79" s="127"/>
      <c r="AA79" s="18"/>
    </row>
    <row r="80" spans="1:27" ht="15.75" hidden="1" customHeight="1" outlineLevel="1" x14ac:dyDescent="0.3">
      <c r="A80" s="3"/>
      <c r="B80" s="150" t="s">
        <v>502</v>
      </c>
      <c r="C80" s="62"/>
      <c r="D80" s="62"/>
      <c r="E80" s="12"/>
      <c r="F80" s="101"/>
      <c r="G80" s="232"/>
      <c r="H80" s="63"/>
      <c r="I80" s="63"/>
      <c r="J80" s="64"/>
      <c r="K80" s="12"/>
      <c r="L80" s="62" t="str">
        <f t="shared" si="3"/>
        <v/>
      </c>
      <c r="M80" s="12"/>
      <c r="N80" s="12"/>
      <c r="O80" s="12"/>
      <c r="P80" s="12"/>
      <c r="Q80" s="12"/>
      <c r="R80" s="12"/>
      <c r="S80" s="12"/>
      <c r="T80" s="12"/>
      <c r="U80" s="12"/>
      <c r="V80" s="65"/>
      <c r="W80" s="44" t="str">
        <f t="shared" si="2"/>
        <v>OK</v>
      </c>
      <c r="X80" s="47" t="str">
        <f t="shared" si="4"/>
        <v/>
      </c>
      <c r="Y80" s="3"/>
      <c r="Z80" s="127"/>
      <c r="AA80" s="18"/>
    </row>
    <row r="81" spans="1:27" ht="15.75" hidden="1" customHeight="1" outlineLevel="1" x14ac:dyDescent="0.3">
      <c r="A81" s="3"/>
      <c r="B81" s="150" t="s">
        <v>503</v>
      </c>
      <c r="C81" s="62"/>
      <c r="D81" s="62"/>
      <c r="E81" s="12"/>
      <c r="F81" s="101"/>
      <c r="G81" s="234"/>
      <c r="H81" s="63"/>
      <c r="I81" s="63"/>
      <c r="J81" s="64"/>
      <c r="K81" s="12"/>
      <c r="L81" s="62" t="str">
        <f t="shared" si="3"/>
        <v/>
      </c>
      <c r="M81" s="12"/>
      <c r="N81" s="12"/>
      <c r="O81" s="12"/>
      <c r="P81" s="12"/>
      <c r="Q81" s="12"/>
      <c r="R81" s="12"/>
      <c r="S81" s="12"/>
      <c r="T81" s="12"/>
      <c r="U81" s="12"/>
      <c r="V81" s="65"/>
      <c r="W81" s="44" t="str">
        <f t="shared" si="2"/>
        <v>OK</v>
      </c>
      <c r="X81" s="47" t="str">
        <f t="shared" si="4"/>
        <v/>
      </c>
      <c r="Y81" s="3"/>
      <c r="Z81" s="127"/>
      <c r="AA81" s="18"/>
    </row>
    <row r="82" spans="1:27" ht="15.75" hidden="1" customHeight="1" outlineLevel="1" x14ac:dyDescent="0.3">
      <c r="A82" s="3"/>
      <c r="B82" s="109" t="s">
        <v>504</v>
      </c>
      <c r="C82" s="62"/>
      <c r="D82" s="62"/>
      <c r="E82" s="12"/>
      <c r="F82" s="101"/>
      <c r="G82" s="232"/>
      <c r="H82" s="63"/>
      <c r="I82" s="63"/>
      <c r="J82" s="64"/>
      <c r="K82" s="12"/>
      <c r="L82" s="62" t="str">
        <f t="shared" si="3"/>
        <v/>
      </c>
      <c r="M82" s="12"/>
      <c r="N82" s="12"/>
      <c r="O82" s="12"/>
      <c r="P82" s="12"/>
      <c r="Q82" s="12"/>
      <c r="R82" s="12"/>
      <c r="S82" s="12"/>
      <c r="T82" s="12"/>
      <c r="U82" s="160"/>
      <c r="V82" s="65"/>
      <c r="W82" s="44" t="str">
        <f t="shared" si="2"/>
        <v>OK</v>
      </c>
      <c r="X82" s="47" t="str">
        <f t="shared" si="4"/>
        <v/>
      </c>
      <c r="Y82" s="3"/>
      <c r="Z82" s="127"/>
      <c r="AA82" s="18"/>
    </row>
    <row r="83" spans="1:27" ht="15.75" hidden="1" customHeight="1" outlineLevel="1" x14ac:dyDescent="0.3">
      <c r="A83" s="3"/>
      <c r="B83" s="109" t="s">
        <v>506</v>
      </c>
      <c r="C83" s="62"/>
      <c r="D83" s="62"/>
      <c r="E83" s="12"/>
      <c r="F83" s="101"/>
      <c r="G83" s="234"/>
      <c r="H83" s="63"/>
      <c r="I83" s="63"/>
      <c r="J83" s="64"/>
      <c r="K83" s="12"/>
      <c r="L83" s="62" t="str">
        <f t="shared" si="3"/>
        <v/>
      </c>
      <c r="M83" s="12"/>
      <c r="N83" s="12"/>
      <c r="O83" s="12"/>
      <c r="P83" s="12"/>
      <c r="Q83" s="12"/>
      <c r="R83" s="12"/>
      <c r="S83" s="12"/>
      <c r="T83" s="12"/>
      <c r="U83" s="12"/>
      <c r="V83" s="65"/>
      <c r="W83" s="44" t="str">
        <f t="shared" si="2"/>
        <v>OK</v>
      </c>
      <c r="X83" s="47" t="str">
        <f t="shared" si="4"/>
        <v/>
      </c>
      <c r="Y83" s="3"/>
      <c r="Z83" s="127"/>
      <c r="AA83" s="18"/>
    </row>
    <row r="84" spans="1:27" ht="15.75" hidden="1" customHeight="1" outlineLevel="1" x14ac:dyDescent="0.3">
      <c r="A84" s="3"/>
      <c r="B84" s="150" t="s">
        <v>507</v>
      </c>
      <c r="C84" s="62"/>
      <c r="D84" s="62"/>
      <c r="E84" s="12"/>
      <c r="F84" s="101"/>
      <c r="G84" s="67"/>
      <c r="H84" s="63"/>
      <c r="I84" s="63"/>
      <c r="J84" s="64"/>
      <c r="K84" s="12"/>
      <c r="L84" s="62" t="str">
        <f t="shared" si="3"/>
        <v/>
      </c>
      <c r="M84" s="12"/>
      <c r="N84" s="12"/>
      <c r="O84" s="12"/>
      <c r="P84" s="12"/>
      <c r="Q84" s="12"/>
      <c r="R84" s="12"/>
      <c r="S84" s="12"/>
      <c r="T84" s="12"/>
      <c r="U84" s="12"/>
      <c r="V84" s="65"/>
      <c r="W84" s="44" t="str">
        <f t="shared" si="2"/>
        <v>OK</v>
      </c>
      <c r="X84" s="47" t="str">
        <f t="shared" si="4"/>
        <v/>
      </c>
      <c r="Y84" s="3"/>
      <c r="Z84" s="127"/>
      <c r="AA84" s="18"/>
    </row>
    <row r="85" spans="1:27" ht="15.75" hidden="1" customHeight="1" outlineLevel="1" x14ac:dyDescent="0.3">
      <c r="A85" s="3"/>
      <c r="B85" s="109" t="s">
        <v>508</v>
      </c>
      <c r="C85" s="62"/>
      <c r="D85" s="62"/>
      <c r="E85" s="12"/>
      <c r="F85" s="101"/>
      <c r="G85" s="232"/>
      <c r="H85" s="63"/>
      <c r="I85" s="63"/>
      <c r="J85" s="64"/>
      <c r="K85" s="12"/>
      <c r="L85" s="62" t="str">
        <f t="shared" si="3"/>
        <v/>
      </c>
      <c r="M85" s="12"/>
      <c r="N85" s="12"/>
      <c r="O85" s="12"/>
      <c r="P85" s="12"/>
      <c r="Q85" s="12"/>
      <c r="R85" s="12"/>
      <c r="S85" s="12"/>
      <c r="T85" s="12"/>
      <c r="U85" s="12"/>
      <c r="V85" s="65"/>
      <c r="W85" s="44" t="str">
        <f t="shared" si="2"/>
        <v>OK</v>
      </c>
      <c r="X85" s="47" t="str">
        <f t="shared" si="4"/>
        <v/>
      </c>
      <c r="Y85" s="3"/>
      <c r="Z85" s="127"/>
      <c r="AA85" s="18"/>
    </row>
    <row r="86" spans="1:27" ht="15.75" hidden="1" customHeight="1" outlineLevel="1" x14ac:dyDescent="0.3">
      <c r="A86" s="3"/>
      <c r="B86" s="109" t="s">
        <v>509</v>
      </c>
      <c r="C86" s="62"/>
      <c r="D86" s="62"/>
      <c r="E86" s="12"/>
      <c r="F86" s="101"/>
      <c r="G86" s="234"/>
      <c r="H86" s="63"/>
      <c r="I86" s="63"/>
      <c r="J86" s="64"/>
      <c r="K86" s="12"/>
      <c r="L86" s="62" t="str">
        <f t="shared" si="3"/>
        <v/>
      </c>
      <c r="M86" s="12"/>
      <c r="N86" s="12"/>
      <c r="O86" s="12"/>
      <c r="P86" s="12"/>
      <c r="Q86" s="12"/>
      <c r="R86" s="12"/>
      <c r="S86" s="12"/>
      <c r="T86" s="12"/>
      <c r="U86" s="12"/>
      <c r="V86" s="65"/>
      <c r="W86" s="44" t="str">
        <f t="shared" si="2"/>
        <v>OK</v>
      </c>
      <c r="X86" s="47" t="str">
        <f t="shared" si="4"/>
        <v/>
      </c>
      <c r="Y86" s="3"/>
      <c r="Z86" s="127"/>
      <c r="AA86" s="18"/>
    </row>
    <row r="87" spans="1:27" ht="15.75" hidden="1" customHeight="1" outlineLevel="1" x14ac:dyDescent="0.3">
      <c r="A87" s="3"/>
      <c r="B87" s="150" t="s">
        <v>1515</v>
      </c>
      <c r="C87" s="62"/>
      <c r="D87" s="62"/>
      <c r="E87" s="12"/>
      <c r="F87" s="101"/>
      <c r="G87" s="67"/>
      <c r="H87" s="63"/>
      <c r="I87" s="63"/>
      <c r="J87" s="64"/>
      <c r="K87" s="12"/>
      <c r="L87" s="62" t="str">
        <f t="shared" si="3"/>
        <v/>
      </c>
      <c r="M87" s="12"/>
      <c r="N87" s="12"/>
      <c r="O87" s="12"/>
      <c r="P87" s="12"/>
      <c r="Q87" s="12"/>
      <c r="R87" s="12"/>
      <c r="S87" s="12"/>
      <c r="T87" s="12"/>
      <c r="U87" s="12"/>
      <c r="V87" s="65"/>
      <c r="W87" s="44" t="str">
        <f t="shared" si="2"/>
        <v>OK</v>
      </c>
      <c r="X87" s="47" t="str">
        <f t="shared" si="4"/>
        <v/>
      </c>
      <c r="Y87" s="3"/>
      <c r="Z87" s="127"/>
      <c r="AA87" s="18"/>
    </row>
    <row r="88" spans="1:27" ht="15.75" hidden="1" customHeight="1" outlineLevel="1" x14ac:dyDescent="0.3">
      <c r="A88" s="3"/>
      <c r="B88" s="109" t="s">
        <v>510</v>
      </c>
      <c r="C88" s="62"/>
      <c r="D88" s="62"/>
      <c r="E88" s="12"/>
      <c r="F88" s="101"/>
      <c r="G88" s="67"/>
      <c r="H88" s="63"/>
      <c r="I88" s="63"/>
      <c r="J88" s="64"/>
      <c r="K88" s="12"/>
      <c r="L88" s="62" t="str">
        <f t="shared" si="3"/>
        <v/>
      </c>
      <c r="M88" s="12"/>
      <c r="N88" s="12"/>
      <c r="O88" s="12"/>
      <c r="P88" s="12"/>
      <c r="Q88" s="12"/>
      <c r="R88" s="12"/>
      <c r="S88" s="12"/>
      <c r="T88" s="12"/>
      <c r="U88" s="12"/>
      <c r="V88" s="65"/>
      <c r="W88" s="44" t="str">
        <f t="shared" si="2"/>
        <v>OK</v>
      </c>
      <c r="X88" s="47" t="str">
        <f t="shared" si="4"/>
        <v/>
      </c>
      <c r="Y88" s="3"/>
      <c r="Z88" s="127"/>
      <c r="AA88" s="18"/>
    </row>
    <row r="89" spans="1:27" ht="15.75" hidden="1" customHeight="1" outlineLevel="1" x14ac:dyDescent="0.3">
      <c r="A89" s="3"/>
      <c r="B89" s="150" t="s">
        <v>512</v>
      </c>
      <c r="C89" s="62"/>
      <c r="D89" s="62"/>
      <c r="E89" s="12"/>
      <c r="F89" s="101"/>
      <c r="G89" s="232"/>
      <c r="H89" s="63"/>
      <c r="I89" s="63"/>
      <c r="J89" s="64"/>
      <c r="K89" s="12"/>
      <c r="L89" s="62" t="str">
        <f t="shared" si="3"/>
        <v/>
      </c>
      <c r="M89" s="12"/>
      <c r="N89" s="12"/>
      <c r="O89" s="12"/>
      <c r="P89" s="12"/>
      <c r="Q89" s="12"/>
      <c r="R89" s="12"/>
      <c r="S89" s="12"/>
      <c r="T89" s="12"/>
      <c r="U89" s="12"/>
      <c r="V89" s="65"/>
      <c r="W89" s="44" t="str">
        <f t="shared" si="2"/>
        <v>OK</v>
      </c>
      <c r="X89" s="47" t="str">
        <f t="shared" si="4"/>
        <v/>
      </c>
      <c r="Y89" s="3"/>
      <c r="Z89" s="127"/>
      <c r="AA89" s="18"/>
    </row>
    <row r="90" spans="1:27" ht="15.75" hidden="1" customHeight="1" outlineLevel="1" x14ac:dyDescent="0.3">
      <c r="A90" s="3"/>
      <c r="B90" s="150" t="s">
        <v>513</v>
      </c>
      <c r="C90" s="62"/>
      <c r="D90" s="62"/>
      <c r="E90" s="12"/>
      <c r="F90" s="101"/>
      <c r="G90" s="234"/>
      <c r="H90" s="63"/>
      <c r="I90" s="63"/>
      <c r="J90" s="64"/>
      <c r="K90" s="12"/>
      <c r="L90" s="62" t="str">
        <f t="shared" si="3"/>
        <v/>
      </c>
      <c r="M90" s="12"/>
      <c r="N90" s="12"/>
      <c r="O90" s="12"/>
      <c r="P90" s="12"/>
      <c r="Q90" s="12"/>
      <c r="R90" s="12"/>
      <c r="S90" s="12"/>
      <c r="T90" s="12"/>
      <c r="U90" s="12"/>
      <c r="V90" s="65"/>
      <c r="W90" s="44" t="str">
        <f t="shared" si="2"/>
        <v>OK</v>
      </c>
      <c r="X90" s="47" t="str">
        <f t="shared" si="4"/>
        <v/>
      </c>
      <c r="Y90" s="3"/>
      <c r="Z90" s="127"/>
      <c r="AA90" s="18"/>
    </row>
    <row r="91" spans="1:27" ht="15.75" hidden="1" customHeight="1" outlineLevel="1" x14ac:dyDescent="0.3">
      <c r="A91" s="3"/>
      <c r="B91" s="109" t="s">
        <v>514</v>
      </c>
      <c r="C91" s="62"/>
      <c r="D91" s="62"/>
      <c r="E91" s="12"/>
      <c r="F91" s="101"/>
      <c r="G91" s="67"/>
      <c r="H91" s="63"/>
      <c r="I91" s="63"/>
      <c r="J91" s="64"/>
      <c r="K91" s="12"/>
      <c r="L91" s="62" t="str">
        <f t="shared" si="3"/>
        <v/>
      </c>
      <c r="M91" s="12"/>
      <c r="N91" s="12"/>
      <c r="O91" s="12"/>
      <c r="P91" s="12"/>
      <c r="Q91" s="12"/>
      <c r="R91" s="12"/>
      <c r="S91" s="12"/>
      <c r="T91" s="12"/>
      <c r="U91" s="12"/>
      <c r="V91" s="65"/>
      <c r="W91" s="44" t="str">
        <f t="shared" si="2"/>
        <v>OK</v>
      </c>
      <c r="X91" s="47" t="str">
        <f t="shared" si="4"/>
        <v/>
      </c>
      <c r="Y91" s="3"/>
      <c r="Z91" s="127"/>
      <c r="AA91" s="18"/>
    </row>
    <row r="92" spans="1:27" ht="15.75" hidden="1" customHeight="1" outlineLevel="1" x14ac:dyDescent="0.3">
      <c r="A92" s="3"/>
      <c r="B92" s="150" t="s">
        <v>515</v>
      </c>
      <c r="C92" s="62"/>
      <c r="D92" s="62"/>
      <c r="E92" s="12"/>
      <c r="F92" s="101"/>
      <c r="G92" s="232"/>
      <c r="H92" s="63"/>
      <c r="I92" s="63"/>
      <c r="J92" s="64"/>
      <c r="K92" s="12"/>
      <c r="L92" s="62" t="str">
        <f t="shared" si="3"/>
        <v/>
      </c>
      <c r="M92" s="12"/>
      <c r="N92" s="12"/>
      <c r="O92" s="12"/>
      <c r="P92" s="12"/>
      <c r="Q92" s="12"/>
      <c r="R92" s="12"/>
      <c r="S92" s="12"/>
      <c r="T92" s="12"/>
      <c r="U92" s="12"/>
      <c r="V92" s="65"/>
      <c r="W92" s="44" t="str">
        <f t="shared" si="2"/>
        <v>OK</v>
      </c>
      <c r="X92" s="47" t="str">
        <f t="shared" si="4"/>
        <v/>
      </c>
      <c r="Y92" s="3"/>
      <c r="Z92" s="127"/>
      <c r="AA92" s="18"/>
    </row>
    <row r="93" spans="1:27" ht="15.75" hidden="1" customHeight="1" outlineLevel="1" x14ac:dyDescent="0.3">
      <c r="A93" s="3"/>
      <c r="B93" s="150" t="s">
        <v>516</v>
      </c>
      <c r="C93" s="62"/>
      <c r="D93" s="62"/>
      <c r="E93" s="12"/>
      <c r="F93" s="101"/>
      <c r="G93" s="234"/>
      <c r="H93" s="63"/>
      <c r="I93" s="63"/>
      <c r="J93" s="64"/>
      <c r="K93" s="12"/>
      <c r="L93" s="62" t="str">
        <f t="shared" si="3"/>
        <v/>
      </c>
      <c r="M93" s="12"/>
      <c r="N93" s="12"/>
      <c r="O93" s="12"/>
      <c r="P93" s="12"/>
      <c r="Q93" s="12"/>
      <c r="R93" s="12"/>
      <c r="S93" s="12"/>
      <c r="T93" s="12"/>
      <c r="U93" s="12"/>
      <c r="V93" s="65"/>
      <c r="W93" s="44" t="str">
        <f t="shared" si="2"/>
        <v>OK</v>
      </c>
      <c r="X93" s="47" t="str">
        <f t="shared" si="4"/>
        <v/>
      </c>
      <c r="Y93" s="3"/>
      <c r="Z93" s="127"/>
      <c r="AA93" s="18"/>
    </row>
    <row r="94" spans="1:27" ht="15.75" hidden="1" customHeight="1" outlineLevel="1" x14ac:dyDescent="0.3">
      <c r="A94" s="3"/>
      <c r="B94" s="109" t="s">
        <v>517</v>
      </c>
      <c r="C94" s="62"/>
      <c r="D94" s="62"/>
      <c r="E94" s="12"/>
      <c r="F94" s="101"/>
      <c r="G94" s="67"/>
      <c r="H94" s="63"/>
      <c r="I94" s="63"/>
      <c r="J94" s="64"/>
      <c r="K94" s="12"/>
      <c r="L94" s="62" t="str">
        <f t="shared" si="3"/>
        <v/>
      </c>
      <c r="M94" s="12"/>
      <c r="N94" s="12"/>
      <c r="O94" s="12"/>
      <c r="P94" s="12"/>
      <c r="Q94" s="12"/>
      <c r="R94" s="12"/>
      <c r="S94" s="12"/>
      <c r="T94" s="12"/>
      <c r="U94" s="160"/>
      <c r="V94" s="65"/>
      <c r="W94" s="44" t="str">
        <f t="shared" si="2"/>
        <v>OK</v>
      </c>
      <c r="X94" s="47" t="str">
        <f t="shared" si="4"/>
        <v/>
      </c>
      <c r="Y94" s="3"/>
      <c r="Z94" s="127"/>
      <c r="AA94" s="18"/>
    </row>
    <row r="95" spans="1:27" ht="15.75" hidden="1" customHeight="1" outlineLevel="1" x14ac:dyDescent="0.3">
      <c r="A95" s="3"/>
      <c r="B95" s="150" t="s">
        <v>518</v>
      </c>
      <c r="C95" s="80"/>
      <c r="D95" s="62"/>
      <c r="E95" s="12"/>
      <c r="F95" s="101"/>
      <c r="G95" s="69"/>
      <c r="H95" s="63"/>
      <c r="I95" s="63"/>
      <c r="J95" s="64"/>
      <c r="K95" s="12"/>
      <c r="L95" s="62" t="str">
        <f t="shared" si="3"/>
        <v/>
      </c>
      <c r="M95" s="12"/>
      <c r="N95" s="12"/>
      <c r="O95" s="12"/>
      <c r="P95" s="12"/>
      <c r="Q95" s="12"/>
      <c r="R95" s="12"/>
      <c r="S95" s="12"/>
      <c r="T95" s="12"/>
      <c r="U95" s="160"/>
      <c r="V95" s="65"/>
      <c r="W95" s="44" t="str">
        <f t="shared" si="2"/>
        <v>OK</v>
      </c>
      <c r="X95" s="47" t="str">
        <f t="shared" si="4"/>
        <v/>
      </c>
      <c r="Y95" s="3"/>
      <c r="Z95" s="127"/>
      <c r="AA95" s="18"/>
    </row>
    <row r="96" spans="1:27" ht="15.75" hidden="1" customHeight="1" outlineLevel="1" x14ac:dyDescent="0.3">
      <c r="A96" s="3"/>
      <c r="B96" s="109" t="s">
        <v>519</v>
      </c>
      <c r="C96" s="62"/>
      <c r="D96" s="62"/>
      <c r="E96" s="12"/>
      <c r="F96" s="101"/>
      <c r="G96" s="70"/>
      <c r="H96" s="63"/>
      <c r="I96" s="63"/>
      <c r="J96" s="64"/>
      <c r="K96" s="12"/>
      <c r="L96" s="62" t="str">
        <f t="shared" si="3"/>
        <v/>
      </c>
      <c r="M96" s="12"/>
      <c r="N96" s="12"/>
      <c r="O96" s="12"/>
      <c r="P96" s="12"/>
      <c r="Q96" s="12"/>
      <c r="R96" s="12"/>
      <c r="S96" s="12"/>
      <c r="T96" s="12"/>
      <c r="U96" s="12"/>
      <c r="V96" s="65"/>
      <c r="W96" s="44" t="str">
        <f t="shared" si="2"/>
        <v>OK</v>
      </c>
      <c r="X96" s="47" t="str">
        <f t="shared" si="4"/>
        <v/>
      </c>
      <c r="Y96" s="3"/>
      <c r="Z96" s="127"/>
      <c r="AA96" s="18"/>
    </row>
    <row r="97" spans="1:27" ht="15.75" hidden="1" customHeight="1" outlineLevel="1" x14ac:dyDescent="0.3">
      <c r="A97" s="3"/>
      <c r="B97" s="150" t="s">
        <v>520</v>
      </c>
      <c r="C97" s="62"/>
      <c r="D97" s="62"/>
      <c r="E97" s="12"/>
      <c r="F97" s="101"/>
      <c r="G97" s="70"/>
      <c r="H97" s="63"/>
      <c r="I97" s="63"/>
      <c r="J97" s="64"/>
      <c r="K97" s="12"/>
      <c r="L97" s="62" t="str">
        <f t="shared" si="3"/>
        <v/>
      </c>
      <c r="M97" s="12"/>
      <c r="N97" s="12"/>
      <c r="O97" s="12"/>
      <c r="P97" s="12"/>
      <c r="Q97" s="12"/>
      <c r="R97" s="12"/>
      <c r="S97" s="12"/>
      <c r="T97" s="12"/>
      <c r="U97" s="12"/>
      <c r="V97" s="65"/>
      <c r="W97" s="44" t="str">
        <f t="shared" si="2"/>
        <v>OK</v>
      </c>
      <c r="X97" s="47" t="str">
        <f t="shared" si="4"/>
        <v/>
      </c>
      <c r="Y97" s="3"/>
      <c r="Z97" s="127"/>
      <c r="AA97" s="18"/>
    </row>
    <row r="98" spans="1:27" ht="15.75" hidden="1" customHeight="1" outlineLevel="1" x14ac:dyDescent="0.3">
      <c r="A98" s="3"/>
      <c r="B98" s="109" t="s">
        <v>522</v>
      </c>
      <c r="C98" s="62"/>
      <c r="D98" s="62"/>
      <c r="E98" s="12"/>
      <c r="F98" s="101"/>
      <c r="G98" s="67"/>
      <c r="H98" s="63"/>
      <c r="I98" s="63"/>
      <c r="J98" s="64"/>
      <c r="K98" s="12"/>
      <c r="L98" s="62" t="str">
        <f t="shared" si="3"/>
        <v/>
      </c>
      <c r="M98" s="12"/>
      <c r="N98" s="12"/>
      <c r="O98" s="12"/>
      <c r="P98" s="12"/>
      <c r="Q98" s="12"/>
      <c r="R98" s="12"/>
      <c r="S98" s="12"/>
      <c r="T98" s="12"/>
      <c r="U98" s="12"/>
      <c r="V98" s="65"/>
      <c r="W98" s="44" t="str">
        <f t="shared" si="2"/>
        <v>OK</v>
      </c>
      <c r="X98" s="47" t="str">
        <f t="shared" si="4"/>
        <v/>
      </c>
      <c r="Y98" s="3"/>
      <c r="Z98" s="3"/>
      <c r="AA98" s="18"/>
    </row>
    <row r="99" spans="1:27" ht="15.75" hidden="1" customHeight="1" outlineLevel="1" x14ac:dyDescent="0.3">
      <c r="A99" s="3"/>
      <c r="B99" s="150" t="s">
        <v>523</v>
      </c>
      <c r="C99" s="62"/>
      <c r="D99" s="62"/>
      <c r="E99" s="12"/>
      <c r="F99" s="101"/>
      <c r="G99" s="69"/>
      <c r="H99" s="63"/>
      <c r="I99" s="63"/>
      <c r="J99" s="64"/>
      <c r="K99" s="62"/>
      <c r="L99" s="62" t="str">
        <f t="shared" si="3"/>
        <v/>
      </c>
      <c r="M99" s="12"/>
      <c r="N99" s="12"/>
      <c r="O99" s="12"/>
      <c r="P99" s="12"/>
      <c r="Q99" s="12"/>
      <c r="R99" s="12"/>
      <c r="S99" s="12"/>
      <c r="T99" s="12"/>
      <c r="U99" s="160"/>
      <c r="V99" s="65"/>
      <c r="W99" s="44" t="str">
        <f t="shared" si="2"/>
        <v>OK</v>
      </c>
      <c r="X99" s="47" t="str">
        <f t="shared" si="4"/>
        <v/>
      </c>
      <c r="Y99" s="3"/>
      <c r="Z99" s="3"/>
      <c r="AA99" s="18"/>
    </row>
    <row r="100" spans="1:27" ht="15.75" hidden="1" customHeight="1" outlineLevel="1" x14ac:dyDescent="0.3">
      <c r="A100" s="3"/>
      <c r="B100" s="109" t="s">
        <v>524</v>
      </c>
      <c r="C100" s="62"/>
      <c r="D100" s="62"/>
      <c r="E100" s="12"/>
      <c r="F100" s="101"/>
      <c r="G100" s="235"/>
      <c r="H100" s="63"/>
      <c r="I100" s="63"/>
      <c r="J100" s="64"/>
      <c r="K100" s="62"/>
      <c r="L100" s="62" t="str">
        <f t="shared" si="3"/>
        <v/>
      </c>
      <c r="M100" s="12"/>
      <c r="N100" s="12"/>
      <c r="O100" s="12"/>
      <c r="P100" s="12"/>
      <c r="Q100" s="12"/>
      <c r="R100" s="12"/>
      <c r="S100" s="12"/>
      <c r="T100" s="12"/>
      <c r="U100" s="160"/>
      <c r="V100" s="65"/>
      <c r="W100" s="44" t="str">
        <f t="shared" si="2"/>
        <v>OK</v>
      </c>
      <c r="X100" s="47" t="str">
        <f t="shared" si="4"/>
        <v/>
      </c>
      <c r="Y100" s="3"/>
      <c r="Z100" s="3"/>
      <c r="AA100" s="18"/>
    </row>
    <row r="101" spans="1:27" ht="15.75" hidden="1" customHeight="1" outlineLevel="1" x14ac:dyDescent="0.3">
      <c r="A101" s="3"/>
      <c r="B101" s="109" t="s">
        <v>525</v>
      </c>
      <c r="C101" s="62"/>
      <c r="D101" s="62"/>
      <c r="E101" s="12"/>
      <c r="F101" s="101"/>
      <c r="G101" s="234"/>
      <c r="H101" s="63"/>
      <c r="I101" s="63"/>
      <c r="J101" s="64"/>
      <c r="K101" s="62"/>
      <c r="L101" s="62" t="str">
        <f t="shared" si="3"/>
        <v/>
      </c>
      <c r="M101" s="12"/>
      <c r="N101" s="12"/>
      <c r="O101" s="12"/>
      <c r="P101" s="12"/>
      <c r="Q101" s="12"/>
      <c r="R101" s="12"/>
      <c r="S101" s="12"/>
      <c r="T101" s="12"/>
      <c r="U101" s="12"/>
      <c r="V101" s="65"/>
      <c r="W101" s="44" t="str">
        <f t="shared" si="2"/>
        <v>OK</v>
      </c>
      <c r="X101" s="47" t="str">
        <f t="shared" si="4"/>
        <v/>
      </c>
      <c r="Y101" s="3"/>
      <c r="Z101" s="3"/>
      <c r="AA101" s="18"/>
    </row>
    <row r="102" spans="1:27" ht="15.75" hidden="1" customHeight="1" outlineLevel="1" x14ac:dyDescent="0.3">
      <c r="A102" s="3"/>
      <c r="B102" s="150" t="s">
        <v>526</v>
      </c>
      <c r="C102" s="62"/>
      <c r="D102" s="62"/>
      <c r="E102" s="12"/>
      <c r="F102" s="12"/>
      <c r="G102" s="69"/>
      <c r="H102" s="63"/>
      <c r="I102" s="63"/>
      <c r="J102" s="64"/>
      <c r="K102" s="62"/>
      <c r="L102" s="62" t="str">
        <f t="shared" si="3"/>
        <v/>
      </c>
      <c r="M102" s="12"/>
      <c r="N102" s="12"/>
      <c r="O102" s="12"/>
      <c r="P102" s="12"/>
      <c r="Q102" s="12"/>
      <c r="R102" s="12"/>
      <c r="S102" s="12"/>
      <c r="T102" s="12"/>
      <c r="U102" s="12"/>
      <c r="V102" s="65"/>
      <c r="W102" s="44" t="str">
        <f t="shared" si="2"/>
        <v>OK</v>
      </c>
      <c r="X102" s="47" t="str">
        <f t="shared" si="4"/>
        <v/>
      </c>
      <c r="Y102" s="3"/>
      <c r="Z102" s="3"/>
      <c r="AA102" s="18"/>
    </row>
    <row r="103" spans="1:27" ht="15.75" hidden="1" customHeight="1" outlineLevel="1" x14ac:dyDescent="0.3">
      <c r="A103" s="3"/>
      <c r="B103" s="109" t="s">
        <v>527</v>
      </c>
      <c r="C103" s="62"/>
      <c r="D103" s="62"/>
      <c r="E103" s="12"/>
      <c r="F103" s="12"/>
      <c r="G103" s="67"/>
      <c r="H103" s="63"/>
      <c r="I103" s="63"/>
      <c r="J103" s="64"/>
      <c r="K103" s="62"/>
      <c r="L103" s="62" t="str">
        <f t="shared" si="3"/>
        <v/>
      </c>
      <c r="M103" s="12"/>
      <c r="N103" s="12"/>
      <c r="O103" s="12"/>
      <c r="P103" s="12"/>
      <c r="Q103" s="12"/>
      <c r="R103" s="12"/>
      <c r="S103" s="12"/>
      <c r="T103" s="12"/>
      <c r="U103" s="12"/>
      <c r="V103" s="65"/>
      <c r="W103" s="44" t="str">
        <f t="shared" si="2"/>
        <v>OK</v>
      </c>
      <c r="X103" s="47" t="str">
        <f t="shared" si="4"/>
        <v/>
      </c>
      <c r="Y103" s="3"/>
      <c r="Z103" s="3"/>
      <c r="AA103" s="18"/>
    </row>
    <row r="104" spans="1:27" ht="15.75" hidden="1" customHeight="1" outlineLevel="1" x14ac:dyDescent="0.3">
      <c r="A104" s="3"/>
      <c r="B104" s="150" t="s">
        <v>487</v>
      </c>
      <c r="C104" s="62"/>
      <c r="D104" s="62"/>
      <c r="E104" s="12"/>
      <c r="F104" s="12"/>
      <c r="G104" s="67"/>
      <c r="H104" s="63"/>
      <c r="I104" s="63"/>
      <c r="J104" s="64"/>
      <c r="K104" s="62"/>
      <c r="L104" s="62" t="str">
        <f t="shared" si="3"/>
        <v/>
      </c>
      <c r="M104" s="12"/>
      <c r="N104" s="12"/>
      <c r="O104" s="12"/>
      <c r="P104" s="12"/>
      <c r="Q104" s="12"/>
      <c r="R104" s="12"/>
      <c r="S104" s="12"/>
      <c r="T104" s="12"/>
      <c r="U104" s="12"/>
      <c r="V104" s="62"/>
      <c r="W104" s="44" t="str">
        <f t="shared" si="2"/>
        <v>OK</v>
      </c>
      <c r="X104" s="47" t="str">
        <f t="shared" si="4"/>
        <v/>
      </c>
      <c r="Y104" s="3"/>
      <c r="Z104" s="3"/>
      <c r="AA104" s="18"/>
    </row>
    <row r="105" spans="1:27" ht="15.75" hidden="1" customHeight="1" outlineLevel="1" x14ac:dyDescent="0.3">
      <c r="A105" s="3"/>
      <c r="B105" s="109"/>
      <c r="C105" s="62"/>
      <c r="D105" s="62"/>
      <c r="E105" s="12"/>
      <c r="F105" s="12"/>
      <c r="G105" s="67"/>
      <c r="H105" s="63"/>
      <c r="I105" s="63"/>
      <c r="J105" s="64"/>
      <c r="K105" s="62"/>
      <c r="L105" s="62" t="str">
        <f t="shared" si="3"/>
        <v/>
      </c>
      <c r="M105" s="12"/>
      <c r="N105" s="12"/>
      <c r="O105" s="12"/>
      <c r="P105" s="12"/>
      <c r="Q105" s="12"/>
      <c r="R105" s="12"/>
      <c r="S105" s="12"/>
      <c r="T105" s="12"/>
      <c r="U105" s="12"/>
      <c r="V105" s="62"/>
      <c r="W105" s="44" t="str">
        <f t="shared" si="2"/>
        <v>OK</v>
      </c>
      <c r="X105" s="47" t="str">
        <f t="shared" si="4"/>
        <v/>
      </c>
      <c r="Y105" s="3"/>
      <c r="Z105" s="3"/>
      <c r="AA105" s="18"/>
    </row>
    <row r="106" spans="1:27" ht="15.75" hidden="1" customHeight="1" outlineLevel="1" x14ac:dyDescent="0.3">
      <c r="A106" s="3"/>
      <c r="B106" s="109"/>
      <c r="C106" s="62"/>
      <c r="D106" s="62"/>
      <c r="E106" s="12"/>
      <c r="F106" s="12"/>
      <c r="G106" s="67"/>
      <c r="H106" s="63"/>
      <c r="I106" s="63"/>
      <c r="J106" s="64" t="s">
        <v>96</v>
      </c>
      <c r="K106" s="62"/>
      <c r="L106" s="62" t="str">
        <f t="shared" si="3"/>
        <v/>
      </c>
      <c r="M106" s="12"/>
      <c r="N106" s="12"/>
      <c r="O106" s="12"/>
      <c r="P106" s="12"/>
      <c r="Q106" s="12"/>
      <c r="R106" s="12"/>
      <c r="S106" s="12"/>
      <c r="T106" s="12"/>
      <c r="U106" s="12"/>
      <c r="V106" s="62"/>
      <c r="W106" s="44" t="str">
        <f t="shared" si="2"/>
        <v>OK</v>
      </c>
      <c r="X106" s="47" t="str">
        <f t="shared" si="4"/>
        <v/>
      </c>
      <c r="Y106" s="3"/>
      <c r="Z106" s="3"/>
      <c r="AA106" s="18"/>
    </row>
    <row r="107" spans="1:27" ht="15.75" hidden="1" customHeight="1" outlineLevel="1" x14ac:dyDescent="0.3">
      <c r="A107" s="3"/>
      <c r="B107" s="109"/>
      <c r="C107" s="62"/>
      <c r="D107" s="62"/>
      <c r="E107" s="12"/>
      <c r="F107" s="12"/>
      <c r="G107" s="67"/>
      <c r="H107" s="63"/>
      <c r="I107" s="63"/>
      <c r="J107" s="64" t="s">
        <v>96</v>
      </c>
      <c r="K107" s="62"/>
      <c r="L107" s="62" t="str">
        <f t="shared" si="3"/>
        <v/>
      </c>
      <c r="M107" s="12"/>
      <c r="N107" s="12"/>
      <c r="O107" s="12"/>
      <c r="P107" s="12"/>
      <c r="Q107" s="12"/>
      <c r="R107" s="12"/>
      <c r="S107" s="12"/>
      <c r="T107" s="12"/>
      <c r="U107" s="12"/>
      <c r="V107" s="62"/>
      <c r="W107" s="44" t="str">
        <f t="shared" si="2"/>
        <v>OK</v>
      </c>
      <c r="X107" s="47" t="str">
        <f t="shared" si="4"/>
        <v/>
      </c>
      <c r="Y107" s="3"/>
      <c r="Z107" s="3"/>
      <c r="AA107" s="18"/>
    </row>
    <row r="108" spans="1:27" ht="15.75" hidden="1" customHeight="1" outlineLevel="1" x14ac:dyDescent="0.3">
      <c r="A108" s="3"/>
      <c r="B108" s="109"/>
      <c r="C108" s="62"/>
      <c r="D108" s="62"/>
      <c r="E108" s="12"/>
      <c r="F108" s="12"/>
      <c r="G108" s="67"/>
      <c r="H108" s="63"/>
      <c r="I108" s="63"/>
      <c r="J108" s="64" t="s">
        <v>96</v>
      </c>
      <c r="K108" s="62"/>
      <c r="L108" s="62" t="str">
        <f t="shared" si="3"/>
        <v/>
      </c>
      <c r="M108" s="12"/>
      <c r="N108" s="12"/>
      <c r="O108" s="12"/>
      <c r="P108" s="12"/>
      <c r="Q108" s="12"/>
      <c r="R108" s="12"/>
      <c r="S108" s="12"/>
      <c r="T108" s="12"/>
      <c r="U108" s="12"/>
      <c r="V108" s="62"/>
      <c r="W108" s="44" t="str">
        <f t="shared" si="2"/>
        <v>OK</v>
      </c>
      <c r="X108" s="47" t="str">
        <f t="shared" si="4"/>
        <v/>
      </c>
      <c r="Y108" s="3"/>
      <c r="Z108" s="3"/>
      <c r="AA108" s="18"/>
    </row>
    <row r="109" spans="1:27" ht="15.75" hidden="1" customHeight="1" outlineLevel="1" x14ac:dyDescent="0.3">
      <c r="A109" s="3"/>
      <c r="B109" s="109"/>
      <c r="C109" s="62"/>
      <c r="D109" s="62"/>
      <c r="E109" s="12"/>
      <c r="F109" s="12"/>
      <c r="G109" s="67"/>
      <c r="H109" s="63"/>
      <c r="I109" s="63"/>
      <c r="J109" s="64" t="s">
        <v>96</v>
      </c>
      <c r="K109" s="62"/>
      <c r="L109" s="62" t="str">
        <f t="shared" si="3"/>
        <v/>
      </c>
      <c r="M109" s="12"/>
      <c r="N109" s="12"/>
      <c r="O109" s="12"/>
      <c r="P109" s="12"/>
      <c r="Q109" s="12"/>
      <c r="R109" s="12"/>
      <c r="S109" s="12"/>
      <c r="T109" s="12"/>
      <c r="U109" s="12"/>
      <c r="V109" s="62"/>
      <c r="W109" s="44" t="str">
        <f t="shared" si="2"/>
        <v>OK</v>
      </c>
      <c r="X109" s="47" t="str">
        <f t="shared" si="4"/>
        <v/>
      </c>
      <c r="Y109" s="3"/>
      <c r="Z109" s="3"/>
      <c r="AA109" s="18"/>
    </row>
    <row r="110" spans="1:27" ht="15.75" hidden="1" customHeight="1" outlineLevel="1" x14ac:dyDescent="0.3">
      <c r="A110" s="3"/>
      <c r="B110" s="109"/>
      <c r="C110" s="62"/>
      <c r="D110" s="62"/>
      <c r="E110" s="12"/>
      <c r="F110" s="12"/>
      <c r="G110" s="67"/>
      <c r="H110" s="63"/>
      <c r="I110" s="63"/>
      <c r="J110" s="64" t="s">
        <v>96</v>
      </c>
      <c r="K110" s="62"/>
      <c r="L110" s="62" t="str">
        <f t="shared" si="3"/>
        <v/>
      </c>
      <c r="M110" s="12"/>
      <c r="N110" s="12"/>
      <c r="O110" s="12"/>
      <c r="P110" s="12"/>
      <c r="Q110" s="12"/>
      <c r="R110" s="12"/>
      <c r="S110" s="12"/>
      <c r="T110" s="12"/>
      <c r="U110" s="12"/>
      <c r="V110" s="62"/>
      <c r="W110" s="44" t="str">
        <f t="shared" si="2"/>
        <v>OK</v>
      </c>
      <c r="X110" s="47" t="str">
        <f t="shared" si="4"/>
        <v/>
      </c>
      <c r="Y110" s="3"/>
      <c r="Z110" s="3"/>
      <c r="AA110" s="18"/>
    </row>
    <row r="111" spans="1:27" ht="15.75" hidden="1" customHeight="1" outlineLevel="1" x14ac:dyDescent="0.3">
      <c r="A111" s="3"/>
      <c r="B111" s="109"/>
      <c r="C111" s="62"/>
      <c r="D111" s="62"/>
      <c r="E111" s="12"/>
      <c r="F111" s="12"/>
      <c r="G111" s="67"/>
      <c r="H111" s="63"/>
      <c r="I111" s="63"/>
      <c r="J111" s="64" t="s">
        <v>96</v>
      </c>
      <c r="K111" s="62"/>
      <c r="L111" s="62" t="str">
        <f t="shared" si="3"/>
        <v/>
      </c>
      <c r="M111" s="12"/>
      <c r="N111" s="12"/>
      <c r="O111" s="12"/>
      <c r="P111" s="12"/>
      <c r="Q111" s="12"/>
      <c r="R111" s="12"/>
      <c r="S111" s="12"/>
      <c r="T111" s="12"/>
      <c r="U111" s="12"/>
      <c r="V111" s="62"/>
      <c r="W111" s="44" t="str">
        <f t="shared" si="2"/>
        <v>OK</v>
      </c>
      <c r="X111" s="47" t="str">
        <f t="shared" si="4"/>
        <v/>
      </c>
      <c r="Y111" s="3"/>
      <c r="Z111" s="3"/>
      <c r="AA111" s="18"/>
    </row>
    <row r="112" spans="1:27" ht="15.75" hidden="1" customHeight="1" outlineLevel="1" x14ac:dyDescent="0.3">
      <c r="A112" s="3"/>
      <c r="B112" s="109"/>
      <c r="C112" s="62"/>
      <c r="D112" s="62"/>
      <c r="E112" s="12"/>
      <c r="F112" s="12"/>
      <c r="G112" s="67"/>
      <c r="H112" s="63"/>
      <c r="I112" s="63"/>
      <c r="J112" s="64" t="s">
        <v>96</v>
      </c>
      <c r="K112" s="62"/>
      <c r="L112" s="62" t="str">
        <f t="shared" si="3"/>
        <v/>
      </c>
      <c r="M112" s="12"/>
      <c r="N112" s="12"/>
      <c r="O112" s="12"/>
      <c r="P112" s="12"/>
      <c r="Q112" s="12"/>
      <c r="R112" s="12"/>
      <c r="S112" s="12"/>
      <c r="T112" s="12"/>
      <c r="U112" s="12"/>
      <c r="V112" s="62"/>
      <c r="W112" s="44" t="str">
        <f t="shared" si="2"/>
        <v>OK</v>
      </c>
      <c r="X112" s="47" t="str">
        <f t="shared" si="4"/>
        <v/>
      </c>
      <c r="Y112" s="3"/>
      <c r="Z112" s="3"/>
      <c r="AA112" s="18"/>
    </row>
    <row r="113" spans="1:27" ht="15.75" hidden="1" customHeight="1" outlineLevel="1" x14ac:dyDescent="0.3">
      <c r="A113" s="3"/>
      <c r="B113" s="109"/>
      <c r="C113" s="62"/>
      <c r="D113" s="62"/>
      <c r="E113" s="12"/>
      <c r="F113" s="12"/>
      <c r="G113" s="67"/>
      <c r="H113" s="63"/>
      <c r="I113" s="63"/>
      <c r="J113" s="64" t="s">
        <v>96</v>
      </c>
      <c r="K113" s="62"/>
      <c r="L113" s="62" t="str">
        <f t="shared" si="3"/>
        <v/>
      </c>
      <c r="M113" s="12"/>
      <c r="N113" s="12"/>
      <c r="O113" s="12"/>
      <c r="P113" s="12"/>
      <c r="Q113" s="12"/>
      <c r="R113" s="12"/>
      <c r="S113" s="12"/>
      <c r="T113" s="12"/>
      <c r="U113" s="12"/>
      <c r="V113" s="62"/>
      <c r="W113" s="44" t="str">
        <f t="shared" si="2"/>
        <v>OK</v>
      </c>
      <c r="X113" s="47" t="str">
        <f t="shared" si="4"/>
        <v/>
      </c>
      <c r="Y113" s="3"/>
      <c r="Z113" s="3"/>
      <c r="AA113" s="18"/>
    </row>
    <row r="114" spans="1:27" ht="15.75" hidden="1" customHeight="1" outlineLevel="1" x14ac:dyDescent="0.3">
      <c r="A114" s="3"/>
      <c r="B114" s="109"/>
      <c r="C114" s="62"/>
      <c r="D114" s="62"/>
      <c r="E114" s="12"/>
      <c r="F114" s="12"/>
      <c r="G114" s="67"/>
      <c r="H114" s="63"/>
      <c r="I114" s="63"/>
      <c r="J114" s="64" t="s">
        <v>96</v>
      </c>
      <c r="K114" s="62"/>
      <c r="L114" s="62" t="str">
        <f t="shared" si="3"/>
        <v/>
      </c>
      <c r="M114" s="12"/>
      <c r="N114" s="12"/>
      <c r="O114" s="12"/>
      <c r="P114" s="12"/>
      <c r="Q114" s="12"/>
      <c r="R114" s="12"/>
      <c r="S114" s="12"/>
      <c r="T114" s="12"/>
      <c r="U114" s="12"/>
      <c r="V114" s="62"/>
      <c r="W114" s="44" t="str">
        <f t="shared" si="2"/>
        <v>OK</v>
      </c>
      <c r="X114" s="47" t="str">
        <f t="shared" si="4"/>
        <v/>
      </c>
      <c r="Y114" s="3"/>
      <c r="Z114" s="3"/>
      <c r="AA114" s="18"/>
    </row>
    <row r="115" spans="1:27" ht="15.75" hidden="1" customHeight="1" outlineLevel="1" x14ac:dyDescent="0.3">
      <c r="A115" s="3"/>
      <c r="B115" s="109"/>
      <c r="C115" s="62"/>
      <c r="D115" s="62"/>
      <c r="E115" s="12"/>
      <c r="F115" s="12"/>
      <c r="G115" s="67"/>
      <c r="H115" s="63"/>
      <c r="I115" s="63"/>
      <c r="J115" s="64" t="s">
        <v>96</v>
      </c>
      <c r="K115" s="62"/>
      <c r="L115" s="62" t="str">
        <f t="shared" si="3"/>
        <v/>
      </c>
      <c r="M115" s="12"/>
      <c r="N115" s="12"/>
      <c r="O115" s="12"/>
      <c r="P115" s="12"/>
      <c r="Q115" s="12"/>
      <c r="R115" s="12"/>
      <c r="S115" s="12"/>
      <c r="T115" s="12"/>
      <c r="U115" s="12"/>
      <c r="V115" s="62"/>
      <c r="W115" s="44" t="str">
        <f t="shared" si="2"/>
        <v>OK</v>
      </c>
      <c r="X115" s="47" t="str">
        <f t="shared" si="4"/>
        <v/>
      </c>
      <c r="Y115" s="3"/>
      <c r="Z115" s="3"/>
      <c r="AA115" s="18"/>
    </row>
    <row r="116" spans="1:27" ht="15.75" hidden="1" customHeight="1" outlineLevel="1" x14ac:dyDescent="0.3">
      <c r="A116" s="3"/>
      <c r="B116" s="109"/>
      <c r="C116" s="62"/>
      <c r="D116" s="62"/>
      <c r="E116" s="12"/>
      <c r="F116" s="12"/>
      <c r="G116" s="67"/>
      <c r="H116" s="63"/>
      <c r="I116" s="63"/>
      <c r="J116" s="64" t="s">
        <v>96</v>
      </c>
      <c r="K116" s="62"/>
      <c r="L116" s="62" t="str">
        <f t="shared" si="3"/>
        <v/>
      </c>
      <c r="M116" s="12"/>
      <c r="N116" s="12"/>
      <c r="O116" s="12"/>
      <c r="P116" s="12"/>
      <c r="Q116" s="12"/>
      <c r="R116" s="12"/>
      <c r="S116" s="12"/>
      <c r="T116" s="12"/>
      <c r="U116" s="12"/>
      <c r="V116" s="62"/>
      <c r="W116" s="44" t="str">
        <f t="shared" si="2"/>
        <v>OK</v>
      </c>
      <c r="X116" s="47" t="str">
        <f t="shared" si="4"/>
        <v/>
      </c>
      <c r="Y116" s="3"/>
      <c r="Z116" s="3"/>
      <c r="AA116" s="18"/>
    </row>
    <row r="117" spans="1:27" ht="15.75" hidden="1" customHeight="1" outlineLevel="1" x14ac:dyDescent="0.3">
      <c r="A117" s="3"/>
      <c r="B117" s="109"/>
      <c r="C117" s="62"/>
      <c r="D117" s="62"/>
      <c r="E117" s="12"/>
      <c r="F117" s="12"/>
      <c r="G117" s="67"/>
      <c r="H117" s="63"/>
      <c r="I117" s="63"/>
      <c r="J117" s="64" t="s">
        <v>96</v>
      </c>
      <c r="K117" s="62"/>
      <c r="L117" s="62" t="str">
        <f t="shared" si="3"/>
        <v/>
      </c>
      <c r="M117" s="12"/>
      <c r="N117" s="12"/>
      <c r="O117" s="12"/>
      <c r="P117" s="12"/>
      <c r="Q117" s="12"/>
      <c r="R117" s="12"/>
      <c r="S117" s="12"/>
      <c r="T117" s="12"/>
      <c r="U117" s="12"/>
      <c r="V117" s="62"/>
      <c r="W117" s="44" t="str">
        <f t="shared" si="2"/>
        <v>OK</v>
      </c>
      <c r="X117" s="47" t="str">
        <f t="shared" si="4"/>
        <v/>
      </c>
      <c r="Y117" s="3"/>
      <c r="Z117" s="3"/>
      <c r="AA117" s="18"/>
    </row>
    <row r="118" spans="1:27" ht="15.75" hidden="1" customHeight="1" outlineLevel="1" x14ac:dyDescent="0.3">
      <c r="A118" s="3"/>
      <c r="B118" s="10"/>
      <c r="C118" s="62"/>
      <c r="D118" s="62"/>
      <c r="E118" s="12"/>
      <c r="F118" s="12"/>
      <c r="G118" s="67"/>
      <c r="H118" s="63"/>
      <c r="I118" s="63"/>
      <c r="J118" s="64"/>
      <c r="K118" s="62"/>
      <c r="L118" s="62" t="str">
        <f t="shared" si="3"/>
        <v/>
      </c>
      <c r="M118" s="12"/>
      <c r="N118" s="12"/>
      <c r="O118" s="12"/>
      <c r="P118" s="12"/>
      <c r="Q118" s="12"/>
      <c r="R118" s="12"/>
      <c r="S118" s="12"/>
      <c r="T118" s="12"/>
      <c r="U118" s="12"/>
      <c r="V118" s="62"/>
      <c r="W118" s="44" t="str">
        <f t="shared" si="2"/>
        <v>OK</v>
      </c>
      <c r="X118" s="47" t="str">
        <f t="shared" si="4"/>
        <v/>
      </c>
      <c r="Y118" s="3"/>
      <c r="Z118" s="3"/>
      <c r="AA118" s="18"/>
    </row>
    <row r="119" spans="1:27" ht="15.75" hidden="1" customHeight="1" outlineLevel="1" x14ac:dyDescent="0.3">
      <c r="A119" s="3"/>
      <c r="B119" s="10"/>
      <c r="C119" s="62"/>
      <c r="D119" s="62"/>
      <c r="E119" s="12"/>
      <c r="F119" s="12"/>
      <c r="G119" s="67"/>
      <c r="H119" s="63"/>
      <c r="I119" s="63"/>
      <c r="J119" s="64"/>
      <c r="K119" s="62"/>
      <c r="L119" s="62" t="str">
        <f t="shared" si="3"/>
        <v/>
      </c>
      <c r="M119" s="12"/>
      <c r="N119" s="12"/>
      <c r="O119" s="12"/>
      <c r="P119" s="12"/>
      <c r="Q119" s="12"/>
      <c r="R119" s="12"/>
      <c r="S119" s="12"/>
      <c r="T119" s="12"/>
      <c r="U119" s="12"/>
      <c r="V119" s="62"/>
      <c r="W119" s="44" t="str">
        <f t="shared" si="2"/>
        <v>OK</v>
      </c>
      <c r="X119" s="47" t="str">
        <f t="shared" si="4"/>
        <v/>
      </c>
      <c r="Y119" s="3"/>
      <c r="Z119" s="3"/>
      <c r="AA119" s="18"/>
    </row>
    <row r="120" spans="1:27" ht="15.75" hidden="1" customHeight="1" outlineLevel="1" x14ac:dyDescent="0.3">
      <c r="A120" s="3"/>
      <c r="B120" s="10"/>
      <c r="C120" s="62"/>
      <c r="D120" s="62"/>
      <c r="E120" s="12"/>
      <c r="F120" s="12"/>
      <c r="G120" s="67"/>
      <c r="H120" s="63"/>
      <c r="I120" s="63"/>
      <c r="J120" s="64"/>
      <c r="K120" s="62"/>
      <c r="L120" s="62" t="str">
        <f t="shared" si="3"/>
        <v/>
      </c>
      <c r="M120" s="12"/>
      <c r="N120" s="12"/>
      <c r="O120" s="12"/>
      <c r="P120" s="12"/>
      <c r="Q120" s="12"/>
      <c r="R120" s="12"/>
      <c r="S120" s="12"/>
      <c r="T120" s="12"/>
      <c r="U120" s="12"/>
      <c r="V120" s="62"/>
      <c r="W120" s="44" t="str">
        <f t="shared" si="2"/>
        <v>OK</v>
      </c>
      <c r="X120" s="47" t="str">
        <f t="shared" si="4"/>
        <v/>
      </c>
      <c r="Y120" s="3"/>
      <c r="Z120" s="3"/>
      <c r="AA120" s="18"/>
    </row>
    <row r="121" spans="1:27" ht="15.75" hidden="1" customHeight="1" outlineLevel="1" x14ac:dyDescent="0.3">
      <c r="A121" s="3"/>
      <c r="B121" s="10"/>
      <c r="C121" s="62"/>
      <c r="D121" s="62"/>
      <c r="E121" s="12"/>
      <c r="F121" s="12"/>
      <c r="G121" s="67"/>
      <c r="H121" s="63"/>
      <c r="I121" s="63"/>
      <c r="J121" s="64"/>
      <c r="K121" s="62"/>
      <c r="L121" s="62" t="str">
        <f t="shared" si="3"/>
        <v/>
      </c>
      <c r="M121" s="12"/>
      <c r="N121" s="12"/>
      <c r="O121" s="12"/>
      <c r="P121" s="12"/>
      <c r="Q121" s="12"/>
      <c r="R121" s="12"/>
      <c r="S121" s="12"/>
      <c r="T121" s="12"/>
      <c r="U121" s="12"/>
      <c r="V121" s="62"/>
      <c r="W121" s="44" t="str">
        <f t="shared" si="2"/>
        <v>OK</v>
      </c>
      <c r="X121" s="47" t="str">
        <f t="shared" si="4"/>
        <v/>
      </c>
      <c r="Y121" s="3"/>
      <c r="Z121" s="3"/>
      <c r="AA121" s="18"/>
    </row>
    <row r="122" spans="1:27" ht="15.75" hidden="1" customHeight="1" outlineLevel="1" x14ac:dyDescent="0.3">
      <c r="A122" s="3"/>
      <c r="B122" s="10"/>
      <c r="C122" s="62"/>
      <c r="D122" s="62"/>
      <c r="E122" s="12"/>
      <c r="F122" s="12"/>
      <c r="G122" s="67"/>
      <c r="H122" s="63"/>
      <c r="I122" s="63"/>
      <c r="J122" s="64"/>
      <c r="K122" s="62"/>
      <c r="L122" s="62" t="str">
        <f t="shared" si="3"/>
        <v/>
      </c>
      <c r="M122" s="12"/>
      <c r="N122" s="12"/>
      <c r="O122" s="12"/>
      <c r="P122" s="12"/>
      <c r="Q122" s="12"/>
      <c r="R122" s="12"/>
      <c r="S122" s="12"/>
      <c r="T122" s="12"/>
      <c r="U122" s="12"/>
      <c r="V122" s="62"/>
      <c r="W122" s="44" t="str">
        <f t="shared" si="2"/>
        <v>OK</v>
      </c>
      <c r="X122" s="47" t="str">
        <f t="shared" si="4"/>
        <v/>
      </c>
      <c r="Y122" s="3"/>
      <c r="Z122" s="3"/>
      <c r="AA122" s="18"/>
    </row>
    <row r="123" spans="1:27" ht="15.75" hidden="1" customHeight="1" outlineLevel="1" x14ac:dyDescent="0.3">
      <c r="A123" s="3"/>
      <c r="B123" s="10"/>
      <c r="C123" s="62"/>
      <c r="D123" s="62"/>
      <c r="E123" s="12"/>
      <c r="F123" s="12"/>
      <c r="G123" s="67"/>
      <c r="H123" s="63"/>
      <c r="I123" s="63"/>
      <c r="J123" s="64"/>
      <c r="K123" s="62"/>
      <c r="L123" s="62" t="str">
        <f t="shared" si="3"/>
        <v/>
      </c>
      <c r="M123" s="12"/>
      <c r="N123" s="12"/>
      <c r="O123" s="12"/>
      <c r="P123" s="12"/>
      <c r="Q123" s="12"/>
      <c r="R123" s="12"/>
      <c r="S123" s="12"/>
      <c r="T123" s="12"/>
      <c r="U123" s="12"/>
      <c r="V123" s="62"/>
      <c r="W123" s="44" t="str">
        <f t="shared" si="2"/>
        <v>OK</v>
      </c>
      <c r="X123" s="47" t="str">
        <f t="shared" si="4"/>
        <v/>
      </c>
      <c r="Y123" s="3"/>
      <c r="Z123" s="3"/>
      <c r="AA123" s="18"/>
    </row>
    <row r="124" spans="1:27" ht="15.75" hidden="1" customHeight="1" outlineLevel="1" x14ac:dyDescent="0.3">
      <c r="A124" s="3"/>
      <c r="B124" s="10"/>
      <c r="C124" s="62"/>
      <c r="D124" s="62"/>
      <c r="E124" s="12"/>
      <c r="F124" s="12"/>
      <c r="G124" s="67"/>
      <c r="H124" s="63"/>
      <c r="I124" s="63"/>
      <c r="J124" s="64"/>
      <c r="K124" s="62"/>
      <c r="L124" s="62" t="str">
        <f t="shared" si="3"/>
        <v/>
      </c>
      <c r="M124" s="12"/>
      <c r="N124" s="12"/>
      <c r="O124" s="12"/>
      <c r="P124" s="12"/>
      <c r="Q124" s="12"/>
      <c r="R124" s="12"/>
      <c r="S124" s="12"/>
      <c r="T124" s="12"/>
      <c r="U124" s="12"/>
      <c r="V124" s="62"/>
      <c r="W124" s="44" t="str">
        <f t="shared" si="2"/>
        <v>OK</v>
      </c>
      <c r="X124" s="47" t="str">
        <f t="shared" si="4"/>
        <v/>
      </c>
      <c r="Y124" s="3"/>
      <c r="Z124" s="3"/>
      <c r="AA124" s="18"/>
    </row>
    <row r="125" spans="1:27" ht="19.5" customHeight="1" collapsed="1" x14ac:dyDescent="0.3">
      <c r="A125" s="3"/>
      <c r="B125" s="73" t="s">
        <v>62</v>
      </c>
      <c r="C125" s="56" t="s">
        <v>43</v>
      </c>
      <c r="D125" s="56" t="s">
        <v>43</v>
      </c>
      <c r="E125" s="57">
        <f t="shared" ref="E125:F125" si="5">SUM(E126,E129,,E134,E139,E146)</f>
        <v>0</v>
      </c>
      <c r="F125" s="57">
        <f t="shared" si="5"/>
        <v>0</v>
      </c>
      <c r="G125" s="58" t="s">
        <v>43</v>
      </c>
      <c r="H125" s="74"/>
      <c r="I125" s="74"/>
      <c r="J125" s="3"/>
      <c r="K125" s="3"/>
      <c r="L125" s="3"/>
      <c r="M125" s="3"/>
      <c r="N125" s="3"/>
      <c r="O125" s="3"/>
      <c r="P125" s="3"/>
      <c r="Q125" s="3"/>
      <c r="R125" s="3"/>
      <c r="S125" s="3"/>
      <c r="T125" s="3"/>
      <c r="U125" s="3"/>
      <c r="V125" s="3"/>
      <c r="W125" s="44"/>
      <c r="X125" s="41"/>
      <c r="Y125" s="3"/>
      <c r="Z125" s="3"/>
      <c r="AA125" s="18"/>
    </row>
    <row r="126" spans="1:27" ht="15.75" hidden="1" customHeight="1" outlineLevel="1" x14ac:dyDescent="0.3">
      <c r="A126" s="3"/>
      <c r="B126" s="75" t="s">
        <v>230</v>
      </c>
      <c r="C126" s="76" t="s">
        <v>43</v>
      </c>
      <c r="D126" s="76" t="s">
        <v>43</v>
      </c>
      <c r="E126" s="77">
        <f>SUM(E127:E128)</f>
        <v>0</v>
      </c>
      <c r="F126" s="77">
        <f>SUMIF(D127:D128,"OK",F127:F128)</f>
        <v>0</v>
      </c>
      <c r="G126" s="78" t="s">
        <v>43</v>
      </c>
      <c r="H126" s="79"/>
      <c r="I126" s="79"/>
      <c r="J126" s="3"/>
      <c r="K126" s="3"/>
      <c r="L126" s="3"/>
      <c r="M126" s="3"/>
      <c r="N126" s="3"/>
      <c r="O126" s="3"/>
      <c r="P126" s="3"/>
      <c r="Q126" s="3"/>
      <c r="R126" s="3"/>
      <c r="S126" s="3"/>
      <c r="T126" s="3"/>
      <c r="U126" s="3"/>
      <c r="V126" s="3"/>
      <c r="W126" s="44"/>
      <c r="X126" s="41"/>
      <c r="Y126" s="3"/>
      <c r="Z126" s="3"/>
      <c r="AA126" s="18"/>
    </row>
    <row r="127" spans="1:27" ht="15.75" hidden="1" customHeight="1" outlineLevel="1" x14ac:dyDescent="0.3">
      <c r="A127" s="3"/>
      <c r="B127" s="10" t="s">
        <v>231</v>
      </c>
      <c r="C127" s="62"/>
      <c r="D127" s="62"/>
      <c r="E127" s="12">
        <v>0</v>
      </c>
      <c r="F127" s="12">
        <v>0</v>
      </c>
      <c r="G127" s="70"/>
      <c r="H127" s="63" t="s">
        <v>37</v>
      </c>
      <c r="I127" s="63"/>
      <c r="J127" s="3"/>
      <c r="K127" s="3"/>
      <c r="L127" s="3"/>
      <c r="M127" s="3"/>
      <c r="N127" s="3"/>
      <c r="O127" s="3"/>
      <c r="P127" s="3"/>
      <c r="Q127" s="3"/>
      <c r="R127" s="3"/>
      <c r="S127" s="3"/>
      <c r="T127" s="3"/>
      <c r="U127" s="3"/>
      <c r="V127" s="3"/>
      <c r="W127" s="44"/>
      <c r="X127" s="41"/>
      <c r="Y127" s="3"/>
      <c r="Z127" s="3"/>
      <c r="AA127" s="18"/>
    </row>
    <row r="128" spans="1:27" ht="15.75" hidden="1" customHeight="1" outlineLevel="1" x14ac:dyDescent="0.3">
      <c r="A128" s="3"/>
      <c r="B128" s="10" t="s">
        <v>61</v>
      </c>
      <c r="C128" s="62"/>
      <c r="D128" s="62"/>
      <c r="E128" s="12">
        <v>0</v>
      </c>
      <c r="F128" s="12">
        <v>0</v>
      </c>
      <c r="G128" s="67"/>
      <c r="H128" s="63"/>
      <c r="I128" s="63"/>
      <c r="J128" s="3"/>
      <c r="K128" s="3"/>
      <c r="L128" s="3"/>
      <c r="M128" s="3"/>
      <c r="N128" s="3"/>
      <c r="O128" s="3"/>
      <c r="P128" s="3"/>
      <c r="Q128" s="3"/>
      <c r="R128" s="3"/>
      <c r="S128" s="3"/>
      <c r="T128" s="3"/>
      <c r="U128" s="3"/>
      <c r="V128" s="3"/>
      <c r="W128" s="44"/>
      <c r="X128" s="41"/>
      <c r="Y128" s="3"/>
      <c r="Z128" s="3"/>
      <c r="AA128" s="18"/>
    </row>
    <row r="129" spans="1:27" ht="15.75" hidden="1" customHeight="1" outlineLevel="1" x14ac:dyDescent="0.3">
      <c r="A129" s="3"/>
      <c r="B129" s="75" t="s">
        <v>232</v>
      </c>
      <c r="C129" s="76" t="s">
        <v>43</v>
      </c>
      <c r="D129" s="76" t="s">
        <v>43</v>
      </c>
      <c r="E129" s="77">
        <f>SUM(E130:E133)</f>
        <v>0</v>
      </c>
      <c r="F129" s="77">
        <f>SUMIF(D130:D133,"OK",F130:F133)</f>
        <v>0</v>
      </c>
      <c r="G129" s="78" t="s">
        <v>43</v>
      </c>
      <c r="H129" s="79"/>
      <c r="I129" s="79"/>
      <c r="J129" s="3"/>
      <c r="K129" s="3"/>
      <c r="L129" s="3"/>
      <c r="M129" s="3"/>
      <c r="N129" s="3"/>
      <c r="O129" s="3"/>
      <c r="P129" s="3"/>
      <c r="Q129" s="3"/>
      <c r="R129" s="3"/>
      <c r="S129" s="3"/>
      <c r="T129" s="3"/>
      <c r="U129" s="3"/>
      <c r="V129" s="3"/>
      <c r="W129" s="44"/>
      <c r="X129" s="41"/>
      <c r="Y129" s="3"/>
      <c r="Z129" s="3"/>
      <c r="AA129" s="18"/>
    </row>
    <row r="130" spans="1:27" ht="15.75" hidden="1" customHeight="1" outlineLevel="1" x14ac:dyDescent="0.3">
      <c r="A130" s="3"/>
      <c r="B130" s="10" t="s">
        <v>715</v>
      </c>
      <c r="C130" s="62"/>
      <c r="D130" s="62"/>
      <c r="E130" s="12">
        <v>0</v>
      </c>
      <c r="F130" s="12">
        <v>0</v>
      </c>
      <c r="G130" s="69"/>
      <c r="H130" s="63"/>
      <c r="I130" s="63"/>
      <c r="J130" s="3"/>
      <c r="K130" s="3"/>
      <c r="L130" s="3"/>
      <c r="M130" s="3"/>
      <c r="N130" s="3"/>
      <c r="O130" s="3"/>
      <c r="P130" s="3"/>
      <c r="Q130" s="3"/>
      <c r="R130" s="3"/>
      <c r="S130" s="3"/>
      <c r="T130" s="3"/>
      <c r="U130" s="3"/>
      <c r="V130" s="3"/>
      <c r="W130" s="44"/>
      <c r="X130" s="41"/>
      <c r="Y130" s="3"/>
      <c r="Z130" s="3"/>
      <c r="AA130" s="18"/>
    </row>
    <row r="131" spans="1:27" ht="15.75" hidden="1" customHeight="1" outlineLevel="1" x14ac:dyDescent="0.3">
      <c r="A131" s="3"/>
      <c r="B131" s="10" t="s">
        <v>529</v>
      </c>
      <c r="C131" s="62"/>
      <c r="D131" s="62"/>
      <c r="E131" s="12">
        <v>0</v>
      </c>
      <c r="F131" s="12">
        <v>0</v>
      </c>
      <c r="G131" s="70"/>
      <c r="H131" s="63"/>
      <c r="I131" s="63"/>
      <c r="J131" s="3"/>
      <c r="K131" s="3"/>
      <c r="L131" s="3"/>
      <c r="M131" s="3"/>
      <c r="N131" s="3"/>
      <c r="O131" s="3"/>
      <c r="P131" s="3"/>
      <c r="Q131" s="3"/>
      <c r="R131" s="3"/>
      <c r="S131" s="3"/>
      <c r="T131" s="3"/>
      <c r="U131" s="3"/>
      <c r="V131" s="3"/>
      <c r="W131" s="44"/>
      <c r="X131" s="41"/>
      <c r="Y131" s="3"/>
      <c r="Z131" s="3"/>
      <c r="AA131" s="18"/>
    </row>
    <row r="132" spans="1:27" ht="15.75" hidden="1" customHeight="1" outlineLevel="1" x14ac:dyDescent="0.3">
      <c r="A132" s="3"/>
      <c r="B132" s="10" t="s">
        <v>1161</v>
      </c>
      <c r="C132" s="62"/>
      <c r="D132" s="62"/>
      <c r="E132" s="12">
        <v>0</v>
      </c>
      <c r="F132" s="12">
        <v>0</v>
      </c>
      <c r="G132" s="70"/>
      <c r="H132" s="63"/>
      <c r="I132" s="63"/>
      <c r="J132" s="3"/>
      <c r="K132" s="3"/>
      <c r="L132" s="3"/>
      <c r="M132" s="3"/>
      <c r="N132" s="3"/>
      <c r="O132" s="3"/>
      <c r="P132" s="3"/>
      <c r="Q132" s="3"/>
      <c r="R132" s="3"/>
      <c r="S132" s="3"/>
      <c r="T132" s="3"/>
      <c r="U132" s="3"/>
      <c r="V132" s="3"/>
      <c r="W132" s="44"/>
      <c r="X132" s="41"/>
      <c r="Y132" s="3"/>
      <c r="Z132" s="3"/>
      <c r="AA132" s="18"/>
    </row>
    <row r="133" spans="1:27" ht="15.75" hidden="1" customHeight="1" outlineLevel="1" x14ac:dyDescent="0.3">
      <c r="A133" s="3"/>
      <c r="B133" s="10" t="s">
        <v>532</v>
      </c>
      <c r="C133" s="62"/>
      <c r="D133" s="62"/>
      <c r="E133" s="12">
        <v>0</v>
      </c>
      <c r="F133" s="12">
        <v>0</v>
      </c>
      <c r="G133" s="69"/>
      <c r="H133" s="63"/>
      <c r="I133" s="63"/>
      <c r="J133" s="3"/>
      <c r="K133" s="3"/>
      <c r="L133" s="3"/>
      <c r="M133" s="3"/>
      <c r="N133" s="3"/>
      <c r="O133" s="3"/>
      <c r="P133" s="3"/>
      <c r="Q133" s="3"/>
      <c r="R133" s="3"/>
      <c r="S133" s="3"/>
      <c r="T133" s="3"/>
      <c r="U133" s="3"/>
      <c r="V133" s="3"/>
      <c r="W133" s="44"/>
      <c r="X133" s="41"/>
      <c r="Y133" s="3"/>
      <c r="Z133" s="3"/>
      <c r="AA133" s="18"/>
    </row>
    <row r="134" spans="1:27" ht="15.75" hidden="1" customHeight="1" outlineLevel="1" x14ac:dyDescent="0.3">
      <c r="A134" s="3"/>
      <c r="B134" s="75" t="s">
        <v>651</v>
      </c>
      <c r="C134" s="76" t="s">
        <v>43</v>
      </c>
      <c r="D134" s="76" t="s">
        <v>43</v>
      </c>
      <c r="E134" s="77">
        <f>SUM(E135:E138)</f>
        <v>0</v>
      </c>
      <c r="F134" s="77">
        <f>SUMIF(D135:D138,"OK",F135:F138)</f>
        <v>0</v>
      </c>
      <c r="G134" s="78" t="s">
        <v>43</v>
      </c>
      <c r="H134" s="79"/>
      <c r="I134" s="79"/>
      <c r="J134" s="3"/>
      <c r="K134" s="3"/>
      <c r="L134" s="3"/>
      <c r="M134" s="3"/>
      <c r="N134" s="3"/>
      <c r="O134" s="3"/>
      <c r="P134" s="3"/>
      <c r="Q134" s="3"/>
      <c r="R134" s="3"/>
      <c r="S134" s="3"/>
      <c r="T134" s="3"/>
      <c r="U134" s="3"/>
      <c r="V134" s="3"/>
      <c r="W134" s="44"/>
      <c r="X134" s="41"/>
      <c r="Y134" s="3"/>
      <c r="Z134" s="3"/>
      <c r="AA134" s="18"/>
    </row>
    <row r="135" spans="1:27" ht="15.75" hidden="1" customHeight="1" outlineLevel="1" x14ac:dyDescent="0.3">
      <c r="A135" s="3"/>
      <c r="B135" s="10" t="s">
        <v>715</v>
      </c>
      <c r="C135" s="62"/>
      <c r="D135" s="62"/>
      <c r="E135" s="12">
        <v>0</v>
      </c>
      <c r="F135" s="12">
        <v>0</v>
      </c>
      <c r="G135" s="69"/>
      <c r="H135" s="63"/>
      <c r="I135" s="63"/>
      <c r="J135" s="3"/>
      <c r="K135" s="3"/>
      <c r="L135" s="3"/>
      <c r="M135" s="3"/>
      <c r="N135" s="3"/>
      <c r="O135" s="3"/>
      <c r="P135" s="3"/>
      <c r="Q135" s="3"/>
      <c r="R135" s="3"/>
      <c r="S135" s="3"/>
      <c r="T135" s="3"/>
      <c r="U135" s="3"/>
      <c r="V135" s="3"/>
      <c r="W135" s="44"/>
      <c r="X135" s="41"/>
      <c r="Y135" s="3"/>
      <c r="Z135" s="3"/>
      <c r="AA135" s="18"/>
    </row>
    <row r="136" spans="1:27" ht="15.75" hidden="1" customHeight="1" outlineLevel="1" x14ac:dyDescent="0.3">
      <c r="A136" s="3"/>
      <c r="B136" s="10" t="s">
        <v>531</v>
      </c>
      <c r="C136" s="62"/>
      <c r="D136" s="62"/>
      <c r="E136" s="12">
        <v>0</v>
      </c>
      <c r="F136" s="12">
        <v>0</v>
      </c>
      <c r="G136" s="70"/>
      <c r="H136" s="63"/>
      <c r="I136" s="63"/>
      <c r="J136" s="3"/>
      <c r="K136" s="3"/>
      <c r="L136" s="3"/>
      <c r="M136" s="3"/>
      <c r="N136" s="3"/>
      <c r="O136" s="3"/>
      <c r="P136" s="3"/>
      <c r="Q136" s="3"/>
      <c r="R136" s="3"/>
      <c r="S136" s="3"/>
      <c r="T136" s="3"/>
      <c r="U136" s="3"/>
      <c r="V136" s="3"/>
      <c r="W136" s="44"/>
      <c r="X136" s="41"/>
      <c r="Y136" s="3"/>
      <c r="Z136" s="3"/>
      <c r="AA136" s="18"/>
    </row>
    <row r="137" spans="1:27" ht="15.75" hidden="1" customHeight="1" outlineLevel="1" x14ac:dyDescent="0.3">
      <c r="A137" s="3"/>
      <c r="B137" s="10" t="s">
        <v>532</v>
      </c>
      <c r="C137" s="62"/>
      <c r="D137" s="62"/>
      <c r="E137" s="12">
        <v>0</v>
      </c>
      <c r="F137" s="12">
        <v>0</v>
      </c>
      <c r="G137" s="69"/>
      <c r="H137" s="63"/>
      <c r="I137" s="63"/>
      <c r="J137" s="3"/>
      <c r="K137" s="3"/>
      <c r="L137" s="3"/>
      <c r="M137" s="3"/>
      <c r="N137" s="3"/>
      <c r="O137" s="3"/>
      <c r="P137" s="3"/>
      <c r="Q137" s="3"/>
      <c r="R137" s="3"/>
      <c r="S137" s="3"/>
      <c r="T137" s="3"/>
      <c r="U137" s="3"/>
      <c r="V137" s="3"/>
      <c r="W137" s="44"/>
      <c r="X137" s="41"/>
      <c r="Y137" s="3"/>
      <c r="Z137" s="3"/>
      <c r="AA137" s="18"/>
    </row>
    <row r="138" spans="1:27" ht="15.75" hidden="1" customHeight="1" outlineLevel="1" x14ac:dyDescent="0.3">
      <c r="A138" s="3"/>
      <c r="B138" s="10" t="s">
        <v>529</v>
      </c>
      <c r="C138" s="62"/>
      <c r="D138" s="62"/>
      <c r="E138" s="12">
        <v>0</v>
      </c>
      <c r="F138" s="12">
        <v>0</v>
      </c>
      <c r="G138" s="69"/>
      <c r="H138" s="63"/>
      <c r="I138" s="63"/>
      <c r="J138" s="3"/>
      <c r="K138" s="3"/>
      <c r="L138" s="3"/>
      <c r="M138" s="3"/>
      <c r="N138" s="3"/>
      <c r="O138" s="3"/>
      <c r="P138" s="3"/>
      <c r="Q138" s="3"/>
      <c r="R138" s="3"/>
      <c r="S138" s="3"/>
      <c r="T138" s="3"/>
      <c r="U138" s="3"/>
      <c r="V138" s="3"/>
      <c r="W138" s="44"/>
      <c r="X138" s="41"/>
      <c r="Y138" s="3"/>
      <c r="Z138" s="3"/>
      <c r="AA138" s="18"/>
    </row>
    <row r="139" spans="1:27" ht="15.75" hidden="1" customHeight="1" outlineLevel="1" x14ac:dyDescent="0.3">
      <c r="A139" s="3"/>
      <c r="B139" s="75" t="s">
        <v>901</v>
      </c>
      <c r="C139" s="76" t="s">
        <v>43</v>
      </c>
      <c r="D139" s="76" t="s">
        <v>43</v>
      </c>
      <c r="E139" s="77">
        <f>SUM(E140:E145)</f>
        <v>0</v>
      </c>
      <c r="F139" s="77">
        <f>SUMIF(D140:D145,"OK",F140:F145)</f>
        <v>0</v>
      </c>
      <c r="G139" s="78" t="s">
        <v>43</v>
      </c>
      <c r="H139" s="79"/>
      <c r="I139" s="79"/>
      <c r="J139" s="3"/>
      <c r="K139" s="3"/>
      <c r="L139" s="3"/>
      <c r="M139" s="3"/>
      <c r="N139" s="3"/>
      <c r="O139" s="3"/>
      <c r="P139" s="3"/>
      <c r="Q139" s="3"/>
      <c r="R139" s="3"/>
      <c r="S139" s="3"/>
      <c r="T139" s="3"/>
      <c r="U139" s="3"/>
      <c r="V139" s="3"/>
      <c r="W139" s="44"/>
      <c r="X139" s="41"/>
      <c r="Y139" s="3"/>
      <c r="Z139" s="3"/>
      <c r="AA139" s="18"/>
    </row>
    <row r="140" spans="1:27" ht="15.75" hidden="1" customHeight="1" outlineLevel="1" x14ac:dyDescent="0.3">
      <c r="A140" s="3"/>
      <c r="B140" s="10" t="s">
        <v>1036</v>
      </c>
      <c r="C140" s="62"/>
      <c r="D140" s="62"/>
      <c r="E140" s="12">
        <v>0</v>
      </c>
      <c r="F140" s="12">
        <v>0</v>
      </c>
      <c r="G140" s="67"/>
      <c r="H140" s="63"/>
      <c r="I140" s="63"/>
      <c r="J140" s="3"/>
      <c r="K140" s="3"/>
      <c r="L140" s="3"/>
      <c r="M140" s="3"/>
      <c r="N140" s="3"/>
      <c r="O140" s="3"/>
      <c r="P140" s="3"/>
      <c r="Q140" s="3"/>
      <c r="R140" s="3"/>
      <c r="S140" s="3"/>
      <c r="T140" s="3"/>
      <c r="U140" s="3"/>
      <c r="V140" s="3"/>
      <c r="W140" s="44"/>
      <c r="X140" s="41"/>
      <c r="Y140" s="3"/>
      <c r="Z140" s="3"/>
      <c r="AA140" s="18"/>
    </row>
    <row r="141" spans="1:27" ht="15.75" hidden="1" customHeight="1" outlineLevel="1" x14ac:dyDescent="0.3">
      <c r="A141" s="3"/>
      <c r="B141" s="10" t="s">
        <v>904</v>
      </c>
      <c r="C141" s="62"/>
      <c r="D141" s="62"/>
      <c r="E141" s="12">
        <v>0</v>
      </c>
      <c r="F141" s="12">
        <v>0</v>
      </c>
      <c r="G141" s="67"/>
      <c r="H141" s="63"/>
      <c r="I141" s="63"/>
      <c r="J141" s="3"/>
      <c r="K141" s="3"/>
      <c r="L141" s="3"/>
      <c r="M141" s="3"/>
      <c r="N141" s="3"/>
      <c r="O141" s="3"/>
      <c r="P141" s="3"/>
      <c r="Q141" s="3"/>
      <c r="R141" s="3"/>
      <c r="S141" s="3"/>
      <c r="T141" s="3"/>
      <c r="U141" s="3"/>
      <c r="V141" s="3"/>
      <c r="W141" s="44"/>
      <c r="X141" s="41"/>
      <c r="Y141" s="3"/>
      <c r="Z141" s="3"/>
      <c r="AA141" s="18"/>
    </row>
    <row r="142" spans="1:27" ht="15.75" hidden="1" customHeight="1" outlineLevel="1" x14ac:dyDescent="0.3">
      <c r="A142" s="3"/>
      <c r="B142" s="10" t="s">
        <v>905</v>
      </c>
      <c r="C142" s="62"/>
      <c r="D142" s="62"/>
      <c r="E142" s="12">
        <v>0</v>
      </c>
      <c r="F142" s="12">
        <v>0</v>
      </c>
      <c r="G142" s="67"/>
      <c r="H142" s="63"/>
      <c r="I142" s="63"/>
      <c r="J142" s="3"/>
      <c r="K142" s="3"/>
      <c r="L142" s="3"/>
      <c r="M142" s="3"/>
      <c r="N142" s="3"/>
      <c r="O142" s="3"/>
      <c r="P142" s="3"/>
      <c r="Q142" s="3"/>
      <c r="R142" s="3"/>
      <c r="S142" s="3"/>
      <c r="T142" s="3"/>
      <c r="U142" s="3"/>
      <c r="V142" s="3"/>
      <c r="W142" s="44"/>
      <c r="X142" s="41"/>
      <c r="Y142" s="3"/>
      <c r="Z142" s="3"/>
      <c r="AA142" s="18"/>
    </row>
    <row r="143" spans="1:27" ht="15.75" hidden="1" customHeight="1" outlineLevel="1" x14ac:dyDescent="0.3">
      <c r="A143" s="3"/>
      <c r="B143" s="10" t="s">
        <v>1040</v>
      </c>
      <c r="C143" s="62"/>
      <c r="D143" s="62"/>
      <c r="E143" s="12">
        <v>0</v>
      </c>
      <c r="F143" s="12">
        <v>0</v>
      </c>
      <c r="G143" s="67"/>
      <c r="H143" s="63"/>
      <c r="I143" s="63"/>
      <c r="J143" s="3"/>
      <c r="K143" s="3"/>
      <c r="L143" s="3"/>
      <c r="M143" s="3"/>
      <c r="N143" s="3"/>
      <c r="O143" s="3"/>
      <c r="P143" s="3"/>
      <c r="Q143" s="3"/>
      <c r="R143" s="3"/>
      <c r="S143" s="3"/>
      <c r="T143" s="3"/>
      <c r="U143" s="3"/>
      <c r="V143" s="3"/>
      <c r="W143" s="44"/>
      <c r="X143" s="41"/>
      <c r="Y143" s="3"/>
      <c r="Z143" s="3"/>
      <c r="AA143" s="18"/>
    </row>
    <row r="144" spans="1:27" ht="15.75" hidden="1" customHeight="1" outlineLevel="1" x14ac:dyDescent="0.3">
      <c r="A144" s="3"/>
      <c r="B144" s="10" t="s">
        <v>907</v>
      </c>
      <c r="C144" s="62"/>
      <c r="D144" s="62"/>
      <c r="E144" s="12">
        <v>0</v>
      </c>
      <c r="F144" s="12">
        <v>0</v>
      </c>
      <c r="G144" s="67"/>
      <c r="H144" s="63"/>
      <c r="I144" s="63"/>
      <c r="J144" s="3"/>
      <c r="K144" s="3"/>
      <c r="L144" s="3"/>
      <c r="M144" s="3"/>
      <c r="N144" s="3"/>
      <c r="O144" s="3"/>
      <c r="P144" s="3"/>
      <c r="Q144" s="3"/>
      <c r="R144" s="3"/>
      <c r="S144" s="3"/>
      <c r="T144" s="3"/>
      <c r="U144" s="3"/>
      <c r="V144" s="3"/>
      <c r="W144" s="44"/>
      <c r="X144" s="41"/>
      <c r="Y144" s="3"/>
      <c r="Z144" s="3"/>
      <c r="AA144" s="18"/>
    </row>
    <row r="145" spans="1:27" ht="15.75" hidden="1" customHeight="1" outlineLevel="1" x14ac:dyDescent="0.3">
      <c r="A145" s="3"/>
      <c r="B145" s="10" t="s">
        <v>908</v>
      </c>
      <c r="C145" s="62"/>
      <c r="D145" s="62"/>
      <c r="E145" s="12">
        <v>0</v>
      </c>
      <c r="F145" s="12">
        <v>0</v>
      </c>
      <c r="G145" s="67"/>
      <c r="H145" s="63"/>
      <c r="I145" s="63"/>
      <c r="J145" s="3"/>
      <c r="K145" s="3"/>
      <c r="L145" s="3"/>
      <c r="M145" s="3"/>
      <c r="N145" s="3"/>
      <c r="O145" s="3"/>
      <c r="P145" s="3"/>
      <c r="Q145" s="3"/>
      <c r="R145" s="3"/>
      <c r="S145" s="3"/>
      <c r="T145" s="3"/>
      <c r="U145" s="3"/>
      <c r="V145" s="3"/>
      <c r="W145" s="44"/>
      <c r="X145" s="41"/>
      <c r="Y145" s="3"/>
      <c r="Z145" s="3"/>
      <c r="AA145" s="18"/>
    </row>
    <row r="146" spans="1:27" ht="15.75" hidden="1" customHeight="1" outlineLevel="1" x14ac:dyDescent="0.3">
      <c r="A146" s="3"/>
      <c r="B146" s="75" t="s">
        <v>689</v>
      </c>
      <c r="C146" s="76" t="s">
        <v>43</v>
      </c>
      <c r="D146" s="76" t="s">
        <v>43</v>
      </c>
      <c r="E146" s="77">
        <f>SUM(E147:E153)</f>
        <v>0</v>
      </c>
      <c r="F146" s="77">
        <f>SUMIF(D147:D153,"OK",F147:F153)</f>
        <v>0</v>
      </c>
      <c r="G146" s="78" t="s">
        <v>43</v>
      </c>
      <c r="H146" s="79"/>
      <c r="I146" s="79"/>
      <c r="J146" s="3"/>
      <c r="K146" s="3"/>
      <c r="L146" s="3"/>
      <c r="M146" s="3"/>
      <c r="N146" s="3"/>
      <c r="O146" s="3"/>
      <c r="P146" s="3"/>
      <c r="Q146" s="3"/>
      <c r="R146" s="3"/>
      <c r="S146" s="3"/>
      <c r="T146" s="3"/>
      <c r="U146" s="3"/>
      <c r="V146" s="3"/>
      <c r="W146" s="44"/>
      <c r="X146" s="41"/>
      <c r="Y146" s="3"/>
      <c r="Z146" s="3"/>
      <c r="AA146" s="18"/>
    </row>
    <row r="147" spans="1:27" ht="15.75" hidden="1" customHeight="1" outlineLevel="1" x14ac:dyDescent="0.3">
      <c r="A147" s="3"/>
      <c r="B147" s="10" t="s">
        <v>537</v>
      </c>
      <c r="C147" s="62"/>
      <c r="D147" s="62"/>
      <c r="E147" s="12">
        <v>0</v>
      </c>
      <c r="F147" s="12">
        <v>0</v>
      </c>
      <c r="G147" s="69"/>
      <c r="H147" s="63"/>
      <c r="I147" s="63"/>
      <c r="J147" s="3"/>
      <c r="K147" s="3"/>
      <c r="L147" s="3"/>
      <c r="M147" s="3"/>
      <c r="N147" s="3"/>
      <c r="O147" s="3"/>
      <c r="P147" s="3"/>
      <c r="Q147" s="3"/>
      <c r="R147" s="3"/>
      <c r="S147" s="3"/>
      <c r="T147" s="3"/>
      <c r="U147" s="3"/>
      <c r="V147" s="3"/>
      <c r="W147" s="44"/>
      <c r="X147" s="41"/>
      <c r="Y147" s="3"/>
      <c r="Z147" s="3"/>
      <c r="AA147" s="18"/>
    </row>
    <row r="148" spans="1:27" ht="15.75" hidden="1" customHeight="1" outlineLevel="1" x14ac:dyDescent="0.3">
      <c r="A148" s="3"/>
      <c r="B148" s="10" t="s">
        <v>1401</v>
      </c>
      <c r="C148" s="62"/>
      <c r="D148" s="62"/>
      <c r="E148" s="12">
        <v>0</v>
      </c>
      <c r="F148" s="12">
        <v>0</v>
      </c>
      <c r="G148" s="69"/>
      <c r="H148" s="63"/>
      <c r="I148" s="63"/>
      <c r="J148" s="3"/>
      <c r="K148" s="3"/>
      <c r="L148" s="3"/>
      <c r="M148" s="3"/>
      <c r="N148" s="3"/>
      <c r="O148" s="3"/>
      <c r="P148" s="3"/>
      <c r="Q148" s="3"/>
      <c r="R148" s="3"/>
      <c r="S148" s="3"/>
      <c r="T148" s="3"/>
      <c r="U148" s="3"/>
      <c r="V148" s="3"/>
      <c r="W148" s="44"/>
      <c r="X148" s="41"/>
      <c r="Y148" s="3"/>
      <c r="Z148" s="3"/>
      <c r="AA148" s="18"/>
    </row>
    <row r="149" spans="1:27" ht="15.75" hidden="1" customHeight="1" outlineLevel="1" x14ac:dyDescent="0.3">
      <c r="A149" s="3"/>
      <c r="B149" s="10" t="s">
        <v>1401</v>
      </c>
      <c r="C149" s="62"/>
      <c r="D149" s="62"/>
      <c r="E149" s="12">
        <v>0</v>
      </c>
      <c r="F149" s="12">
        <v>0</v>
      </c>
      <c r="G149" s="69"/>
      <c r="H149" s="63"/>
      <c r="I149" s="63"/>
      <c r="J149" s="127"/>
      <c r="K149" s="3"/>
      <c r="L149" s="3"/>
      <c r="M149" s="3"/>
      <c r="N149" s="3"/>
      <c r="O149" s="3"/>
      <c r="P149" s="3"/>
      <c r="Q149" s="3"/>
      <c r="R149" s="3"/>
      <c r="S149" s="3"/>
      <c r="T149" s="3"/>
      <c r="U149" s="3"/>
      <c r="V149" s="3"/>
      <c r="W149" s="44"/>
      <c r="X149" s="41"/>
      <c r="Y149" s="3"/>
      <c r="Z149" s="3"/>
      <c r="AA149" s="18"/>
    </row>
    <row r="150" spans="1:27" ht="15.75" hidden="1" customHeight="1" outlineLevel="1" x14ac:dyDescent="0.3">
      <c r="A150" s="3"/>
      <c r="B150" s="10" t="s">
        <v>1401</v>
      </c>
      <c r="C150" s="62"/>
      <c r="D150" s="62"/>
      <c r="E150" s="12">
        <v>0</v>
      </c>
      <c r="F150" s="12">
        <v>0</v>
      </c>
      <c r="G150" s="69"/>
      <c r="H150" s="63"/>
      <c r="I150" s="63"/>
      <c r="J150" s="3"/>
      <c r="K150" s="3"/>
      <c r="L150" s="3"/>
      <c r="M150" s="3"/>
      <c r="N150" s="3"/>
      <c r="O150" s="3"/>
      <c r="P150" s="3"/>
      <c r="Q150" s="3"/>
      <c r="R150" s="3"/>
      <c r="S150" s="3"/>
      <c r="T150" s="3"/>
      <c r="U150" s="3"/>
      <c r="V150" s="3"/>
      <c r="W150" s="44"/>
      <c r="X150" s="41"/>
      <c r="Y150" s="3"/>
      <c r="Z150" s="3"/>
      <c r="AA150" s="18"/>
    </row>
    <row r="151" spans="1:27" ht="15.75" hidden="1" customHeight="1" outlineLevel="1" x14ac:dyDescent="0.3">
      <c r="A151" s="3"/>
      <c r="B151" s="10" t="s">
        <v>1610</v>
      </c>
      <c r="C151" s="62"/>
      <c r="D151" s="62"/>
      <c r="E151" s="12">
        <v>0</v>
      </c>
      <c r="F151" s="12">
        <v>0</v>
      </c>
      <c r="G151" s="69"/>
      <c r="H151" s="63"/>
      <c r="I151" s="63"/>
      <c r="J151" s="3"/>
      <c r="K151" s="3"/>
      <c r="L151" s="3"/>
      <c r="M151" s="3"/>
      <c r="N151" s="3"/>
      <c r="O151" s="3"/>
      <c r="P151" s="3"/>
      <c r="Q151" s="3"/>
      <c r="R151" s="3"/>
      <c r="S151" s="3"/>
      <c r="T151" s="3"/>
      <c r="U151" s="3"/>
      <c r="V151" s="3"/>
      <c r="W151" s="44"/>
      <c r="X151" s="41"/>
      <c r="Y151" s="3"/>
      <c r="Z151" s="3"/>
      <c r="AA151" s="18"/>
    </row>
    <row r="152" spans="1:27" ht="15.75" hidden="1" customHeight="1" outlineLevel="1" x14ac:dyDescent="0.3">
      <c r="A152" s="3"/>
      <c r="B152" s="10" t="s">
        <v>1611</v>
      </c>
      <c r="C152" s="62"/>
      <c r="D152" s="62"/>
      <c r="E152" s="12">
        <v>0</v>
      </c>
      <c r="F152" s="12">
        <v>0</v>
      </c>
      <c r="G152" s="69"/>
      <c r="H152" s="63"/>
      <c r="I152" s="63"/>
      <c r="J152" s="161"/>
      <c r="K152" s="3"/>
      <c r="L152" s="3"/>
      <c r="M152" s="3"/>
      <c r="N152" s="3"/>
      <c r="O152" s="3"/>
      <c r="P152" s="3"/>
      <c r="Q152" s="3"/>
      <c r="R152" s="3"/>
      <c r="S152" s="3"/>
      <c r="T152" s="3"/>
      <c r="U152" s="3"/>
      <c r="V152" s="3"/>
      <c r="W152" s="44"/>
      <c r="X152" s="41"/>
      <c r="Y152" s="3"/>
      <c r="Z152" s="3"/>
      <c r="AA152" s="18"/>
    </row>
    <row r="153" spans="1:27" ht="15.75" hidden="1" customHeight="1" outlineLevel="1" x14ac:dyDescent="0.3">
      <c r="A153" s="3"/>
      <c r="B153" s="10" t="s">
        <v>1612</v>
      </c>
      <c r="C153" s="62"/>
      <c r="D153" s="62"/>
      <c r="E153" s="12">
        <v>0</v>
      </c>
      <c r="F153" s="12">
        <v>0</v>
      </c>
      <c r="G153" s="69"/>
      <c r="H153" s="63"/>
      <c r="I153" s="63"/>
      <c r="J153" s="3"/>
      <c r="K153" s="3"/>
      <c r="L153" s="3"/>
      <c r="M153" s="3"/>
      <c r="N153" s="3"/>
      <c r="O153" s="3"/>
      <c r="P153" s="3"/>
      <c r="Q153" s="3"/>
      <c r="R153" s="3"/>
      <c r="S153" s="3"/>
      <c r="T153" s="3"/>
      <c r="U153" s="3"/>
      <c r="V153" s="3"/>
      <c r="W153" s="44"/>
      <c r="X153" s="41"/>
      <c r="Y153" s="3"/>
      <c r="Z153" s="3"/>
      <c r="AA153" s="18"/>
    </row>
    <row r="154" spans="1:27" ht="19.5" customHeight="1" collapsed="1" x14ac:dyDescent="0.3">
      <c r="A154" s="3"/>
      <c r="B154" s="73" t="s">
        <v>239</v>
      </c>
      <c r="C154" s="56" t="s">
        <v>43</v>
      </c>
      <c r="D154" s="56" t="s">
        <v>43</v>
      </c>
      <c r="E154" s="57">
        <f t="shared" ref="E154:F154" si="6">SUM(E155,E160,E165,E169)</f>
        <v>0</v>
      </c>
      <c r="F154" s="57">
        <f t="shared" si="6"/>
        <v>0</v>
      </c>
      <c r="G154" s="58" t="s">
        <v>43</v>
      </c>
      <c r="H154" s="74"/>
      <c r="I154" s="74"/>
      <c r="J154" s="3"/>
      <c r="K154" s="3"/>
      <c r="L154" s="3"/>
      <c r="M154" s="3"/>
      <c r="N154" s="3"/>
      <c r="O154" s="3"/>
      <c r="P154" s="3"/>
      <c r="Q154" s="3"/>
      <c r="R154" s="3"/>
      <c r="S154" s="3"/>
      <c r="T154" s="3"/>
      <c r="U154" s="3"/>
      <c r="V154" s="3"/>
      <c r="W154" s="44"/>
      <c r="X154" s="41"/>
      <c r="Y154" s="3"/>
      <c r="Z154" s="3"/>
      <c r="AA154" s="18"/>
    </row>
    <row r="155" spans="1:27" ht="15.75" hidden="1" customHeight="1" outlineLevel="1" x14ac:dyDescent="0.3">
      <c r="A155" s="3"/>
      <c r="B155" s="75" t="s">
        <v>240</v>
      </c>
      <c r="C155" s="76" t="s">
        <v>43</v>
      </c>
      <c r="D155" s="76" t="s">
        <v>43</v>
      </c>
      <c r="E155" s="77">
        <f>SUM(E156:E159)</f>
        <v>0</v>
      </c>
      <c r="F155" s="77">
        <f>SUMIF(D156:D159,"OK",F156:F159)</f>
        <v>0</v>
      </c>
      <c r="G155" s="78" t="s">
        <v>43</v>
      </c>
      <c r="H155" s="79"/>
      <c r="I155" s="79"/>
      <c r="J155" s="3"/>
      <c r="K155" s="3"/>
      <c r="L155" s="3"/>
      <c r="M155" s="3"/>
      <c r="N155" s="3"/>
      <c r="O155" s="3"/>
      <c r="P155" s="3"/>
      <c r="Q155" s="3"/>
      <c r="R155" s="3"/>
      <c r="S155" s="3"/>
      <c r="T155" s="3"/>
      <c r="U155" s="3"/>
      <c r="V155" s="3"/>
      <c r="W155" s="44"/>
      <c r="X155" s="41"/>
      <c r="Y155" s="3"/>
      <c r="Z155" s="3"/>
      <c r="AA155" s="18"/>
    </row>
    <row r="156" spans="1:27" ht="15.75" hidden="1" customHeight="1" outlineLevel="1" x14ac:dyDescent="0.3">
      <c r="A156" s="3"/>
      <c r="B156" s="10" t="s">
        <v>241</v>
      </c>
      <c r="C156" s="62"/>
      <c r="D156" s="62"/>
      <c r="E156" s="12">
        <v>0</v>
      </c>
      <c r="F156" s="12">
        <v>0</v>
      </c>
      <c r="G156" s="70"/>
      <c r="H156" s="63" t="s">
        <v>37</v>
      </c>
      <c r="I156" s="63"/>
      <c r="J156" s="3"/>
      <c r="K156" s="3"/>
      <c r="L156" s="3"/>
      <c r="M156" s="3"/>
      <c r="N156" s="3"/>
      <c r="O156" s="3"/>
      <c r="P156" s="3"/>
      <c r="Q156" s="3"/>
      <c r="R156" s="3"/>
      <c r="S156" s="3"/>
      <c r="T156" s="3"/>
      <c r="U156" s="3"/>
      <c r="V156" s="3"/>
      <c r="W156" s="44"/>
      <c r="X156" s="41"/>
      <c r="Y156" s="3"/>
      <c r="Z156" s="3"/>
      <c r="AA156" s="18"/>
    </row>
    <row r="157" spans="1:27" ht="15.75" hidden="1" customHeight="1" outlineLevel="1" x14ac:dyDescent="0.3">
      <c r="A157" s="3"/>
      <c r="B157" s="10" t="s">
        <v>242</v>
      </c>
      <c r="C157" s="62"/>
      <c r="D157" s="62"/>
      <c r="E157" s="12">
        <v>0</v>
      </c>
      <c r="F157" s="12">
        <v>0</v>
      </c>
      <c r="G157" s="67"/>
      <c r="H157" s="63" t="s">
        <v>36</v>
      </c>
      <c r="I157" s="63"/>
      <c r="J157" s="3"/>
      <c r="K157" s="3"/>
      <c r="L157" s="3"/>
      <c r="M157" s="3"/>
      <c r="N157" s="3"/>
      <c r="O157" s="3"/>
      <c r="P157" s="3"/>
      <c r="Q157" s="3"/>
      <c r="R157" s="3"/>
      <c r="S157" s="3"/>
      <c r="T157" s="3"/>
      <c r="U157" s="3"/>
      <c r="V157" s="3"/>
      <c r="W157" s="44"/>
      <c r="X157" s="41"/>
      <c r="Y157" s="3"/>
      <c r="Z157" s="3"/>
      <c r="AA157" s="18"/>
    </row>
    <row r="158" spans="1:27" ht="15.75" hidden="1" customHeight="1" outlineLevel="1" x14ac:dyDescent="0.3">
      <c r="A158" s="3"/>
      <c r="B158" s="10" t="s">
        <v>243</v>
      </c>
      <c r="C158" s="62"/>
      <c r="D158" s="62"/>
      <c r="E158" s="12">
        <v>0</v>
      </c>
      <c r="F158" s="12">
        <v>0</v>
      </c>
      <c r="G158" s="67"/>
      <c r="H158" s="63" t="s">
        <v>37</v>
      </c>
      <c r="I158" s="63"/>
      <c r="J158" s="3"/>
      <c r="K158" s="3"/>
      <c r="L158" s="3"/>
      <c r="M158" s="3"/>
      <c r="N158" s="3"/>
      <c r="O158" s="3"/>
      <c r="P158" s="3"/>
      <c r="Q158" s="3"/>
      <c r="R158" s="3"/>
      <c r="S158" s="3"/>
      <c r="T158" s="3"/>
      <c r="U158" s="3"/>
      <c r="V158" s="3"/>
      <c r="W158" s="44"/>
      <c r="X158" s="41"/>
      <c r="Y158" s="3"/>
      <c r="Z158" s="3"/>
      <c r="AA158" s="18"/>
    </row>
    <row r="159" spans="1:27" ht="15.75" hidden="1" customHeight="1" outlineLevel="1" x14ac:dyDescent="0.3">
      <c r="A159" s="3"/>
      <c r="B159" s="10" t="s">
        <v>244</v>
      </c>
      <c r="C159" s="62"/>
      <c r="D159" s="62"/>
      <c r="E159" s="12">
        <v>0</v>
      </c>
      <c r="F159" s="12">
        <v>0</v>
      </c>
      <c r="G159" s="131"/>
      <c r="H159" s="63" t="s">
        <v>36</v>
      </c>
      <c r="I159" s="63"/>
      <c r="J159" s="3"/>
      <c r="K159" s="3"/>
      <c r="L159" s="3"/>
      <c r="M159" s="3"/>
      <c r="N159" s="3"/>
      <c r="O159" s="3"/>
      <c r="P159" s="3"/>
      <c r="Q159" s="3"/>
      <c r="R159" s="3"/>
      <c r="S159" s="3"/>
      <c r="T159" s="3"/>
      <c r="U159" s="3"/>
      <c r="V159" s="3"/>
      <c r="W159" s="44"/>
      <c r="X159" s="41"/>
      <c r="Y159" s="3"/>
      <c r="Z159" s="3"/>
      <c r="AA159" s="18"/>
    </row>
    <row r="160" spans="1:27" ht="15.75" hidden="1" customHeight="1" outlineLevel="1" x14ac:dyDescent="0.3">
      <c r="A160" s="3"/>
      <c r="B160" s="75" t="s">
        <v>245</v>
      </c>
      <c r="C160" s="76" t="s">
        <v>43</v>
      </c>
      <c r="D160" s="76" t="s">
        <v>43</v>
      </c>
      <c r="E160" s="77">
        <f>SUM(E161:E164)</f>
        <v>0</v>
      </c>
      <c r="F160" s="77">
        <f>SUMIF(D161:D164,"OK",F161:F164)</f>
        <v>0</v>
      </c>
      <c r="G160" s="78" t="s">
        <v>43</v>
      </c>
      <c r="H160" s="79"/>
      <c r="I160" s="79"/>
      <c r="J160" s="3"/>
      <c r="K160" s="3"/>
      <c r="L160" s="3"/>
      <c r="M160" s="3"/>
      <c r="N160" s="3"/>
      <c r="O160" s="3"/>
      <c r="P160" s="3"/>
      <c r="Q160" s="3"/>
      <c r="R160" s="3"/>
      <c r="S160" s="3"/>
      <c r="T160" s="3"/>
      <c r="U160" s="3"/>
      <c r="V160" s="3"/>
      <c r="W160" s="44"/>
      <c r="X160" s="41"/>
      <c r="Y160" s="3"/>
      <c r="Z160" s="3"/>
      <c r="AA160" s="18"/>
    </row>
    <row r="161" spans="1:27" ht="15.75" hidden="1" customHeight="1" outlineLevel="1" x14ac:dyDescent="0.3">
      <c r="A161" s="3"/>
      <c r="B161" s="10" t="s">
        <v>241</v>
      </c>
      <c r="C161" s="62"/>
      <c r="D161" s="62"/>
      <c r="E161" s="12">
        <v>0</v>
      </c>
      <c r="F161" s="12">
        <v>0</v>
      </c>
      <c r="G161" s="69"/>
      <c r="H161" s="63" t="s">
        <v>37</v>
      </c>
      <c r="I161" s="63"/>
      <c r="J161" s="3"/>
      <c r="K161" s="3"/>
      <c r="L161" s="3"/>
      <c r="M161" s="3"/>
      <c r="N161" s="3"/>
      <c r="O161" s="3"/>
      <c r="P161" s="3"/>
      <c r="Q161" s="3"/>
      <c r="R161" s="3"/>
      <c r="S161" s="3"/>
      <c r="T161" s="3"/>
      <c r="U161" s="3"/>
      <c r="V161" s="3"/>
      <c r="W161" s="44"/>
      <c r="X161" s="41"/>
      <c r="Y161" s="3"/>
      <c r="Z161" s="3"/>
      <c r="AA161" s="18"/>
    </row>
    <row r="162" spans="1:27" ht="15.75" hidden="1" customHeight="1" outlineLevel="1" x14ac:dyDescent="0.3">
      <c r="A162" s="3"/>
      <c r="B162" s="10" t="s">
        <v>242</v>
      </c>
      <c r="C162" s="62"/>
      <c r="D162" s="62"/>
      <c r="E162" s="12">
        <v>0</v>
      </c>
      <c r="F162" s="12">
        <v>0</v>
      </c>
      <c r="G162" s="67"/>
      <c r="H162" s="63" t="s">
        <v>36</v>
      </c>
      <c r="I162" s="63"/>
      <c r="J162" s="3"/>
      <c r="K162" s="3"/>
      <c r="L162" s="3"/>
      <c r="M162" s="3"/>
      <c r="N162" s="3"/>
      <c r="O162" s="3"/>
      <c r="P162" s="3"/>
      <c r="Q162" s="3"/>
      <c r="R162" s="3"/>
      <c r="S162" s="3"/>
      <c r="T162" s="3"/>
      <c r="U162" s="3"/>
      <c r="V162" s="3"/>
      <c r="W162" s="44"/>
      <c r="X162" s="41"/>
      <c r="Y162" s="3"/>
      <c r="Z162" s="3"/>
      <c r="AA162" s="18"/>
    </row>
    <row r="163" spans="1:27" ht="15.75" hidden="1" customHeight="1" outlineLevel="1" x14ac:dyDescent="0.3">
      <c r="A163" s="3"/>
      <c r="B163" s="10" t="s">
        <v>243</v>
      </c>
      <c r="C163" s="62"/>
      <c r="D163" s="62"/>
      <c r="E163" s="12">
        <v>0</v>
      </c>
      <c r="F163" s="12">
        <v>0</v>
      </c>
      <c r="G163" s="67"/>
      <c r="H163" s="63" t="s">
        <v>37</v>
      </c>
      <c r="I163" s="63"/>
      <c r="J163" s="3"/>
      <c r="K163" s="3"/>
      <c r="L163" s="3"/>
      <c r="M163" s="3"/>
      <c r="N163" s="3"/>
      <c r="O163" s="3"/>
      <c r="P163" s="3"/>
      <c r="Q163" s="3"/>
      <c r="R163" s="3"/>
      <c r="S163" s="3"/>
      <c r="T163" s="3"/>
      <c r="U163" s="3"/>
      <c r="V163" s="3"/>
      <c r="W163" s="44"/>
      <c r="X163" s="41"/>
      <c r="Y163" s="3"/>
      <c r="Z163" s="3"/>
      <c r="AA163" s="18"/>
    </row>
    <row r="164" spans="1:27" ht="15.75" hidden="1" customHeight="1" outlineLevel="1" x14ac:dyDescent="0.3">
      <c r="A164" s="3"/>
      <c r="B164" s="10" t="s">
        <v>244</v>
      </c>
      <c r="C164" s="62"/>
      <c r="D164" s="62"/>
      <c r="E164" s="12">
        <v>0</v>
      </c>
      <c r="F164" s="12">
        <v>0</v>
      </c>
      <c r="G164" s="67"/>
      <c r="H164" s="63" t="s">
        <v>36</v>
      </c>
      <c r="I164" s="63"/>
      <c r="J164" s="3"/>
      <c r="K164" s="3"/>
      <c r="L164" s="3"/>
      <c r="M164" s="3"/>
      <c r="N164" s="3"/>
      <c r="O164" s="3"/>
      <c r="P164" s="3"/>
      <c r="Q164" s="3"/>
      <c r="R164" s="3"/>
      <c r="S164" s="3"/>
      <c r="T164" s="3"/>
      <c r="U164" s="3"/>
      <c r="V164" s="3"/>
      <c r="W164" s="44"/>
      <c r="X164" s="41"/>
      <c r="Y164" s="3"/>
      <c r="Z164" s="3"/>
      <c r="AA164" s="18"/>
    </row>
    <row r="165" spans="1:27" ht="15.75" hidden="1" customHeight="1" outlineLevel="1" x14ac:dyDescent="0.3">
      <c r="A165" s="3"/>
      <c r="B165" s="75" t="s">
        <v>246</v>
      </c>
      <c r="C165" s="76" t="s">
        <v>43</v>
      </c>
      <c r="D165" s="76" t="s">
        <v>43</v>
      </c>
      <c r="E165" s="77">
        <f>SUM(E166:E168)</f>
        <v>0</v>
      </c>
      <c r="F165" s="77">
        <f>SUMIF(D166:D168,"OK",F166:F168)</f>
        <v>0</v>
      </c>
      <c r="G165" s="78" t="s">
        <v>43</v>
      </c>
      <c r="H165" s="79"/>
      <c r="I165" s="79"/>
      <c r="J165" s="3"/>
      <c r="K165" s="3"/>
      <c r="L165" s="3"/>
      <c r="M165" s="3"/>
      <c r="N165" s="3"/>
      <c r="O165" s="3"/>
      <c r="P165" s="3"/>
      <c r="Q165" s="3"/>
      <c r="R165" s="3"/>
      <c r="S165" s="3"/>
      <c r="T165" s="3"/>
      <c r="U165" s="3"/>
      <c r="V165" s="3"/>
      <c r="W165" s="44"/>
      <c r="X165" s="41"/>
      <c r="Y165" s="3"/>
      <c r="Z165" s="3"/>
      <c r="AA165" s="18"/>
    </row>
    <row r="166" spans="1:27" ht="15.75" hidden="1" customHeight="1" outlineLevel="1" x14ac:dyDescent="0.3">
      <c r="A166" s="3"/>
      <c r="B166" s="10" t="s">
        <v>1577</v>
      </c>
      <c r="C166" s="80"/>
      <c r="D166" s="62"/>
      <c r="E166" s="12">
        <v>0</v>
      </c>
      <c r="F166" s="12">
        <v>0</v>
      </c>
      <c r="G166" s="69"/>
      <c r="H166" s="63"/>
      <c r="I166" s="63"/>
      <c r="J166" s="3"/>
      <c r="K166" s="3"/>
      <c r="L166" s="3"/>
      <c r="M166" s="3"/>
      <c r="N166" s="3"/>
      <c r="O166" s="3"/>
      <c r="P166" s="3"/>
      <c r="Q166" s="3"/>
      <c r="R166" s="3"/>
      <c r="S166" s="3"/>
      <c r="T166" s="3"/>
      <c r="U166" s="3"/>
      <c r="V166" s="3"/>
      <c r="W166" s="44"/>
      <c r="X166" s="41"/>
      <c r="Y166" s="3"/>
      <c r="Z166" s="3"/>
      <c r="AA166" s="18"/>
    </row>
    <row r="167" spans="1:27" ht="15.75" hidden="1" customHeight="1" outlineLevel="1" x14ac:dyDescent="0.3">
      <c r="A167" s="3"/>
      <c r="B167" s="10" t="s">
        <v>1593</v>
      </c>
      <c r="C167" s="80"/>
      <c r="D167" s="62"/>
      <c r="E167" s="12">
        <v>0</v>
      </c>
      <c r="F167" s="12">
        <v>0</v>
      </c>
      <c r="G167" s="69"/>
      <c r="H167" s="63"/>
      <c r="I167" s="63"/>
      <c r="J167" s="3"/>
      <c r="K167" s="3"/>
      <c r="L167" s="3"/>
      <c r="M167" s="3"/>
      <c r="N167" s="3"/>
      <c r="O167" s="3"/>
      <c r="P167" s="3"/>
      <c r="Q167" s="3"/>
      <c r="R167" s="3"/>
      <c r="S167" s="3"/>
      <c r="T167" s="3"/>
      <c r="U167" s="3"/>
      <c r="V167" s="3"/>
      <c r="W167" s="44"/>
      <c r="X167" s="41"/>
      <c r="Y167" s="3"/>
      <c r="Z167" s="3"/>
      <c r="AA167" s="18"/>
    </row>
    <row r="168" spans="1:27" ht="15.75" hidden="1" customHeight="1" outlineLevel="1" x14ac:dyDescent="0.3">
      <c r="A168" s="3"/>
      <c r="B168" s="10" t="s">
        <v>42</v>
      </c>
      <c r="C168" s="62"/>
      <c r="D168" s="62"/>
      <c r="E168" s="12">
        <v>0</v>
      </c>
      <c r="F168" s="12">
        <v>0</v>
      </c>
      <c r="G168" s="69"/>
      <c r="H168" s="63"/>
      <c r="I168" s="63"/>
      <c r="J168" s="3"/>
      <c r="K168" s="3"/>
      <c r="L168" s="3"/>
      <c r="M168" s="3"/>
      <c r="N168" s="3"/>
      <c r="O168" s="3"/>
      <c r="P168" s="3"/>
      <c r="Q168" s="3"/>
      <c r="R168" s="3"/>
      <c r="S168" s="3"/>
      <c r="T168" s="3"/>
      <c r="U168" s="3"/>
      <c r="V168" s="3"/>
      <c r="W168" s="44"/>
      <c r="X168" s="41"/>
      <c r="Y168" s="3"/>
      <c r="Z168" s="3"/>
      <c r="AA168" s="18"/>
    </row>
    <row r="169" spans="1:27" ht="15.75" hidden="1" customHeight="1" outlineLevel="1" x14ac:dyDescent="0.3">
      <c r="A169" s="3"/>
      <c r="B169" s="75" t="s">
        <v>61</v>
      </c>
      <c r="C169" s="76" t="s">
        <v>43</v>
      </c>
      <c r="D169" s="76" t="s">
        <v>43</v>
      </c>
      <c r="E169" s="77">
        <f>SUM(E170:E183)</f>
        <v>0</v>
      </c>
      <c r="F169" s="77">
        <f>SUMIF(D170:D183,"OK",F170:F183)</f>
        <v>0</v>
      </c>
      <c r="G169" s="78" t="s">
        <v>43</v>
      </c>
      <c r="H169" s="79"/>
      <c r="I169" s="79"/>
      <c r="J169" s="3"/>
      <c r="K169" s="3"/>
      <c r="L169" s="3"/>
      <c r="M169" s="3"/>
      <c r="N169" s="3"/>
      <c r="O169" s="3"/>
      <c r="P169" s="3"/>
      <c r="Q169" s="3"/>
      <c r="R169" s="3"/>
      <c r="S169" s="3"/>
      <c r="T169" s="3"/>
      <c r="U169" s="3"/>
      <c r="V169" s="3"/>
      <c r="W169" s="44"/>
      <c r="X169" s="41"/>
      <c r="Y169" s="3"/>
      <c r="Z169" s="3"/>
      <c r="AA169" s="18"/>
    </row>
    <row r="170" spans="1:27" ht="15.75" hidden="1" customHeight="1" outlineLevel="1" x14ac:dyDescent="0.3">
      <c r="A170" s="3"/>
      <c r="B170" s="10" t="s">
        <v>1594</v>
      </c>
      <c r="C170" s="62"/>
      <c r="D170" s="62"/>
      <c r="E170" s="12">
        <v>0</v>
      </c>
      <c r="F170" s="12">
        <v>0</v>
      </c>
      <c r="G170" s="69"/>
      <c r="H170" s="63"/>
      <c r="I170" s="63"/>
      <c r="J170" s="3"/>
      <c r="K170" s="3"/>
      <c r="L170" s="3"/>
      <c r="M170" s="3"/>
      <c r="N170" s="3"/>
      <c r="O170" s="3"/>
      <c r="P170" s="3"/>
      <c r="Q170" s="3"/>
      <c r="R170" s="3"/>
      <c r="S170" s="3"/>
      <c r="T170" s="3"/>
      <c r="U170" s="3"/>
      <c r="V170" s="3"/>
      <c r="W170" s="44"/>
      <c r="X170" s="41"/>
      <c r="Y170" s="3"/>
      <c r="Z170" s="3"/>
      <c r="AA170" s="18"/>
    </row>
    <row r="171" spans="1:27" ht="15.75" hidden="1" customHeight="1" outlineLevel="1" x14ac:dyDescent="0.3">
      <c r="A171" s="3"/>
      <c r="B171" s="10" t="s">
        <v>1594</v>
      </c>
      <c r="C171" s="80"/>
      <c r="D171" s="62"/>
      <c r="E171" s="12">
        <v>0</v>
      </c>
      <c r="F171" s="12">
        <v>0</v>
      </c>
      <c r="G171" s="70"/>
      <c r="H171" s="63"/>
      <c r="I171" s="63"/>
      <c r="J171" s="3"/>
      <c r="K171" s="3"/>
      <c r="L171" s="3"/>
      <c r="M171" s="3"/>
      <c r="N171" s="3"/>
      <c r="O171" s="3"/>
      <c r="P171" s="3"/>
      <c r="Q171" s="3"/>
      <c r="R171" s="3"/>
      <c r="S171" s="3"/>
      <c r="T171" s="3"/>
      <c r="U171" s="3"/>
      <c r="V171" s="3"/>
      <c r="W171" s="44"/>
      <c r="X171" s="41"/>
      <c r="Y171" s="3"/>
      <c r="Z171" s="3"/>
      <c r="AA171" s="18"/>
    </row>
    <row r="172" spans="1:27" ht="15.75" hidden="1" customHeight="1" outlineLevel="1" x14ac:dyDescent="0.3">
      <c r="A172" s="3"/>
      <c r="B172" s="10" t="s">
        <v>1594</v>
      </c>
      <c r="C172" s="62"/>
      <c r="D172" s="62"/>
      <c r="E172" s="12">
        <v>0</v>
      </c>
      <c r="F172" s="12">
        <v>0</v>
      </c>
      <c r="G172" s="69"/>
      <c r="H172" s="63"/>
      <c r="I172" s="63"/>
      <c r="J172" s="3"/>
      <c r="K172" s="3"/>
      <c r="L172" s="3"/>
      <c r="M172" s="3"/>
      <c r="N172" s="3"/>
      <c r="O172" s="3"/>
      <c r="P172" s="3"/>
      <c r="Q172" s="3"/>
      <c r="R172" s="3"/>
      <c r="S172" s="3"/>
      <c r="T172" s="3"/>
      <c r="U172" s="3"/>
      <c r="V172" s="3"/>
      <c r="W172" s="44"/>
      <c r="X172" s="41"/>
      <c r="Y172" s="3"/>
      <c r="Z172" s="3"/>
      <c r="AA172" s="18"/>
    </row>
    <row r="173" spans="1:27" ht="15.75" hidden="1" customHeight="1" outlineLevel="1" x14ac:dyDescent="0.3">
      <c r="A173" s="3"/>
      <c r="B173" s="10" t="s">
        <v>1594</v>
      </c>
      <c r="C173" s="62"/>
      <c r="D173" s="62"/>
      <c r="E173" s="12">
        <v>0</v>
      </c>
      <c r="F173" s="12">
        <v>0</v>
      </c>
      <c r="G173" s="70"/>
      <c r="H173" s="63"/>
      <c r="I173" s="63"/>
      <c r="J173" s="3"/>
      <c r="K173" s="3"/>
      <c r="L173" s="3"/>
      <c r="M173" s="3"/>
      <c r="N173" s="3"/>
      <c r="O173" s="3"/>
      <c r="P173" s="3"/>
      <c r="Q173" s="3"/>
      <c r="R173" s="3"/>
      <c r="S173" s="3"/>
      <c r="T173" s="3"/>
      <c r="U173" s="3"/>
      <c r="V173" s="3"/>
      <c r="W173" s="44"/>
      <c r="X173" s="41"/>
      <c r="Y173" s="3"/>
      <c r="Z173" s="3"/>
      <c r="AA173" s="18"/>
    </row>
    <row r="174" spans="1:27" ht="15.75" hidden="1" customHeight="1" outlineLevel="1" x14ac:dyDescent="0.3">
      <c r="A174" s="3"/>
      <c r="B174" s="10" t="s">
        <v>1613</v>
      </c>
      <c r="C174" s="62"/>
      <c r="D174" s="62"/>
      <c r="E174" s="12">
        <v>0</v>
      </c>
      <c r="F174" s="12">
        <v>0</v>
      </c>
      <c r="G174" s="69"/>
      <c r="H174" s="63"/>
      <c r="I174" s="63"/>
      <c r="J174" s="3"/>
      <c r="K174" s="3"/>
      <c r="L174" s="3"/>
      <c r="M174" s="3"/>
      <c r="N174" s="3"/>
      <c r="O174" s="3"/>
      <c r="P174" s="3"/>
      <c r="Q174" s="3"/>
      <c r="R174" s="3"/>
      <c r="S174" s="3"/>
      <c r="T174" s="3"/>
      <c r="U174" s="3"/>
      <c r="V174" s="3"/>
      <c r="W174" s="44"/>
      <c r="X174" s="41"/>
      <c r="Y174" s="3"/>
      <c r="Z174" s="3"/>
      <c r="AA174" s="18"/>
    </row>
    <row r="175" spans="1:27" ht="15.75" hidden="1" customHeight="1" outlineLevel="1" x14ac:dyDescent="0.3">
      <c r="A175" s="3"/>
      <c r="B175" s="10" t="s">
        <v>1614</v>
      </c>
      <c r="C175" s="62"/>
      <c r="D175" s="62"/>
      <c r="E175" s="12">
        <v>0</v>
      </c>
      <c r="F175" s="12">
        <v>0</v>
      </c>
      <c r="G175" s="69"/>
      <c r="H175" s="63"/>
      <c r="I175" s="63"/>
      <c r="J175" s="3"/>
      <c r="K175" s="3"/>
      <c r="L175" s="3"/>
      <c r="M175" s="3"/>
      <c r="N175" s="3"/>
      <c r="O175" s="3"/>
      <c r="P175" s="3"/>
      <c r="Q175" s="3"/>
      <c r="R175" s="3"/>
      <c r="S175" s="3"/>
      <c r="T175" s="3"/>
      <c r="U175" s="3"/>
      <c r="V175" s="3"/>
      <c r="W175" s="44"/>
      <c r="X175" s="41"/>
      <c r="Y175" s="3"/>
      <c r="Z175" s="3"/>
      <c r="AA175" s="18"/>
    </row>
    <row r="176" spans="1:27" ht="15.75" hidden="1" customHeight="1" outlineLevel="1" x14ac:dyDescent="0.3">
      <c r="A176" s="3"/>
      <c r="B176" s="10" t="s">
        <v>540</v>
      </c>
      <c r="C176" s="62"/>
      <c r="D176" s="62"/>
      <c r="E176" s="12">
        <v>0</v>
      </c>
      <c r="F176" s="12">
        <v>0</v>
      </c>
      <c r="G176" s="69"/>
      <c r="H176" s="63"/>
      <c r="I176" s="63"/>
      <c r="J176" s="3"/>
      <c r="K176" s="3"/>
      <c r="L176" s="3"/>
      <c r="M176" s="3"/>
      <c r="N176" s="3"/>
      <c r="O176" s="3"/>
      <c r="P176" s="3"/>
      <c r="Q176" s="3"/>
      <c r="R176" s="3"/>
      <c r="S176" s="3"/>
      <c r="T176" s="3"/>
      <c r="U176" s="3"/>
      <c r="V176" s="3"/>
      <c r="W176" s="44"/>
      <c r="X176" s="41"/>
      <c r="Y176" s="3"/>
      <c r="Z176" s="3"/>
      <c r="AA176" s="18"/>
    </row>
    <row r="177" spans="1:27" ht="15.75" hidden="1" customHeight="1" outlineLevel="1" x14ac:dyDescent="0.3">
      <c r="A177" s="3"/>
      <c r="B177" s="10" t="s">
        <v>61</v>
      </c>
      <c r="C177" s="62"/>
      <c r="D177" s="62"/>
      <c r="E177" s="12">
        <v>0</v>
      </c>
      <c r="F177" s="12">
        <v>0</v>
      </c>
      <c r="G177" s="69"/>
      <c r="H177" s="63"/>
      <c r="I177" s="63"/>
      <c r="J177" s="3"/>
      <c r="K177" s="3"/>
      <c r="L177" s="3"/>
      <c r="M177" s="3"/>
      <c r="N177" s="3"/>
      <c r="O177" s="3"/>
      <c r="P177" s="3"/>
      <c r="Q177" s="3"/>
      <c r="R177" s="3"/>
      <c r="S177" s="3"/>
      <c r="T177" s="3"/>
      <c r="U177" s="3"/>
      <c r="V177" s="3"/>
      <c r="W177" s="44"/>
      <c r="X177" s="41"/>
      <c r="Y177" s="3"/>
      <c r="Z177" s="3"/>
      <c r="AA177" s="18"/>
    </row>
    <row r="178" spans="1:27" ht="15.75" hidden="1" customHeight="1" outlineLevel="1" x14ac:dyDescent="0.3">
      <c r="A178" s="3"/>
      <c r="B178" s="10" t="s">
        <v>61</v>
      </c>
      <c r="C178" s="62"/>
      <c r="D178" s="62"/>
      <c r="E178" s="12">
        <v>0</v>
      </c>
      <c r="F178" s="12">
        <v>0</v>
      </c>
      <c r="G178" s="69"/>
      <c r="H178" s="63"/>
      <c r="I178" s="63"/>
      <c r="J178" s="3"/>
      <c r="K178" s="3"/>
      <c r="L178" s="3"/>
      <c r="M178" s="3"/>
      <c r="N178" s="3"/>
      <c r="O178" s="3"/>
      <c r="P178" s="3"/>
      <c r="Q178" s="3"/>
      <c r="R178" s="3"/>
      <c r="S178" s="3"/>
      <c r="T178" s="3"/>
      <c r="U178" s="3"/>
      <c r="V178" s="3"/>
      <c r="W178" s="44"/>
      <c r="X178" s="41"/>
      <c r="Y178" s="3"/>
      <c r="Z178" s="3"/>
      <c r="AA178" s="18"/>
    </row>
    <row r="179" spans="1:27" ht="15.75" hidden="1" customHeight="1" outlineLevel="1" x14ac:dyDescent="0.3">
      <c r="A179" s="3"/>
      <c r="B179" s="10" t="s">
        <v>61</v>
      </c>
      <c r="C179" s="62"/>
      <c r="D179" s="62"/>
      <c r="E179" s="12">
        <v>0</v>
      </c>
      <c r="F179" s="12">
        <v>0</v>
      </c>
      <c r="G179" s="69"/>
      <c r="H179" s="63"/>
      <c r="I179" s="63"/>
      <c r="J179" s="3"/>
      <c r="K179" s="3"/>
      <c r="L179" s="3"/>
      <c r="M179" s="3"/>
      <c r="N179" s="3"/>
      <c r="O179" s="3"/>
      <c r="P179" s="3"/>
      <c r="Q179" s="3"/>
      <c r="R179" s="3"/>
      <c r="S179" s="3"/>
      <c r="T179" s="3"/>
      <c r="U179" s="3"/>
      <c r="V179" s="3"/>
      <c r="W179" s="44"/>
      <c r="X179" s="41"/>
      <c r="Y179" s="3"/>
      <c r="Z179" s="3"/>
      <c r="AA179" s="18"/>
    </row>
    <row r="180" spans="1:27" ht="15.75" hidden="1" customHeight="1" outlineLevel="1" x14ac:dyDescent="0.3">
      <c r="A180" s="3"/>
      <c r="B180" s="10" t="s">
        <v>61</v>
      </c>
      <c r="C180" s="62"/>
      <c r="D180" s="62"/>
      <c r="E180" s="12">
        <v>0</v>
      </c>
      <c r="F180" s="12">
        <v>0</v>
      </c>
      <c r="G180" s="69"/>
      <c r="H180" s="63"/>
      <c r="I180" s="63"/>
      <c r="J180" s="3"/>
      <c r="K180" s="3"/>
      <c r="L180" s="3"/>
      <c r="M180" s="3"/>
      <c r="N180" s="3"/>
      <c r="O180" s="3"/>
      <c r="P180" s="3"/>
      <c r="Q180" s="3"/>
      <c r="R180" s="3"/>
      <c r="S180" s="3"/>
      <c r="T180" s="3"/>
      <c r="U180" s="3"/>
      <c r="V180" s="3"/>
      <c r="W180" s="44"/>
      <c r="X180" s="41"/>
      <c r="Y180" s="3"/>
      <c r="Z180" s="3"/>
      <c r="AA180" s="18"/>
    </row>
    <row r="181" spans="1:27" ht="15.75" hidden="1" customHeight="1" outlineLevel="1" x14ac:dyDescent="0.3">
      <c r="A181" s="3"/>
      <c r="B181" s="10" t="s">
        <v>61</v>
      </c>
      <c r="C181" s="62"/>
      <c r="D181" s="62"/>
      <c r="E181" s="12">
        <v>0</v>
      </c>
      <c r="F181" s="12">
        <v>0</v>
      </c>
      <c r="G181" s="69"/>
      <c r="H181" s="63"/>
      <c r="I181" s="63"/>
      <c r="J181" s="3"/>
      <c r="K181" s="3"/>
      <c r="L181" s="3"/>
      <c r="M181" s="3"/>
      <c r="N181" s="3"/>
      <c r="O181" s="3"/>
      <c r="P181" s="3"/>
      <c r="Q181" s="3"/>
      <c r="R181" s="3"/>
      <c r="S181" s="3"/>
      <c r="T181" s="3"/>
      <c r="U181" s="3"/>
      <c r="V181" s="3"/>
      <c r="W181" s="44"/>
      <c r="X181" s="41"/>
      <c r="Y181" s="3"/>
      <c r="Z181" s="3"/>
      <c r="AA181" s="18"/>
    </row>
    <row r="182" spans="1:27" ht="15.75" hidden="1" customHeight="1" outlineLevel="1" x14ac:dyDescent="0.3">
      <c r="A182" s="3"/>
      <c r="B182" s="10" t="s">
        <v>61</v>
      </c>
      <c r="C182" s="62"/>
      <c r="D182" s="62"/>
      <c r="E182" s="12">
        <v>0</v>
      </c>
      <c r="F182" s="12">
        <v>0</v>
      </c>
      <c r="G182" s="69"/>
      <c r="H182" s="63"/>
      <c r="I182" s="63"/>
      <c r="J182" s="3"/>
      <c r="K182" s="3"/>
      <c r="L182" s="3"/>
      <c r="M182" s="3"/>
      <c r="N182" s="3"/>
      <c r="O182" s="3"/>
      <c r="P182" s="3"/>
      <c r="Q182" s="3"/>
      <c r="R182" s="3"/>
      <c r="S182" s="3"/>
      <c r="T182" s="3"/>
      <c r="U182" s="3"/>
      <c r="V182" s="3"/>
      <c r="W182" s="44"/>
      <c r="X182" s="41"/>
      <c r="Y182" s="3"/>
      <c r="Z182" s="3"/>
      <c r="AA182" s="18"/>
    </row>
    <row r="183" spans="1:27" ht="15.75" hidden="1" customHeight="1" outlineLevel="1" x14ac:dyDescent="0.3">
      <c r="A183" s="3"/>
      <c r="B183" s="10" t="s">
        <v>61</v>
      </c>
      <c r="C183" s="62"/>
      <c r="D183" s="62"/>
      <c r="E183" s="12">
        <v>0</v>
      </c>
      <c r="F183" s="12">
        <v>0</v>
      </c>
      <c r="G183" s="69"/>
      <c r="H183" s="63"/>
      <c r="I183" s="63"/>
      <c r="J183" s="3"/>
      <c r="K183" s="3"/>
      <c r="L183" s="3"/>
      <c r="M183" s="3"/>
      <c r="N183" s="3"/>
      <c r="O183" s="3"/>
      <c r="P183" s="3"/>
      <c r="Q183" s="3"/>
      <c r="R183" s="3"/>
      <c r="S183" s="3"/>
      <c r="T183" s="3"/>
      <c r="U183" s="3"/>
      <c r="V183" s="3"/>
      <c r="W183" s="44"/>
      <c r="X183" s="41"/>
      <c r="Y183" s="3"/>
      <c r="Z183" s="3"/>
      <c r="AA183" s="18"/>
    </row>
    <row r="184" spans="1:27" ht="19.5" customHeight="1" collapsed="1" x14ac:dyDescent="0.3">
      <c r="A184" s="3"/>
      <c r="B184" s="73" t="s">
        <v>63</v>
      </c>
      <c r="C184" s="56" t="s">
        <v>43</v>
      </c>
      <c r="D184" s="56" t="s">
        <v>43</v>
      </c>
      <c r="E184" s="57">
        <f>SUM(E185:E187)</f>
        <v>0</v>
      </c>
      <c r="F184" s="57">
        <f>SUMIF(D185:D187,"OK",F185:F187)</f>
        <v>0</v>
      </c>
      <c r="G184" s="58" t="s">
        <v>43</v>
      </c>
      <c r="H184" s="74"/>
      <c r="I184" s="74"/>
      <c r="J184" s="3"/>
      <c r="K184" s="3"/>
      <c r="L184" s="3"/>
      <c r="M184" s="3"/>
      <c r="N184" s="3"/>
      <c r="O184" s="3"/>
      <c r="P184" s="3"/>
      <c r="Q184" s="3"/>
      <c r="R184" s="3"/>
      <c r="S184" s="3"/>
      <c r="T184" s="3"/>
      <c r="U184" s="3"/>
      <c r="V184" s="3"/>
      <c r="W184" s="44"/>
      <c r="X184" s="41"/>
      <c r="Y184" s="3"/>
      <c r="Z184" s="3"/>
      <c r="AA184" s="18"/>
    </row>
    <row r="185" spans="1:27" ht="15.75" hidden="1" customHeight="1" outlineLevel="1" x14ac:dyDescent="0.3">
      <c r="A185" s="3"/>
      <c r="B185" s="10" t="s">
        <v>1562</v>
      </c>
      <c r="C185" s="62"/>
      <c r="D185" s="62"/>
      <c r="E185" s="12">
        <v>0</v>
      </c>
      <c r="F185" s="12">
        <v>0</v>
      </c>
      <c r="G185" s="69"/>
      <c r="H185" s="63"/>
      <c r="I185" s="63"/>
      <c r="J185" s="3"/>
      <c r="K185" s="3"/>
      <c r="L185" s="3"/>
      <c r="M185" s="3"/>
      <c r="N185" s="3"/>
      <c r="O185" s="3"/>
      <c r="P185" s="3"/>
      <c r="Q185" s="3"/>
      <c r="R185" s="3"/>
      <c r="S185" s="3"/>
      <c r="T185" s="3"/>
      <c r="U185" s="3"/>
      <c r="V185" s="3"/>
      <c r="W185" s="44"/>
      <c r="X185" s="41"/>
      <c r="Y185" s="3"/>
      <c r="Z185" s="3"/>
      <c r="AA185" s="18"/>
    </row>
    <row r="186" spans="1:27" ht="15.75" hidden="1" customHeight="1" outlineLevel="1" x14ac:dyDescent="0.3">
      <c r="A186" s="3"/>
      <c r="B186" s="10" t="s">
        <v>1562</v>
      </c>
      <c r="C186" s="62"/>
      <c r="D186" s="62"/>
      <c r="E186" s="12">
        <v>0</v>
      </c>
      <c r="F186" s="12">
        <v>0</v>
      </c>
      <c r="G186" s="69"/>
      <c r="H186" s="63"/>
      <c r="I186" s="63"/>
      <c r="J186" s="3"/>
      <c r="K186" s="3"/>
      <c r="L186" s="3"/>
      <c r="M186" s="3"/>
      <c r="N186" s="3"/>
      <c r="O186" s="3"/>
      <c r="P186" s="3"/>
      <c r="Q186" s="3"/>
      <c r="R186" s="3"/>
      <c r="S186" s="3"/>
      <c r="T186" s="3"/>
      <c r="U186" s="3"/>
      <c r="V186" s="3"/>
      <c r="W186" s="44"/>
      <c r="X186" s="41"/>
      <c r="Y186" s="3"/>
      <c r="Z186" s="3"/>
      <c r="AA186" s="18"/>
    </row>
    <row r="187" spans="1:27" ht="15.75" hidden="1" customHeight="1" outlineLevel="1" x14ac:dyDescent="0.3">
      <c r="A187" s="3"/>
      <c r="B187" s="10" t="s">
        <v>63</v>
      </c>
      <c r="C187" s="62"/>
      <c r="D187" s="62"/>
      <c r="E187" s="12">
        <v>0</v>
      </c>
      <c r="F187" s="12">
        <v>0</v>
      </c>
      <c r="G187" s="70"/>
      <c r="H187" s="63"/>
      <c r="I187" s="63"/>
      <c r="J187" s="3"/>
      <c r="K187" s="3"/>
      <c r="L187" s="3"/>
      <c r="M187" s="3"/>
      <c r="N187" s="3"/>
      <c r="O187" s="3"/>
      <c r="P187" s="3"/>
      <c r="Q187" s="3"/>
      <c r="R187" s="3"/>
      <c r="S187" s="3"/>
      <c r="T187" s="3"/>
      <c r="U187" s="3"/>
      <c r="V187" s="3"/>
      <c r="W187" s="44"/>
      <c r="X187" s="41"/>
      <c r="Y187" s="3"/>
      <c r="Z187" s="3"/>
      <c r="AA187" s="18"/>
    </row>
    <row r="188" spans="1:27" ht="19.5" customHeight="1" collapsed="1" x14ac:dyDescent="0.3">
      <c r="A188" s="3"/>
      <c r="B188" s="73" t="s">
        <v>259</v>
      </c>
      <c r="C188" s="56" t="s">
        <v>43</v>
      </c>
      <c r="D188" s="56" t="s">
        <v>43</v>
      </c>
      <c r="E188" s="57">
        <f>SUM(E189:E195)</f>
        <v>0</v>
      </c>
      <c r="F188" s="57">
        <f>SUMIF(D189:D195,"OK",F189:F195)</f>
        <v>0</v>
      </c>
      <c r="G188" s="58" t="s">
        <v>43</v>
      </c>
      <c r="H188" s="74"/>
      <c r="I188" s="74"/>
      <c r="J188" s="3"/>
      <c r="K188" s="3"/>
      <c r="L188" s="3"/>
      <c r="M188" s="3"/>
      <c r="N188" s="3"/>
      <c r="O188" s="3"/>
      <c r="P188" s="3"/>
      <c r="Q188" s="3"/>
      <c r="R188" s="3"/>
      <c r="S188" s="3"/>
      <c r="T188" s="3"/>
      <c r="U188" s="3"/>
      <c r="V188" s="3"/>
      <c r="W188" s="44"/>
      <c r="X188" s="41"/>
      <c r="Y188" s="3"/>
      <c r="Z188" s="3"/>
      <c r="AA188" s="18"/>
    </row>
    <row r="189" spans="1:27" ht="15.75" hidden="1" customHeight="1" outlineLevel="1" x14ac:dyDescent="0.3">
      <c r="A189" s="3"/>
      <c r="B189" s="10" t="s">
        <v>260</v>
      </c>
      <c r="C189" s="62"/>
      <c r="D189" s="62"/>
      <c r="E189" s="12">
        <v>0</v>
      </c>
      <c r="F189" s="12">
        <v>0</v>
      </c>
      <c r="G189" s="67"/>
      <c r="H189" s="63" t="s">
        <v>37</v>
      </c>
      <c r="I189" s="63"/>
      <c r="J189" s="3"/>
      <c r="K189" s="3"/>
      <c r="L189" s="3"/>
      <c r="M189" s="3"/>
      <c r="N189" s="3"/>
      <c r="O189" s="3"/>
      <c r="P189" s="3"/>
      <c r="Q189" s="3"/>
      <c r="R189" s="3"/>
      <c r="S189" s="3"/>
      <c r="T189" s="3"/>
      <c r="U189" s="3"/>
      <c r="V189" s="3"/>
      <c r="W189" s="44"/>
      <c r="X189" s="41"/>
      <c r="Y189" s="3"/>
      <c r="Z189" s="3"/>
      <c r="AA189" s="18"/>
    </row>
    <row r="190" spans="1:27" ht="15.75" hidden="1" customHeight="1" outlineLevel="1" x14ac:dyDescent="0.3">
      <c r="A190" s="3"/>
      <c r="B190" s="10" t="s">
        <v>261</v>
      </c>
      <c r="C190" s="62"/>
      <c r="D190" s="62"/>
      <c r="E190" s="12">
        <v>0</v>
      </c>
      <c r="F190" s="12">
        <v>0</v>
      </c>
      <c r="G190" s="69"/>
      <c r="H190" s="63" t="s">
        <v>38</v>
      </c>
      <c r="I190" s="63"/>
      <c r="J190" s="3"/>
      <c r="K190" s="3"/>
      <c r="L190" s="3"/>
      <c r="M190" s="3"/>
      <c r="N190" s="3"/>
      <c r="O190" s="3"/>
      <c r="P190" s="3"/>
      <c r="Q190" s="3"/>
      <c r="R190" s="3"/>
      <c r="S190" s="3"/>
      <c r="T190" s="3"/>
      <c r="U190" s="3"/>
      <c r="V190" s="3"/>
      <c r="W190" s="44"/>
      <c r="X190" s="41"/>
      <c r="Y190" s="3"/>
      <c r="Z190" s="3"/>
      <c r="AA190" s="18"/>
    </row>
    <row r="191" spans="1:27" ht="15.75" hidden="1" customHeight="1" outlineLevel="1" x14ac:dyDescent="0.3">
      <c r="A191" s="3"/>
      <c r="B191" s="10" t="s">
        <v>263</v>
      </c>
      <c r="C191" s="62"/>
      <c r="D191" s="62"/>
      <c r="E191" s="12">
        <v>0</v>
      </c>
      <c r="F191" s="12">
        <v>0</v>
      </c>
      <c r="G191" s="67"/>
      <c r="H191" s="63" t="s">
        <v>234</v>
      </c>
      <c r="I191" s="63"/>
      <c r="J191" s="3"/>
      <c r="K191" s="3"/>
      <c r="L191" s="3"/>
      <c r="M191" s="3"/>
      <c r="N191" s="3"/>
      <c r="O191" s="3"/>
      <c r="P191" s="3"/>
      <c r="Q191" s="3"/>
      <c r="R191" s="3"/>
      <c r="S191" s="3"/>
      <c r="T191" s="3"/>
      <c r="U191" s="3"/>
      <c r="V191" s="3"/>
      <c r="W191" s="44"/>
      <c r="X191" s="41"/>
      <c r="Y191" s="3"/>
      <c r="Z191" s="3"/>
      <c r="AA191" s="18"/>
    </row>
    <row r="192" spans="1:27" ht="15.75" hidden="1" customHeight="1" outlineLevel="1" x14ac:dyDescent="0.3">
      <c r="A192" s="3"/>
      <c r="B192" s="10" t="s">
        <v>264</v>
      </c>
      <c r="C192" s="62"/>
      <c r="D192" s="62"/>
      <c r="E192" s="12">
        <v>0</v>
      </c>
      <c r="F192" s="12">
        <v>0</v>
      </c>
      <c r="G192" s="67"/>
      <c r="H192" s="63" t="s">
        <v>265</v>
      </c>
      <c r="I192" s="63"/>
      <c r="J192" s="3"/>
      <c r="K192" s="3"/>
      <c r="L192" s="3"/>
      <c r="M192" s="3"/>
      <c r="N192" s="3"/>
      <c r="O192" s="3"/>
      <c r="P192" s="3"/>
      <c r="Q192" s="3"/>
      <c r="R192" s="3"/>
      <c r="S192" s="3"/>
      <c r="T192" s="3"/>
      <c r="U192" s="3"/>
      <c r="V192" s="3"/>
      <c r="W192" s="44"/>
      <c r="X192" s="41"/>
      <c r="Y192" s="3"/>
      <c r="Z192" s="3"/>
      <c r="AA192" s="18"/>
    </row>
    <row r="193" spans="1:27" ht="15.75" hidden="1" customHeight="1" outlineLevel="1" x14ac:dyDescent="0.3">
      <c r="A193" s="3"/>
      <c r="B193" s="10" t="s">
        <v>551</v>
      </c>
      <c r="C193" s="62"/>
      <c r="D193" s="62"/>
      <c r="E193" s="12">
        <v>0</v>
      </c>
      <c r="F193" s="12">
        <v>0</v>
      </c>
      <c r="G193" s="67"/>
      <c r="H193" s="63" t="s">
        <v>39</v>
      </c>
      <c r="I193" s="63"/>
      <c r="J193" s="3"/>
      <c r="K193" s="3"/>
      <c r="L193" s="3"/>
      <c r="M193" s="3"/>
      <c r="N193" s="3"/>
      <c r="O193" s="3"/>
      <c r="P193" s="3"/>
      <c r="Q193" s="3"/>
      <c r="R193" s="3"/>
      <c r="S193" s="3"/>
      <c r="T193" s="3"/>
      <c r="U193" s="3"/>
      <c r="V193" s="3"/>
      <c r="W193" s="44"/>
      <c r="X193" s="41"/>
      <c r="Y193" s="3"/>
      <c r="Z193" s="3"/>
      <c r="AA193" s="18"/>
    </row>
    <row r="194" spans="1:27" ht="15.75" hidden="1" customHeight="1" outlineLevel="1" x14ac:dyDescent="0.3">
      <c r="A194" s="3"/>
      <c r="B194" s="10" t="s">
        <v>1524</v>
      </c>
      <c r="C194" s="62"/>
      <c r="D194" s="62"/>
      <c r="E194" s="12">
        <v>0</v>
      </c>
      <c r="F194" s="12">
        <v>0</v>
      </c>
      <c r="G194" s="67"/>
      <c r="H194" s="63" t="s">
        <v>38</v>
      </c>
      <c r="I194" s="63"/>
      <c r="J194" s="3"/>
      <c r="K194" s="3"/>
      <c r="L194" s="3"/>
      <c r="M194" s="3"/>
      <c r="N194" s="3"/>
      <c r="O194" s="3"/>
      <c r="P194" s="3"/>
      <c r="Q194" s="3"/>
      <c r="R194" s="3"/>
      <c r="S194" s="3"/>
      <c r="T194" s="3"/>
      <c r="U194" s="3"/>
      <c r="V194" s="3"/>
      <c r="W194" s="44"/>
      <c r="X194" s="41"/>
      <c r="Y194" s="3"/>
      <c r="Z194" s="3"/>
      <c r="AA194" s="18"/>
    </row>
    <row r="195" spans="1:27" ht="15.75" hidden="1" customHeight="1" outlineLevel="1" x14ac:dyDescent="0.3">
      <c r="A195" s="3"/>
      <c r="B195" s="10" t="s">
        <v>916</v>
      </c>
      <c r="C195" s="62"/>
      <c r="D195" s="62"/>
      <c r="E195" s="12">
        <v>0</v>
      </c>
      <c r="F195" s="12">
        <v>0</v>
      </c>
      <c r="G195" s="67"/>
      <c r="H195" s="63"/>
      <c r="I195" s="63"/>
      <c r="J195" s="3"/>
      <c r="K195" s="3"/>
      <c r="L195" s="3"/>
      <c r="M195" s="3"/>
      <c r="N195" s="3"/>
      <c r="O195" s="3"/>
      <c r="P195" s="3"/>
      <c r="Q195" s="3"/>
      <c r="R195" s="3"/>
      <c r="S195" s="3"/>
      <c r="T195" s="3"/>
      <c r="U195" s="3"/>
      <c r="V195" s="3"/>
      <c r="W195" s="44"/>
      <c r="X195" s="41"/>
      <c r="Y195" s="3"/>
      <c r="Z195" s="3"/>
      <c r="AA195" s="18"/>
    </row>
    <row r="196" spans="1:27" ht="15.75" customHeight="1" collapsed="1" x14ac:dyDescent="0.3">
      <c r="A196" s="3"/>
      <c r="B196" s="3"/>
      <c r="C196" s="37"/>
      <c r="D196" s="37"/>
      <c r="E196" s="37"/>
      <c r="F196" s="37"/>
      <c r="G196" s="123"/>
      <c r="H196" s="37"/>
      <c r="I196" s="37"/>
      <c r="J196" s="37"/>
      <c r="K196" s="37"/>
      <c r="L196" s="37"/>
      <c r="M196" s="37"/>
      <c r="N196" s="37"/>
      <c r="O196" s="37"/>
      <c r="P196" s="37"/>
      <c r="Q196" s="37"/>
      <c r="R196" s="37"/>
      <c r="S196" s="37"/>
      <c r="T196" s="37"/>
      <c r="U196" s="37"/>
      <c r="V196" s="37"/>
      <c r="W196" s="44"/>
      <c r="X196" s="41"/>
    </row>
    <row r="197" spans="1:27" ht="15.75" customHeight="1" x14ac:dyDescent="0.3">
      <c r="A197" s="3"/>
      <c r="B197" s="3"/>
      <c r="C197" s="37"/>
      <c r="D197" s="37"/>
      <c r="E197" s="37"/>
      <c r="F197" s="111"/>
      <c r="G197" s="123"/>
      <c r="H197" s="37"/>
      <c r="I197" s="37"/>
      <c r="J197" s="37"/>
      <c r="K197" s="37"/>
      <c r="L197" s="37"/>
      <c r="M197" s="37"/>
      <c r="N197" s="37"/>
      <c r="O197" s="37"/>
      <c r="P197" s="37"/>
      <c r="Q197" s="37"/>
      <c r="R197" s="37"/>
      <c r="S197" s="37"/>
      <c r="T197" s="37"/>
      <c r="U197" s="37"/>
      <c r="V197" s="37"/>
      <c r="W197" s="44"/>
      <c r="X197" s="41"/>
    </row>
    <row r="198" spans="1:27" ht="15.75" customHeight="1" x14ac:dyDescent="0.3">
      <c r="A198" s="3"/>
      <c r="B198" s="3"/>
      <c r="C198" s="37"/>
      <c r="D198" s="37"/>
      <c r="E198" s="37"/>
      <c r="F198" s="37"/>
      <c r="G198" s="123"/>
      <c r="H198" s="37"/>
      <c r="I198" s="37"/>
      <c r="J198" s="37"/>
      <c r="K198" s="37"/>
      <c r="L198" s="37"/>
      <c r="M198" s="37"/>
      <c r="N198" s="37"/>
      <c r="O198" s="37"/>
      <c r="P198" s="37"/>
      <c r="Q198" s="37"/>
      <c r="R198" s="37"/>
      <c r="S198" s="37"/>
      <c r="T198" s="37"/>
      <c r="U198" s="37"/>
      <c r="V198" s="37"/>
      <c r="W198" s="44"/>
      <c r="X198" s="41"/>
    </row>
    <row r="199" spans="1:27" ht="15.75" customHeight="1" x14ac:dyDescent="0.3">
      <c r="A199" s="3"/>
      <c r="B199" s="3"/>
      <c r="C199" s="37"/>
      <c r="D199" s="37"/>
      <c r="E199" s="37"/>
      <c r="F199" s="37"/>
      <c r="G199" s="123"/>
      <c r="H199" s="37"/>
      <c r="I199" s="37"/>
      <c r="J199" s="37"/>
      <c r="K199" s="37"/>
      <c r="L199" s="37"/>
      <c r="M199" s="37"/>
      <c r="N199" s="37"/>
      <c r="O199" s="37"/>
      <c r="P199" s="37"/>
      <c r="Q199" s="37"/>
      <c r="R199" s="37"/>
      <c r="S199" s="37"/>
      <c r="T199" s="37"/>
      <c r="U199" s="37"/>
      <c r="V199" s="37"/>
      <c r="W199" s="44"/>
      <c r="X199" s="41"/>
    </row>
    <row r="200" spans="1:27" ht="15.75" customHeight="1" x14ac:dyDescent="0.3">
      <c r="A200" s="3"/>
      <c r="B200" s="3"/>
      <c r="C200" s="37"/>
      <c r="D200" s="37"/>
      <c r="E200" s="37"/>
      <c r="F200" s="37"/>
      <c r="G200" s="123"/>
      <c r="H200" s="37"/>
      <c r="I200" s="37"/>
      <c r="J200" s="37"/>
      <c r="K200" s="37"/>
      <c r="L200" s="37"/>
      <c r="M200" s="37"/>
      <c r="N200" s="37"/>
      <c r="O200" s="37"/>
      <c r="P200" s="37"/>
      <c r="Q200" s="37"/>
      <c r="R200" s="37"/>
      <c r="S200" s="37"/>
      <c r="T200" s="37"/>
      <c r="U200" s="37"/>
      <c r="V200" s="37"/>
      <c r="W200" s="44"/>
      <c r="X200" s="41"/>
    </row>
    <row r="201" spans="1:27" ht="15.75" customHeight="1" x14ac:dyDescent="0.3">
      <c r="A201" s="3"/>
      <c r="B201" s="3"/>
      <c r="C201" s="37"/>
      <c r="D201" s="37"/>
      <c r="E201" s="37"/>
      <c r="F201" s="111"/>
      <c r="G201" s="123"/>
      <c r="H201" s="37"/>
      <c r="I201" s="37"/>
      <c r="J201" s="37"/>
      <c r="K201" s="37"/>
      <c r="L201" s="37"/>
      <c r="M201" s="37"/>
      <c r="N201" s="37"/>
      <c r="O201" s="37"/>
      <c r="P201" s="37"/>
      <c r="Q201" s="37"/>
      <c r="R201" s="37"/>
      <c r="S201" s="37"/>
      <c r="T201" s="37"/>
      <c r="U201" s="37"/>
      <c r="V201" s="37"/>
      <c r="W201" s="44"/>
      <c r="X201" s="41"/>
    </row>
    <row r="202" spans="1:27" ht="15.75" customHeight="1" x14ac:dyDescent="0.3">
      <c r="A202" s="3"/>
      <c r="B202" s="3"/>
      <c r="C202" s="37"/>
      <c r="D202" s="37"/>
      <c r="E202" s="37"/>
      <c r="F202" s="37"/>
      <c r="G202" s="123"/>
      <c r="H202" s="37"/>
      <c r="I202" s="37"/>
      <c r="J202" s="37"/>
      <c r="K202" s="37"/>
      <c r="L202" s="37"/>
      <c r="M202" s="37"/>
      <c r="N202" s="37"/>
      <c r="O202" s="37"/>
      <c r="P202" s="37"/>
      <c r="Q202" s="37"/>
      <c r="R202" s="37"/>
      <c r="S202" s="37"/>
      <c r="T202" s="37"/>
      <c r="U202" s="37"/>
      <c r="V202" s="37"/>
      <c r="W202" s="44"/>
      <c r="X202" s="41"/>
    </row>
    <row r="203" spans="1:27" ht="15.75" customHeight="1" x14ac:dyDescent="0.3">
      <c r="A203" s="3"/>
      <c r="B203" s="3"/>
      <c r="C203" s="37"/>
      <c r="D203" s="37"/>
      <c r="E203" s="37"/>
      <c r="F203" s="37"/>
      <c r="G203" s="123"/>
      <c r="H203" s="37"/>
      <c r="I203" s="37"/>
      <c r="J203" s="37"/>
      <c r="K203" s="37"/>
      <c r="L203" s="37"/>
      <c r="M203" s="37"/>
      <c r="N203" s="37"/>
      <c r="O203" s="37"/>
      <c r="P203" s="37"/>
      <c r="Q203" s="37"/>
      <c r="R203" s="37"/>
      <c r="S203" s="37"/>
      <c r="T203" s="37"/>
      <c r="U203" s="37"/>
      <c r="V203" s="37"/>
      <c r="W203" s="44"/>
      <c r="X203" s="41"/>
    </row>
    <row r="204" spans="1:27" ht="15.75" customHeight="1" x14ac:dyDescent="0.3">
      <c r="A204" s="3"/>
      <c r="B204" s="3"/>
      <c r="C204" s="37"/>
      <c r="D204" s="37"/>
      <c r="E204" s="37"/>
      <c r="F204" s="37"/>
      <c r="G204" s="123"/>
      <c r="H204" s="37"/>
      <c r="I204" s="37"/>
      <c r="J204" s="37"/>
      <c r="K204" s="37"/>
      <c r="L204" s="37"/>
      <c r="M204" s="37"/>
      <c r="N204" s="37"/>
      <c r="O204" s="37"/>
      <c r="P204" s="37"/>
      <c r="Q204" s="37"/>
      <c r="R204" s="37"/>
      <c r="S204" s="37"/>
      <c r="T204" s="37"/>
      <c r="U204" s="37"/>
      <c r="V204" s="37"/>
      <c r="W204" s="44"/>
      <c r="X204" s="41"/>
    </row>
    <row r="205" spans="1:27" ht="15.75" customHeight="1" x14ac:dyDescent="0.3">
      <c r="A205" s="3"/>
      <c r="B205" s="3"/>
      <c r="C205" s="37"/>
      <c r="D205" s="37"/>
      <c r="E205" s="37"/>
      <c r="F205" s="37"/>
      <c r="G205" s="123"/>
      <c r="H205" s="37"/>
      <c r="I205" s="37"/>
      <c r="J205" s="37"/>
      <c r="K205" s="37"/>
      <c r="L205" s="37"/>
      <c r="M205" s="37"/>
      <c r="N205" s="37"/>
      <c r="O205" s="37"/>
      <c r="P205" s="37"/>
      <c r="Q205" s="37"/>
      <c r="R205" s="37"/>
      <c r="S205" s="37"/>
      <c r="T205" s="37"/>
      <c r="U205" s="37"/>
      <c r="V205" s="37"/>
      <c r="W205" s="44"/>
      <c r="X205" s="41"/>
    </row>
    <row r="206" spans="1:27" ht="15.75" customHeight="1" x14ac:dyDescent="0.3">
      <c r="A206" s="3"/>
      <c r="B206" s="3"/>
      <c r="C206" s="37"/>
      <c r="D206" s="37"/>
      <c r="E206" s="37"/>
      <c r="F206" s="37"/>
      <c r="G206" s="123"/>
      <c r="H206" s="37"/>
      <c r="I206" s="37"/>
      <c r="J206" s="37"/>
      <c r="K206" s="37"/>
      <c r="L206" s="37"/>
      <c r="M206" s="37"/>
      <c r="N206" s="37"/>
      <c r="O206" s="37"/>
      <c r="P206" s="37"/>
      <c r="Q206" s="37"/>
      <c r="R206" s="37"/>
      <c r="S206" s="37"/>
      <c r="T206" s="37"/>
      <c r="U206" s="37"/>
      <c r="V206" s="37"/>
      <c r="W206" s="44"/>
      <c r="X206" s="41"/>
    </row>
    <row r="207" spans="1:27" ht="15.75" customHeight="1" x14ac:dyDescent="0.3">
      <c r="A207" s="3"/>
      <c r="B207" s="3"/>
      <c r="C207" s="37"/>
      <c r="D207" s="37"/>
      <c r="E207" s="37"/>
      <c r="F207" s="37"/>
      <c r="G207" s="123"/>
      <c r="H207" s="37"/>
      <c r="I207" s="37"/>
      <c r="J207" s="37"/>
      <c r="K207" s="37"/>
      <c r="L207" s="37"/>
      <c r="M207" s="37"/>
      <c r="N207" s="37"/>
      <c r="O207" s="37"/>
      <c r="P207" s="37"/>
      <c r="Q207" s="37"/>
      <c r="R207" s="37"/>
      <c r="S207" s="37"/>
      <c r="T207" s="37"/>
      <c r="U207" s="37"/>
      <c r="V207" s="37"/>
      <c r="W207" s="44"/>
      <c r="X207" s="41"/>
    </row>
    <row r="208" spans="1:27" ht="15.75" customHeight="1" x14ac:dyDescent="0.3">
      <c r="A208" s="3"/>
      <c r="B208" s="3"/>
      <c r="C208" s="37"/>
      <c r="D208" s="37"/>
      <c r="E208" s="37"/>
      <c r="F208" s="37"/>
      <c r="G208" s="123"/>
      <c r="H208" s="37"/>
      <c r="I208" s="37"/>
      <c r="J208" s="37"/>
      <c r="K208" s="37"/>
      <c r="L208" s="37"/>
      <c r="M208" s="37"/>
      <c r="N208" s="37"/>
      <c r="O208" s="37"/>
      <c r="P208" s="37"/>
      <c r="Q208" s="37"/>
      <c r="R208" s="37"/>
      <c r="S208" s="37"/>
      <c r="T208" s="37"/>
      <c r="U208" s="37"/>
      <c r="V208" s="37"/>
      <c r="W208" s="44"/>
      <c r="X208" s="41"/>
    </row>
    <row r="209" spans="1:24" ht="15.75" customHeight="1" x14ac:dyDescent="0.3">
      <c r="A209" s="3"/>
      <c r="B209" s="3"/>
      <c r="C209" s="37"/>
      <c r="D209" s="37"/>
      <c r="E209" s="37"/>
      <c r="F209" s="37"/>
      <c r="G209" s="123"/>
      <c r="H209" s="37"/>
      <c r="I209" s="37"/>
      <c r="J209" s="37"/>
      <c r="K209" s="37"/>
      <c r="L209" s="37"/>
      <c r="M209" s="37"/>
      <c r="N209" s="37"/>
      <c r="O209" s="37"/>
      <c r="P209" s="37"/>
      <c r="Q209" s="37"/>
      <c r="R209" s="37"/>
      <c r="S209" s="37"/>
      <c r="T209" s="37"/>
      <c r="U209" s="37"/>
      <c r="V209" s="37"/>
      <c r="W209" s="44"/>
      <c r="X209" s="41"/>
    </row>
    <row r="210" spans="1:24" ht="15.75" customHeight="1" x14ac:dyDescent="0.3">
      <c r="A210" s="3"/>
      <c r="B210" s="3"/>
      <c r="C210" s="37"/>
      <c r="D210" s="37"/>
      <c r="E210" s="37"/>
      <c r="F210" s="37"/>
      <c r="G210" s="123"/>
      <c r="H210" s="37"/>
      <c r="I210" s="37"/>
      <c r="J210" s="37"/>
      <c r="K210" s="37"/>
      <c r="L210" s="37"/>
      <c r="M210" s="37"/>
      <c r="N210" s="37"/>
      <c r="O210" s="37"/>
      <c r="P210" s="37"/>
      <c r="Q210" s="37"/>
      <c r="R210" s="37"/>
      <c r="S210" s="37"/>
      <c r="T210" s="37"/>
      <c r="U210" s="37"/>
      <c r="V210" s="37"/>
      <c r="W210" s="44"/>
      <c r="X210" s="41"/>
    </row>
    <row r="211" spans="1:24" ht="15.75" customHeight="1" x14ac:dyDescent="0.3">
      <c r="A211" s="3"/>
      <c r="B211" s="3"/>
      <c r="C211" s="37"/>
      <c r="D211" s="37"/>
      <c r="E211" s="37"/>
      <c r="F211" s="37"/>
      <c r="G211" s="123"/>
      <c r="H211" s="37"/>
      <c r="I211" s="37"/>
      <c r="J211" s="37"/>
      <c r="K211" s="37"/>
      <c r="L211" s="37"/>
      <c r="M211" s="37"/>
      <c r="N211" s="37"/>
      <c r="O211" s="37"/>
      <c r="P211" s="37"/>
      <c r="Q211" s="37"/>
      <c r="R211" s="37"/>
      <c r="S211" s="37"/>
      <c r="T211" s="37"/>
      <c r="U211" s="37"/>
      <c r="V211" s="37"/>
      <c r="W211" s="44"/>
      <c r="X211" s="41"/>
    </row>
    <row r="212" spans="1:24" ht="15.75" customHeight="1" x14ac:dyDescent="0.3">
      <c r="A212" s="3"/>
      <c r="B212" s="3"/>
      <c r="C212" s="37"/>
      <c r="D212" s="37"/>
      <c r="E212" s="37"/>
      <c r="F212" s="37"/>
      <c r="G212" s="123"/>
      <c r="H212" s="37"/>
      <c r="I212" s="37"/>
      <c r="J212" s="37"/>
      <c r="K212" s="37"/>
      <c r="L212" s="37"/>
      <c r="M212" s="37"/>
      <c r="N212" s="37"/>
      <c r="O212" s="37"/>
      <c r="P212" s="37"/>
      <c r="Q212" s="37"/>
      <c r="R212" s="37"/>
      <c r="S212" s="37"/>
      <c r="T212" s="37"/>
      <c r="U212" s="37"/>
      <c r="V212" s="37"/>
      <c r="W212" s="44"/>
      <c r="X212" s="41"/>
    </row>
    <row r="213" spans="1:24" ht="15.75" customHeight="1" x14ac:dyDescent="0.3">
      <c r="A213" s="3"/>
      <c r="B213" s="3"/>
      <c r="C213" s="37"/>
      <c r="D213" s="37"/>
      <c r="E213" s="37"/>
      <c r="F213" s="37"/>
      <c r="G213" s="123"/>
      <c r="H213" s="37"/>
      <c r="I213" s="37"/>
      <c r="J213" s="37"/>
      <c r="K213" s="37"/>
      <c r="L213" s="37"/>
      <c r="M213" s="37"/>
      <c r="N213" s="37"/>
      <c r="O213" s="37"/>
      <c r="P213" s="37"/>
      <c r="Q213" s="37"/>
      <c r="R213" s="37"/>
      <c r="S213" s="37"/>
      <c r="T213" s="37"/>
      <c r="U213" s="37"/>
      <c r="V213" s="37"/>
      <c r="W213" s="44"/>
      <c r="X213" s="41"/>
    </row>
    <row r="214" spans="1:24" ht="15.75" customHeight="1" x14ac:dyDescent="0.3">
      <c r="A214" s="3"/>
      <c r="B214" s="3"/>
      <c r="C214" s="37"/>
      <c r="D214" s="37"/>
      <c r="E214" s="37"/>
      <c r="F214" s="37"/>
      <c r="G214" s="123"/>
      <c r="H214" s="37"/>
      <c r="I214" s="37"/>
      <c r="J214" s="37"/>
      <c r="K214" s="37"/>
      <c r="L214" s="37"/>
      <c r="M214" s="37"/>
      <c r="N214" s="37"/>
      <c r="O214" s="37"/>
      <c r="P214" s="37"/>
      <c r="Q214" s="37"/>
      <c r="R214" s="37"/>
      <c r="S214" s="37"/>
      <c r="T214" s="37"/>
      <c r="U214" s="37"/>
      <c r="V214" s="37"/>
      <c r="W214" s="44"/>
      <c r="X214" s="41"/>
    </row>
    <row r="215" spans="1:24" ht="15.75" customHeight="1" x14ac:dyDescent="0.3">
      <c r="A215" s="3"/>
      <c r="B215" s="3"/>
      <c r="C215" s="37"/>
      <c r="D215" s="37"/>
      <c r="E215" s="37"/>
      <c r="F215" s="37"/>
      <c r="G215" s="123"/>
      <c r="H215" s="37"/>
      <c r="I215" s="37"/>
      <c r="J215" s="37"/>
      <c r="K215" s="37"/>
      <c r="L215" s="37"/>
      <c r="M215" s="37"/>
      <c r="N215" s="37"/>
      <c r="O215" s="37"/>
      <c r="P215" s="37"/>
      <c r="Q215" s="37"/>
      <c r="R215" s="37"/>
      <c r="S215" s="37"/>
      <c r="T215" s="37"/>
      <c r="U215" s="37"/>
      <c r="V215" s="37"/>
      <c r="W215" s="44"/>
      <c r="X215" s="41"/>
    </row>
    <row r="216" spans="1:24" ht="15.75" customHeight="1" x14ac:dyDescent="0.3">
      <c r="A216" s="3"/>
      <c r="B216" s="3"/>
      <c r="C216" s="37"/>
      <c r="D216" s="37"/>
      <c r="E216" s="37"/>
      <c r="F216" s="37"/>
      <c r="G216" s="123"/>
      <c r="H216" s="37"/>
      <c r="I216" s="37"/>
      <c r="J216" s="37"/>
      <c r="K216" s="37"/>
      <c r="L216" s="37"/>
      <c r="M216" s="37"/>
      <c r="N216" s="37"/>
      <c r="O216" s="37"/>
      <c r="P216" s="37"/>
      <c r="Q216" s="37"/>
      <c r="R216" s="37"/>
      <c r="S216" s="37"/>
      <c r="T216" s="37"/>
      <c r="U216" s="37"/>
      <c r="V216" s="37"/>
      <c r="W216" s="44"/>
      <c r="X216" s="41"/>
    </row>
    <row r="217" spans="1:24" ht="15.75" customHeight="1" x14ac:dyDescent="0.3">
      <c r="A217" s="3"/>
      <c r="B217" s="3"/>
      <c r="C217" s="37"/>
      <c r="D217" s="37"/>
      <c r="E217" s="37"/>
      <c r="F217" s="37"/>
      <c r="G217" s="123"/>
      <c r="H217" s="37"/>
      <c r="I217" s="37"/>
      <c r="J217" s="37"/>
      <c r="K217" s="37"/>
      <c r="L217" s="37"/>
      <c r="M217" s="37"/>
      <c r="N217" s="37"/>
      <c r="O217" s="37"/>
      <c r="P217" s="37"/>
      <c r="Q217" s="37"/>
      <c r="R217" s="37"/>
      <c r="S217" s="37"/>
      <c r="T217" s="37"/>
      <c r="U217" s="37"/>
      <c r="V217" s="37"/>
      <c r="W217" s="44"/>
      <c r="X217" s="41"/>
    </row>
    <row r="218" spans="1:24" ht="15.75" customHeight="1" x14ac:dyDescent="0.3">
      <c r="A218" s="3"/>
      <c r="B218" s="3"/>
      <c r="C218" s="37"/>
      <c r="D218" s="37"/>
      <c r="E218" s="37"/>
      <c r="F218" s="37"/>
      <c r="G218" s="123"/>
      <c r="H218" s="37"/>
      <c r="I218" s="37"/>
      <c r="J218" s="37"/>
      <c r="K218" s="37"/>
      <c r="L218" s="37"/>
      <c r="M218" s="37"/>
      <c r="N218" s="37"/>
      <c r="O218" s="37"/>
      <c r="P218" s="37"/>
      <c r="Q218" s="37"/>
      <c r="R218" s="37"/>
      <c r="S218" s="37"/>
      <c r="T218" s="37"/>
      <c r="U218" s="37"/>
      <c r="V218" s="37"/>
      <c r="W218" s="44"/>
      <c r="X218" s="41"/>
    </row>
    <row r="219" spans="1:24" ht="15.75" customHeight="1" x14ac:dyDescent="0.3">
      <c r="A219" s="3"/>
      <c r="B219" s="3"/>
      <c r="C219" s="37"/>
      <c r="D219" s="37"/>
      <c r="E219" s="37"/>
      <c r="F219" s="37"/>
      <c r="G219" s="123"/>
      <c r="H219" s="37"/>
      <c r="I219" s="37"/>
      <c r="J219" s="37"/>
      <c r="K219" s="37"/>
      <c r="L219" s="37"/>
      <c r="M219" s="37"/>
      <c r="N219" s="37"/>
      <c r="O219" s="37"/>
      <c r="P219" s="37"/>
      <c r="Q219" s="37"/>
      <c r="R219" s="37"/>
      <c r="S219" s="37"/>
      <c r="T219" s="37"/>
      <c r="U219" s="37"/>
      <c r="V219" s="37"/>
      <c r="W219" s="44"/>
      <c r="X219" s="41"/>
    </row>
    <row r="220" spans="1:24" ht="15.75" customHeight="1" x14ac:dyDescent="0.3">
      <c r="A220" s="3"/>
      <c r="B220" s="3"/>
      <c r="C220" s="37"/>
      <c r="D220" s="37"/>
      <c r="E220" s="37"/>
      <c r="F220" s="37"/>
      <c r="G220" s="123"/>
      <c r="H220" s="37"/>
      <c r="I220" s="37"/>
      <c r="J220" s="37"/>
      <c r="K220" s="37"/>
      <c r="L220" s="37"/>
      <c r="M220" s="37"/>
      <c r="N220" s="37"/>
      <c r="O220" s="37"/>
      <c r="P220" s="37"/>
      <c r="Q220" s="37"/>
      <c r="R220" s="37"/>
      <c r="S220" s="37"/>
      <c r="T220" s="37"/>
      <c r="U220" s="37"/>
      <c r="V220" s="37"/>
      <c r="W220" s="44"/>
      <c r="X220" s="41"/>
    </row>
    <row r="221" spans="1:24" ht="15.75" customHeight="1" x14ac:dyDescent="0.3">
      <c r="A221" s="3"/>
      <c r="B221" s="3"/>
      <c r="C221" s="37"/>
      <c r="D221" s="37"/>
      <c r="E221" s="37"/>
      <c r="F221" s="37"/>
      <c r="G221" s="123"/>
      <c r="H221" s="37"/>
      <c r="I221" s="37"/>
      <c r="J221" s="37"/>
      <c r="K221" s="37"/>
      <c r="L221" s="37"/>
      <c r="M221" s="37"/>
      <c r="N221" s="37"/>
      <c r="O221" s="37"/>
      <c r="P221" s="37"/>
      <c r="Q221" s="37"/>
      <c r="R221" s="37"/>
      <c r="S221" s="37"/>
      <c r="T221" s="37"/>
      <c r="U221" s="37"/>
      <c r="V221" s="37"/>
      <c r="W221" s="44"/>
      <c r="X221" s="41"/>
    </row>
    <row r="222" spans="1:24" ht="15.75" customHeight="1" x14ac:dyDescent="0.3">
      <c r="A222" s="3"/>
      <c r="B222" s="3"/>
      <c r="C222" s="37"/>
      <c r="D222" s="37"/>
      <c r="E222" s="37"/>
      <c r="F222" s="37"/>
      <c r="G222" s="123"/>
      <c r="H222" s="37"/>
      <c r="I222" s="37"/>
      <c r="J222" s="37"/>
      <c r="K222" s="37"/>
      <c r="L222" s="37"/>
      <c r="M222" s="37"/>
      <c r="N222" s="37"/>
      <c r="O222" s="37"/>
      <c r="P222" s="37"/>
      <c r="Q222" s="37"/>
      <c r="R222" s="37"/>
      <c r="S222" s="37"/>
      <c r="T222" s="37"/>
      <c r="U222" s="37"/>
      <c r="V222" s="37"/>
      <c r="W222" s="44"/>
      <c r="X222" s="41"/>
    </row>
    <row r="223" spans="1:24" ht="15.75" customHeight="1" x14ac:dyDescent="0.3">
      <c r="A223" s="3"/>
      <c r="B223" s="3"/>
      <c r="C223" s="37"/>
      <c r="D223" s="37"/>
      <c r="E223" s="37"/>
      <c r="F223" s="37"/>
      <c r="G223" s="123"/>
      <c r="H223" s="37"/>
      <c r="I223" s="37"/>
      <c r="J223" s="37"/>
      <c r="K223" s="37"/>
      <c r="L223" s="37"/>
      <c r="M223" s="37"/>
      <c r="N223" s="37"/>
      <c r="O223" s="37"/>
      <c r="P223" s="37"/>
      <c r="Q223" s="37"/>
      <c r="R223" s="37"/>
      <c r="S223" s="37"/>
      <c r="T223" s="37"/>
      <c r="U223" s="37"/>
      <c r="V223" s="37"/>
      <c r="W223" s="44"/>
      <c r="X223" s="41"/>
    </row>
    <row r="224" spans="1:24" ht="15.75" customHeight="1" x14ac:dyDescent="0.3">
      <c r="A224" s="3"/>
      <c r="B224" s="3"/>
      <c r="C224" s="37"/>
      <c r="D224" s="37"/>
      <c r="E224" s="37"/>
      <c r="F224" s="37"/>
      <c r="G224" s="123"/>
      <c r="H224" s="37"/>
      <c r="I224" s="37"/>
      <c r="J224" s="37"/>
      <c r="K224" s="37"/>
      <c r="L224" s="37"/>
      <c r="M224" s="37"/>
      <c r="N224" s="37"/>
      <c r="O224" s="37"/>
      <c r="P224" s="37"/>
      <c r="Q224" s="37"/>
      <c r="R224" s="37"/>
      <c r="S224" s="37"/>
      <c r="T224" s="37"/>
      <c r="U224" s="37"/>
      <c r="V224" s="37"/>
      <c r="W224" s="44"/>
      <c r="X224" s="41"/>
    </row>
    <row r="225" spans="1:24" ht="15.75" customHeight="1" x14ac:dyDescent="0.3">
      <c r="A225" s="3"/>
      <c r="B225" s="3"/>
      <c r="C225" s="37"/>
      <c r="D225" s="37"/>
      <c r="E225" s="37"/>
      <c r="F225" s="37"/>
      <c r="G225" s="123"/>
      <c r="H225" s="37"/>
      <c r="I225" s="37"/>
      <c r="J225" s="37"/>
      <c r="K225" s="37"/>
      <c r="L225" s="37"/>
      <c r="M225" s="37"/>
      <c r="N225" s="37"/>
      <c r="O225" s="37"/>
      <c r="P225" s="37"/>
      <c r="Q225" s="37"/>
      <c r="R225" s="37"/>
      <c r="S225" s="37"/>
      <c r="T225" s="37"/>
      <c r="U225" s="37"/>
      <c r="V225" s="37"/>
      <c r="W225" s="44"/>
      <c r="X225" s="41"/>
    </row>
    <row r="226" spans="1:24" ht="15.75" customHeight="1" x14ac:dyDescent="0.3">
      <c r="A226" s="3"/>
      <c r="B226" s="3"/>
      <c r="C226" s="37"/>
      <c r="D226" s="37"/>
      <c r="E226" s="37"/>
      <c r="F226" s="37"/>
      <c r="G226" s="123"/>
      <c r="H226" s="37"/>
      <c r="I226" s="37"/>
      <c r="J226" s="37"/>
      <c r="K226" s="37"/>
      <c r="L226" s="37"/>
      <c r="M226" s="37"/>
      <c r="N226" s="37"/>
      <c r="O226" s="37"/>
      <c r="P226" s="37"/>
      <c r="Q226" s="37"/>
      <c r="R226" s="37"/>
      <c r="S226" s="37"/>
      <c r="T226" s="37"/>
      <c r="U226" s="37"/>
      <c r="V226" s="37"/>
      <c r="W226" s="44"/>
      <c r="X226" s="41"/>
    </row>
    <row r="227" spans="1:24" ht="15.75" customHeight="1" x14ac:dyDescent="0.3">
      <c r="A227" s="3"/>
      <c r="B227" s="3"/>
      <c r="C227" s="37"/>
      <c r="D227" s="37"/>
      <c r="E227" s="37"/>
      <c r="F227" s="37"/>
      <c r="G227" s="123"/>
      <c r="H227" s="37"/>
      <c r="I227" s="37"/>
      <c r="J227" s="37"/>
      <c r="K227" s="37"/>
      <c r="L227" s="37"/>
      <c r="M227" s="37"/>
      <c r="N227" s="37"/>
      <c r="O227" s="37"/>
      <c r="P227" s="37"/>
      <c r="Q227" s="37"/>
      <c r="R227" s="37"/>
      <c r="S227" s="37"/>
      <c r="T227" s="37"/>
      <c r="U227" s="37"/>
      <c r="V227" s="37"/>
      <c r="W227" s="44"/>
      <c r="X227" s="41"/>
    </row>
    <row r="228" spans="1:24" ht="15.75" customHeight="1" x14ac:dyDescent="0.3">
      <c r="A228" s="3"/>
      <c r="B228" s="3"/>
      <c r="C228" s="37"/>
      <c r="D228" s="37"/>
      <c r="E228" s="37"/>
      <c r="F228" s="37"/>
      <c r="G228" s="123"/>
      <c r="H228" s="37"/>
      <c r="I228" s="37"/>
      <c r="J228" s="37"/>
      <c r="K228" s="37"/>
      <c r="L228" s="37"/>
      <c r="M228" s="37"/>
      <c r="N228" s="37"/>
      <c r="O228" s="37"/>
      <c r="P228" s="37"/>
      <c r="Q228" s="37"/>
      <c r="R228" s="37"/>
      <c r="S228" s="37"/>
      <c r="T228" s="37"/>
      <c r="U228" s="37"/>
      <c r="V228" s="37"/>
      <c r="W228" s="44"/>
      <c r="X228" s="41"/>
    </row>
    <row r="229" spans="1:24" ht="15.75" customHeight="1" x14ac:dyDescent="0.3">
      <c r="A229" s="3"/>
      <c r="B229" s="3"/>
      <c r="C229" s="37"/>
      <c r="D229" s="37"/>
      <c r="E229" s="37"/>
      <c r="F229" s="37"/>
      <c r="G229" s="123"/>
      <c r="H229" s="37"/>
      <c r="I229" s="37"/>
      <c r="J229" s="37"/>
      <c r="K229" s="37"/>
      <c r="L229" s="37"/>
      <c r="M229" s="37"/>
      <c r="N229" s="37"/>
      <c r="O229" s="37"/>
      <c r="P229" s="37"/>
      <c r="Q229" s="37"/>
      <c r="R229" s="37"/>
      <c r="S229" s="37"/>
      <c r="T229" s="37"/>
      <c r="U229" s="37"/>
      <c r="V229" s="37"/>
      <c r="W229" s="44"/>
      <c r="X229" s="41"/>
    </row>
    <row r="230" spans="1:24" ht="15.75" customHeight="1" x14ac:dyDescent="0.3">
      <c r="A230" s="3"/>
      <c r="B230" s="3"/>
      <c r="C230" s="37"/>
      <c r="D230" s="37"/>
      <c r="E230" s="37"/>
      <c r="F230" s="37"/>
      <c r="G230" s="123"/>
      <c r="H230" s="37"/>
      <c r="I230" s="37"/>
      <c r="J230" s="37"/>
      <c r="K230" s="37"/>
      <c r="L230" s="37"/>
      <c r="M230" s="37"/>
      <c r="N230" s="37"/>
      <c r="O230" s="37"/>
      <c r="P230" s="37"/>
      <c r="Q230" s="37"/>
      <c r="R230" s="37"/>
      <c r="S230" s="37"/>
      <c r="T230" s="37"/>
      <c r="U230" s="37"/>
      <c r="V230" s="37"/>
      <c r="W230" s="44"/>
      <c r="X230" s="41"/>
    </row>
    <row r="231" spans="1:24" ht="15.75" customHeight="1" x14ac:dyDescent="0.3">
      <c r="A231" s="3"/>
      <c r="B231" s="3"/>
      <c r="C231" s="37"/>
      <c r="D231" s="37"/>
      <c r="E231" s="37"/>
      <c r="F231" s="37"/>
      <c r="G231" s="123"/>
      <c r="H231" s="37"/>
      <c r="I231" s="37"/>
      <c r="J231" s="37"/>
      <c r="K231" s="37"/>
      <c r="L231" s="37"/>
      <c r="M231" s="37"/>
      <c r="N231" s="37"/>
      <c r="O231" s="37"/>
      <c r="P231" s="37"/>
      <c r="Q231" s="37"/>
      <c r="R231" s="37"/>
      <c r="S231" s="37"/>
      <c r="T231" s="37"/>
      <c r="U231" s="37"/>
      <c r="V231" s="37"/>
      <c r="W231" s="44"/>
      <c r="X231" s="41"/>
    </row>
    <row r="232" spans="1:24" ht="15.75" customHeight="1" x14ac:dyDescent="0.3">
      <c r="A232" s="3"/>
      <c r="B232" s="3"/>
      <c r="C232" s="37"/>
      <c r="D232" s="37"/>
      <c r="E232" s="37"/>
      <c r="F232" s="37"/>
      <c r="G232" s="123"/>
      <c r="H232" s="37"/>
      <c r="I232" s="37"/>
      <c r="J232" s="37"/>
      <c r="K232" s="37"/>
      <c r="L232" s="37"/>
      <c r="M232" s="37"/>
      <c r="N232" s="37"/>
      <c r="O232" s="37"/>
      <c r="P232" s="37"/>
      <c r="Q232" s="37"/>
      <c r="R232" s="37"/>
      <c r="S232" s="37"/>
      <c r="T232" s="37"/>
      <c r="U232" s="37"/>
      <c r="V232" s="37"/>
      <c r="W232" s="44"/>
      <c r="X232" s="41"/>
    </row>
    <row r="233" spans="1:24" ht="15.75" customHeight="1" x14ac:dyDescent="0.3">
      <c r="A233" s="3"/>
      <c r="B233" s="3"/>
      <c r="C233" s="37"/>
      <c r="D233" s="37"/>
      <c r="E233" s="37"/>
      <c r="F233" s="37"/>
      <c r="G233" s="123"/>
      <c r="H233" s="37"/>
      <c r="I233" s="37"/>
      <c r="J233" s="37"/>
      <c r="K233" s="37"/>
      <c r="L233" s="37"/>
      <c r="M233" s="37"/>
      <c r="N233" s="37"/>
      <c r="O233" s="37"/>
      <c r="P233" s="37"/>
      <c r="Q233" s="37"/>
      <c r="R233" s="37"/>
      <c r="S233" s="37"/>
      <c r="T233" s="37"/>
      <c r="U233" s="37"/>
      <c r="V233" s="37"/>
      <c r="W233" s="44"/>
      <c r="X233" s="41"/>
    </row>
    <row r="234" spans="1:24" ht="15.75" customHeight="1" x14ac:dyDescent="0.3">
      <c r="A234" s="3"/>
      <c r="B234" s="3"/>
      <c r="C234" s="37"/>
      <c r="D234" s="37"/>
      <c r="E234" s="37"/>
      <c r="F234" s="37"/>
      <c r="G234" s="123"/>
      <c r="H234" s="37"/>
      <c r="I234" s="37"/>
      <c r="J234" s="37"/>
      <c r="K234" s="37"/>
      <c r="L234" s="37"/>
      <c r="M234" s="37"/>
      <c r="N234" s="37"/>
      <c r="O234" s="37"/>
      <c r="P234" s="37"/>
      <c r="Q234" s="37"/>
      <c r="R234" s="37"/>
      <c r="S234" s="37"/>
      <c r="T234" s="37"/>
      <c r="U234" s="37"/>
      <c r="V234" s="37"/>
      <c r="W234" s="44"/>
      <c r="X234" s="41"/>
    </row>
    <row r="235" spans="1:24" ht="15.75" customHeight="1" x14ac:dyDescent="0.3">
      <c r="A235" s="3"/>
      <c r="B235" s="3"/>
      <c r="C235" s="37"/>
      <c r="D235" s="37"/>
      <c r="E235" s="37"/>
      <c r="F235" s="37"/>
      <c r="G235" s="123"/>
      <c r="H235" s="37"/>
      <c r="I235" s="37"/>
      <c r="J235" s="37"/>
      <c r="K235" s="37"/>
      <c r="L235" s="37"/>
      <c r="M235" s="37"/>
      <c r="N235" s="37"/>
      <c r="O235" s="37"/>
      <c r="P235" s="37"/>
      <c r="Q235" s="37"/>
      <c r="R235" s="37"/>
      <c r="S235" s="37"/>
      <c r="T235" s="37"/>
      <c r="U235" s="37"/>
      <c r="V235" s="37"/>
      <c r="W235" s="44"/>
      <c r="X235" s="41"/>
    </row>
    <row r="236" spans="1:24" ht="15.75" customHeight="1" x14ac:dyDescent="0.3">
      <c r="A236" s="3"/>
      <c r="B236" s="3"/>
      <c r="C236" s="37"/>
      <c r="D236" s="37"/>
      <c r="E236" s="37"/>
      <c r="F236" s="37"/>
      <c r="G236" s="123"/>
      <c r="H236" s="37"/>
      <c r="I236" s="37"/>
      <c r="J236" s="37"/>
      <c r="K236" s="37"/>
      <c r="L236" s="37"/>
      <c r="M236" s="37"/>
      <c r="N236" s="37"/>
      <c r="O236" s="37"/>
      <c r="P236" s="37"/>
      <c r="Q236" s="37"/>
      <c r="R236" s="37"/>
      <c r="S236" s="37"/>
      <c r="T236" s="37"/>
      <c r="U236" s="37"/>
      <c r="V236" s="37"/>
      <c r="W236" s="44"/>
      <c r="X236" s="41"/>
    </row>
    <row r="237" spans="1:24" ht="15.75" customHeight="1" x14ac:dyDescent="0.3">
      <c r="A237" s="3"/>
      <c r="B237" s="3"/>
      <c r="C237" s="37"/>
      <c r="D237" s="37"/>
      <c r="E237" s="37"/>
      <c r="F237" s="37"/>
      <c r="G237" s="123"/>
      <c r="H237" s="37"/>
      <c r="I237" s="37"/>
      <c r="J237" s="37"/>
      <c r="K237" s="37"/>
      <c r="L237" s="37"/>
      <c r="M237" s="37"/>
      <c r="N237" s="37"/>
      <c r="O237" s="37"/>
      <c r="P237" s="37"/>
      <c r="Q237" s="37"/>
      <c r="R237" s="37"/>
      <c r="S237" s="37"/>
      <c r="T237" s="37"/>
      <c r="U237" s="37"/>
      <c r="V237" s="37"/>
      <c r="W237" s="44"/>
      <c r="X237" s="41"/>
    </row>
    <row r="238" spans="1:24" ht="15.75" customHeight="1" x14ac:dyDescent="0.3">
      <c r="A238" s="3"/>
      <c r="B238" s="3"/>
      <c r="C238" s="37"/>
      <c r="D238" s="37"/>
      <c r="E238" s="37"/>
      <c r="F238" s="37"/>
      <c r="G238" s="123"/>
      <c r="H238" s="37"/>
      <c r="I238" s="37"/>
      <c r="J238" s="37"/>
      <c r="K238" s="37"/>
      <c r="L238" s="37"/>
      <c r="M238" s="37"/>
      <c r="N238" s="37"/>
      <c r="O238" s="37"/>
      <c r="P238" s="37"/>
      <c r="Q238" s="37"/>
      <c r="R238" s="37"/>
      <c r="S238" s="37"/>
      <c r="T238" s="37"/>
      <c r="U238" s="37"/>
      <c r="V238" s="37"/>
      <c r="W238" s="44"/>
      <c r="X238" s="41"/>
    </row>
    <row r="239" spans="1:24" ht="15.75" customHeight="1" x14ac:dyDescent="0.3">
      <c r="A239" s="3"/>
      <c r="B239" s="3"/>
      <c r="C239" s="37"/>
      <c r="D239" s="37"/>
      <c r="E239" s="37"/>
      <c r="F239" s="37"/>
      <c r="G239" s="123"/>
      <c r="H239" s="37"/>
      <c r="I239" s="37"/>
      <c r="J239" s="37"/>
      <c r="K239" s="37"/>
      <c r="L239" s="37"/>
      <c r="M239" s="37"/>
      <c r="N239" s="37"/>
      <c r="O239" s="37"/>
      <c r="P239" s="37"/>
      <c r="Q239" s="37"/>
      <c r="R239" s="37"/>
      <c r="S239" s="37"/>
      <c r="T239" s="37"/>
      <c r="U239" s="37"/>
      <c r="V239" s="37"/>
      <c r="W239" s="44"/>
      <c r="X239" s="41"/>
    </row>
    <row r="240" spans="1:24" ht="15.75" customHeight="1" x14ac:dyDescent="0.3">
      <c r="A240" s="3"/>
      <c r="B240" s="3"/>
      <c r="C240" s="37"/>
      <c r="D240" s="37"/>
      <c r="E240" s="37"/>
      <c r="F240" s="37"/>
      <c r="G240" s="123"/>
      <c r="H240" s="37"/>
      <c r="I240" s="37"/>
      <c r="J240" s="37"/>
      <c r="K240" s="37"/>
      <c r="L240" s="37"/>
      <c r="M240" s="37"/>
      <c r="N240" s="37"/>
      <c r="O240" s="37"/>
      <c r="P240" s="37"/>
      <c r="Q240" s="37"/>
      <c r="R240" s="37"/>
      <c r="S240" s="37"/>
      <c r="T240" s="37"/>
      <c r="U240" s="37"/>
      <c r="V240" s="37"/>
      <c r="W240" s="44"/>
      <c r="X240" s="41"/>
    </row>
    <row r="241" spans="1:24" ht="15.75" customHeight="1" x14ac:dyDescent="0.3">
      <c r="A241" s="3"/>
      <c r="B241" s="3"/>
      <c r="C241" s="37"/>
      <c r="D241" s="37"/>
      <c r="E241" s="37"/>
      <c r="F241" s="37"/>
      <c r="G241" s="123"/>
      <c r="H241" s="37"/>
      <c r="I241" s="37"/>
      <c r="J241" s="37"/>
      <c r="K241" s="37"/>
      <c r="L241" s="37"/>
      <c r="M241" s="37"/>
      <c r="N241" s="37"/>
      <c r="O241" s="37"/>
      <c r="P241" s="37"/>
      <c r="Q241" s="37"/>
      <c r="R241" s="37"/>
      <c r="S241" s="37"/>
      <c r="T241" s="37"/>
      <c r="U241" s="37"/>
      <c r="V241" s="37"/>
      <c r="W241" s="44"/>
      <c r="X241" s="41"/>
    </row>
    <row r="242" spans="1:24" ht="15.75" customHeight="1" x14ac:dyDescent="0.3">
      <c r="A242" s="3"/>
      <c r="B242" s="3"/>
      <c r="C242" s="37"/>
      <c r="D242" s="37"/>
      <c r="E242" s="37"/>
      <c r="F242" s="37"/>
      <c r="G242" s="123"/>
      <c r="H242" s="37"/>
      <c r="I242" s="37"/>
      <c r="J242" s="37"/>
      <c r="K242" s="37"/>
      <c r="L242" s="37"/>
      <c r="M242" s="37"/>
      <c r="N242" s="37"/>
      <c r="O242" s="37"/>
      <c r="P242" s="37"/>
      <c r="Q242" s="37"/>
      <c r="R242" s="37"/>
      <c r="S242" s="37"/>
      <c r="T242" s="37"/>
      <c r="U242" s="37"/>
      <c r="V242" s="37"/>
      <c r="W242" s="44"/>
      <c r="X242" s="41"/>
    </row>
    <row r="243" spans="1:24" ht="15.75" customHeight="1" x14ac:dyDescent="0.3">
      <c r="A243" s="3"/>
      <c r="B243" s="3"/>
      <c r="C243" s="37"/>
      <c r="D243" s="37"/>
      <c r="E243" s="37"/>
      <c r="F243" s="37"/>
      <c r="G243" s="123"/>
      <c r="H243" s="37"/>
      <c r="I243" s="37"/>
      <c r="J243" s="37"/>
      <c r="K243" s="37"/>
      <c r="L243" s="37"/>
      <c r="M243" s="37"/>
      <c r="N243" s="37"/>
      <c r="O243" s="37"/>
      <c r="P243" s="37"/>
      <c r="Q243" s="37"/>
      <c r="R243" s="37"/>
      <c r="S243" s="37"/>
      <c r="T243" s="37"/>
      <c r="U243" s="37"/>
      <c r="V243" s="37"/>
      <c r="W243" s="44"/>
      <c r="X243" s="41"/>
    </row>
    <row r="244" spans="1:24" ht="15.75" customHeight="1" x14ac:dyDescent="0.3">
      <c r="A244" s="3"/>
      <c r="B244" s="3"/>
      <c r="C244" s="37"/>
      <c r="D244" s="37"/>
      <c r="E244" s="37"/>
      <c r="F244" s="37"/>
      <c r="G244" s="123"/>
      <c r="H244" s="37"/>
      <c r="I244" s="37"/>
      <c r="J244" s="37"/>
      <c r="K244" s="37"/>
      <c r="L244" s="37"/>
      <c r="M244" s="37"/>
      <c r="N244" s="37"/>
      <c r="O244" s="37"/>
      <c r="P244" s="37"/>
      <c r="Q244" s="37"/>
      <c r="R244" s="37"/>
      <c r="S244" s="37"/>
      <c r="T244" s="37"/>
      <c r="U244" s="37"/>
      <c r="V244" s="37"/>
      <c r="W244" s="44"/>
      <c r="X244" s="41"/>
    </row>
    <row r="245" spans="1:24" ht="15.75" customHeight="1" x14ac:dyDescent="0.3">
      <c r="A245" s="3"/>
      <c r="B245" s="3"/>
      <c r="C245" s="37"/>
      <c r="D245" s="37"/>
      <c r="E245" s="37"/>
      <c r="F245" s="37"/>
      <c r="G245" s="123"/>
      <c r="H245" s="37"/>
      <c r="I245" s="37"/>
      <c r="J245" s="37"/>
      <c r="K245" s="37"/>
      <c r="L245" s="37"/>
      <c r="M245" s="37"/>
      <c r="N245" s="37"/>
      <c r="O245" s="37"/>
      <c r="P245" s="37"/>
      <c r="Q245" s="37"/>
      <c r="R245" s="37"/>
      <c r="S245" s="37"/>
      <c r="T245" s="37"/>
      <c r="U245" s="37"/>
      <c r="V245" s="37"/>
      <c r="W245" s="44"/>
      <c r="X245" s="41"/>
    </row>
    <row r="246" spans="1:24" ht="15.75" customHeight="1" x14ac:dyDescent="0.3">
      <c r="A246" s="3"/>
      <c r="B246" s="3"/>
      <c r="C246" s="37"/>
      <c r="D246" s="37"/>
      <c r="E246" s="37"/>
      <c r="F246" s="37"/>
      <c r="G246" s="123"/>
      <c r="H246" s="37"/>
      <c r="I246" s="37"/>
      <c r="J246" s="37"/>
      <c r="K246" s="37"/>
      <c r="L246" s="37"/>
      <c r="M246" s="37"/>
      <c r="N246" s="37"/>
      <c r="O246" s="37"/>
      <c r="P246" s="37"/>
      <c r="Q246" s="37"/>
      <c r="R246" s="37"/>
      <c r="S246" s="37"/>
      <c r="T246" s="37"/>
      <c r="U246" s="37"/>
      <c r="V246" s="37"/>
      <c r="W246" s="44"/>
      <c r="X246" s="41"/>
    </row>
    <row r="247" spans="1:24" ht="15.75" customHeight="1" x14ac:dyDescent="0.3">
      <c r="A247" s="3"/>
      <c r="B247" s="3"/>
      <c r="C247" s="37"/>
      <c r="D247" s="37"/>
      <c r="E247" s="37"/>
      <c r="F247" s="37"/>
      <c r="G247" s="123"/>
      <c r="H247" s="37"/>
      <c r="I247" s="37"/>
      <c r="J247" s="37"/>
      <c r="K247" s="37"/>
      <c r="L247" s="37"/>
      <c r="M247" s="37"/>
      <c r="N247" s="37"/>
      <c r="O247" s="37"/>
      <c r="P247" s="37"/>
      <c r="Q247" s="37"/>
      <c r="R247" s="37"/>
      <c r="S247" s="37"/>
      <c r="T247" s="37"/>
      <c r="U247" s="37"/>
      <c r="V247" s="37"/>
      <c r="W247" s="44"/>
      <c r="X247" s="41"/>
    </row>
    <row r="248" spans="1:24" ht="15.75" customHeight="1" x14ac:dyDescent="0.3">
      <c r="A248" s="3"/>
      <c r="B248" s="3"/>
      <c r="C248" s="37"/>
      <c r="D248" s="37"/>
      <c r="E248" s="37"/>
      <c r="F248" s="37"/>
      <c r="G248" s="123"/>
      <c r="H248" s="37"/>
      <c r="I248" s="37"/>
      <c r="J248" s="37"/>
      <c r="K248" s="37"/>
      <c r="L248" s="37"/>
      <c r="M248" s="37"/>
      <c r="N248" s="37"/>
      <c r="O248" s="37"/>
      <c r="P248" s="37"/>
      <c r="Q248" s="37"/>
      <c r="R248" s="37"/>
      <c r="S248" s="37"/>
      <c r="T248" s="37"/>
      <c r="U248" s="37"/>
      <c r="V248" s="37"/>
      <c r="W248" s="44"/>
      <c r="X248" s="41"/>
    </row>
    <row r="249" spans="1:24" ht="15.75" customHeight="1" x14ac:dyDescent="0.3">
      <c r="A249" s="3"/>
      <c r="B249" s="3"/>
      <c r="C249" s="37"/>
      <c r="D249" s="37"/>
      <c r="E249" s="37"/>
      <c r="F249" s="37"/>
      <c r="G249" s="123"/>
      <c r="H249" s="37"/>
      <c r="I249" s="37"/>
      <c r="J249" s="37"/>
      <c r="K249" s="37"/>
      <c r="L249" s="37"/>
      <c r="M249" s="37"/>
      <c r="N249" s="37"/>
      <c r="O249" s="37"/>
      <c r="P249" s="37"/>
      <c r="Q249" s="37"/>
      <c r="R249" s="37"/>
      <c r="S249" s="37"/>
      <c r="T249" s="37"/>
      <c r="U249" s="37"/>
      <c r="V249" s="37"/>
      <c r="W249" s="44"/>
      <c r="X249" s="41"/>
    </row>
    <row r="250" spans="1:24" ht="15.75" customHeight="1" x14ac:dyDescent="0.3">
      <c r="A250" s="3"/>
      <c r="B250" s="3"/>
      <c r="C250" s="37"/>
      <c r="D250" s="37"/>
      <c r="E250" s="37"/>
      <c r="F250" s="37"/>
      <c r="G250" s="123"/>
      <c r="H250" s="37"/>
      <c r="I250" s="37"/>
      <c r="J250" s="37"/>
      <c r="K250" s="37"/>
      <c r="L250" s="37"/>
      <c r="M250" s="37"/>
      <c r="N250" s="37"/>
      <c r="O250" s="37"/>
      <c r="P250" s="37"/>
      <c r="Q250" s="37"/>
      <c r="R250" s="37"/>
      <c r="S250" s="37"/>
      <c r="T250" s="37"/>
      <c r="U250" s="37"/>
      <c r="V250" s="37"/>
      <c r="W250" s="44"/>
      <c r="X250" s="41"/>
    </row>
    <row r="251" spans="1:24" ht="15.75" customHeight="1" x14ac:dyDescent="0.3">
      <c r="A251" s="3"/>
      <c r="B251" s="3"/>
      <c r="C251" s="37"/>
      <c r="D251" s="37"/>
      <c r="E251" s="37"/>
      <c r="F251" s="37"/>
      <c r="G251" s="123"/>
      <c r="H251" s="37"/>
      <c r="I251" s="37"/>
      <c r="J251" s="37"/>
      <c r="K251" s="37"/>
      <c r="L251" s="37"/>
      <c r="M251" s="37"/>
      <c r="N251" s="37"/>
      <c r="O251" s="37"/>
      <c r="P251" s="37"/>
      <c r="Q251" s="37"/>
      <c r="R251" s="37"/>
      <c r="S251" s="37"/>
      <c r="T251" s="37"/>
      <c r="U251" s="37"/>
      <c r="V251" s="37"/>
      <c r="W251" s="44"/>
      <c r="X251" s="41"/>
    </row>
    <row r="252" spans="1:24" ht="15.75" customHeight="1" x14ac:dyDescent="0.3">
      <c r="A252" s="3"/>
      <c r="B252" s="3"/>
      <c r="C252" s="37"/>
      <c r="D252" s="37"/>
      <c r="E252" s="37"/>
      <c r="F252" s="37"/>
      <c r="G252" s="123"/>
      <c r="H252" s="37"/>
      <c r="I252" s="37"/>
      <c r="J252" s="37"/>
      <c r="K252" s="37"/>
      <c r="L252" s="37"/>
      <c r="M252" s="37"/>
      <c r="N252" s="37"/>
      <c r="O252" s="37"/>
      <c r="P252" s="37"/>
      <c r="Q252" s="37"/>
      <c r="R252" s="37"/>
      <c r="S252" s="37"/>
      <c r="T252" s="37"/>
      <c r="U252" s="37"/>
      <c r="V252" s="37"/>
      <c r="W252" s="44"/>
      <c r="X252" s="41"/>
    </row>
    <row r="253" spans="1:24" ht="15.75" customHeight="1" x14ac:dyDescent="0.3">
      <c r="A253" s="3"/>
      <c r="B253" s="3"/>
      <c r="C253" s="37"/>
      <c r="D253" s="37"/>
      <c r="E253" s="37"/>
      <c r="F253" s="37"/>
      <c r="G253" s="123"/>
      <c r="H253" s="37"/>
      <c r="I253" s="37"/>
      <c r="J253" s="37"/>
      <c r="K253" s="37"/>
      <c r="L253" s="37"/>
      <c r="M253" s="37"/>
      <c r="N253" s="37"/>
      <c r="O253" s="37"/>
      <c r="P253" s="37"/>
      <c r="Q253" s="37"/>
      <c r="R253" s="37"/>
      <c r="S253" s="37"/>
      <c r="T253" s="37"/>
      <c r="U253" s="37"/>
      <c r="V253" s="37"/>
      <c r="W253" s="44"/>
      <c r="X253" s="41"/>
    </row>
    <row r="254" spans="1:24" ht="15.75" customHeight="1" x14ac:dyDescent="0.3">
      <c r="A254" s="3"/>
      <c r="B254" s="3"/>
      <c r="C254" s="37"/>
      <c r="D254" s="37"/>
      <c r="E254" s="37"/>
      <c r="F254" s="37"/>
      <c r="G254" s="123"/>
      <c r="H254" s="37"/>
      <c r="I254" s="37"/>
      <c r="J254" s="37"/>
      <c r="K254" s="37"/>
      <c r="L254" s="37"/>
      <c r="M254" s="37"/>
      <c r="N254" s="37"/>
      <c r="O254" s="37"/>
      <c r="P254" s="37"/>
      <c r="Q254" s="37"/>
      <c r="R254" s="37"/>
      <c r="S254" s="37"/>
      <c r="T254" s="37"/>
      <c r="U254" s="37"/>
      <c r="V254" s="37"/>
      <c r="W254" s="44"/>
      <c r="X254" s="41"/>
    </row>
    <row r="255" spans="1:24" ht="15.75" customHeight="1" x14ac:dyDescent="0.3">
      <c r="A255" s="3"/>
      <c r="B255" s="3"/>
      <c r="C255" s="37"/>
      <c r="D255" s="37"/>
      <c r="E255" s="37"/>
      <c r="F255" s="37"/>
      <c r="G255" s="123"/>
      <c r="H255" s="37"/>
      <c r="I255" s="37"/>
      <c r="J255" s="37"/>
      <c r="K255" s="37"/>
      <c r="L255" s="37"/>
      <c r="M255" s="37"/>
      <c r="N255" s="37"/>
      <c r="O255" s="37"/>
      <c r="P255" s="37"/>
      <c r="Q255" s="37"/>
      <c r="R255" s="37"/>
      <c r="S255" s="37"/>
      <c r="T255" s="37"/>
      <c r="U255" s="37"/>
      <c r="V255" s="37"/>
      <c r="W255" s="44"/>
      <c r="X255" s="41"/>
    </row>
    <row r="256" spans="1:24" ht="15.75" customHeight="1" x14ac:dyDescent="0.3">
      <c r="A256" s="3"/>
      <c r="B256" s="3"/>
      <c r="C256" s="37"/>
      <c r="D256" s="37"/>
      <c r="E256" s="37"/>
      <c r="F256" s="37"/>
      <c r="G256" s="123"/>
      <c r="H256" s="37"/>
      <c r="I256" s="37"/>
      <c r="J256" s="37"/>
      <c r="K256" s="37"/>
      <c r="L256" s="37"/>
      <c r="M256" s="37"/>
      <c r="N256" s="37"/>
      <c r="O256" s="37"/>
      <c r="P256" s="37"/>
      <c r="Q256" s="37"/>
      <c r="R256" s="37"/>
      <c r="S256" s="37"/>
      <c r="T256" s="37"/>
      <c r="U256" s="37"/>
      <c r="V256" s="37"/>
      <c r="W256" s="44"/>
      <c r="X256" s="41"/>
    </row>
    <row r="257" spans="1:24" ht="15.75" customHeight="1" x14ac:dyDescent="0.3">
      <c r="A257" s="3"/>
      <c r="B257" s="3"/>
      <c r="C257" s="37"/>
      <c r="D257" s="37"/>
      <c r="E257" s="37"/>
      <c r="F257" s="37"/>
      <c r="G257" s="123"/>
      <c r="H257" s="37"/>
      <c r="I257" s="37"/>
      <c r="J257" s="37"/>
      <c r="K257" s="37"/>
      <c r="L257" s="37"/>
      <c r="M257" s="37"/>
      <c r="N257" s="37"/>
      <c r="O257" s="37"/>
      <c r="P257" s="37"/>
      <c r="Q257" s="37"/>
      <c r="R257" s="37"/>
      <c r="S257" s="37"/>
      <c r="T257" s="37"/>
      <c r="U257" s="37"/>
      <c r="V257" s="37"/>
      <c r="W257" s="44"/>
      <c r="X257" s="41"/>
    </row>
    <row r="258" spans="1:24" ht="15.75" customHeight="1" x14ac:dyDescent="0.3">
      <c r="A258" s="3"/>
      <c r="B258" s="3"/>
      <c r="C258" s="37"/>
      <c r="D258" s="37"/>
      <c r="E258" s="37"/>
      <c r="F258" s="37"/>
      <c r="G258" s="123"/>
      <c r="H258" s="37"/>
      <c r="I258" s="37"/>
      <c r="J258" s="37"/>
      <c r="K258" s="37"/>
      <c r="L258" s="37"/>
      <c r="M258" s="37"/>
      <c r="N258" s="37"/>
      <c r="O258" s="37"/>
      <c r="P258" s="37"/>
      <c r="Q258" s="37"/>
      <c r="R258" s="37"/>
      <c r="S258" s="37"/>
      <c r="T258" s="37"/>
      <c r="U258" s="37"/>
      <c r="V258" s="37"/>
      <c r="W258" s="44"/>
      <c r="X258" s="41"/>
    </row>
    <row r="259" spans="1:24" ht="15.75" customHeight="1" x14ac:dyDescent="0.3">
      <c r="A259" s="3"/>
      <c r="B259" s="3"/>
      <c r="C259" s="37"/>
      <c r="D259" s="37"/>
      <c r="E259" s="37"/>
      <c r="F259" s="37"/>
      <c r="G259" s="123"/>
      <c r="H259" s="37"/>
      <c r="I259" s="37"/>
      <c r="J259" s="37"/>
      <c r="K259" s="37"/>
      <c r="L259" s="37"/>
      <c r="M259" s="37"/>
      <c r="N259" s="37"/>
      <c r="O259" s="37"/>
      <c r="P259" s="37"/>
      <c r="Q259" s="37"/>
      <c r="R259" s="37"/>
      <c r="S259" s="37"/>
      <c r="T259" s="37"/>
      <c r="U259" s="37"/>
      <c r="V259" s="37"/>
      <c r="W259" s="44"/>
      <c r="X259" s="41"/>
    </row>
    <row r="260" spans="1:24" ht="15.75" customHeight="1" x14ac:dyDescent="0.3">
      <c r="A260" s="3"/>
      <c r="B260" s="3"/>
      <c r="C260" s="37"/>
      <c r="D260" s="37"/>
      <c r="E260" s="37"/>
      <c r="F260" s="37"/>
      <c r="G260" s="123"/>
      <c r="H260" s="37"/>
      <c r="I260" s="37"/>
      <c r="J260" s="37"/>
      <c r="K260" s="37"/>
      <c r="L260" s="37"/>
      <c r="M260" s="37"/>
      <c r="N260" s="37"/>
      <c r="O260" s="37"/>
      <c r="P260" s="37"/>
      <c r="Q260" s="37"/>
      <c r="R260" s="37"/>
      <c r="S260" s="37"/>
      <c r="T260" s="37"/>
      <c r="U260" s="37"/>
      <c r="V260" s="37"/>
      <c r="W260" s="44"/>
      <c r="X260" s="41"/>
    </row>
    <row r="261" spans="1:24" ht="15.75" customHeight="1" x14ac:dyDescent="0.3">
      <c r="A261" s="3"/>
      <c r="B261" s="3"/>
      <c r="C261" s="37"/>
      <c r="D261" s="37"/>
      <c r="E261" s="37"/>
      <c r="F261" s="37"/>
      <c r="G261" s="123"/>
      <c r="H261" s="37"/>
      <c r="I261" s="37"/>
      <c r="J261" s="37"/>
      <c r="K261" s="37"/>
      <c r="L261" s="37"/>
      <c r="M261" s="37"/>
      <c r="N261" s="37"/>
      <c r="O261" s="37"/>
      <c r="P261" s="37"/>
      <c r="Q261" s="37"/>
      <c r="R261" s="37"/>
      <c r="S261" s="37"/>
      <c r="T261" s="37"/>
      <c r="U261" s="37"/>
      <c r="V261" s="37"/>
      <c r="W261" s="44"/>
      <c r="X261" s="41"/>
    </row>
    <row r="262" spans="1:24" ht="15.75" customHeight="1" x14ac:dyDescent="0.3">
      <c r="A262" s="3"/>
      <c r="B262" s="3"/>
      <c r="C262" s="37"/>
      <c r="D262" s="37"/>
      <c r="E262" s="37"/>
      <c r="F262" s="37"/>
      <c r="G262" s="123"/>
      <c r="H262" s="37"/>
      <c r="I262" s="37"/>
      <c r="J262" s="37"/>
      <c r="K262" s="37"/>
      <c r="L262" s="37"/>
      <c r="M262" s="37"/>
      <c r="N262" s="37"/>
      <c r="O262" s="37"/>
      <c r="P262" s="37"/>
      <c r="Q262" s="37"/>
      <c r="R262" s="37"/>
      <c r="S262" s="37"/>
      <c r="T262" s="37"/>
      <c r="U262" s="37"/>
      <c r="V262" s="37"/>
      <c r="W262" s="44"/>
      <c r="X262" s="41"/>
    </row>
    <row r="263" spans="1:24" ht="15.75" customHeight="1" x14ac:dyDescent="0.3">
      <c r="A263" s="3"/>
      <c r="B263" s="3"/>
      <c r="C263" s="37"/>
      <c r="D263" s="37"/>
      <c r="E263" s="37"/>
      <c r="F263" s="37"/>
      <c r="G263" s="123"/>
      <c r="H263" s="37"/>
      <c r="I263" s="37"/>
      <c r="J263" s="37"/>
      <c r="K263" s="37"/>
      <c r="L263" s="37"/>
      <c r="M263" s="37"/>
      <c r="N263" s="37"/>
      <c r="O263" s="37"/>
      <c r="P263" s="37"/>
      <c r="Q263" s="37"/>
      <c r="R263" s="37"/>
      <c r="S263" s="37"/>
      <c r="T263" s="37"/>
      <c r="U263" s="37"/>
      <c r="V263" s="37"/>
      <c r="W263" s="44"/>
      <c r="X263" s="41"/>
    </row>
    <row r="264" spans="1:24" ht="15.75" customHeight="1" x14ac:dyDescent="0.3">
      <c r="A264" s="3"/>
      <c r="B264" s="3"/>
      <c r="C264" s="37"/>
      <c r="D264" s="37"/>
      <c r="E264" s="37"/>
      <c r="F264" s="37"/>
      <c r="G264" s="123"/>
      <c r="H264" s="37"/>
      <c r="I264" s="37"/>
      <c r="J264" s="37"/>
      <c r="K264" s="37"/>
      <c r="L264" s="37"/>
      <c r="M264" s="37"/>
      <c r="N264" s="37"/>
      <c r="O264" s="37"/>
      <c r="P264" s="37"/>
      <c r="Q264" s="37"/>
      <c r="R264" s="37"/>
      <c r="S264" s="37"/>
      <c r="T264" s="37"/>
      <c r="U264" s="37"/>
      <c r="V264" s="37"/>
      <c r="W264" s="44"/>
      <c r="X264" s="41"/>
    </row>
    <row r="265" spans="1:24" ht="15.75" customHeight="1" x14ac:dyDescent="0.3">
      <c r="A265" s="3"/>
      <c r="B265" s="3"/>
      <c r="C265" s="37"/>
      <c r="D265" s="37"/>
      <c r="E265" s="37"/>
      <c r="F265" s="37"/>
      <c r="G265" s="123"/>
      <c r="H265" s="37"/>
      <c r="I265" s="37"/>
      <c r="J265" s="37"/>
      <c r="K265" s="37"/>
      <c r="L265" s="37"/>
      <c r="M265" s="37"/>
      <c r="N265" s="37"/>
      <c r="O265" s="37"/>
      <c r="P265" s="37"/>
      <c r="Q265" s="37"/>
      <c r="R265" s="37"/>
      <c r="S265" s="37"/>
      <c r="T265" s="37"/>
      <c r="U265" s="37"/>
      <c r="V265" s="37"/>
      <c r="W265" s="44"/>
      <c r="X265" s="41"/>
    </row>
    <row r="266" spans="1:24" ht="15.75" customHeight="1" x14ac:dyDescent="0.3">
      <c r="A266" s="3"/>
      <c r="B266" s="3"/>
      <c r="C266" s="37"/>
      <c r="D266" s="37"/>
      <c r="E266" s="37"/>
      <c r="F266" s="37"/>
      <c r="G266" s="123"/>
      <c r="H266" s="37"/>
      <c r="I266" s="37"/>
      <c r="J266" s="37"/>
      <c r="K266" s="37"/>
      <c r="L266" s="37"/>
      <c r="M266" s="37"/>
      <c r="N266" s="37"/>
      <c r="O266" s="37"/>
      <c r="P266" s="37"/>
      <c r="Q266" s="37"/>
      <c r="R266" s="37"/>
      <c r="S266" s="37"/>
      <c r="T266" s="37"/>
      <c r="U266" s="37"/>
      <c r="V266" s="37"/>
      <c r="W266" s="44"/>
      <c r="X266" s="41"/>
    </row>
    <row r="267" spans="1:24" ht="15.75" customHeight="1" x14ac:dyDescent="0.3">
      <c r="A267" s="3"/>
      <c r="B267" s="3"/>
      <c r="C267" s="37"/>
      <c r="D267" s="37"/>
      <c r="E267" s="37"/>
      <c r="F267" s="37"/>
      <c r="G267" s="123"/>
      <c r="H267" s="37"/>
      <c r="I267" s="37"/>
      <c r="J267" s="37"/>
      <c r="K267" s="37"/>
      <c r="L267" s="37"/>
      <c r="M267" s="37"/>
      <c r="N267" s="37"/>
      <c r="O267" s="37"/>
      <c r="P267" s="37"/>
      <c r="Q267" s="37"/>
      <c r="R267" s="37"/>
      <c r="S267" s="37"/>
      <c r="T267" s="37"/>
      <c r="U267" s="37"/>
      <c r="V267" s="37"/>
      <c r="W267" s="44"/>
      <c r="X267" s="41"/>
    </row>
    <row r="268" spans="1:24" ht="15.75" customHeight="1" x14ac:dyDescent="0.3">
      <c r="A268" s="3"/>
      <c r="B268" s="3"/>
      <c r="C268" s="37"/>
      <c r="D268" s="37"/>
      <c r="E268" s="37"/>
      <c r="F268" s="37"/>
      <c r="G268" s="123"/>
      <c r="H268" s="37"/>
      <c r="I268" s="37"/>
      <c r="J268" s="37"/>
      <c r="K268" s="37"/>
      <c r="L268" s="37"/>
      <c r="M268" s="37"/>
      <c r="N268" s="37"/>
      <c r="O268" s="37"/>
      <c r="P268" s="37"/>
      <c r="Q268" s="37"/>
      <c r="R268" s="37"/>
      <c r="S268" s="37"/>
      <c r="T268" s="37"/>
      <c r="U268" s="37"/>
      <c r="V268" s="37"/>
      <c r="W268" s="44"/>
      <c r="X268" s="41"/>
    </row>
    <row r="269" spans="1:24" ht="15.75" customHeight="1" x14ac:dyDescent="0.3">
      <c r="A269" s="3"/>
      <c r="B269" s="3"/>
      <c r="C269" s="37"/>
      <c r="D269" s="37"/>
      <c r="E269" s="37"/>
      <c r="F269" s="37"/>
      <c r="G269" s="123"/>
      <c r="H269" s="37"/>
      <c r="I269" s="37"/>
      <c r="J269" s="37"/>
      <c r="K269" s="37"/>
      <c r="L269" s="37"/>
      <c r="M269" s="37"/>
      <c r="N269" s="37"/>
      <c r="O269" s="37"/>
      <c r="P269" s="37"/>
      <c r="Q269" s="37"/>
      <c r="R269" s="37"/>
      <c r="S269" s="37"/>
      <c r="T269" s="37"/>
      <c r="U269" s="37"/>
      <c r="V269" s="37"/>
      <c r="W269" s="44"/>
      <c r="X269" s="41"/>
    </row>
    <row r="270" spans="1:24" ht="15.75" customHeight="1" x14ac:dyDescent="0.3">
      <c r="A270" s="3"/>
      <c r="B270" s="3"/>
      <c r="C270" s="37"/>
      <c r="D270" s="37"/>
      <c r="E270" s="37"/>
      <c r="F270" s="37"/>
      <c r="G270" s="123"/>
      <c r="H270" s="37"/>
      <c r="I270" s="37"/>
      <c r="J270" s="37"/>
      <c r="K270" s="37"/>
      <c r="L270" s="37"/>
      <c r="M270" s="37"/>
      <c r="N270" s="37"/>
      <c r="O270" s="37"/>
      <c r="P270" s="37"/>
      <c r="Q270" s="37"/>
      <c r="R270" s="37"/>
      <c r="S270" s="37"/>
      <c r="T270" s="37"/>
      <c r="U270" s="37"/>
      <c r="V270" s="37"/>
      <c r="W270" s="44"/>
      <c r="X270" s="41"/>
    </row>
    <row r="271" spans="1:24" ht="15.75" customHeight="1" x14ac:dyDescent="0.3">
      <c r="A271" s="3"/>
      <c r="B271" s="3"/>
      <c r="C271" s="37"/>
      <c r="D271" s="37"/>
      <c r="E271" s="37"/>
      <c r="F271" s="37"/>
      <c r="G271" s="123"/>
      <c r="H271" s="37"/>
      <c r="I271" s="37"/>
      <c r="J271" s="37"/>
      <c r="K271" s="37"/>
      <c r="L271" s="37"/>
      <c r="M271" s="37"/>
      <c r="N271" s="37"/>
      <c r="O271" s="37"/>
      <c r="P271" s="37"/>
      <c r="Q271" s="37"/>
      <c r="R271" s="37"/>
      <c r="S271" s="37"/>
      <c r="T271" s="37"/>
      <c r="U271" s="37"/>
      <c r="V271" s="37"/>
      <c r="W271" s="44"/>
      <c r="X271" s="41"/>
    </row>
    <row r="272" spans="1:24" ht="15.75" customHeight="1" x14ac:dyDescent="0.3">
      <c r="A272" s="3"/>
      <c r="B272" s="3"/>
      <c r="C272" s="37"/>
      <c r="D272" s="37"/>
      <c r="E272" s="37"/>
      <c r="F272" s="37"/>
      <c r="G272" s="123"/>
      <c r="H272" s="37"/>
      <c r="I272" s="37"/>
      <c r="J272" s="37"/>
      <c r="K272" s="37"/>
      <c r="L272" s="37"/>
      <c r="M272" s="37"/>
      <c r="N272" s="37"/>
      <c r="O272" s="37"/>
      <c r="P272" s="37"/>
      <c r="Q272" s="37"/>
      <c r="R272" s="37"/>
      <c r="S272" s="37"/>
      <c r="T272" s="37"/>
      <c r="U272" s="37"/>
      <c r="V272" s="37"/>
      <c r="W272" s="44"/>
      <c r="X272" s="41"/>
    </row>
    <row r="273" spans="1:24" ht="15.75" customHeight="1" x14ac:dyDescent="0.3">
      <c r="A273" s="3"/>
      <c r="B273" s="3"/>
      <c r="C273" s="37"/>
      <c r="D273" s="37"/>
      <c r="E273" s="37"/>
      <c r="F273" s="37"/>
      <c r="G273" s="123"/>
      <c r="H273" s="37"/>
      <c r="I273" s="37"/>
      <c r="J273" s="37"/>
      <c r="K273" s="37"/>
      <c r="L273" s="37"/>
      <c r="M273" s="37"/>
      <c r="N273" s="37"/>
      <c r="O273" s="37"/>
      <c r="P273" s="37"/>
      <c r="Q273" s="37"/>
      <c r="R273" s="37"/>
      <c r="S273" s="37"/>
      <c r="T273" s="37"/>
      <c r="U273" s="37"/>
      <c r="V273" s="37"/>
      <c r="W273" s="44"/>
      <c r="X273" s="41"/>
    </row>
    <row r="274" spans="1:24" ht="15.75" customHeight="1" x14ac:dyDescent="0.3">
      <c r="A274" s="3"/>
      <c r="B274" s="3"/>
      <c r="C274" s="37"/>
      <c r="D274" s="37"/>
      <c r="E274" s="37"/>
      <c r="F274" s="37"/>
      <c r="G274" s="123"/>
      <c r="H274" s="37"/>
      <c r="I274" s="37"/>
      <c r="J274" s="37"/>
      <c r="K274" s="37"/>
      <c r="L274" s="37"/>
      <c r="M274" s="37"/>
      <c r="N274" s="37"/>
      <c r="O274" s="37"/>
      <c r="P274" s="37"/>
      <c r="Q274" s="37"/>
      <c r="R274" s="37"/>
      <c r="S274" s="37"/>
      <c r="T274" s="37"/>
      <c r="U274" s="37"/>
      <c r="V274" s="37"/>
      <c r="W274" s="44"/>
      <c r="X274" s="41"/>
    </row>
    <row r="275" spans="1:24" ht="15.75" customHeight="1" x14ac:dyDescent="0.3">
      <c r="A275" s="3"/>
      <c r="B275" s="3"/>
      <c r="C275" s="37"/>
      <c r="D275" s="37"/>
      <c r="E275" s="37"/>
      <c r="F275" s="37"/>
      <c r="G275" s="123"/>
      <c r="H275" s="37"/>
      <c r="I275" s="37"/>
      <c r="J275" s="37"/>
      <c r="K275" s="37"/>
      <c r="L275" s="37"/>
      <c r="M275" s="37"/>
      <c r="N275" s="37"/>
      <c r="O275" s="37"/>
      <c r="P275" s="37"/>
      <c r="Q275" s="37"/>
      <c r="R275" s="37"/>
      <c r="S275" s="37"/>
      <c r="T275" s="37"/>
      <c r="U275" s="37"/>
      <c r="V275" s="37"/>
      <c r="W275" s="44"/>
      <c r="X275" s="41"/>
    </row>
    <row r="276" spans="1:24" ht="15.75" customHeight="1" x14ac:dyDescent="0.3">
      <c r="A276" s="3"/>
      <c r="B276" s="3"/>
      <c r="C276" s="37"/>
      <c r="D276" s="37"/>
      <c r="E276" s="37"/>
      <c r="F276" s="37"/>
      <c r="G276" s="123"/>
      <c r="H276" s="37"/>
      <c r="I276" s="37"/>
      <c r="J276" s="37"/>
      <c r="K276" s="37"/>
      <c r="L276" s="37"/>
      <c r="M276" s="37"/>
      <c r="N276" s="37"/>
      <c r="O276" s="37"/>
      <c r="P276" s="37"/>
      <c r="Q276" s="37"/>
      <c r="R276" s="37"/>
      <c r="S276" s="37"/>
      <c r="T276" s="37"/>
      <c r="U276" s="37"/>
      <c r="V276" s="37"/>
      <c r="W276" s="44"/>
      <c r="X276" s="41"/>
    </row>
    <row r="277" spans="1:24" ht="15.75" customHeight="1" x14ac:dyDescent="0.3">
      <c r="A277" s="3"/>
      <c r="B277" s="3"/>
      <c r="C277" s="37"/>
      <c r="D277" s="37"/>
      <c r="E277" s="37"/>
      <c r="F277" s="37"/>
      <c r="G277" s="123"/>
      <c r="H277" s="37"/>
      <c r="I277" s="37"/>
      <c r="J277" s="37"/>
      <c r="K277" s="37"/>
      <c r="L277" s="37"/>
      <c r="M277" s="37"/>
      <c r="N277" s="37"/>
      <c r="O277" s="37"/>
      <c r="P277" s="37"/>
      <c r="Q277" s="37"/>
      <c r="R277" s="37"/>
      <c r="S277" s="37"/>
      <c r="T277" s="37"/>
      <c r="U277" s="37"/>
      <c r="V277" s="37"/>
      <c r="W277" s="44"/>
      <c r="X277" s="41"/>
    </row>
    <row r="278" spans="1:24" ht="15.75" customHeight="1" x14ac:dyDescent="0.3">
      <c r="A278" s="3"/>
      <c r="B278" s="3"/>
      <c r="C278" s="37"/>
      <c r="D278" s="37"/>
      <c r="E278" s="37"/>
      <c r="F278" s="37"/>
      <c r="G278" s="123"/>
      <c r="H278" s="37"/>
      <c r="I278" s="37"/>
      <c r="J278" s="37"/>
      <c r="K278" s="37"/>
      <c r="L278" s="37"/>
      <c r="M278" s="37"/>
      <c r="N278" s="37"/>
      <c r="O278" s="37"/>
      <c r="P278" s="37"/>
      <c r="Q278" s="37"/>
      <c r="R278" s="37"/>
      <c r="S278" s="37"/>
      <c r="T278" s="37"/>
      <c r="U278" s="37"/>
      <c r="V278" s="37"/>
      <c r="W278" s="44"/>
      <c r="X278" s="41"/>
    </row>
    <row r="279" spans="1:24" ht="15.75" customHeight="1" x14ac:dyDescent="0.3">
      <c r="A279" s="3"/>
      <c r="B279" s="3"/>
      <c r="C279" s="37"/>
      <c r="D279" s="37"/>
      <c r="E279" s="37"/>
      <c r="F279" s="37"/>
      <c r="G279" s="123"/>
      <c r="H279" s="37"/>
      <c r="I279" s="37"/>
      <c r="J279" s="37"/>
      <c r="K279" s="37"/>
      <c r="L279" s="37"/>
      <c r="M279" s="37"/>
      <c r="N279" s="37"/>
      <c r="O279" s="37"/>
      <c r="P279" s="37"/>
      <c r="Q279" s="37"/>
      <c r="R279" s="37"/>
      <c r="S279" s="37"/>
      <c r="T279" s="37"/>
      <c r="U279" s="37"/>
      <c r="V279" s="37"/>
      <c r="W279" s="44"/>
      <c r="X279" s="41"/>
    </row>
    <row r="280" spans="1:24" ht="15.75" customHeight="1" x14ac:dyDescent="0.3">
      <c r="A280" s="3"/>
      <c r="B280" s="3"/>
      <c r="C280" s="37"/>
      <c r="D280" s="37"/>
      <c r="E280" s="37"/>
      <c r="F280" s="37"/>
      <c r="G280" s="123"/>
      <c r="H280" s="37"/>
      <c r="I280" s="37"/>
      <c r="J280" s="37"/>
      <c r="K280" s="37"/>
      <c r="L280" s="37"/>
      <c r="M280" s="37"/>
      <c r="N280" s="37"/>
      <c r="O280" s="37"/>
      <c r="P280" s="37"/>
      <c r="Q280" s="37"/>
      <c r="R280" s="37"/>
      <c r="S280" s="37"/>
      <c r="T280" s="37"/>
      <c r="U280" s="37"/>
      <c r="V280" s="37"/>
      <c r="W280" s="44"/>
      <c r="X280" s="41"/>
    </row>
    <row r="281" spans="1:24" ht="15.75" customHeight="1" x14ac:dyDescent="0.3">
      <c r="A281" s="3"/>
      <c r="B281" s="3"/>
      <c r="C281" s="37"/>
      <c r="D281" s="37"/>
      <c r="E281" s="37"/>
      <c r="F281" s="37"/>
      <c r="G281" s="123"/>
      <c r="H281" s="37"/>
      <c r="I281" s="37"/>
      <c r="J281" s="37"/>
      <c r="K281" s="37"/>
      <c r="L281" s="37"/>
      <c r="M281" s="37"/>
      <c r="N281" s="37"/>
      <c r="O281" s="37"/>
      <c r="P281" s="37"/>
      <c r="Q281" s="37"/>
      <c r="R281" s="37"/>
      <c r="S281" s="37"/>
      <c r="T281" s="37"/>
      <c r="U281" s="37"/>
      <c r="V281" s="37"/>
      <c r="W281" s="44"/>
      <c r="X281" s="41"/>
    </row>
    <row r="282" spans="1:24" ht="15.75" customHeight="1" x14ac:dyDescent="0.3">
      <c r="A282" s="3"/>
      <c r="B282" s="3"/>
      <c r="C282" s="37"/>
      <c r="D282" s="37"/>
      <c r="E282" s="37"/>
      <c r="F282" s="37"/>
      <c r="G282" s="123"/>
      <c r="H282" s="37"/>
      <c r="I282" s="37"/>
      <c r="J282" s="37"/>
      <c r="K282" s="37"/>
      <c r="L282" s="37"/>
      <c r="M282" s="37"/>
      <c r="N282" s="37"/>
      <c r="O282" s="37"/>
      <c r="P282" s="37"/>
      <c r="Q282" s="37"/>
      <c r="R282" s="37"/>
      <c r="S282" s="37"/>
      <c r="T282" s="37"/>
      <c r="U282" s="37"/>
      <c r="V282" s="37"/>
      <c r="W282" s="44"/>
      <c r="X282" s="41"/>
    </row>
    <row r="283" spans="1:24" ht="15.75" customHeight="1" x14ac:dyDescent="0.3">
      <c r="A283" s="3"/>
      <c r="B283" s="3"/>
      <c r="C283" s="37"/>
      <c r="D283" s="37"/>
      <c r="E283" s="37"/>
      <c r="F283" s="37"/>
      <c r="G283" s="123"/>
      <c r="H283" s="37"/>
      <c r="I283" s="37"/>
      <c r="J283" s="37"/>
      <c r="K283" s="37"/>
      <c r="L283" s="37"/>
      <c r="M283" s="37"/>
      <c r="N283" s="37"/>
      <c r="O283" s="37"/>
      <c r="P283" s="37"/>
      <c r="Q283" s="37"/>
      <c r="R283" s="37"/>
      <c r="S283" s="37"/>
      <c r="T283" s="37"/>
      <c r="U283" s="37"/>
      <c r="V283" s="37"/>
      <c r="W283" s="44"/>
      <c r="X283" s="41"/>
    </row>
    <row r="284" spans="1:24" ht="15.75" customHeight="1" x14ac:dyDescent="0.3">
      <c r="A284" s="3"/>
      <c r="B284" s="3"/>
      <c r="C284" s="37"/>
      <c r="D284" s="37"/>
      <c r="E284" s="37"/>
      <c r="F284" s="37"/>
      <c r="G284" s="123"/>
      <c r="H284" s="37"/>
      <c r="I284" s="37"/>
      <c r="J284" s="37"/>
      <c r="K284" s="37"/>
      <c r="L284" s="37"/>
      <c r="M284" s="37"/>
      <c r="N284" s="37"/>
      <c r="O284" s="37"/>
      <c r="P284" s="37"/>
      <c r="Q284" s="37"/>
      <c r="R284" s="37"/>
      <c r="S284" s="37"/>
      <c r="T284" s="37"/>
      <c r="U284" s="37"/>
      <c r="V284" s="37"/>
      <c r="W284" s="44"/>
      <c r="X284" s="41"/>
    </row>
    <row r="285" spans="1:24" ht="15.75" customHeight="1" x14ac:dyDescent="0.3">
      <c r="A285" s="3"/>
      <c r="B285" s="3"/>
      <c r="C285" s="37"/>
      <c r="D285" s="37"/>
      <c r="E285" s="37"/>
      <c r="F285" s="37"/>
      <c r="G285" s="123"/>
      <c r="H285" s="37"/>
      <c r="I285" s="37"/>
      <c r="J285" s="37"/>
      <c r="K285" s="37"/>
      <c r="L285" s="37"/>
      <c r="M285" s="37"/>
      <c r="N285" s="37"/>
      <c r="O285" s="37"/>
      <c r="P285" s="37"/>
      <c r="Q285" s="37"/>
      <c r="R285" s="37"/>
      <c r="S285" s="37"/>
      <c r="T285" s="37"/>
      <c r="U285" s="37"/>
      <c r="V285" s="37"/>
      <c r="W285" s="44"/>
      <c r="X285" s="41"/>
    </row>
    <row r="286" spans="1:24" ht="15.75" customHeight="1" x14ac:dyDescent="0.3">
      <c r="A286" s="3"/>
      <c r="B286" s="3"/>
      <c r="C286" s="37"/>
      <c r="D286" s="37"/>
      <c r="E286" s="37"/>
      <c r="F286" s="37"/>
      <c r="G286" s="123"/>
      <c r="H286" s="37"/>
      <c r="I286" s="37"/>
      <c r="J286" s="37"/>
      <c r="K286" s="37"/>
      <c r="L286" s="37"/>
      <c r="M286" s="37"/>
      <c r="N286" s="37"/>
      <c r="O286" s="37"/>
      <c r="P286" s="37"/>
      <c r="Q286" s="37"/>
      <c r="R286" s="37"/>
      <c r="S286" s="37"/>
      <c r="T286" s="37"/>
      <c r="U286" s="37"/>
      <c r="V286" s="37"/>
      <c r="W286" s="44"/>
      <c r="X286" s="41"/>
    </row>
    <row r="287" spans="1:24" ht="15.75" customHeight="1" x14ac:dyDescent="0.3">
      <c r="A287" s="3"/>
      <c r="B287" s="3"/>
      <c r="C287" s="37"/>
      <c r="D287" s="37"/>
      <c r="E287" s="37"/>
      <c r="F287" s="37"/>
      <c r="G287" s="123"/>
      <c r="H287" s="37"/>
      <c r="I287" s="37"/>
      <c r="J287" s="37"/>
      <c r="K287" s="37"/>
      <c r="L287" s="37"/>
      <c r="M287" s="37"/>
      <c r="N287" s="37"/>
      <c r="O287" s="37"/>
      <c r="P287" s="37"/>
      <c r="Q287" s="37"/>
      <c r="R287" s="37"/>
      <c r="S287" s="37"/>
      <c r="T287" s="37"/>
      <c r="U287" s="37"/>
      <c r="V287" s="37"/>
      <c r="W287" s="44"/>
      <c r="X287" s="41"/>
    </row>
    <row r="288" spans="1:24" ht="15.75" customHeight="1" x14ac:dyDescent="0.3">
      <c r="A288" s="3"/>
      <c r="B288" s="3"/>
      <c r="C288" s="37"/>
      <c r="D288" s="37"/>
      <c r="E288" s="37"/>
      <c r="F288" s="37"/>
      <c r="G288" s="123"/>
      <c r="H288" s="37"/>
      <c r="I288" s="37"/>
      <c r="J288" s="37"/>
      <c r="K288" s="37"/>
      <c r="L288" s="37"/>
      <c r="M288" s="37"/>
      <c r="N288" s="37"/>
      <c r="O288" s="37"/>
      <c r="P288" s="37"/>
      <c r="Q288" s="37"/>
      <c r="R288" s="37"/>
      <c r="S288" s="37"/>
      <c r="T288" s="37"/>
      <c r="U288" s="37"/>
      <c r="V288" s="37"/>
      <c r="W288" s="44"/>
      <c r="X288" s="41"/>
    </row>
    <row r="289" spans="1:24" ht="15.75" customHeight="1" x14ac:dyDescent="0.3">
      <c r="A289" s="3"/>
      <c r="B289" s="3"/>
      <c r="C289" s="37"/>
      <c r="D289" s="37"/>
      <c r="E289" s="37"/>
      <c r="F289" s="37"/>
      <c r="G289" s="123"/>
      <c r="H289" s="37"/>
      <c r="I289" s="37"/>
      <c r="J289" s="37"/>
      <c r="K289" s="37"/>
      <c r="L289" s="37"/>
      <c r="M289" s="37"/>
      <c r="N289" s="37"/>
      <c r="O289" s="37"/>
      <c r="P289" s="37"/>
      <c r="Q289" s="37"/>
      <c r="R289" s="37"/>
      <c r="S289" s="37"/>
      <c r="T289" s="37"/>
      <c r="U289" s="37"/>
      <c r="V289" s="37"/>
      <c r="W289" s="44"/>
      <c r="X289" s="41"/>
    </row>
    <row r="290" spans="1:24" ht="15.75" customHeight="1" x14ac:dyDescent="0.3">
      <c r="A290" s="3"/>
      <c r="B290" s="3"/>
      <c r="C290" s="37"/>
      <c r="D290" s="37"/>
      <c r="E290" s="37"/>
      <c r="F290" s="37"/>
      <c r="G290" s="123"/>
      <c r="H290" s="37"/>
      <c r="I290" s="37"/>
      <c r="J290" s="37"/>
      <c r="K290" s="37"/>
      <c r="L290" s="37"/>
      <c r="M290" s="37"/>
      <c r="N290" s="37"/>
      <c r="O290" s="37"/>
      <c r="P290" s="37"/>
      <c r="Q290" s="37"/>
      <c r="R290" s="37"/>
      <c r="S290" s="37"/>
      <c r="T290" s="37"/>
      <c r="U290" s="37"/>
      <c r="V290" s="37"/>
      <c r="W290" s="44"/>
      <c r="X290" s="41"/>
    </row>
    <row r="291" spans="1:24" ht="15.75" customHeight="1" x14ac:dyDescent="0.3">
      <c r="A291" s="3"/>
      <c r="B291" s="3"/>
      <c r="C291" s="37"/>
      <c r="D291" s="37"/>
      <c r="E291" s="37"/>
      <c r="F291" s="37"/>
      <c r="G291" s="123"/>
      <c r="H291" s="37"/>
      <c r="I291" s="37"/>
      <c r="J291" s="37"/>
      <c r="K291" s="37"/>
      <c r="L291" s="37"/>
      <c r="M291" s="37"/>
      <c r="N291" s="37"/>
      <c r="O291" s="37"/>
      <c r="P291" s="37"/>
      <c r="Q291" s="37"/>
      <c r="R291" s="37"/>
      <c r="S291" s="37"/>
      <c r="T291" s="37"/>
      <c r="U291" s="37"/>
      <c r="V291" s="37"/>
      <c r="W291" s="44"/>
      <c r="X291" s="41"/>
    </row>
    <row r="292" spans="1:24" ht="15.75" customHeight="1" x14ac:dyDescent="0.3">
      <c r="A292" s="3"/>
      <c r="B292" s="3"/>
      <c r="C292" s="37"/>
      <c r="D292" s="37"/>
      <c r="E292" s="37"/>
      <c r="F292" s="37"/>
      <c r="G292" s="123"/>
      <c r="H292" s="37"/>
      <c r="I292" s="37"/>
      <c r="J292" s="37"/>
      <c r="K292" s="37"/>
      <c r="L292" s="37"/>
      <c r="M292" s="37"/>
      <c r="N292" s="37"/>
      <c r="O292" s="37"/>
      <c r="P292" s="37"/>
      <c r="Q292" s="37"/>
      <c r="R292" s="37"/>
      <c r="S292" s="37"/>
      <c r="T292" s="37"/>
      <c r="U292" s="37"/>
      <c r="V292" s="37"/>
      <c r="W292" s="44"/>
      <c r="X292" s="41"/>
    </row>
    <row r="293" spans="1:24" ht="15.75" customHeight="1" x14ac:dyDescent="0.3">
      <c r="A293" s="3"/>
      <c r="B293" s="3"/>
      <c r="C293" s="37"/>
      <c r="D293" s="37"/>
      <c r="E293" s="37"/>
      <c r="F293" s="37"/>
      <c r="G293" s="123"/>
      <c r="H293" s="37"/>
      <c r="I293" s="37"/>
      <c r="J293" s="37"/>
      <c r="K293" s="37"/>
      <c r="L293" s="37"/>
      <c r="M293" s="37"/>
      <c r="N293" s="37"/>
      <c r="O293" s="37"/>
      <c r="P293" s="37"/>
      <c r="Q293" s="37"/>
      <c r="R293" s="37"/>
      <c r="S293" s="37"/>
      <c r="T293" s="37"/>
      <c r="U293" s="37"/>
      <c r="V293" s="37"/>
      <c r="W293" s="44"/>
      <c r="X293" s="41"/>
    </row>
    <row r="294" spans="1:24" ht="15.75" customHeight="1" x14ac:dyDescent="0.3">
      <c r="A294" s="3"/>
      <c r="B294" s="3"/>
      <c r="C294" s="37"/>
      <c r="D294" s="37"/>
      <c r="E294" s="37"/>
      <c r="F294" s="37"/>
      <c r="G294" s="123"/>
      <c r="H294" s="37"/>
      <c r="I294" s="37"/>
      <c r="J294" s="37"/>
      <c r="K294" s="37"/>
      <c r="L294" s="37"/>
      <c r="M294" s="37"/>
      <c r="N294" s="37"/>
      <c r="O294" s="37"/>
      <c r="P294" s="37"/>
      <c r="Q294" s="37"/>
      <c r="R294" s="37"/>
      <c r="S294" s="37"/>
      <c r="T294" s="37"/>
      <c r="U294" s="37"/>
      <c r="V294" s="37"/>
      <c r="W294" s="44"/>
      <c r="X294" s="41"/>
    </row>
    <row r="295" spans="1:24" ht="15.75" customHeight="1" x14ac:dyDescent="0.3">
      <c r="A295" s="3"/>
      <c r="B295" s="3"/>
      <c r="C295" s="37"/>
      <c r="D295" s="37"/>
      <c r="E295" s="37"/>
      <c r="F295" s="37"/>
      <c r="G295" s="123"/>
      <c r="H295" s="37"/>
      <c r="I295" s="37"/>
      <c r="J295" s="37"/>
      <c r="K295" s="37"/>
      <c r="L295" s="37"/>
      <c r="M295" s="37"/>
      <c r="N295" s="37"/>
      <c r="O295" s="37"/>
      <c r="P295" s="37"/>
      <c r="Q295" s="37"/>
      <c r="R295" s="37"/>
      <c r="S295" s="37"/>
      <c r="T295" s="37"/>
      <c r="U295" s="37"/>
      <c r="V295" s="37"/>
      <c r="W295" s="44"/>
      <c r="X295" s="41"/>
    </row>
    <row r="296" spans="1:24" ht="15.75" customHeight="1" x14ac:dyDescent="0.3">
      <c r="A296" s="3"/>
      <c r="B296" s="3"/>
      <c r="C296" s="37"/>
      <c r="D296" s="37"/>
      <c r="E296" s="37"/>
      <c r="F296" s="37"/>
      <c r="G296" s="123"/>
      <c r="H296" s="37"/>
      <c r="I296" s="37"/>
      <c r="J296" s="37"/>
      <c r="K296" s="37"/>
      <c r="L296" s="37"/>
      <c r="M296" s="37"/>
      <c r="N296" s="37"/>
      <c r="O296" s="37"/>
      <c r="P296" s="37"/>
      <c r="Q296" s="37"/>
      <c r="R296" s="37"/>
      <c r="S296" s="37"/>
      <c r="T296" s="37"/>
      <c r="U296" s="37"/>
      <c r="V296" s="37"/>
      <c r="W296" s="44"/>
      <c r="X296" s="41"/>
    </row>
    <row r="297" spans="1:24" ht="15.75" customHeight="1" x14ac:dyDescent="0.3">
      <c r="A297" s="3"/>
      <c r="B297" s="3"/>
      <c r="C297" s="37"/>
      <c r="D297" s="37"/>
      <c r="E297" s="37"/>
      <c r="F297" s="37"/>
      <c r="G297" s="123"/>
      <c r="H297" s="37"/>
      <c r="I297" s="37"/>
      <c r="J297" s="37"/>
      <c r="K297" s="37"/>
      <c r="L297" s="37"/>
      <c r="M297" s="37"/>
      <c r="N297" s="37"/>
      <c r="O297" s="37"/>
      <c r="P297" s="37"/>
      <c r="Q297" s="37"/>
      <c r="R297" s="37"/>
      <c r="S297" s="37"/>
      <c r="T297" s="37"/>
      <c r="U297" s="37"/>
      <c r="V297" s="37"/>
      <c r="W297" s="44"/>
      <c r="X297" s="41"/>
    </row>
    <row r="298" spans="1:24" ht="15.75" customHeight="1" x14ac:dyDescent="0.3">
      <c r="A298" s="3"/>
      <c r="B298" s="3"/>
      <c r="C298" s="37"/>
      <c r="D298" s="37"/>
      <c r="E298" s="37"/>
      <c r="F298" s="37"/>
      <c r="G298" s="123"/>
      <c r="H298" s="37"/>
      <c r="I298" s="37"/>
      <c r="J298" s="37"/>
      <c r="K298" s="37"/>
      <c r="L298" s="37"/>
      <c r="M298" s="37"/>
      <c r="N298" s="37"/>
      <c r="O298" s="37"/>
      <c r="P298" s="37"/>
      <c r="Q298" s="37"/>
      <c r="R298" s="37"/>
      <c r="S298" s="37"/>
      <c r="T298" s="37"/>
      <c r="U298" s="37"/>
      <c r="V298" s="37"/>
      <c r="W298" s="44"/>
      <c r="X298" s="41"/>
    </row>
    <row r="299" spans="1:24" ht="15.75" customHeight="1" x14ac:dyDescent="0.3">
      <c r="A299" s="3"/>
      <c r="B299" s="3"/>
      <c r="C299" s="37"/>
      <c r="D299" s="37"/>
      <c r="E299" s="37"/>
      <c r="F299" s="37"/>
      <c r="G299" s="123"/>
      <c r="H299" s="37"/>
      <c r="I299" s="37"/>
      <c r="J299" s="37"/>
      <c r="K299" s="37"/>
      <c r="L299" s="37"/>
      <c r="M299" s="37"/>
      <c r="N299" s="37"/>
      <c r="O299" s="37"/>
      <c r="P299" s="37"/>
      <c r="Q299" s="37"/>
      <c r="R299" s="37"/>
      <c r="S299" s="37"/>
      <c r="T299" s="37"/>
      <c r="U299" s="37"/>
      <c r="V299" s="37"/>
      <c r="W299" s="44"/>
      <c r="X299" s="41"/>
    </row>
    <row r="300" spans="1:24" ht="15.75" customHeight="1" x14ac:dyDescent="0.3">
      <c r="A300" s="3"/>
      <c r="B300" s="3"/>
      <c r="C300" s="37"/>
      <c r="D300" s="37"/>
      <c r="E300" s="37"/>
      <c r="F300" s="37"/>
      <c r="G300" s="123"/>
      <c r="H300" s="37"/>
      <c r="I300" s="37"/>
      <c r="J300" s="37"/>
      <c r="K300" s="37"/>
      <c r="L300" s="37"/>
      <c r="M300" s="37"/>
      <c r="N300" s="37"/>
      <c r="O300" s="37"/>
      <c r="P300" s="37"/>
      <c r="Q300" s="37"/>
      <c r="R300" s="37"/>
      <c r="S300" s="37"/>
      <c r="T300" s="37"/>
      <c r="U300" s="37"/>
      <c r="V300" s="37"/>
      <c r="W300" s="44"/>
      <c r="X300" s="41"/>
    </row>
    <row r="301" spans="1:24" ht="15.75" customHeight="1" x14ac:dyDescent="0.3">
      <c r="A301" s="3"/>
      <c r="B301" s="3"/>
      <c r="C301" s="37"/>
      <c r="D301" s="37"/>
      <c r="E301" s="37"/>
      <c r="F301" s="37"/>
      <c r="G301" s="123"/>
      <c r="H301" s="37"/>
      <c r="I301" s="37"/>
      <c r="J301" s="37"/>
      <c r="K301" s="37"/>
      <c r="L301" s="37"/>
      <c r="M301" s="37"/>
      <c r="N301" s="37"/>
      <c r="O301" s="37"/>
      <c r="P301" s="37"/>
      <c r="Q301" s="37"/>
      <c r="R301" s="37"/>
      <c r="S301" s="37"/>
      <c r="T301" s="37"/>
      <c r="U301" s="37"/>
      <c r="V301" s="37"/>
      <c r="W301" s="44"/>
      <c r="X301" s="41"/>
    </row>
    <row r="302" spans="1:24" ht="15.75" customHeight="1" x14ac:dyDescent="0.3">
      <c r="A302" s="3"/>
      <c r="B302" s="3"/>
      <c r="C302" s="37"/>
      <c r="D302" s="37"/>
      <c r="E302" s="37"/>
      <c r="F302" s="37"/>
      <c r="G302" s="123"/>
      <c r="H302" s="37"/>
      <c r="I302" s="37"/>
      <c r="J302" s="37"/>
      <c r="K302" s="37"/>
      <c r="L302" s="37"/>
      <c r="M302" s="37"/>
      <c r="N302" s="37"/>
      <c r="O302" s="37"/>
      <c r="P302" s="37"/>
      <c r="Q302" s="37"/>
      <c r="R302" s="37"/>
      <c r="S302" s="37"/>
      <c r="T302" s="37"/>
      <c r="U302" s="37"/>
      <c r="V302" s="37"/>
      <c r="W302" s="44"/>
      <c r="X302" s="41"/>
    </row>
    <row r="303" spans="1:24" ht="15.75" customHeight="1" x14ac:dyDescent="0.3">
      <c r="A303" s="3"/>
      <c r="B303" s="3"/>
      <c r="C303" s="37"/>
      <c r="D303" s="37"/>
      <c r="E303" s="37"/>
      <c r="F303" s="37"/>
      <c r="G303" s="123"/>
      <c r="H303" s="37"/>
      <c r="I303" s="37"/>
      <c r="J303" s="37"/>
      <c r="K303" s="37"/>
      <c r="L303" s="37"/>
      <c r="M303" s="37"/>
      <c r="N303" s="37"/>
      <c r="O303" s="37"/>
      <c r="P303" s="37"/>
      <c r="Q303" s="37"/>
      <c r="R303" s="37"/>
      <c r="S303" s="37"/>
      <c r="T303" s="37"/>
      <c r="U303" s="37"/>
      <c r="V303" s="37"/>
      <c r="W303" s="44"/>
      <c r="X303" s="41"/>
    </row>
    <row r="304" spans="1:24" ht="15.75" customHeight="1" x14ac:dyDescent="0.3">
      <c r="A304" s="3"/>
      <c r="B304" s="3"/>
      <c r="C304" s="37"/>
      <c r="D304" s="37"/>
      <c r="E304" s="37"/>
      <c r="F304" s="37"/>
      <c r="G304" s="123"/>
      <c r="H304" s="37"/>
      <c r="I304" s="37"/>
      <c r="J304" s="37"/>
      <c r="K304" s="37"/>
      <c r="L304" s="37"/>
      <c r="M304" s="37"/>
      <c r="N304" s="37"/>
      <c r="O304" s="37"/>
      <c r="P304" s="37"/>
      <c r="Q304" s="37"/>
      <c r="R304" s="37"/>
      <c r="S304" s="37"/>
      <c r="T304" s="37"/>
      <c r="U304" s="37"/>
      <c r="V304" s="37"/>
      <c r="W304" s="44"/>
      <c r="X304" s="41"/>
    </row>
    <row r="305" spans="1:24" ht="15.75" customHeight="1" x14ac:dyDescent="0.3">
      <c r="A305" s="3"/>
      <c r="B305" s="3"/>
      <c r="C305" s="37"/>
      <c r="D305" s="37"/>
      <c r="E305" s="37"/>
      <c r="F305" s="37"/>
      <c r="G305" s="123"/>
      <c r="H305" s="37"/>
      <c r="I305" s="37"/>
      <c r="J305" s="37"/>
      <c r="K305" s="37"/>
      <c r="L305" s="37"/>
      <c r="M305" s="37"/>
      <c r="N305" s="37"/>
      <c r="O305" s="37"/>
      <c r="P305" s="37"/>
      <c r="Q305" s="37"/>
      <c r="R305" s="37"/>
      <c r="S305" s="37"/>
      <c r="T305" s="37"/>
      <c r="U305" s="37"/>
      <c r="V305" s="37"/>
      <c r="W305" s="44"/>
      <c r="X305" s="41"/>
    </row>
    <row r="306" spans="1:24" ht="15.75" customHeight="1" x14ac:dyDescent="0.3">
      <c r="A306" s="3"/>
      <c r="B306" s="3"/>
      <c r="C306" s="37"/>
      <c r="D306" s="37"/>
      <c r="E306" s="37"/>
      <c r="F306" s="37"/>
      <c r="G306" s="123"/>
      <c r="H306" s="37"/>
      <c r="I306" s="37"/>
      <c r="J306" s="37"/>
      <c r="K306" s="37"/>
      <c r="L306" s="37"/>
      <c r="M306" s="37"/>
      <c r="N306" s="37"/>
      <c r="O306" s="37"/>
      <c r="P306" s="37"/>
      <c r="Q306" s="37"/>
      <c r="R306" s="37"/>
      <c r="S306" s="37"/>
      <c r="T306" s="37"/>
      <c r="U306" s="37"/>
      <c r="V306" s="37"/>
      <c r="W306" s="44"/>
      <c r="X306" s="41"/>
    </row>
    <row r="307" spans="1:24" ht="15.75" customHeight="1" x14ac:dyDescent="0.3">
      <c r="A307" s="3"/>
      <c r="B307" s="3"/>
      <c r="C307" s="37"/>
      <c r="D307" s="37"/>
      <c r="E307" s="37"/>
      <c r="F307" s="37"/>
      <c r="G307" s="123"/>
      <c r="H307" s="37"/>
      <c r="I307" s="37"/>
      <c r="J307" s="37"/>
      <c r="K307" s="37"/>
      <c r="L307" s="37"/>
      <c r="M307" s="37"/>
      <c r="N307" s="37"/>
      <c r="O307" s="37"/>
      <c r="P307" s="37"/>
      <c r="Q307" s="37"/>
      <c r="R307" s="37"/>
      <c r="S307" s="37"/>
      <c r="T307" s="37"/>
      <c r="U307" s="37"/>
      <c r="V307" s="37"/>
      <c r="W307" s="44"/>
      <c r="X307" s="41"/>
    </row>
    <row r="308" spans="1:24" ht="15.75" customHeight="1" x14ac:dyDescent="0.3">
      <c r="A308" s="3"/>
      <c r="B308" s="3"/>
      <c r="C308" s="37"/>
      <c r="D308" s="37"/>
      <c r="E308" s="37"/>
      <c r="F308" s="37"/>
      <c r="G308" s="123"/>
      <c r="H308" s="37"/>
      <c r="I308" s="37"/>
      <c r="J308" s="37"/>
      <c r="K308" s="37"/>
      <c r="L308" s="37"/>
      <c r="M308" s="37"/>
      <c r="N308" s="37"/>
      <c r="O308" s="37"/>
      <c r="P308" s="37"/>
      <c r="Q308" s="37"/>
      <c r="R308" s="37"/>
      <c r="S308" s="37"/>
      <c r="T308" s="37"/>
      <c r="U308" s="37"/>
      <c r="V308" s="37"/>
      <c r="W308" s="44"/>
      <c r="X308" s="41"/>
    </row>
    <row r="309" spans="1:24" ht="15.75" customHeight="1" x14ac:dyDescent="0.3">
      <c r="A309" s="3"/>
      <c r="B309" s="3"/>
      <c r="C309" s="37"/>
      <c r="D309" s="37"/>
      <c r="E309" s="37"/>
      <c r="F309" s="37"/>
      <c r="G309" s="123"/>
      <c r="H309" s="37"/>
      <c r="I309" s="37"/>
      <c r="J309" s="37"/>
      <c r="K309" s="37"/>
      <c r="L309" s="37"/>
      <c r="M309" s="37"/>
      <c r="N309" s="37"/>
      <c r="O309" s="37"/>
      <c r="P309" s="37"/>
      <c r="Q309" s="37"/>
      <c r="R309" s="37"/>
      <c r="S309" s="37"/>
      <c r="T309" s="37"/>
      <c r="U309" s="37"/>
      <c r="V309" s="37"/>
      <c r="W309" s="44"/>
      <c r="X309" s="41"/>
    </row>
    <row r="310" spans="1:24" ht="15.75" customHeight="1" x14ac:dyDescent="0.3">
      <c r="A310" s="3"/>
      <c r="B310" s="3"/>
      <c r="C310" s="37"/>
      <c r="D310" s="37"/>
      <c r="E310" s="37"/>
      <c r="F310" s="37"/>
      <c r="G310" s="123"/>
      <c r="H310" s="37"/>
      <c r="I310" s="37"/>
      <c r="J310" s="37"/>
      <c r="K310" s="37"/>
      <c r="L310" s="37"/>
      <c r="M310" s="37"/>
      <c r="N310" s="37"/>
      <c r="O310" s="37"/>
      <c r="P310" s="37"/>
      <c r="Q310" s="37"/>
      <c r="R310" s="37"/>
      <c r="S310" s="37"/>
      <c r="T310" s="37"/>
      <c r="U310" s="37"/>
      <c r="V310" s="37"/>
      <c r="W310" s="44"/>
      <c r="X310" s="41"/>
    </row>
    <row r="311" spans="1:24" ht="15.75" customHeight="1" x14ac:dyDescent="0.3">
      <c r="A311" s="3"/>
      <c r="B311" s="3"/>
      <c r="C311" s="37"/>
      <c r="D311" s="37"/>
      <c r="E311" s="37"/>
      <c r="F311" s="37"/>
      <c r="G311" s="123"/>
      <c r="H311" s="37"/>
      <c r="I311" s="37"/>
      <c r="J311" s="37"/>
      <c r="K311" s="37"/>
      <c r="L311" s="37"/>
      <c r="M311" s="37"/>
      <c r="N311" s="37"/>
      <c r="O311" s="37"/>
      <c r="P311" s="37"/>
      <c r="Q311" s="37"/>
      <c r="R311" s="37"/>
      <c r="S311" s="37"/>
      <c r="T311" s="37"/>
      <c r="U311" s="37"/>
      <c r="V311" s="37"/>
      <c r="W311" s="44"/>
      <c r="X311" s="41"/>
    </row>
    <row r="312" spans="1:24" ht="15.75" customHeight="1" x14ac:dyDescent="0.3">
      <c r="A312" s="3"/>
      <c r="B312" s="3"/>
      <c r="C312" s="37"/>
      <c r="D312" s="37"/>
      <c r="E312" s="37"/>
      <c r="F312" s="37"/>
      <c r="G312" s="123"/>
      <c r="H312" s="37"/>
      <c r="I312" s="37"/>
      <c r="J312" s="37"/>
      <c r="K312" s="37"/>
      <c r="L312" s="37"/>
      <c r="M312" s="37"/>
      <c r="N312" s="37"/>
      <c r="O312" s="37"/>
      <c r="P312" s="37"/>
      <c r="Q312" s="37"/>
      <c r="R312" s="37"/>
      <c r="S312" s="37"/>
      <c r="T312" s="37"/>
      <c r="U312" s="37"/>
      <c r="V312" s="37"/>
      <c r="W312" s="44"/>
      <c r="X312" s="41"/>
    </row>
    <row r="313" spans="1:24" ht="15.75" customHeight="1" x14ac:dyDescent="0.3">
      <c r="A313" s="3"/>
      <c r="B313" s="3"/>
      <c r="C313" s="37"/>
      <c r="D313" s="37"/>
      <c r="E313" s="37"/>
      <c r="F313" s="37"/>
      <c r="G313" s="123"/>
      <c r="H313" s="37"/>
      <c r="I313" s="37"/>
      <c r="J313" s="37"/>
      <c r="K313" s="37"/>
      <c r="L313" s="37"/>
      <c r="M313" s="37"/>
      <c r="N313" s="37"/>
      <c r="O313" s="37"/>
      <c r="P313" s="37"/>
      <c r="Q313" s="37"/>
      <c r="R313" s="37"/>
      <c r="S313" s="37"/>
      <c r="T313" s="37"/>
      <c r="U313" s="37"/>
      <c r="V313" s="37"/>
      <c r="W313" s="44"/>
      <c r="X313" s="41"/>
    </row>
    <row r="314" spans="1:24" ht="15.75" customHeight="1" x14ac:dyDescent="0.3">
      <c r="A314" s="3"/>
      <c r="B314" s="3"/>
      <c r="C314" s="37"/>
      <c r="D314" s="37"/>
      <c r="E314" s="37"/>
      <c r="F314" s="37"/>
      <c r="G314" s="123"/>
      <c r="H314" s="37"/>
      <c r="I314" s="37"/>
      <c r="J314" s="37"/>
      <c r="K314" s="37"/>
      <c r="L314" s="37"/>
      <c r="M314" s="37"/>
      <c r="N314" s="37"/>
      <c r="O314" s="37"/>
      <c r="P314" s="37"/>
      <c r="Q314" s="37"/>
      <c r="R314" s="37"/>
      <c r="S314" s="37"/>
      <c r="T314" s="37"/>
      <c r="U314" s="37"/>
      <c r="V314" s="37"/>
      <c r="W314" s="44"/>
      <c r="X314" s="41"/>
    </row>
    <row r="315" spans="1:24" ht="15.75" customHeight="1" x14ac:dyDescent="0.3">
      <c r="A315" s="3"/>
      <c r="B315" s="3"/>
      <c r="C315" s="37"/>
      <c r="D315" s="37"/>
      <c r="E315" s="37"/>
      <c r="F315" s="37"/>
      <c r="G315" s="123"/>
      <c r="H315" s="37"/>
      <c r="I315" s="37"/>
      <c r="J315" s="37"/>
      <c r="K315" s="37"/>
      <c r="L315" s="37"/>
      <c r="M315" s="37"/>
      <c r="N315" s="37"/>
      <c r="O315" s="37"/>
      <c r="P315" s="37"/>
      <c r="Q315" s="37"/>
      <c r="R315" s="37"/>
      <c r="S315" s="37"/>
      <c r="T315" s="37"/>
      <c r="U315" s="37"/>
      <c r="V315" s="37"/>
      <c r="W315" s="44"/>
      <c r="X315" s="41"/>
    </row>
    <row r="316" spans="1:24" ht="15.75" customHeight="1" x14ac:dyDescent="0.3">
      <c r="A316" s="3"/>
      <c r="B316" s="3"/>
      <c r="C316" s="37"/>
      <c r="D316" s="37"/>
      <c r="E316" s="37"/>
      <c r="F316" s="37"/>
      <c r="G316" s="123"/>
      <c r="H316" s="37"/>
      <c r="I316" s="37"/>
      <c r="J316" s="37"/>
      <c r="K316" s="37"/>
      <c r="L316" s="37"/>
      <c r="M316" s="37"/>
      <c r="N316" s="37"/>
      <c r="O316" s="37"/>
      <c r="P316" s="37"/>
      <c r="Q316" s="37"/>
      <c r="R316" s="37"/>
      <c r="S316" s="37"/>
      <c r="T316" s="37"/>
      <c r="U316" s="37"/>
      <c r="V316" s="37"/>
      <c r="W316" s="44"/>
      <c r="X316" s="41"/>
    </row>
    <row r="317" spans="1:24" ht="15.75" customHeight="1" x14ac:dyDescent="0.3">
      <c r="A317" s="3"/>
      <c r="B317" s="3"/>
      <c r="C317" s="37"/>
      <c r="D317" s="37"/>
      <c r="E317" s="37"/>
      <c r="F317" s="37"/>
      <c r="G317" s="123"/>
      <c r="H317" s="37"/>
      <c r="I317" s="37"/>
      <c r="J317" s="37"/>
      <c r="K317" s="37"/>
      <c r="L317" s="37"/>
      <c r="M317" s="37"/>
      <c r="N317" s="37"/>
      <c r="O317" s="37"/>
      <c r="P317" s="37"/>
      <c r="Q317" s="37"/>
      <c r="R317" s="37"/>
      <c r="S317" s="37"/>
      <c r="T317" s="37"/>
      <c r="U317" s="37"/>
      <c r="V317" s="37"/>
      <c r="W317" s="44"/>
      <c r="X317" s="41"/>
    </row>
    <row r="318" spans="1:24" ht="15.75" customHeight="1" x14ac:dyDescent="0.3">
      <c r="A318" s="3"/>
      <c r="B318" s="3"/>
      <c r="C318" s="37"/>
      <c r="D318" s="37"/>
      <c r="E318" s="37"/>
      <c r="F318" s="37"/>
      <c r="G318" s="123"/>
      <c r="H318" s="37"/>
      <c r="I318" s="37"/>
      <c r="J318" s="37"/>
      <c r="K318" s="37"/>
      <c r="L318" s="37"/>
      <c r="M318" s="37"/>
      <c r="N318" s="37"/>
      <c r="O318" s="37"/>
      <c r="P318" s="37"/>
      <c r="Q318" s="37"/>
      <c r="R318" s="37"/>
      <c r="S318" s="37"/>
      <c r="T318" s="37"/>
      <c r="U318" s="37"/>
      <c r="V318" s="37"/>
      <c r="W318" s="44"/>
      <c r="X318" s="41"/>
    </row>
    <row r="319" spans="1:24" ht="15.75" customHeight="1" x14ac:dyDescent="0.3">
      <c r="A319" s="3"/>
      <c r="B319" s="3"/>
      <c r="C319" s="37"/>
      <c r="D319" s="37"/>
      <c r="E319" s="37"/>
      <c r="F319" s="37"/>
      <c r="G319" s="123"/>
      <c r="H319" s="37"/>
      <c r="I319" s="37"/>
      <c r="J319" s="37"/>
      <c r="K319" s="37"/>
      <c r="L319" s="37"/>
      <c r="M319" s="37"/>
      <c r="N319" s="37"/>
      <c r="O319" s="37"/>
      <c r="P319" s="37"/>
      <c r="Q319" s="37"/>
      <c r="R319" s="37"/>
      <c r="S319" s="37"/>
      <c r="T319" s="37"/>
      <c r="U319" s="37"/>
      <c r="V319" s="37"/>
      <c r="W319" s="44"/>
      <c r="X319" s="41"/>
    </row>
    <row r="320" spans="1:24" ht="15.75" customHeight="1" x14ac:dyDescent="0.3">
      <c r="A320" s="3"/>
      <c r="B320" s="3"/>
      <c r="C320" s="37"/>
      <c r="D320" s="37"/>
      <c r="E320" s="37"/>
      <c r="F320" s="37"/>
      <c r="G320" s="123"/>
      <c r="H320" s="37"/>
      <c r="I320" s="37"/>
      <c r="J320" s="37"/>
      <c r="K320" s="37"/>
      <c r="L320" s="37"/>
      <c r="M320" s="37"/>
      <c r="N320" s="37"/>
      <c r="O320" s="37"/>
      <c r="P320" s="37"/>
      <c r="Q320" s="37"/>
      <c r="R320" s="37"/>
      <c r="S320" s="37"/>
      <c r="T320" s="37"/>
      <c r="U320" s="37"/>
      <c r="V320" s="37"/>
      <c r="W320" s="44"/>
      <c r="X320" s="41"/>
    </row>
    <row r="321" spans="1:24" ht="15.75" customHeight="1" x14ac:dyDescent="0.3">
      <c r="A321" s="3"/>
      <c r="B321" s="3"/>
      <c r="C321" s="37"/>
      <c r="D321" s="37"/>
      <c r="E321" s="37"/>
      <c r="F321" s="37"/>
      <c r="G321" s="123"/>
      <c r="H321" s="37"/>
      <c r="I321" s="37"/>
      <c r="J321" s="37"/>
      <c r="K321" s="37"/>
      <c r="L321" s="37"/>
      <c r="M321" s="37"/>
      <c r="N321" s="37"/>
      <c r="O321" s="37"/>
      <c r="P321" s="37"/>
      <c r="Q321" s="37"/>
      <c r="R321" s="37"/>
      <c r="S321" s="37"/>
      <c r="T321" s="37"/>
      <c r="U321" s="37"/>
      <c r="V321" s="37"/>
      <c r="W321" s="44"/>
      <c r="X321" s="41"/>
    </row>
    <row r="322" spans="1:24" ht="15.75" customHeight="1" x14ac:dyDescent="0.3">
      <c r="A322" s="3"/>
      <c r="B322" s="3"/>
      <c r="C322" s="37"/>
      <c r="D322" s="37"/>
      <c r="E322" s="37"/>
      <c r="F322" s="37"/>
      <c r="G322" s="123"/>
      <c r="H322" s="37"/>
      <c r="I322" s="37"/>
      <c r="J322" s="37"/>
      <c r="K322" s="37"/>
      <c r="L322" s="37"/>
      <c r="M322" s="37"/>
      <c r="N322" s="37"/>
      <c r="O322" s="37"/>
      <c r="P322" s="37"/>
      <c r="Q322" s="37"/>
      <c r="R322" s="37"/>
      <c r="S322" s="37"/>
      <c r="T322" s="37"/>
      <c r="U322" s="37"/>
      <c r="V322" s="37"/>
      <c r="W322" s="44"/>
      <c r="X322" s="41"/>
    </row>
    <row r="323" spans="1:24" ht="15.75" customHeight="1" x14ac:dyDescent="0.3">
      <c r="A323" s="3"/>
      <c r="B323" s="3"/>
      <c r="C323" s="37"/>
      <c r="D323" s="37"/>
      <c r="E323" s="37"/>
      <c r="F323" s="37"/>
      <c r="G323" s="123"/>
      <c r="H323" s="37"/>
      <c r="I323" s="37"/>
      <c r="J323" s="37"/>
      <c r="K323" s="37"/>
      <c r="L323" s="37"/>
      <c r="M323" s="37"/>
      <c r="N323" s="37"/>
      <c r="O323" s="37"/>
      <c r="P323" s="37"/>
      <c r="Q323" s="37"/>
      <c r="R323" s="37"/>
      <c r="S323" s="37"/>
      <c r="T323" s="37"/>
      <c r="U323" s="37"/>
      <c r="V323" s="37"/>
      <c r="W323" s="44"/>
      <c r="X323" s="41"/>
    </row>
    <row r="324" spans="1:24" ht="15.75" customHeight="1" x14ac:dyDescent="0.3">
      <c r="A324" s="3"/>
      <c r="B324" s="3"/>
      <c r="C324" s="37"/>
      <c r="D324" s="37"/>
      <c r="E324" s="37"/>
      <c r="F324" s="37"/>
      <c r="G324" s="123"/>
      <c r="H324" s="37"/>
      <c r="I324" s="37"/>
      <c r="J324" s="37"/>
      <c r="K324" s="37"/>
      <c r="L324" s="37"/>
      <c r="M324" s="37"/>
      <c r="N324" s="37"/>
      <c r="O324" s="37"/>
      <c r="P324" s="37"/>
      <c r="Q324" s="37"/>
      <c r="R324" s="37"/>
      <c r="S324" s="37"/>
      <c r="T324" s="37"/>
      <c r="U324" s="37"/>
      <c r="V324" s="37"/>
      <c r="W324" s="44"/>
      <c r="X324" s="41"/>
    </row>
    <row r="325" spans="1:24" ht="15.75" customHeight="1" x14ac:dyDescent="0.3">
      <c r="A325" s="3"/>
      <c r="B325" s="3"/>
      <c r="C325" s="37"/>
      <c r="D325" s="37"/>
      <c r="E325" s="37"/>
      <c r="F325" s="37"/>
      <c r="G325" s="123"/>
      <c r="H325" s="37"/>
      <c r="I325" s="37"/>
      <c r="J325" s="37"/>
      <c r="K325" s="37"/>
      <c r="L325" s="37"/>
      <c r="M325" s="37"/>
      <c r="N325" s="37"/>
      <c r="O325" s="37"/>
      <c r="P325" s="37"/>
      <c r="Q325" s="37"/>
      <c r="R325" s="37"/>
      <c r="S325" s="37"/>
      <c r="T325" s="37"/>
      <c r="U325" s="37"/>
      <c r="V325" s="37"/>
      <c r="W325" s="44"/>
      <c r="X325" s="41"/>
    </row>
    <row r="326" spans="1:24" ht="15.75" customHeight="1" x14ac:dyDescent="0.3">
      <c r="A326" s="3"/>
      <c r="B326" s="3"/>
      <c r="C326" s="37"/>
      <c r="D326" s="37"/>
      <c r="E326" s="37"/>
      <c r="F326" s="37"/>
      <c r="G326" s="123"/>
      <c r="H326" s="37"/>
      <c r="I326" s="37"/>
      <c r="J326" s="37"/>
      <c r="K326" s="37"/>
      <c r="L326" s="37"/>
      <c r="M326" s="37"/>
      <c r="N326" s="37"/>
      <c r="O326" s="37"/>
      <c r="P326" s="37"/>
      <c r="Q326" s="37"/>
      <c r="R326" s="37"/>
      <c r="S326" s="37"/>
      <c r="T326" s="37"/>
      <c r="U326" s="37"/>
      <c r="V326" s="37"/>
      <c r="W326" s="44"/>
      <c r="X326" s="41"/>
    </row>
    <row r="327" spans="1:24" ht="15.75" customHeight="1" x14ac:dyDescent="0.3">
      <c r="A327" s="3"/>
      <c r="B327" s="3"/>
      <c r="C327" s="37"/>
      <c r="D327" s="37"/>
      <c r="E327" s="37"/>
      <c r="F327" s="37"/>
      <c r="G327" s="123"/>
      <c r="H327" s="37"/>
      <c r="I327" s="37"/>
      <c r="J327" s="37"/>
      <c r="K327" s="37"/>
      <c r="L327" s="37"/>
      <c r="M327" s="37"/>
      <c r="N327" s="37"/>
      <c r="O327" s="37"/>
      <c r="P327" s="37"/>
      <c r="Q327" s="37"/>
      <c r="R327" s="37"/>
      <c r="S327" s="37"/>
      <c r="T327" s="37"/>
      <c r="U327" s="37"/>
      <c r="V327" s="37"/>
      <c r="W327" s="44"/>
      <c r="X327" s="41"/>
    </row>
    <row r="328" spans="1:24" ht="15.75" customHeight="1" x14ac:dyDescent="0.3">
      <c r="A328" s="3"/>
      <c r="B328" s="3"/>
      <c r="C328" s="37"/>
      <c r="D328" s="37"/>
      <c r="E328" s="37"/>
      <c r="F328" s="37"/>
      <c r="G328" s="123"/>
      <c r="H328" s="37"/>
      <c r="I328" s="37"/>
      <c r="J328" s="37"/>
      <c r="K328" s="37"/>
      <c r="L328" s="37"/>
      <c r="M328" s="37"/>
      <c r="N328" s="37"/>
      <c r="O328" s="37"/>
      <c r="P328" s="37"/>
      <c r="Q328" s="37"/>
      <c r="R328" s="37"/>
      <c r="S328" s="37"/>
      <c r="T328" s="37"/>
      <c r="U328" s="37"/>
      <c r="V328" s="37"/>
      <c r="W328" s="44"/>
      <c r="X328" s="41"/>
    </row>
    <row r="329" spans="1:24" ht="15.75" customHeight="1" x14ac:dyDescent="0.3">
      <c r="A329" s="3"/>
      <c r="B329" s="3"/>
      <c r="C329" s="37"/>
      <c r="D329" s="37"/>
      <c r="E329" s="37"/>
      <c r="F329" s="37"/>
      <c r="G329" s="123"/>
      <c r="H329" s="37"/>
      <c r="I329" s="37"/>
      <c r="J329" s="37"/>
      <c r="K329" s="37"/>
      <c r="L329" s="37"/>
      <c r="M329" s="37"/>
      <c r="N329" s="37"/>
      <c r="O329" s="37"/>
      <c r="P329" s="37"/>
      <c r="Q329" s="37"/>
      <c r="R329" s="37"/>
      <c r="S329" s="37"/>
      <c r="T329" s="37"/>
      <c r="U329" s="37"/>
      <c r="V329" s="37"/>
      <c r="W329" s="44"/>
      <c r="X329" s="41"/>
    </row>
    <row r="330" spans="1:24" ht="15.75" customHeight="1" x14ac:dyDescent="0.3">
      <c r="A330" s="3"/>
      <c r="B330" s="3"/>
      <c r="C330" s="37"/>
      <c r="D330" s="37"/>
      <c r="E330" s="37"/>
      <c r="F330" s="37"/>
      <c r="G330" s="123"/>
      <c r="H330" s="37"/>
      <c r="I330" s="37"/>
      <c r="J330" s="37"/>
      <c r="K330" s="37"/>
      <c r="L330" s="37"/>
      <c r="M330" s="37"/>
      <c r="N330" s="37"/>
      <c r="O330" s="37"/>
      <c r="P330" s="37"/>
      <c r="Q330" s="37"/>
      <c r="R330" s="37"/>
      <c r="S330" s="37"/>
      <c r="T330" s="37"/>
      <c r="U330" s="37"/>
      <c r="V330" s="37"/>
      <c r="W330" s="44"/>
      <c r="X330" s="41"/>
    </row>
    <row r="331" spans="1:24" ht="15.75" customHeight="1" x14ac:dyDescent="0.3">
      <c r="A331" s="3"/>
      <c r="B331" s="3"/>
      <c r="C331" s="37"/>
      <c r="D331" s="37"/>
      <c r="E331" s="37"/>
      <c r="F331" s="37"/>
      <c r="G331" s="123"/>
      <c r="H331" s="37"/>
      <c r="I331" s="37"/>
      <c r="J331" s="37"/>
      <c r="K331" s="37"/>
      <c r="L331" s="37"/>
      <c r="M331" s="37"/>
      <c r="N331" s="37"/>
      <c r="O331" s="37"/>
      <c r="P331" s="37"/>
      <c r="Q331" s="37"/>
      <c r="R331" s="37"/>
      <c r="S331" s="37"/>
      <c r="T331" s="37"/>
      <c r="U331" s="37"/>
      <c r="V331" s="37"/>
      <c r="W331" s="44"/>
      <c r="X331" s="41"/>
    </row>
    <row r="332" spans="1:24" ht="15.75" customHeight="1" x14ac:dyDescent="0.3">
      <c r="A332" s="3"/>
      <c r="B332" s="3"/>
      <c r="C332" s="37"/>
      <c r="D332" s="37"/>
      <c r="E332" s="37"/>
      <c r="F332" s="37"/>
      <c r="G332" s="123"/>
      <c r="H332" s="37"/>
      <c r="I332" s="37"/>
      <c r="J332" s="37"/>
      <c r="K332" s="37"/>
      <c r="L332" s="37"/>
      <c r="M332" s="37"/>
      <c r="N332" s="37"/>
      <c r="O332" s="37"/>
      <c r="P332" s="37"/>
      <c r="Q332" s="37"/>
      <c r="R332" s="37"/>
      <c r="S332" s="37"/>
      <c r="T332" s="37"/>
      <c r="U332" s="37"/>
      <c r="V332" s="37"/>
      <c r="W332" s="44"/>
      <c r="X332" s="41"/>
    </row>
    <row r="333" spans="1:24" ht="15.75" customHeight="1" x14ac:dyDescent="0.3">
      <c r="A333" s="3"/>
      <c r="B333" s="3"/>
      <c r="C333" s="37"/>
      <c r="D333" s="37"/>
      <c r="E333" s="37"/>
      <c r="F333" s="37"/>
      <c r="G333" s="123"/>
      <c r="H333" s="37"/>
      <c r="I333" s="37"/>
      <c r="J333" s="37"/>
      <c r="K333" s="37"/>
      <c r="L333" s="37"/>
      <c r="M333" s="37"/>
      <c r="N333" s="37"/>
      <c r="O333" s="37"/>
      <c r="P333" s="37"/>
      <c r="Q333" s="37"/>
      <c r="R333" s="37"/>
      <c r="S333" s="37"/>
      <c r="T333" s="37"/>
      <c r="U333" s="37"/>
      <c r="V333" s="37"/>
      <c r="W333" s="44"/>
      <c r="X333" s="41"/>
    </row>
    <row r="334" spans="1:24" ht="15.75" customHeight="1" x14ac:dyDescent="0.3">
      <c r="A334" s="3"/>
      <c r="B334" s="3"/>
      <c r="C334" s="37"/>
      <c r="D334" s="37"/>
      <c r="E334" s="37"/>
      <c r="F334" s="37"/>
      <c r="G334" s="123"/>
      <c r="H334" s="37"/>
      <c r="I334" s="37"/>
      <c r="J334" s="37"/>
      <c r="K334" s="37"/>
      <c r="L334" s="37"/>
      <c r="M334" s="37"/>
      <c r="N334" s="37"/>
      <c r="O334" s="37"/>
      <c r="P334" s="37"/>
      <c r="Q334" s="37"/>
      <c r="R334" s="37"/>
      <c r="S334" s="37"/>
      <c r="T334" s="37"/>
      <c r="U334" s="37"/>
      <c r="V334" s="37"/>
      <c r="W334" s="44"/>
      <c r="X334" s="41"/>
    </row>
    <row r="335" spans="1:24" ht="15.75" customHeight="1" x14ac:dyDescent="0.3">
      <c r="A335" s="3"/>
      <c r="B335" s="3"/>
      <c r="C335" s="37"/>
      <c r="D335" s="37"/>
      <c r="E335" s="37"/>
      <c r="F335" s="37"/>
      <c r="G335" s="123"/>
      <c r="H335" s="37"/>
      <c r="I335" s="37"/>
      <c r="J335" s="37"/>
      <c r="K335" s="37"/>
      <c r="L335" s="37"/>
      <c r="M335" s="37"/>
      <c r="N335" s="37"/>
      <c r="O335" s="37"/>
      <c r="P335" s="37"/>
      <c r="Q335" s="37"/>
      <c r="R335" s="37"/>
      <c r="S335" s="37"/>
      <c r="T335" s="37"/>
      <c r="U335" s="37"/>
      <c r="V335" s="37"/>
      <c r="W335" s="44"/>
      <c r="X335" s="41"/>
    </row>
    <row r="336" spans="1:24" ht="15.75" customHeight="1" x14ac:dyDescent="0.3">
      <c r="A336" s="3"/>
      <c r="B336" s="3"/>
      <c r="C336" s="37"/>
      <c r="D336" s="37"/>
      <c r="E336" s="37"/>
      <c r="F336" s="37"/>
      <c r="G336" s="123"/>
      <c r="H336" s="37"/>
      <c r="I336" s="37"/>
      <c r="J336" s="37"/>
      <c r="K336" s="37"/>
      <c r="L336" s="37"/>
      <c r="M336" s="37"/>
      <c r="N336" s="37"/>
      <c r="O336" s="37"/>
      <c r="P336" s="37"/>
      <c r="Q336" s="37"/>
      <c r="R336" s="37"/>
      <c r="S336" s="37"/>
      <c r="T336" s="37"/>
      <c r="U336" s="37"/>
      <c r="V336" s="37"/>
      <c r="W336" s="44"/>
      <c r="X336" s="41"/>
    </row>
    <row r="337" spans="1:24" ht="15.75" customHeight="1" x14ac:dyDescent="0.3">
      <c r="A337" s="3"/>
      <c r="B337" s="3"/>
      <c r="C337" s="37"/>
      <c r="D337" s="37"/>
      <c r="E337" s="37"/>
      <c r="F337" s="37"/>
      <c r="G337" s="123"/>
      <c r="H337" s="37"/>
      <c r="I337" s="37"/>
      <c r="J337" s="37"/>
      <c r="K337" s="37"/>
      <c r="L337" s="37"/>
      <c r="M337" s="37"/>
      <c r="N337" s="37"/>
      <c r="O337" s="37"/>
      <c r="P337" s="37"/>
      <c r="Q337" s="37"/>
      <c r="R337" s="37"/>
      <c r="S337" s="37"/>
      <c r="T337" s="37"/>
      <c r="U337" s="37"/>
      <c r="V337" s="37"/>
      <c r="W337" s="44"/>
      <c r="X337" s="41"/>
    </row>
    <row r="338" spans="1:24" ht="15.75" customHeight="1" x14ac:dyDescent="0.3">
      <c r="A338" s="3"/>
      <c r="B338" s="3"/>
      <c r="C338" s="37"/>
      <c r="D338" s="37"/>
      <c r="E338" s="37"/>
      <c r="F338" s="37"/>
      <c r="G338" s="123"/>
      <c r="H338" s="37"/>
      <c r="I338" s="37"/>
      <c r="J338" s="37"/>
      <c r="K338" s="37"/>
      <c r="L338" s="37"/>
      <c r="M338" s="37"/>
      <c r="N338" s="37"/>
      <c r="O338" s="37"/>
      <c r="P338" s="37"/>
      <c r="Q338" s="37"/>
      <c r="R338" s="37"/>
      <c r="S338" s="37"/>
      <c r="T338" s="37"/>
      <c r="U338" s="37"/>
      <c r="V338" s="37"/>
      <c r="W338" s="44"/>
      <c r="X338" s="41"/>
    </row>
    <row r="339" spans="1:24" ht="15.75" customHeight="1" x14ac:dyDescent="0.3">
      <c r="A339" s="3"/>
      <c r="B339" s="3"/>
      <c r="C339" s="37"/>
      <c r="D339" s="37"/>
      <c r="E339" s="37"/>
      <c r="F339" s="37"/>
      <c r="G339" s="123"/>
      <c r="H339" s="37"/>
      <c r="I339" s="37"/>
      <c r="J339" s="37"/>
      <c r="K339" s="37"/>
      <c r="L339" s="37"/>
      <c r="M339" s="37"/>
      <c r="N339" s="37"/>
      <c r="O339" s="37"/>
      <c r="P339" s="37"/>
      <c r="Q339" s="37"/>
      <c r="R339" s="37"/>
      <c r="S339" s="37"/>
      <c r="T339" s="37"/>
      <c r="U339" s="37"/>
      <c r="V339" s="37"/>
      <c r="W339" s="44"/>
      <c r="X339" s="41"/>
    </row>
    <row r="340" spans="1:24" ht="15.75" customHeight="1" x14ac:dyDescent="0.3">
      <c r="A340" s="3"/>
      <c r="B340" s="3"/>
      <c r="C340" s="37"/>
      <c r="D340" s="37"/>
      <c r="E340" s="37"/>
      <c r="F340" s="37"/>
      <c r="G340" s="123"/>
      <c r="H340" s="37"/>
      <c r="I340" s="37"/>
      <c r="J340" s="37"/>
      <c r="K340" s="37"/>
      <c r="L340" s="37"/>
      <c r="M340" s="37"/>
      <c r="N340" s="37"/>
      <c r="O340" s="37"/>
      <c r="P340" s="37"/>
      <c r="Q340" s="37"/>
      <c r="R340" s="37"/>
      <c r="S340" s="37"/>
      <c r="T340" s="37"/>
      <c r="U340" s="37"/>
      <c r="V340" s="37"/>
      <c r="W340" s="44"/>
      <c r="X340" s="41"/>
    </row>
    <row r="341" spans="1:24" ht="15.75" customHeight="1" x14ac:dyDescent="0.3">
      <c r="A341" s="3"/>
      <c r="B341" s="3"/>
      <c r="C341" s="37"/>
      <c r="D341" s="37"/>
      <c r="E341" s="37"/>
      <c r="F341" s="37"/>
      <c r="G341" s="123"/>
      <c r="H341" s="37"/>
      <c r="I341" s="37"/>
      <c r="J341" s="37"/>
      <c r="K341" s="37"/>
      <c r="L341" s="37"/>
      <c r="M341" s="37"/>
      <c r="N341" s="37"/>
      <c r="O341" s="37"/>
      <c r="P341" s="37"/>
      <c r="Q341" s="37"/>
      <c r="R341" s="37"/>
      <c r="S341" s="37"/>
      <c r="T341" s="37"/>
      <c r="U341" s="37"/>
      <c r="V341" s="37"/>
      <c r="W341" s="44"/>
      <c r="X341" s="41"/>
    </row>
    <row r="342" spans="1:24" ht="15.75" customHeight="1" x14ac:dyDescent="0.3">
      <c r="A342" s="3"/>
      <c r="B342" s="3"/>
      <c r="C342" s="37"/>
      <c r="D342" s="37"/>
      <c r="E342" s="37"/>
      <c r="F342" s="37"/>
      <c r="G342" s="123"/>
      <c r="H342" s="37"/>
      <c r="I342" s="37"/>
      <c r="J342" s="37"/>
      <c r="K342" s="37"/>
      <c r="L342" s="37"/>
      <c r="M342" s="37"/>
      <c r="N342" s="37"/>
      <c r="O342" s="37"/>
      <c r="P342" s="37"/>
      <c r="Q342" s="37"/>
      <c r="R342" s="37"/>
      <c r="S342" s="37"/>
      <c r="T342" s="37"/>
      <c r="U342" s="37"/>
      <c r="V342" s="37"/>
      <c r="W342" s="44"/>
      <c r="X342" s="41"/>
    </row>
    <row r="343" spans="1:24" ht="15.75" customHeight="1" x14ac:dyDescent="0.3">
      <c r="A343" s="3"/>
      <c r="B343" s="3"/>
      <c r="C343" s="37"/>
      <c r="D343" s="37"/>
      <c r="E343" s="37"/>
      <c r="F343" s="37"/>
      <c r="G343" s="123"/>
      <c r="H343" s="37"/>
      <c r="I343" s="37"/>
      <c r="J343" s="37"/>
      <c r="K343" s="37"/>
      <c r="L343" s="37"/>
      <c r="M343" s="37"/>
      <c r="N343" s="37"/>
      <c r="O343" s="37"/>
      <c r="P343" s="37"/>
      <c r="Q343" s="37"/>
      <c r="R343" s="37"/>
      <c r="S343" s="37"/>
      <c r="T343" s="37"/>
      <c r="U343" s="37"/>
      <c r="V343" s="37"/>
      <c r="W343" s="44"/>
      <c r="X343" s="41"/>
    </row>
    <row r="344" spans="1:24" ht="15.75" customHeight="1" x14ac:dyDescent="0.3">
      <c r="A344" s="3"/>
      <c r="B344" s="3"/>
      <c r="C344" s="37"/>
      <c r="D344" s="37"/>
      <c r="E344" s="37"/>
      <c r="F344" s="37"/>
      <c r="G344" s="123"/>
      <c r="H344" s="37"/>
      <c r="I344" s="37"/>
      <c r="J344" s="37"/>
      <c r="K344" s="37"/>
      <c r="L344" s="37"/>
      <c r="M344" s="37"/>
      <c r="N344" s="37"/>
      <c r="O344" s="37"/>
      <c r="P344" s="37"/>
      <c r="Q344" s="37"/>
      <c r="R344" s="37"/>
      <c r="S344" s="37"/>
      <c r="T344" s="37"/>
      <c r="U344" s="37"/>
      <c r="V344" s="37"/>
      <c r="W344" s="44"/>
      <c r="X344" s="41"/>
    </row>
    <row r="345" spans="1:24" ht="15.75" customHeight="1" x14ac:dyDescent="0.3">
      <c r="A345" s="3"/>
      <c r="B345" s="3"/>
      <c r="C345" s="37"/>
      <c r="D345" s="37"/>
      <c r="E345" s="37"/>
      <c r="F345" s="37"/>
      <c r="G345" s="123"/>
      <c r="H345" s="37"/>
      <c r="I345" s="37"/>
      <c r="J345" s="37"/>
      <c r="K345" s="37"/>
      <c r="L345" s="37"/>
      <c r="M345" s="37"/>
      <c r="N345" s="37"/>
      <c r="O345" s="37"/>
      <c r="P345" s="37"/>
      <c r="Q345" s="37"/>
      <c r="R345" s="37"/>
      <c r="S345" s="37"/>
      <c r="T345" s="37"/>
      <c r="U345" s="37"/>
      <c r="V345" s="37"/>
      <c r="W345" s="44"/>
      <c r="X345" s="41"/>
    </row>
    <row r="346" spans="1:24" ht="15.75" customHeight="1" x14ac:dyDescent="0.3">
      <c r="A346" s="3"/>
      <c r="B346" s="3"/>
      <c r="C346" s="37"/>
      <c r="D346" s="37"/>
      <c r="E346" s="37"/>
      <c r="F346" s="37"/>
      <c r="G346" s="123"/>
      <c r="H346" s="37"/>
      <c r="I346" s="37"/>
      <c r="J346" s="37"/>
      <c r="K346" s="37"/>
      <c r="L346" s="37"/>
      <c r="M346" s="37"/>
      <c r="N346" s="37"/>
      <c r="O346" s="37"/>
      <c r="P346" s="37"/>
      <c r="Q346" s="37"/>
      <c r="R346" s="37"/>
      <c r="S346" s="37"/>
      <c r="T346" s="37"/>
      <c r="U346" s="37"/>
      <c r="V346" s="37"/>
      <c r="W346" s="44"/>
      <c r="X346" s="41"/>
    </row>
    <row r="347" spans="1:24" ht="15.75" customHeight="1" x14ac:dyDescent="0.3">
      <c r="A347" s="3"/>
      <c r="B347" s="3"/>
      <c r="C347" s="37"/>
      <c r="D347" s="37"/>
      <c r="E347" s="37"/>
      <c r="F347" s="37"/>
      <c r="G347" s="123"/>
      <c r="H347" s="37"/>
      <c r="I347" s="37"/>
      <c r="J347" s="37"/>
      <c r="K347" s="37"/>
      <c r="L347" s="37"/>
      <c r="M347" s="37"/>
      <c r="N347" s="37"/>
      <c r="O347" s="37"/>
      <c r="P347" s="37"/>
      <c r="Q347" s="37"/>
      <c r="R347" s="37"/>
      <c r="S347" s="37"/>
      <c r="T347" s="37"/>
      <c r="U347" s="37"/>
      <c r="V347" s="37"/>
      <c r="W347" s="44"/>
      <c r="X347" s="41"/>
    </row>
    <row r="348" spans="1:24" ht="15.75" customHeight="1" x14ac:dyDescent="0.3">
      <c r="A348" s="3"/>
      <c r="B348" s="3"/>
      <c r="C348" s="37"/>
      <c r="D348" s="37"/>
      <c r="E348" s="37"/>
      <c r="F348" s="37"/>
      <c r="G348" s="123"/>
      <c r="H348" s="37"/>
      <c r="I348" s="37"/>
      <c r="J348" s="37"/>
      <c r="K348" s="37"/>
      <c r="L348" s="37"/>
      <c r="M348" s="37"/>
      <c r="N348" s="37"/>
      <c r="O348" s="37"/>
      <c r="P348" s="37"/>
      <c r="Q348" s="37"/>
      <c r="R348" s="37"/>
      <c r="S348" s="37"/>
      <c r="T348" s="37"/>
      <c r="U348" s="37"/>
      <c r="V348" s="37"/>
      <c r="W348" s="44"/>
      <c r="X348" s="41"/>
    </row>
    <row r="349" spans="1:24" ht="15.75" customHeight="1" x14ac:dyDescent="0.3">
      <c r="A349" s="3"/>
      <c r="B349" s="3"/>
      <c r="C349" s="37"/>
      <c r="D349" s="37"/>
      <c r="E349" s="37"/>
      <c r="F349" s="37"/>
      <c r="G349" s="123"/>
      <c r="H349" s="37"/>
      <c r="I349" s="37"/>
      <c r="J349" s="37"/>
      <c r="K349" s="37"/>
      <c r="L349" s="37"/>
      <c r="M349" s="37"/>
      <c r="N349" s="37"/>
      <c r="O349" s="37"/>
      <c r="P349" s="37"/>
      <c r="Q349" s="37"/>
      <c r="R349" s="37"/>
      <c r="S349" s="37"/>
      <c r="T349" s="37"/>
      <c r="U349" s="37"/>
      <c r="V349" s="37"/>
      <c r="W349" s="44"/>
      <c r="X349" s="41"/>
    </row>
    <row r="350" spans="1:24" ht="15.75" customHeight="1" x14ac:dyDescent="0.3">
      <c r="A350" s="3"/>
      <c r="B350" s="3"/>
      <c r="C350" s="37"/>
      <c r="D350" s="37"/>
      <c r="E350" s="37"/>
      <c r="F350" s="37"/>
      <c r="G350" s="123"/>
      <c r="H350" s="37"/>
      <c r="I350" s="37"/>
      <c r="J350" s="37"/>
      <c r="K350" s="37"/>
      <c r="L350" s="37"/>
      <c r="M350" s="37"/>
      <c r="N350" s="37"/>
      <c r="O350" s="37"/>
      <c r="P350" s="37"/>
      <c r="Q350" s="37"/>
      <c r="R350" s="37"/>
      <c r="S350" s="37"/>
      <c r="T350" s="37"/>
      <c r="U350" s="37"/>
      <c r="V350" s="37"/>
      <c r="W350" s="44"/>
      <c r="X350" s="41"/>
    </row>
    <row r="351" spans="1:24" ht="15.75" customHeight="1" x14ac:dyDescent="0.3">
      <c r="A351" s="3"/>
      <c r="B351" s="3"/>
      <c r="C351" s="37"/>
      <c r="D351" s="37"/>
      <c r="E351" s="37"/>
      <c r="F351" s="37"/>
      <c r="G351" s="123"/>
      <c r="H351" s="37"/>
      <c r="I351" s="37"/>
      <c r="J351" s="37"/>
      <c r="K351" s="37"/>
      <c r="L351" s="37"/>
      <c r="M351" s="37"/>
      <c r="N351" s="37"/>
      <c r="O351" s="37"/>
      <c r="P351" s="37"/>
      <c r="Q351" s="37"/>
      <c r="R351" s="37"/>
      <c r="S351" s="37"/>
      <c r="T351" s="37"/>
      <c r="U351" s="37"/>
      <c r="V351" s="37"/>
      <c r="W351" s="44"/>
      <c r="X351" s="41"/>
    </row>
    <row r="352" spans="1:24" ht="15.75" customHeight="1" x14ac:dyDescent="0.3">
      <c r="A352" s="3"/>
      <c r="B352" s="3"/>
      <c r="C352" s="37"/>
      <c r="D352" s="37"/>
      <c r="E352" s="37"/>
      <c r="F352" s="37"/>
      <c r="G352" s="123"/>
      <c r="H352" s="37"/>
      <c r="I352" s="37"/>
      <c r="J352" s="37"/>
      <c r="K352" s="37"/>
      <c r="L352" s="37"/>
      <c r="M352" s="37"/>
      <c r="N352" s="37"/>
      <c r="O352" s="37"/>
      <c r="P352" s="37"/>
      <c r="Q352" s="37"/>
      <c r="R352" s="37"/>
      <c r="S352" s="37"/>
      <c r="T352" s="37"/>
      <c r="U352" s="37"/>
      <c r="V352" s="37"/>
      <c r="W352" s="44"/>
      <c r="X352" s="41"/>
    </row>
    <row r="353" spans="1:24" ht="15.75" customHeight="1" x14ac:dyDescent="0.3">
      <c r="A353" s="3"/>
      <c r="B353" s="3"/>
      <c r="C353" s="37"/>
      <c r="D353" s="37"/>
      <c r="E353" s="37"/>
      <c r="F353" s="37"/>
      <c r="G353" s="123"/>
      <c r="H353" s="37"/>
      <c r="I353" s="37"/>
      <c r="J353" s="37"/>
      <c r="K353" s="37"/>
      <c r="L353" s="37"/>
      <c r="M353" s="37"/>
      <c r="N353" s="37"/>
      <c r="O353" s="37"/>
      <c r="P353" s="37"/>
      <c r="Q353" s="37"/>
      <c r="R353" s="37"/>
      <c r="S353" s="37"/>
      <c r="T353" s="37"/>
      <c r="U353" s="37"/>
      <c r="V353" s="37"/>
      <c r="W353" s="44"/>
      <c r="X353" s="41"/>
    </row>
    <row r="354" spans="1:24" ht="15.75" customHeight="1" x14ac:dyDescent="0.3">
      <c r="A354" s="3"/>
      <c r="B354" s="3"/>
      <c r="C354" s="37"/>
      <c r="D354" s="37"/>
      <c r="E354" s="37"/>
      <c r="F354" s="37"/>
      <c r="G354" s="123"/>
      <c r="H354" s="37"/>
      <c r="I354" s="37"/>
      <c r="J354" s="37"/>
      <c r="K354" s="37"/>
      <c r="L354" s="37"/>
      <c r="M354" s="37"/>
      <c r="N354" s="37"/>
      <c r="O354" s="37"/>
      <c r="P354" s="37"/>
      <c r="Q354" s="37"/>
      <c r="R354" s="37"/>
      <c r="S354" s="37"/>
      <c r="T354" s="37"/>
      <c r="U354" s="37"/>
      <c r="V354" s="37"/>
      <c r="W354" s="44"/>
      <c r="X354" s="41"/>
    </row>
    <row r="355" spans="1:24" ht="15.75" customHeight="1" x14ac:dyDescent="0.3">
      <c r="A355" s="3"/>
      <c r="B355" s="3"/>
      <c r="C355" s="37"/>
      <c r="D355" s="37"/>
      <c r="E355" s="37"/>
      <c r="F355" s="37"/>
      <c r="G355" s="123"/>
      <c r="H355" s="37"/>
      <c r="I355" s="37"/>
      <c r="J355" s="37"/>
      <c r="K355" s="37"/>
      <c r="L355" s="37"/>
      <c r="M355" s="37"/>
      <c r="N355" s="37"/>
      <c r="O355" s="37"/>
      <c r="P355" s="37"/>
      <c r="Q355" s="37"/>
      <c r="R355" s="37"/>
      <c r="S355" s="37"/>
      <c r="T355" s="37"/>
      <c r="U355" s="37"/>
      <c r="V355" s="37"/>
      <c r="W355" s="44"/>
      <c r="X355" s="41"/>
    </row>
    <row r="356" spans="1:24" ht="15.75" customHeight="1" x14ac:dyDescent="0.3">
      <c r="A356" s="3"/>
      <c r="B356" s="3"/>
      <c r="C356" s="37"/>
      <c r="D356" s="37"/>
      <c r="E356" s="37"/>
      <c r="F356" s="37"/>
      <c r="G356" s="123"/>
      <c r="H356" s="37"/>
      <c r="I356" s="37"/>
      <c r="J356" s="37"/>
      <c r="K356" s="37"/>
      <c r="L356" s="37"/>
      <c r="M356" s="37"/>
      <c r="N356" s="37"/>
      <c r="O356" s="37"/>
      <c r="P356" s="37"/>
      <c r="Q356" s="37"/>
      <c r="R356" s="37"/>
      <c r="S356" s="37"/>
      <c r="T356" s="37"/>
      <c r="U356" s="37"/>
      <c r="V356" s="37"/>
      <c r="W356" s="44"/>
      <c r="X356" s="41"/>
    </row>
    <row r="357" spans="1:24" ht="15.75" customHeight="1" x14ac:dyDescent="0.3">
      <c r="A357" s="3"/>
      <c r="B357" s="3"/>
      <c r="C357" s="37"/>
      <c r="D357" s="37"/>
      <c r="E357" s="37"/>
      <c r="F357" s="37"/>
      <c r="G357" s="123"/>
      <c r="H357" s="37"/>
      <c r="I357" s="37"/>
      <c r="J357" s="37"/>
      <c r="K357" s="37"/>
      <c r="L357" s="37"/>
      <c r="M357" s="37"/>
      <c r="N357" s="37"/>
      <c r="O357" s="37"/>
      <c r="P357" s="37"/>
      <c r="Q357" s="37"/>
      <c r="R357" s="37"/>
      <c r="S357" s="37"/>
      <c r="T357" s="37"/>
      <c r="U357" s="37"/>
      <c r="V357" s="37"/>
      <c r="W357" s="44"/>
      <c r="X357" s="41"/>
    </row>
    <row r="358" spans="1:24" ht="15.75" customHeight="1" x14ac:dyDescent="0.3">
      <c r="A358" s="3"/>
      <c r="B358" s="3"/>
      <c r="C358" s="37"/>
      <c r="D358" s="37"/>
      <c r="E358" s="37"/>
      <c r="F358" s="37"/>
      <c r="G358" s="123"/>
      <c r="H358" s="37"/>
      <c r="I358" s="37"/>
      <c r="J358" s="37"/>
      <c r="K358" s="37"/>
      <c r="L358" s="37"/>
      <c r="M358" s="37"/>
      <c r="N358" s="37"/>
      <c r="O358" s="37"/>
      <c r="P358" s="37"/>
      <c r="Q358" s="37"/>
      <c r="R358" s="37"/>
      <c r="S358" s="37"/>
      <c r="T358" s="37"/>
      <c r="U358" s="37"/>
      <c r="V358" s="37"/>
      <c r="W358" s="44"/>
      <c r="X358" s="41"/>
    </row>
    <row r="359" spans="1:24" ht="15.75" customHeight="1" x14ac:dyDescent="0.3">
      <c r="A359" s="3"/>
      <c r="B359" s="3"/>
      <c r="C359" s="37"/>
      <c r="D359" s="37"/>
      <c r="E359" s="37"/>
      <c r="F359" s="37"/>
      <c r="G359" s="123"/>
      <c r="H359" s="37"/>
      <c r="I359" s="37"/>
      <c r="J359" s="37"/>
      <c r="K359" s="37"/>
      <c r="L359" s="37"/>
      <c r="M359" s="37"/>
      <c r="N359" s="37"/>
      <c r="O359" s="37"/>
      <c r="P359" s="37"/>
      <c r="Q359" s="37"/>
      <c r="R359" s="37"/>
      <c r="S359" s="37"/>
      <c r="T359" s="37"/>
      <c r="U359" s="37"/>
      <c r="V359" s="37"/>
      <c r="W359" s="44"/>
      <c r="X359" s="41"/>
    </row>
    <row r="360" spans="1:24" ht="15.75" customHeight="1" x14ac:dyDescent="0.3">
      <c r="A360" s="3"/>
      <c r="B360" s="3"/>
      <c r="C360" s="37"/>
      <c r="D360" s="37"/>
      <c r="E360" s="37"/>
      <c r="F360" s="37"/>
      <c r="G360" s="123"/>
      <c r="H360" s="37"/>
      <c r="I360" s="37"/>
      <c r="J360" s="37"/>
      <c r="K360" s="37"/>
      <c r="L360" s="37"/>
      <c r="M360" s="37"/>
      <c r="N360" s="37"/>
      <c r="O360" s="37"/>
      <c r="P360" s="37"/>
      <c r="Q360" s="37"/>
      <c r="R360" s="37"/>
      <c r="S360" s="37"/>
      <c r="T360" s="37"/>
      <c r="U360" s="37"/>
      <c r="V360" s="37"/>
      <c r="W360" s="44"/>
      <c r="X360" s="41"/>
    </row>
    <row r="361" spans="1:24" ht="15.75" customHeight="1" x14ac:dyDescent="0.3">
      <c r="A361" s="3"/>
      <c r="B361" s="3"/>
      <c r="C361" s="37"/>
      <c r="D361" s="37"/>
      <c r="E361" s="37"/>
      <c r="F361" s="37"/>
      <c r="G361" s="123"/>
      <c r="H361" s="37"/>
      <c r="I361" s="37"/>
      <c r="J361" s="37"/>
      <c r="K361" s="37"/>
      <c r="L361" s="37"/>
      <c r="M361" s="37"/>
      <c r="N361" s="37"/>
      <c r="O361" s="37"/>
      <c r="P361" s="37"/>
      <c r="Q361" s="37"/>
      <c r="R361" s="37"/>
      <c r="S361" s="37"/>
      <c r="T361" s="37"/>
      <c r="U361" s="37"/>
      <c r="V361" s="37"/>
      <c r="W361" s="44"/>
      <c r="X361" s="41"/>
    </row>
    <row r="362" spans="1:24" ht="15.75" customHeight="1" x14ac:dyDescent="0.3">
      <c r="A362" s="3"/>
      <c r="B362" s="3"/>
      <c r="C362" s="37"/>
      <c r="D362" s="37"/>
      <c r="E362" s="37"/>
      <c r="F362" s="37"/>
      <c r="G362" s="123"/>
      <c r="H362" s="37"/>
      <c r="I362" s="37"/>
      <c r="J362" s="37"/>
      <c r="K362" s="37"/>
      <c r="L362" s="37"/>
      <c r="M362" s="37"/>
      <c r="N362" s="37"/>
      <c r="O362" s="37"/>
      <c r="P362" s="37"/>
      <c r="Q362" s="37"/>
      <c r="R362" s="37"/>
      <c r="S362" s="37"/>
      <c r="T362" s="37"/>
      <c r="U362" s="37"/>
      <c r="V362" s="37"/>
      <c r="W362" s="44"/>
      <c r="X362" s="41"/>
    </row>
    <row r="363" spans="1:24" ht="15.75" customHeight="1" x14ac:dyDescent="0.3">
      <c r="A363" s="3"/>
      <c r="B363" s="3"/>
      <c r="C363" s="37"/>
      <c r="D363" s="37"/>
      <c r="E363" s="37"/>
      <c r="F363" s="37"/>
      <c r="G363" s="123"/>
      <c r="H363" s="37"/>
      <c r="I363" s="37"/>
      <c r="J363" s="37"/>
      <c r="K363" s="37"/>
      <c r="L363" s="37"/>
      <c r="M363" s="37"/>
      <c r="N363" s="37"/>
      <c r="O363" s="37"/>
      <c r="P363" s="37"/>
      <c r="Q363" s="37"/>
      <c r="R363" s="37"/>
      <c r="S363" s="37"/>
      <c r="T363" s="37"/>
      <c r="U363" s="37"/>
      <c r="V363" s="37"/>
      <c r="W363" s="44"/>
      <c r="X363" s="41"/>
    </row>
    <row r="364" spans="1:24" ht="15.75" customHeight="1" x14ac:dyDescent="0.3">
      <c r="A364" s="3"/>
      <c r="B364" s="3"/>
      <c r="C364" s="37"/>
      <c r="D364" s="37"/>
      <c r="E364" s="37"/>
      <c r="F364" s="37"/>
      <c r="G364" s="123"/>
      <c r="H364" s="37"/>
      <c r="I364" s="37"/>
      <c r="J364" s="37"/>
      <c r="K364" s="37"/>
      <c r="L364" s="37"/>
      <c r="M364" s="37"/>
      <c r="N364" s="37"/>
      <c r="O364" s="37"/>
      <c r="P364" s="37"/>
      <c r="Q364" s="37"/>
      <c r="R364" s="37"/>
      <c r="S364" s="37"/>
      <c r="T364" s="37"/>
      <c r="U364" s="37"/>
      <c r="V364" s="37"/>
      <c r="W364" s="44"/>
      <c r="X364" s="41"/>
    </row>
    <row r="365" spans="1:24" ht="15.75" customHeight="1" x14ac:dyDescent="0.3">
      <c r="A365" s="3"/>
      <c r="B365" s="3"/>
      <c r="C365" s="37"/>
      <c r="D365" s="37"/>
      <c r="E365" s="37"/>
      <c r="F365" s="37"/>
      <c r="G365" s="123"/>
      <c r="H365" s="37"/>
      <c r="I365" s="37"/>
      <c r="J365" s="37"/>
      <c r="K365" s="37"/>
      <c r="L365" s="37"/>
      <c r="M365" s="37"/>
      <c r="N365" s="37"/>
      <c r="O365" s="37"/>
      <c r="P365" s="37"/>
      <c r="Q365" s="37"/>
      <c r="R365" s="37"/>
      <c r="S365" s="37"/>
      <c r="T365" s="37"/>
      <c r="U365" s="37"/>
      <c r="V365" s="37"/>
      <c r="W365" s="44"/>
      <c r="X365" s="41"/>
    </row>
    <row r="366" spans="1:24" ht="15.75" customHeight="1" x14ac:dyDescent="0.3">
      <c r="A366" s="3"/>
      <c r="B366" s="3"/>
      <c r="C366" s="37"/>
      <c r="D366" s="37"/>
      <c r="E366" s="37"/>
      <c r="F366" s="37"/>
      <c r="G366" s="123"/>
      <c r="H366" s="37"/>
      <c r="I366" s="37"/>
      <c r="J366" s="37"/>
      <c r="K366" s="37"/>
      <c r="L366" s="37"/>
      <c r="M366" s="37"/>
      <c r="N366" s="37"/>
      <c r="O366" s="37"/>
      <c r="P366" s="37"/>
      <c r="Q366" s="37"/>
      <c r="R366" s="37"/>
      <c r="S366" s="37"/>
      <c r="T366" s="37"/>
      <c r="U366" s="37"/>
      <c r="V366" s="37"/>
      <c r="W366" s="44"/>
      <c r="X366" s="41"/>
    </row>
    <row r="367" spans="1:24" ht="15.75" customHeight="1" x14ac:dyDescent="0.3">
      <c r="A367" s="3"/>
      <c r="B367" s="3"/>
      <c r="C367" s="37"/>
      <c r="D367" s="37"/>
      <c r="E367" s="37"/>
      <c r="F367" s="37"/>
      <c r="G367" s="123"/>
      <c r="H367" s="37"/>
      <c r="I367" s="37"/>
      <c r="J367" s="37"/>
      <c r="K367" s="37"/>
      <c r="L367" s="37"/>
      <c r="M367" s="37"/>
      <c r="N367" s="37"/>
      <c r="O367" s="37"/>
      <c r="P367" s="37"/>
      <c r="Q367" s="37"/>
      <c r="R367" s="37"/>
      <c r="S367" s="37"/>
      <c r="T367" s="37"/>
      <c r="U367" s="37"/>
      <c r="V367" s="37"/>
      <c r="W367" s="44"/>
      <c r="X367" s="41"/>
    </row>
    <row r="368" spans="1:24" ht="15.75" customHeight="1" x14ac:dyDescent="0.3">
      <c r="A368" s="3"/>
      <c r="B368" s="3"/>
      <c r="C368" s="37"/>
      <c r="D368" s="37"/>
      <c r="E368" s="37"/>
      <c r="F368" s="37"/>
      <c r="G368" s="123"/>
      <c r="H368" s="37"/>
      <c r="I368" s="37"/>
      <c r="J368" s="37"/>
      <c r="K368" s="37"/>
      <c r="L368" s="37"/>
      <c r="M368" s="37"/>
      <c r="N368" s="37"/>
      <c r="O368" s="37"/>
      <c r="P368" s="37"/>
      <c r="Q368" s="37"/>
      <c r="R368" s="37"/>
      <c r="S368" s="37"/>
      <c r="T368" s="37"/>
      <c r="U368" s="37"/>
      <c r="V368" s="37"/>
      <c r="W368" s="44"/>
      <c r="X368" s="41"/>
    </row>
    <row r="369" spans="1:24" ht="15.75" customHeight="1" x14ac:dyDescent="0.3">
      <c r="A369" s="3"/>
      <c r="B369" s="3"/>
      <c r="C369" s="37"/>
      <c r="D369" s="37"/>
      <c r="E369" s="37"/>
      <c r="F369" s="37"/>
      <c r="G369" s="123"/>
      <c r="H369" s="37"/>
      <c r="I369" s="37"/>
      <c r="J369" s="37"/>
      <c r="K369" s="37"/>
      <c r="L369" s="37"/>
      <c r="M369" s="37"/>
      <c r="N369" s="37"/>
      <c r="O369" s="37"/>
      <c r="P369" s="37"/>
      <c r="Q369" s="37"/>
      <c r="R369" s="37"/>
      <c r="S369" s="37"/>
      <c r="T369" s="37"/>
      <c r="U369" s="37"/>
      <c r="V369" s="37"/>
      <c r="W369" s="44"/>
      <c r="X369" s="41"/>
    </row>
    <row r="370" spans="1:24" ht="15.75" customHeight="1" x14ac:dyDescent="0.3">
      <c r="A370" s="3"/>
      <c r="B370" s="3"/>
      <c r="C370" s="37"/>
      <c r="D370" s="37"/>
      <c r="E370" s="37"/>
      <c r="F370" s="37"/>
      <c r="G370" s="123"/>
      <c r="H370" s="37"/>
      <c r="I370" s="37"/>
      <c r="J370" s="37"/>
      <c r="K370" s="37"/>
      <c r="L370" s="37"/>
      <c r="M370" s="37"/>
      <c r="N370" s="37"/>
      <c r="O370" s="37"/>
      <c r="P370" s="37"/>
      <c r="Q370" s="37"/>
      <c r="R370" s="37"/>
      <c r="S370" s="37"/>
      <c r="T370" s="37"/>
      <c r="U370" s="37"/>
      <c r="V370" s="37"/>
      <c r="W370" s="44"/>
      <c r="X370" s="41"/>
    </row>
    <row r="371" spans="1:24" ht="15.75" customHeight="1" x14ac:dyDescent="0.3">
      <c r="A371" s="3"/>
      <c r="B371" s="3"/>
      <c r="C371" s="37"/>
      <c r="D371" s="37"/>
      <c r="E371" s="37"/>
      <c r="F371" s="37"/>
      <c r="G371" s="123"/>
      <c r="H371" s="37"/>
      <c r="I371" s="37"/>
      <c r="J371" s="37"/>
      <c r="K371" s="37"/>
      <c r="L371" s="37"/>
      <c r="M371" s="37"/>
      <c r="N371" s="37"/>
      <c r="O371" s="37"/>
      <c r="P371" s="37"/>
      <c r="Q371" s="37"/>
      <c r="R371" s="37"/>
      <c r="S371" s="37"/>
      <c r="T371" s="37"/>
      <c r="U371" s="37"/>
      <c r="V371" s="37"/>
      <c r="W371" s="44"/>
      <c r="X371" s="41"/>
    </row>
    <row r="372" spans="1:24" ht="15.75" customHeight="1" x14ac:dyDescent="0.3">
      <c r="A372" s="3"/>
      <c r="B372" s="3"/>
      <c r="C372" s="37"/>
      <c r="D372" s="37"/>
      <c r="E372" s="37"/>
      <c r="F372" s="37"/>
      <c r="G372" s="123"/>
      <c r="H372" s="37"/>
      <c r="I372" s="37"/>
      <c r="J372" s="37"/>
      <c r="K372" s="37"/>
      <c r="L372" s="37"/>
      <c r="M372" s="37"/>
      <c r="N372" s="37"/>
      <c r="O372" s="37"/>
      <c r="P372" s="37"/>
      <c r="Q372" s="37"/>
      <c r="R372" s="37"/>
      <c r="S372" s="37"/>
      <c r="T372" s="37"/>
      <c r="U372" s="37"/>
      <c r="V372" s="37"/>
      <c r="W372" s="44"/>
      <c r="X372" s="41"/>
    </row>
    <row r="373" spans="1:24" ht="15.75" customHeight="1" x14ac:dyDescent="0.3">
      <c r="A373" s="3"/>
      <c r="B373" s="3"/>
      <c r="C373" s="37"/>
      <c r="D373" s="37"/>
      <c r="E373" s="37"/>
      <c r="F373" s="37"/>
      <c r="G373" s="123"/>
      <c r="H373" s="37"/>
      <c r="I373" s="37"/>
      <c r="J373" s="37"/>
      <c r="K373" s="37"/>
      <c r="L373" s="37"/>
      <c r="M373" s="37"/>
      <c r="N373" s="37"/>
      <c r="O373" s="37"/>
      <c r="P373" s="37"/>
      <c r="Q373" s="37"/>
      <c r="R373" s="37"/>
      <c r="S373" s="37"/>
      <c r="T373" s="37"/>
      <c r="U373" s="37"/>
      <c r="V373" s="37"/>
      <c r="W373" s="44"/>
      <c r="X373" s="41"/>
    </row>
    <row r="374" spans="1:24" ht="15.75" customHeight="1" x14ac:dyDescent="0.3">
      <c r="A374" s="3"/>
      <c r="B374" s="3"/>
      <c r="C374" s="37"/>
      <c r="D374" s="37"/>
      <c r="E374" s="37"/>
      <c r="F374" s="37"/>
      <c r="G374" s="123"/>
      <c r="H374" s="37"/>
      <c r="I374" s="37"/>
      <c r="J374" s="37"/>
      <c r="K374" s="37"/>
      <c r="L374" s="37"/>
      <c r="M374" s="37"/>
      <c r="N374" s="37"/>
      <c r="O374" s="37"/>
      <c r="P374" s="37"/>
      <c r="Q374" s="37"/>
      <c r="R374" s="37"/>
      <c r="S374" s="37"/>
      <c r="T374" s="37"/>
      <c r="U374" s="37"/>
      <c r="V374" s="37"/>
      <c r="W374" s="44"/>
      <c r="X374" s="41"/>
    </row>
    <row r="375" spans="1:24" ht="15.75" customHeight="1" x14ac:dyDescent="0.3">
      <c r="A375" s="3"/>
      <c r="B375" s="3"/>
      <c r="C375" s="37"/>
      <c r="D375" s="37"/>
      <c r="E375" s="37"/>
      <c r="F375" s="37"/>
      <c r="G375" s="123"/>
      <c r="H375" s="37"/>
      <c r="I375" s="37"/>
      <c r="J375" s="37"/>
      <c r="K375" s="37"/>
      <c r="L375" s="37"/>
      <c r="M375" s="37"/>
      <c r="N375" s="37"/>
      <c r="O375" s="37"/>
      <c r="P375" s="37"/>
      <c r="Q375" s="37"/>
      <c r="R375" s="37"/>
      <c r="S375" s="37"/>
      <c r="T375" s="37"/>
      <c r="U375" s="37"/>
      <c r="V375" s="37"/>
      <c r="W375" s="44"/>
      <c r="X375" s="41"/>
    </row>
    <row r="376" spans="1:24" ht="15.75" customHeight="1" x14ac:dyDescent="0.3">
      <c r="A376" s="3"/>
      <c r="B376" s="3"/>
      <c r="C376" s="37"/>
      <c r="D376" s="37"/>
      <c r="E376" s="37"/>
      <c r="F376" s="37"/>
      <c r="G376" s="123"/>
      <c r="H376" s="37"/>
      <c r="I376" s="37"/>
      <c r="J376" s="37"/>
      <c r="K376" s="37"/>
      <c r="L376" s="37"/>
      <c r="M376" s="37"/>
      <c r="N376" s="37"/>
      <c r="O376" s="37"/>
      <c r="P376" s="37"/>
      <c r="Q376" s="37"/>
      <c r="R376" s="37"/>
      <c r="S376" s="37"/>
      <c r="T376" s="37"/>
      <c r="U376" s="37"/>
      <c r="V376" s="37"/>
      <c r="W376" s="44"/>
      <c r="X376" s="41"/>
    </row>
    <row r="377" spans="1:24" ht="15.75" customHeight="1" x14ac:dyDescent="0.3">
      <c r="A377" s="3"/>
      <c r="B377" s="3"/>
      <c r="C377" s="37"/>
      <c r="D377" s="37"/>
      <c r="E377" s="37"/>
      <c r="F377" s="37"/>
      <c r="G377" s="123"/>
      <c r="H377" s="37"/>
      <c r="I377" s="37"/>
      <c r="J377" s="37"/>
      <c r="K377" s="37"/>
      <c r="L377" s="37"/>
      <c r="M377" s="37"/>
      <c r="N377" s="37"/>
      <c r="O377" s="37"/>
      <c r="P377" s="37"/>
      <c r="Q377" s="37"/>
      <c r="R377" s="37"/>
      <c r="S377" s="37"/>
      <c r="T377" s="37"/>
      <c r="U377" s="37"/>
      <c r="V377" s="37"/>
      <c r="W377" s="44"/>
      <c r="X377" s="41"/>
    </row>
    <row r="378" spans="1:24" ht="15.75" customHeight="1" x14ac:dyDescent="0.3">
      <c r="A378" s="3"/>
      <c r="B378" s="3"/>
      <c r="C378" s="37"/>
      <c r="D378" s="37"/>
      <c r="E378" s="37"/>
      <c r="F378" s="37"/>
      <c r="G378" s="123"/>
      <c r="H378" s="37"/>
      <c r="I378" s="37"/>
      <c r="J378" s="37"/>
      <c r="K378" s="37"/>
      <c r="L378" s="37"/>
      <c r="M378" s="37"/>
      <c r="N378" s="37"/>
      <c r="O378" s="37"/>
      <c r="P378" s="37"/>
      <c r="Q378" s="37"/>
      <c r="R378" s="37"/>
      <c r="S378" s="37"/>
      <c r="T378" s="37"/>
      <c r="U378" s="37"/>
      <c r="V378" s="37"/>
      <c r="W378" s="44"/>
      <c r="X378" s="41"/>
    </row>
    <row r="379" spans="1:24" ht="15.75" customHeight="1" x14ac:dyDescent="0.3">
      <c r="A379" s="3"/>
      <c r="B379" s="3"/>
      <c r="C379" s="37"/>
      <c r="D379" s="37"/>
      <c r="E379" s="37"/>
      <c r="F379" s="37"/>
      <c r="G379" s="123"/>
      <c r="H379" s="37"/>
      <c r="I379" s="37"/>
      <c r="J379" s="37"/>
      <c r="K379" s="37"/>
      <c r="L379" s="37"/>
      <c r="M379" s="37"/>
      <c r="N379" s="37"/>
      <c r="O379" s="37"/>
      <c r="P379" s="37"/>
      <c r="Q379" s="37"/>
      <c r="R379" s="37"/>
      <c r="S379" s="37"/>
      <c r="T379" s="37"/>
      <c r="U379" s="37"/>
      <c r="V379" s="37"/>
      <c r="W379" s="44"/>
      <c r="X379" s="41"/>
    </row>
    <row r="380" spans="1:24" ht="15.75" customHeight="1" x14ac:dyDescent="0.3">
      <c r="A380" s="3"/>
      <c r="B380" s="3"/>
      <c r="C380" s="37"/>
      <c r="D380" s="37"/>
      <c r="E380" s="37"/>
      <c r="F380" s="37"/>
      <c r="G380" s="123"/>
      <c r="H380" s="37"/>
      <c r="I380" s="37"/>
      <c r="J380" s="37"/>
      <c r="K380" s="37"/>
      <c r="L380" s="37"/>
      <c r="M380" s="37"/>
      <c r="N380" s="37"/>
      <c r="O380" s="37"/>
      <c r="P380" s="37"/>
      <c r="Q380" s="37"/>
      <c r="R380" s="37"/>
      <c r="S380" s="37"/>
      <c r="T380" s="37"/>
      <c r="U380" s="37"/>
      <c r="V380" s="37"/>
      <c r="W380" s="44"/>
      <c r="X380" s="41"/>
    </row>
    <row r="381" spans="1:24" ht="15.75" customHeight="1" x14ac:dyDescent="0.3">
      <c r="A381" s="3"/>
      <c r="B381" s="3"/>
      <c r="C381" s="37"/>
      <c r="D381" s="37"/>
      <c r="E381" s="37"/>
      <c r="F381" s="37"/>
      <c r="G381" s="123"/>
      <c r="H381" s="37"/>
      <c r="I381" s="37"/>
      <c r="J381" s="37"/>
      <c r="K381" s="37"/>
      <c r="L381" s="37"/>
      <c r="M381" s="37"/>
      <c r="N381" s="37"/>
      <c r="O381" s="37"/>
      <c r="P381" s="37"/>
      <c r="Q381" s="37"/>
      <c r="R381" s="37"/>
      <c r="S381" s="37"/>
      <c r="T381" s="37"/>
      <c r="U381" s="37"/>
      <c r="V381" s="37"/>
      <c r="W381" s="44"/>
      <c r="X381" s="41"/>
    </row>
    <row r="382" spans="1:24" ht="15.75" customHeight="1" x14ac:dyDescent="0.3">
      <c r="A382" s="3"/>
      <c r="B382" s="3"/>
      <c r="C382" s="37"/>
      <c r="D382" s="37"/>
      <c r="E382" s="37"/>
      <c r="F382" s="37"/>
      <c r="G382" s="123"/>
      <c r="H382" s="37"/>
      <c r="I382" s="37"/>
      <c r="J382" s="37"/>
      <c r="K382" s="37"/>
      <c r="L382" s="37"/>
      <c r="M382" s="37"/>
      <c r="N382" s="37"/>
      <c r="O382" s="37"/>
      <c r="P382" s="37"/>
      <c r="Q382" s="37"/>
      <c r="R382" s="37"/>
      <c r="S382" s="37"/>
      <c r="T382" s="37"/>
      <c r="U382" s="37"/>
      <c r="V382" s="37"/>
      <c r="W382" s="44"/>
      <c r="X382" s="41"/>
    </row>
    <row r="383" spans="1:24" ht="15.75" customHeight="1" x14ac:dyDescent="0.3">
      <c r="A383" s="3"/>
      <c r="B383" s="3"/>
      <c r="C383" s="37"/>
      <c r="D383" s="37"/>
      <c r="E383" s="37"/>
      <c r="F383" s="37"/>
      <c r="G383" s="123"/>
      <c r="H383" s="37"/>
      <c r="I383" s="37"/>
      <c r="J383" s="37"/>
      <c r="K383" s="37"/>
      <c r="L383" s="37"/>
      <c r="M383" s="37"/>
      <c r="N383" s="37"/>
      <c r="O383" s="37"/>
      <c r="P383" s="37"/>
      <c r="Q383" s="37"/>
      <c r="R383" s="37"/>
      <c r="S383" s="37"/>
      <c r="T383" s="37"/>
      <c r="U383" s="37"/>
      <c r="V383" s="37"/>
      <c r="W383" s="44"/>
      <c r="X383" s="41"/>
    </row>
    <row r="384" spans="1:24" ht="15.75" customHeight="1" x14ac:dyDescent="0.3">
      <c r="A384" s="3"/>
      <c r="B384" s="3"/>
      <c r="C384" s="37"/>
      <c r="D384" s="37"/>
      <c r="E384" s="37"/>
      <c r="F384" s="37"/>
      <c r="G384" s="123"/>
      <c r="H384" s="37"/>
      <c r="I384" s="37"/>
      <c r="J384" s="37"/>
      <c r="K384" s="37"/>
      <c r="L384" s="37"/>
      <c r="M384" s="37"/>
      <c r="N384" s="37"/>
      <c r="O384" s="37"/>
      <c r="P384" s="37"/>
      <c r="Q384" s="37"/>
      <c r="R384" s="37"/>
      <c r="S384" s="37"/>
      <c r="T384" s="37"/>
      <c r="U384" s="37"/>
      <c r="V384" s="37"/>
      <c r="W384" s="44"/>
      <c r="X384" s="41"/>
    </row>
    <row r="385" spans="1:24" ht="15.75" customHeight="1" x14ac:dyDescent="0.3">
      <c r="A385" s="3"/>
      <c r="B385" s="3"/>
      <c r="C385" s="37"/>
      <c r="D385" s="37"/>
      <c r="E385" s="37"/>
      <c r="F385" s="37"/>
      <c r="G385" s="123"/>
      <c r="H385" s="37"/>
      <c r="I385" s="37"/>
      <c r="J385" s="37"/>
      <c r="K385" s="37"/>
      <c r="L385" s="37"/>
      <c r="M385" s="37"/>
      <c r="N385" s="37"/>
      <c r="O385" s="37"/>
      <c r="P385" s="37"/>
      <c r="Q385" s="37"/>
      <c r="R385" s="37"/>
      <c r="S385" s="37"/>
      <c r="T385" s="37"/>
      <c r="U385" s="37"/>
      <c r="V385" s="37"/>
      <c r="W385" s="44"/>
      <c r="X385" s="41"/>
    </row>
    <row r="386" spans="1:24" ht="15.75" customHeight="1" x14ac:dyDescent="0.3">
      <c r="A386" s="3"/>
      <c r="B386" s="3"/>
      <c r="C386" s="37"/>
      <c r="D386" s="37"/>
      <c r="E386" s="37"/>
      <c r="F386" s="37"/>
      <c r="G386" s="123"/>
      <c r="H386" s="37"/>
      <c r="I386" s="37"/>
      <c r="J386" s="37"/>
      <c r="K386" s="37"/>
      <c r="L386" s="37"/>
      <c r="M386" s="37"/>
      <c r="N386" s="37"/>
      <c r="O386" s="37"/>
      <c r="P386" s="37"/>
      <c r="Q386" s="37"/>
      <c r="R386" s="37"/>
      <c r="S386" s="37"/>
      <c r="T386" s="37"/>
      <c r="U386" s="37"/>
      <c r="V386" s="37"/>
      <c r="W386" s="44"/>
      <c r="X386" s="41"/>
    </row>
    <row r="387" spans="1:24" ht="15.75" customHeight="1" x14ac:dyDescent="0.3">
      <c r="A387" s="3"/>
      <c r="B387" s="3"/>
      <c r="C387" s="37"/>
      <c r="D387" s="37"/>
      <c r="E387" s="37"/>
      <c r="F387" s="37"/>
      <c r="G387" s="123"/>
      <c r="H387" s="37"/>
      <c r="I387" s="37"/>
      <c r="J387" s="37"/>
      <c r="K387" s="37"/>
      <c r="L387" s="37"/>
      <c r="M387" s="37"/>
      <c r="N387" s="37"/>
      <c r="O387" s="37"/>
      <c r="P387" s="37"/>
      <c r="Q387" s="37"/>
      <c r="R387" s="37"/>
      <c r="S387" s="37"/>
      <c r="T387" s="37"/>
      <c r="U387" s="37"/>
      <c r="V387" s="37"/>
      <c r="W387" s="44"/>
      <c r="X387" s="41"/>
    </row>
    <row r="388" spans="1:24" ht="15.75" customHeight="1" x14ac:dyDescent="0.3">
      <c r="A388" s="3"/>
      <c r="B388" s="3"/>
      <c r="C388" s="37"/>
      <c r="D388" s="37"/>
      <c r="E388" s="37"/>
      <c r="F388" s="37"/>
      <c r="G388" s="123"/>
      <c r="H388" s="37"/>
      <c r="I388" s="37"/>
      <c r="J388" s="37"/>
      <c r="K388" s="37"/>
      <c r="L388" s="37"/>
      <c r="M388" s="37"/>
      <c r="N388" s="37"/>
      <c r="O388" s="37"/>
      <c r="P388" s="37"/>
      <c r="Q388" s="37"/>
      <c r="R388" s="37"/>
      <c r="S388" s="37"/>
      <c r="T388" s="37"/>
      <c r="U388" s="37"/>
      <c r="V388" s="37"/>
      <c r="W388" s="44"/>
      <c r="X388" s="41"/>
    </row>
    <row r="389" spans="1:24" ht="15.75" customHeight="1" x14ac:dyDescent="0.3">
      <c r="A389" s="3"/>
      <c r="B389" s="3"/>
      <c r="C389" s="37"/>
      <c r="D389" s="37"/>
      <c r="E389" s="37"/>
      <c r="F389" s="37"/>
      <c r="G389" s="123"/>
      <c r="H389" s="37"/>
      <c r="I389" s="37"/>
      <c r="J389" s="37"/>
      <c r="K389" s="37"/>
      <c r="L389" s="37"/>
      <c r="M389" s="37"/>
      <c r="N389" s="37"/>
      <c r="O389" s="37"/>
      <c r="P389" s="37"/>
      <c r="Q389" s="37"/>
      <c r="R389" s="37"/>
      <c r="S389" s="37"/>
      <c r="T389" s="37"/>
      <c r="U389" s="37"/>
      <c r="V389" s="37"/>
      <c r="W389" s="44"/>
      <c r="X389" s="41"/>
    </row>
    <row r="390" spans="1:24" ht="15.75" customHeight="1" x14ac:dyDescent="0.3">
      <c r="A390" s="3"/>
      <c r="B390" s="3"/>
      <c r="C390" s="37"/>
      <c r="D390" s="37"/>
      <c r="E390" s="37"/>
      <c r="F390" s="37"/>
      <c r="G390" s="123"/>
      <c r="H390" s="37"/>
      <c r="I390" s="37"/>
      <c r="J390" s="37"/>
      <c r="K390" s="37"/>
      <c r="L390" s="37"/>
      <c r="M390" s="37"/>
      <c r="N390" s="37"/>
      <c r="O390" s="37"/>
      <c r="P390" s="37"/>
      <c r="Q390" s="37"/>
      <c r="R390" s="37"/>
      <c r="S390" s="37"/>
      <c r="T390" s="37"/>
      <c r="U390" s="37"/>
      <c r="V390" s="37"/>
      <c r="W390" s="44"/>
      <c r="X390" s="41"/>
    </row>
    <row r="391" spans="1:24" ht="15.75" customHeight="1" x14ac:dyDescent="0.3">
      <c r="A391" s="3"/>
      <c r="B391" s="3"/>
      <c r="C391" s="37"/>
      <c r="D391" s="37"/>
      <c r="E391" s="37"/>
      <c r="F391" s="37"/>
      <c r="G391" s="123"/>
      <c r="H391" s="37"/>
      <c r="I391" s="37"/>
      <c r="J391" s="37"/>
      <c r="K391" s="37"/>
      <c r="L391" s="37"/>
      <c r="M391" s="37"/>
      <c r="N391" s="37"/>
      <c r="O391" s="37"/>
      <c r="P391" s="37"/>
      <c r="Q391" s="37"/>
      <c r="R391" s="37"/>
      <c r="S391" s="37"/>
      <c r="T391" s="37"/>
      <c r="U391" s="37"/>
      <c r="V391" s="37"/>
      <c r="W391" s="44"/>
      <c r="X391" s="41"/>
    </row>
    <row r="392" spans="1:24" ht="15.75" customHeight="1" x14ac:dyDescent="0.3">
      <c r="A392" s="3"/>
      <c r="B392" s="3"/>
      <c r="C392" s="37"/>
      <c r="D392" s="37"/>
      <c r="E392" s="37"/>
      <c r="F392" s="37"/>
      <c r="G392" s="123"/>
      <c r="H392" s="37"/>
      <c r="I392" s="37"/>
      <c r="J392" s="37"/>
      <c r="K392" s="37"/>
      <c r="L392" s="37"/>
      <c r="M392" s="37"/>
      <c r="N392" s="37"/>
      <c r="O392" s="37"/>
      <c r="P392" s="37"/>
      <c r="Q392" s="37"/>
      <c r="R392" s="37"/>
      <c r="S392" s="37"/>
      <c r="T392" s="37"/>
      <c r="U392" s="37"/>
      <c r="V392" s="37"/>
      <c r="W392" s="44"/>
      <c r="X392" s="41"/>
    </row>
    <row r="393" spans="1:24" ht="15.75" customHeight="1" x14ac:dyDescent="0.3">
      <c r="A393" s="3"/>
      <c r="B393" s="3"/>
      <c r="C393" s="37"/>
      <c r="D393" s="37"/>
      <c r="E393" s="37"/>
      <c r="F393" s="37"/>
      <c r="G393" s="123"/>
      <c r="H393" s="37"/>
      <c r="I393" s="37"/>
      <c r="J393" s="37"/>
      <c r="K393" s="37"/>
      <c r="L393" s="37"/>
      <c r="M393" s="37"/>
      <c r="N393" s="37"/>
      <c r="O393" s="37"/>
      <c r="P393" s="37"/>
      <c r="Q393" s="37"/>
      <c r="R393" s="37"/>
      <c r="S393" s="37"/>
      <c r="T393" s="37"/>
      <c r="U393" s="37"/>
      <c r="V393" s="37"/>
      <c r="W393" s="44"/>
      <c r="X393" s="41"/>
    </row>
    <row r="394" spans="1:24" ht="15.75" customHeight="1" x14ac:dyDescent="0.3">
      <c r="A394" s="3"/>
      <c r="B394" s="3"/>
      <c r="C394" s="37"/>
      <c r="D394" s="37"/>
      <c r="E394" s="37"/>
      <c r="F394" s="37"/>
      <c r="G394" s="123"/>
      <c r="H394" s="37"/>
      <c r="I394" s="37"/>
      <c r="J394" s="37"/>
      <c r="K394" s="37"/>
      <c r="L394" s="37"/>
      <c r="M394" s="37"/>
      <c r="N394" s="37"/>
      <c r="O394" s="37"/>
      <c r="P394" s="37"/>
      <c r="Q394" s="37"/>
      <c r="R394" s="37"/>
      <c r="S394" s="37"/>
      <c r="T394" s="37"/>
      <c r="U394" s="37"/>
      <c r="V394" s="37"/>
      <c r="W394" s="44"/>
      <c r="X394" s="41"/>
    </row>
    <row r="395" spans="1:24" ht="15.75" customHeight="1" x14ac:dyDescent="0.3">
      <c r="A395" s="3"/>
      <c r="B395" s="3"/>
      <c r="C395" s="37"/>
      <c r="D395" s="37"/>
      <c r="E395" s="37"/>
      <c r="F395" s="37"/>
      <c r="G395" s="123"/>
      <c r="H395" s="37"/>
      <c r="I395" s="37"/>
      <c r="J395" s="37"/>
      <c r="K395" s="37"/>
      <c r="L395" s="37"/>
      <c r="M395" s="37"/>
      <c r="N395" s="37"/>
      <c r="O395" s="37"/>
      <c r="P395" s="37"/>
      <c r="Q395" s="37"/>
      <c r="R395" s="37"/>
      <c r="S395" s="37"/>
      <c r="T395" s="37"/>
      <c r="U395" s="37"/>
      <c r="V395" s="37"/>
      <c r="W395" s="44"/>
      <c r="X395" s="41"/>
    </row>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5" xr:uid="{00000000-0009-0000-0000-00001E000000}"/>
  <mergeCells count="35">
    <mergeCell ref="G89:G90"/>
    <mergeCell ref="G92:G93"/>
    <mergeCell ref="G100:G101"/>
    <mergeCell ref="G50:G51"/>
    <mergeCell ref="G52:G53"/>
    <mergeCell ref="G55:G56"/>
    <mergeCell ref="G58:G59"/>
    <mergeCell ref="G62:G63"/>
    <mergeCell ref="G67:G68"/>
    <mergeCell ref="G72:G73"/>
    <mergeCell ref="G48:G49"/>
    <mergeCell ref="G78:G79"/>
    <mergeCell ref="G80:G81"/>
    <mergeCell ref="G82:G83"/>
    <mergeCell ref="G85:G86"/>
    <mergeCell ref="G33:G34"/>
    <mergeCell ref="G37:G38"/>
    <mergeCell ref="G39:G42"/>
    <mergeCell ref="G44:G45"/>
    <mergeCell ref="G46:G47"/>
    <mergeCell ref="G21:G22"/>
    <mergeCell ref="G23:G24"/>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4">
    <cfRule type="cellIs" dxfId="5" priority="1" operator="equal">
      <formula>"Diferente"</formula>
    </cfRule>
    <cfRule type="cellIs" dxfId="4" priority="2" operator="equal">
      <formula>"OK"</formula>
    </cfRule>
  </conditionalFormatting>
  <dataValidations count="1">
    <dataValidation type="list" allowBlank="1" showErrorMessage="1" sqref="D7:D124 D127:D128 D130:D133 D135:D138 D140:D145 D147:D153 D156:D159 D161:D164 D166:D168 D170:D183 D185:D187 D189:D195" xr:uid="{00000000-0002-0000-1E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E00-000000000000}">
          <x14:formula1>
            <xm:f>'Plano de contas DG'!$C$5:$C$38</xm:f>
          </x14:formula1>
          <xm:sqref>I6:I195</xm:sqref>
        </x14:dataValidation>
        <x14:dataValidation type="list" allowBlank="1" showErrorMessage="1" xr:uid="{00000000-0002-0000-1E00-000001000000}">
          <x14:formula1>
            <xm:f>Caixa!$B$5:$B$8</xm:f>
          </x14:formula1>
          <xm:sqref>H7:H124 H127:H128 H130:H133 H135:H138 H140:H145 H147:H153 H156:H159 H161:H164 H166:H168 H170:H183 H185:H187 H189:H195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38"/>
      <c r="B1" s="38"/>
      <c r="C1" s="39"/>
      <c r="D1" s="39"/>
      <c r="E1" s="39"/>
      <c r="F1" s="39"/>
      <c r="G1" s="81"/>
      <c r="H1" s="81"/>
      <c r="I1" s="81"/>
      <c r="J1" s="81"/>
      <c r="K1" s="39"/>
      <c r="L1" s="39"/>
      <c r="M1" s="39"/>
      <c r="N1" s="39"/>
      <c r="O1" s="39"/>
      <c r="P1" s="39"/>
      <c r="Q1" s="39"/>
      <c r="R1" s="39"/>
      <c r="S1" s="39"/>
      <c r="T1" s="39"/>
      <c r="U1" s="38"/>
      <c r="V1" s="38"/>
      <c r="W1" s="38"/>
      <c r="X1" s="38"/>
      <c r="Y1" s="38"/>
      <c r="Z1" s="38"/>
    </row>
    <row r="2" spans="1:26" ht="14.25" customHeight="1" x14ac:dyDescent="0.3">
      <c r="A2" s="3"/>
      <c r="B2" s="238" t="s">
        <v>269</v>
      </c>
      <c r="C2" s="239"/>
      <c r="D2" s="218"/>
      <c r="E2" s="218"/>
      <c r="F2" s="219"/>
      <c r="G2" s="82"/>
      <c r="H2" s="82"/>
      <c r="I2" s="83"/>
      <c r="J2" s="82"/>
      <c r="K2" s="37"/>
      <c r="L2" s="37"/>
      <c r="M2" s="37"/>
      <c r="N2" s="37"/>
      <c r="O2" s="37"/>
      <c r="P2" s="37"/>
      <c r="Q2" s="37"/>
      <c r="R2" s="37"/>
      <c r="S2" s="37"/>
      <c r="T2" s="37"/>
      <c r="U2" s="3"/>
    </row>
    <row r="3" spans="1:26" ht="14.25" customHeight="1" x14ac:dyDescent="0.3">
      <c r="A3" s="3"/>
      <c r="B3" s="206"/>
      <c r="C3" s="240"/>
      <c r="D3" s="241"/>
      <c r="E3" s="241"/>
      <c r="F3" s="242"/>
      <c r="G3" s="82"/>
      <c r="H3" s="82"/>
      <c r="I3" s="83"/>
      <c r="J3" s="82"/>
      <c r="K3" s="37"/>
      <c r="L3" s="37"/>
      <c r="M3" s="37"/>
      <c r="N3" s="37"/>
      <c r="O3" s="37"/>
      <c r="P3" s="37"/>
      <c r="Q3" s="37"/>
      <c r="R3" s="37"/>
      <c r="S3" s="37"/>
      <c r="T3" s="37"/>
      <c r="U3" s="3"/>
    </row>
    <row r="4" spans="1:26" ht="14.25" customHeight="1" x14ac:dyDescent="0.3">
      <c r="A4" s="3"/>
      <c r="B4" s="227" t="s">
        <v>73</v>
      </c>
      <c r="C4" s="48" t="s">
        <v>43</v>
      </c>
      <c r="D4" s="48" t="s">
        <v>43</v>
      </c>
      <c r="E4" s="26">
        <f>SUBTOTAL(9,E16,E63,E38,E154,E179,E185,E90,E6,E34,E264,E327,E214,E224,E234,E244,E254,E116)</f>
        <v>0</v>
      </c>
      <c r="F4" s="26">
        <f>SUBTOTAL(9,F16,F63,F38,F144,F154,F179,F185,F90,F6,F34,F264,F327,F214,F224,F234,F244,F254,F116)</f>
        <v>0</v>
      </c>
      <c r="G4" s="48" t="s">
        <v>43</v>
      </c>
      <c r="H4" s="237" t="s">
        <v>1</v>
      </c>
      <c r="I4" s="243" t="s">
        <v>270</v>
      </c>
      <c r="J4" s="237" t="s">
        <v>74</v>
      </c>
      <c r="K4" s="37"/>
      <c r="L4" s="37"/>
      <c r="M4" s="37"/>
      <c r="N4" s="37"/>
      <c r="O4" s="37"/>
      <c r="P4" s="37"/>
      <c r="Q4" s="37"/>
      <c r="R4" s="37"/>
      <c r="S4" s="37"/>
      <c r="T4" s="37"/>
      <c r="U4" s="3"/>
      <c r="W4" s="3"/>
      <c r="X4" s="3"/>
      <c r="Y4" s="3"/>
      <c r="Z4" s="3"/>
    </row>
    <row r="5" spans="1:26" ht="14.25" customHeight="1" x14ac:dyDescent="0.3">
      <c r="A5" s="3"/>
      <c r="B5" s="228"/>
      <c r="C5" s="52" t="s">
        <v>75</v>
      </c>
      <c r="D5" s="52" t="s">
        <v>76</v>
      </c>
      <c r="E5" s="53" t="s">
        <v>77</v>
      </c>
      <c r="F5" s="53" t="s">
        <v>271</v>
      </c>
      <c r="G5" s="52" t="s">
        <v>79</v>
      </c>
      <c r="H5" s="228"/>
      <c r="I5" s="228"/>
      <c r="J5" s="228"/>
      <c r="K5" s="37"/>
      <c r="L5" s="37"/>
      <c r="M5" s="37"/>
      <c r="N5" s="37"/>
      <c r="O5" s="37"/>
      <c r="P5" s="37"/>
      <c r="Q5" s="37"/>
      <c r="R5" s="37"/>
      <c r="S5" s="37"/>
      <c r="T5" s="37"/>
      <c r="U5" s="3"/>
      <c r="V5" s="3"/>
      <c r="W5" s="3"/>
      <c r="X5" s="3"/>
      <c r="Y5" s="3"/>
      <c r="Z5" s="3"/>
    </row>
    <row r="6" spans="1:26" ht="20.399999999999999" x14ac:dyDescent="0.3">
      <c r="A6" s="3"/>
      <c r="B6" s="84" t="s">
        <v>272</v>
      </c>
      <c r="C6" s="85" t="s">
        <v>43</v>
      </c>
      <c r="D6" s="85" t="s">
        <v>43</v>
      </c>
      <c r="E6" s="86">
        <f>SUM(E7:E15)</f>
        <v>0</v>
      </c>
      <c r="F6" s="86">
        <f>SUMIF(D7:D15,"OK",F7:F15)</f>
        <v>0</v>
      </c>
      <c r="G6" s="87"/>
      <c r="H6" s="87"/>
      <c r="I6" s="88"/>
      <c r="J6" s="87"/>
      <c r="K6" s="37"/>
      <c r="L6" s="37"/>
      <c r="M6" s="37"/>
      <c r="N6" s="37"/>
      <c r="O6" s="37"/>
      <c r="P6" s="37"/>
      <c r="Q6" s="37"/>
      <c r="R6" s="37"/>
      <c r="S6" s="37"/>
      <c r="T6" s="37"/>
      <c r="U6" s="3"/>
      <c r="W6" s="3"/>
      <c r="X6" s="3"/>
      <c r="Y6" s="3"/>
      <c r="Z6" s="3"/>
    </row>
    <row r="7" spans="1:26" ht="14.4" hidden="1" outlineLevel="1" x14ac:dyDescent="0.3">
      <c r="A7" s="3"/>
      <c r="B7" s="10" t="s">
        <v>273</v>
      </c>
      <c r="C7" s="62"/>
      <c r="D7" s="62"/>
      <c r="E7" s="12">
        <v>0</v>
      </c>
      <c r="F7" s="12">
        <v>0</v>
      </c>
      <c r="G7" s="89"/>
      <c r="H7" s="65"/>
      <c r="I7" s="112"/>
      <c r="J7" s="65"/>
      <c r="K7" s="37"/>
      <c r="L7" s="37"/>
      <c r="M7" s="37"/>
      <c r="N7" s="37"/>
      <c r="O7" s="37"/>
      <c r="P7" s="37"/>
      <c r="Q7" s="37"/>
      <c r="R7" s="37"/>
      <c r="S7" s="37"/>
      <c r="T7" s="37"/>
      <c r="U7" s="3"/>
      <c r="W7" s="3"/>
      <c r="X7" s="3"/>
      <c r="Y7" s="3"/>
      <c r="Z7" s="3"/>
    </row>
    <row r="8" spans="1:26" ht="14.4" hidden="1" outlineLevel="1" x14ac:dyDescent="0.3">
      <c r="A8" s="3"/>
      <c r="B8" s="10" t="s">
        <v>1595</v>
      </c>
      <c r="C8" s="62"/>
      <c r="D8" s="62"/>
      <c r="E8" s="12">
        <v>0</v>
      </c>
      <c r="F8" s="12">
        <v>0</v>
      </c>
      <c r="G8" s="89"/>
      <c r="H8" s="65"/>
      <c r="I8" s="112"/>
      <c r="J8" s="65"/>
      <c r="K8" s="37"/>
      <c r="L8" s="37"/>
      <c r="M8" s="37"/>
      <c r="N8" s="37"/>
      <c r="O8" s="37"/>
      <c r="P8" s="37"/>
      <c r="Q8" s="37"/>
      <c r="R8" s="37"/>
      <c r="S8" s="37"/>
      <c r="T8" s="37"/>
      <c r="U8" s="3"/>
      <c r="W8" s="3"/>
      <c r="X8" s="3"/>
      <c r="Y8" s="3"/>
      <c r="Z8" s="3"/>
    </row>
    <row r="9" spans="1:26" ht="14.4" hidden="1" outlineLevel="1" x14ac:dyDescent="0.3">
      <c r="A9" s="3"/>
      <c r="B9" s="10" t="s">
        <v>281</v>
      </c>
      <c r="C9" s="62"/>
      <c r="D9" s="62"/>
      <c r="E9" s="12">
        <v>0</v>
      </c>
      <c r="F9" s="12">
        <v>0</v>
      </c>
      <c r="G9" s="89"/>
      <c r="H9" s="65"/>
      <c r="I9" s="112"/>
      <c r="J9" s="65"/>
      <c r="K9" s="37"/>
      <c r="L9" s="37"/>
      <c r="M9" s="37"/>
      <c r="N9" s="37"/>
      <c r="O9" s="37"/>
      <c r="P9" s="37"/>
      <c r="Q9" s="37"/>
      <c r="R9" s="37"/>
      <c r="S9" s="37"/>
      <c r="T9" s="37"/>
      <c r="U9" s="3"/>
      <c r="W9" s="3"/>
      <c r="X9" s="3"/>
      <c r="Y9" s="3"/>
      <c r="Z9" s="3"/>
    </row>
    <row r="10" spans="1:26" ht="14.4" hidden="1" outlineLevel="1" x14ac:dyDescent="0.3">
      <c r="A10" s="3"/>
      <c r="B10" s="10" t="s">
        <v>281</v>
      </c>
      <c r="C10" s="62"/>
      <c r="D10" s="62"/>
      <c r="E10" s="12">
        <v>0</v>
      </c>
      <c r="F10" s="12">
        <v>0</v>
      </c>
      <c r="G10" s="89"/>
      <c r="H10" s="65"/>
      <c r="I10" s="112"/>
      <c r="J10" s="89"/>
      <c r="K10" s="37"/>
      <c r="L10" s="37"/>
      <c r="M10" s="37"/>
      <c r="N10" s="37"/>
      <c r="O10" s="37"/>
      <c r="P10" s="37"/>
      <c r="Q10" s="37"/>
      <c r="R10" s="37"/>
      <c r="S10" s="37"/>
      <c r="T10" s="37"/>
      <c r="U10" s="3"/>
      <c r="W10" s="3"/>
      <c r="X10" s="3"/>
      <c r="Y10" s="3"/>
      <c r="Z10" s="3"/>
    </row>
    <row r="11" spans="1:26" ht="14.4" hidden="1" outlineLevel="1" x14ac:dyDescent="0.3">
      <c r="A11" s="3"/>
      <c r="B11" s="10" t="s">
        <v>281</v>
      </c>
      <c r="C11" s="62"/>
      <c r="D11" s="62"/>
      <c r="E11" s="12">
        <v>0</v>
      </c>
      <c r="F11" s="12">
        <v>0</v>
      </c>
      <c r="G11" s="89"/>
      <c r="H11" s="65"/>
      <c r="I11" s="112"/>
      <c r="J11" s="89"/>
      <c r="K11" s="37"/>
      <c r="L11" s="37"/>
      <c r="M11" s="37"/>
      <c r="N11" s="37"/>
      <c r="O11" s="37"/>
      <c r="P11" s="37"/>
      <c r="Q11" s="37"/>
      <c r="R11" s="37"/>
      <c r="S11" s="37"/>
      <c r="T11" s="37"/>
      <c r="U11" s="3"/>
      <c r="W11" s="3"/>
      <c r="X11" s="3"/>
      <c r="Y11" s="3"/>
      <c r="Z11" s="3"/>
    </row>
    <row r="12" spans="1:26" ht="14.4" hidden="1" outlineLevel="1" x14ac:dyDescent="0.3">
      <c r="A12" s="3"/>
      <c r="B12" s="10" t="s">
        <v>281</v>
      </c>
      <c r="C12" s="62"/>
      <c r="D12" s="62"/>
      <c r="E12" s="12">
        <v>0</v>
      </c>
      <c r="F12" s="12">
        <v>0</v>
      </c>
      <c r="G12" s="89"/>
      <c r="H12" s="65"/>
      <c r="I12" s="112"/>
      <c r="J12" s="89"/>
      <c r="K12" s="37"/>
      <c r="L12" s="37"/>
      <c r="M12" s="37"/>
      <c r="N12" s="37"/>
      <c r="O12" s="37"/>
      <c r="P12" s="37"/>
      <c r="Q12" s="37"/>
      <c r="R12" s="37"/>
      <c r="S12" s="37"/>
      <c r="T12" s="37"/>
      <c r="U12" s="3"/>
      <c r="W12" s="3"/>
      <c r="X12" s="3"/>
      <c r="Y12" s="3"/>
      <c r="Z12" s="3"/>
    </row>
    <row r="13" spans="1:26" ht="14.4" hidden="1" outlineLevel="1" x14ac:dyDescent="0.3">
      <c r="A13" s="3"/>
      <c r="B13" s="10" t="s">
        <v>281</v>
      </c>
      <c r="C13" s="62"/>
      <c r="D13" s="62"/>
      <c r="E13" s="12">
        <v>0</v>
      </c>
      <c r="F13" s="12">
        <v>0</v>
      </c>
      <c r="G13" s="89"/>
      <c r="H13" s="65"/>
      <c r="I13" s="112"/>
      <c r="J13" s="89"/>
      <c r="K13" s="37"/>
      <c r="L13" s="37"/>
      <c r="M13" s="37"/>
      <c r="N13" s="37"/>
      <c r="O13" s="37"/>
      <c r="P13" s="37"/>
      <c r="Q13" s="37"/>
      <c r="R13" s="37"/>
      <c r="S13" s="37"/>
      <c r="T13" s="37"/>
      <c r="U13" s="3"/>
      <c r="W13" s="3"/>
      <c r="X13" s="3"/>
      <c r="Y13" s="3"/>
      <c r="Z13" s="3"/>
    </row>
    <row r="14" spans="1:26" ht="14.4" hidden="1" outlineLevel="1" x14ac:dyDescent="0.3">
      <c r="A14" s="3"/>
      <c r="B14" s="10" t="s">
        <v>559</v>
      </c>
      <c r="C14" s="62"/>
      <c r="D14" s="62"/>
      <c r="E14" s="12">
        <v>0</v>
      </c>
      <c r="F14" s="12">
        <v>0</v>
      </c>
      <c r="G14" s="89"/>
      <c r="H14" s="65"/>
      <c r="I14" s="112"/>
      <c r="J14" s="89"/>
      <c r="K14" s="37"/>
      <c r="L14" s="37"/>
      <c r="M14" s="37"/>
      <c r="N14" s="37"/>
      <c r="O14" s="37"/>
      <c r="P14" s="37"/>
      <c r="Q14" s="37"/>
      <c r="R14" s="37"/>
      <c r="S14" s="37"/>
      <c r="T14" s="37"/>
      <c r="U14" s="3"/>
      <c r="W14" s="3"/>
      <c r="X14" s="3"/>
      <c r="Y14" s="3"/>
      <c r="Z14" s="3"/>
    </row>
    <row r="15" spans="1:26" ht="14.4" hidden="1" outlineLevel="1" x14ac:dyDescent="0.3">
      <c r="A15" s="3"/>
      <c r="B15" s="10" t="s">
        <v>65</v>
      </c>
      <c r="C15" s="62"/>
      <c r="D15" s="62"/>
      <c r="E15" s="12">
        <v>0</v>
      </c>
      <c r="F15" s="12">
        <v>0</v>
      </c>
      <c r="G15" s="89"/>
      <c r="H15" s="65"/>
      <c r="I15" s="112"/>
      <c r="J15" s="65"/>
      <c r="K15" s="37"/>
      <c r="L15" s="37"/>
      <c r="M15" s="37"/>
      <c r="N15" s="37"/>
      <c r="O15" s="37"/>
      <c r="P15" s="37"/>
      <c r="Q15" s="37"/>
      <c r="R15" s="37"/>
      <c r="S15" s="37"/>
      <c r="T15" s="37"/>
      <c r="U15" s="3"/>
      <c r="W15" s="3"/>
      <c r="X15" s="3"/>
      <c r="Y15" s="3"/>
      <c r="Z15" s="3"/>
    </row>
    <row r="16" spans="1:26" ht="20.399999999999999" collapsed="1" x14ac:dyDescent="0.3">
      <c r="A16" s="3"/>
      <c r="B16" s="84" t="s">
        <v>287</v>
      </c>
      <c r="C16" s="85" t="s">
        <v>43</v>
      </c>
      <c r="D16" s="85" t="s">
        <v>43</v>
      </c>
      <c r="E16" s="86">
        <f>SUM(E17:E33)</f>
        <v>0</v>
      </c>
      <c r="F16" s="86">
        <f>SUMIF(D17:D33,"OK",F17:F33)</f>
        <v>0</v>
      </c>
      <c r="G16" s="87"/>
      <c r="H16" s="87"/>
      <c r="I16" s="88"/>
      <c r="J16" s="87"/>
      <c r="K16" s="37"/>
      <c r="L16" s="37"/>
      <c r="M16" s="37"/>
      <c r="N16" s="37"/>
      <c r="O16" s="37"/>
      <c r="P16" s="37"/>
      <c r="Q16" s="37"/>
      <c r="R16" s="37"/>
      <c r="S16" s="37"/>
      <c r="T16" s="37"/>
      <c r="U16" s="3"/>
    </row>
    <row r="17" spans="1:22" ht="14.4" hidden="1" outlineLevel="1" x14ac:dyDescent="0.3">
      <c r="A17" s="3"/>
      <c r="B17" s="10" t="s">
        <v>561</v>
      </c>
      <c r="C17" s="62"/>
      <c r="D17" s="62"/>
      <c r="E17" s="12">
        <v>0</v>
      </c>
      <c r="F17" s="12">
        <v>0</v>
      </c>
      <c r="G17" s="249"/>
      <c r="H17" s="65"/>
      <c r="I17" s="246"/>
      <c r="J17" s="65"/>
      <c r="K17" s="37"/>
      <c r="L17" s="37"/>
      <c r="M17" s="37"/>
      <c r="N17" s="37"/>
      <c r="O17" s="37"/>
      <c r="P17" s="37"/>
      <c r="Q17" s="37"/>
      <c r="R17" s="37"/>
      <c r="S17" s="37"/>
      <c r="T17" s="37"/>
      <c r="U17" s="3"/>
    </row>
    <row r="18" spans="1:22" ht="14.4" hidden="1" outlineLevel="1" x14ac:dyDescent="0.3">
      <c r="A18" s="3"/>
      <c r="B18" s="10" t="s">
        <v>563</v>
      </c>
      <c r="C18" s="62"/>
      <c r="D18" s="62"/>
      <c r="E18" s="12">
        <v>0</v>
      </c>
      <c r="F18" s="12">
        <v>0</v>
      </c>
      <c r="G18" s="215"/>
      <c r="H18" s="65"/>
      <c r="I18" s="215"/>
      <c r="J18" s="65"/>
      <c r="K18" s="37"/>
      <c r="L18" s="37"/>
      <c r="M18" s="37"/>
      <c r="N18" s="37"/>
      <c r="O18" s="37"/>
      <c r="P18" s="37"/>
      <c r="Q18" s="37"/>
      <c r="R18" s="37"/>
      <c r="S18" s="37"/>
      <c r="T18" s="37"/>
      <c r="U18" s="3"/>
    </row>
    <row r="19" spans="1:22" ht="14.4" hidden="1" outlineLevel="1" x14ac:dyDescent="0.3">
      <c r="A19" s="3"/>
      <c r="B19" s="10" t="s">
        <v>564</v>
      </c>
      <c r="C19" s="62"/>
      <c r="D19" s="62"/>
      <c r="E19" s="12">
        <v>0</v>
      </c>
      <c r="F19" s="12">
        <v>0</v>
      </c>
      <c r="G19" s="215"/>
      <c r="H19" s="65"/>
      <c r="I19" s="215"/>
      <c r="J19" s="65"/>
      <c r="K19" s="37"/>
      <c r="L19" s="37"/>
      <c r="M19" s="37"/>
      <c r="N19" s="37"/>
      <c r="O19" s="37"/>
      <c r="P19" s="37"/>
      <c r="Q19" s="37"/>
      <c r="R19" s="37"/>
      <c r="S19" s="37"/>
      <c r="T19" s="37"/>
      <c r="U19" s="3"/>
    </row>
    <row r="20" spans="1:22" ht="14.4" hidden="1" outlineLevel="1" x14ac:dyDescent="0.3">
      <c r="A20" s="3"/>
      <c r="B20" s="10" t="s">
        <v>565</v>
      </c>
      <c r="C20" s="62"/>
      <c r="D20" s="62"/>
      <c r="E20" s="12">
        <v>0</v>
      </c>
      <c r="F20" s="12">
        <v>0</v>
      </c>
      <c r="G20" s="215"/>
      <c r="H20" s="65"/>
      <c r="I20" s="215"/>
      <c r="J20" s="65"/>
      <c r="K20" s="37"/>
      <c r="L20" s="37"/>
      <c r="M20" s="37"/>
      <c r="N20" s="37"/>
      <c r="O20" s="37"/>
      <c r="P20" s="37"/>
      <c r="Q20" s="37"/>
      <c r="R20" s="37"/>
      <c r="S20" s="37"/>
      <c r="T20" s="37"/>
      <c r="U20" s="3"/>
    </row>
    <row r="21" spans="1:22" ht="15.75" hidden="1" customHeight="1" outlineLevel="1" x14ac:dyDescent="0.3">
      <c r="A21" s="3"/>
      <c r="B21" s="10" t="s">
        <v>566</v>
      </c>
      <c r="C21" s="62"/>
      <c r="D21" s="62"/>
      <c r="E21" s="12">
        <v>0</v>
      </c>
      <c r="F21" s="12">
        <v>0</v>
      </c>
      <c r="G21" s="216"/>
      <c r="H21" s="65"/>
      <c r="I21" s="216"/>
      <c r="J21" s="65"/>
      <c r="K21" s="37"/>
      <c r="L21" s="37"/>
      <c r="M21" s="37"/>
      <c r="N21" s="37"/>
      <c r="O21" s="37"/>
      <c r="P21" s="37"/>
      <c r="Q21" s="37"/>
      <c r="R21" s="37"/>
      <c r="S21" s="37"/>
      <c r="T21" s="37"/>
      <c r="U21" s="3"/>
    </row>
    <row r="22" spans="1:22" ht="15.75" hidden="1" customHeight="1" outlineLevel="1" x14ac:dyDescent="0.3">
      <c r="A22" s="3"/>
      <c r="B22" s="10" t="s">
        <v>567</v>
      </c>
      <c r="C22" s="62"/>
      <c r="D22" s="62"/>
      <c r="E22" s="12">
        <v>0</v>
      </c>
      <c r="F22" s="12">
        <v>0</v>
      </c>
      <c r="G22" s="244"/>
      <c r="H22" s="65"/>
      <c r="I22" s="246"/>
      <c r="J22" s="65"/>
      <c r="K22" s="37"/>
      <c r="L22" s="37"/>
      <c r="M22" s="37"/>
      <c r="N22" s="37"/>
      <c r="O22" s="37"/>
      <c r="P22" s="37"/>
      <c r="Q22" s="37"/>
      <c r="R22" s="37"/>
      <c r="S22" s="37"/>
      <c r="T22" s="37"/>
      <c r="U22" s="3"/>
      <c r="V22" s="18"/>
    </row>
    <row r="23" spans="1:22" ht="15.75" hidden="1" customHeight="1" outlineLevel="1" x14ac:dyDescent="0.3">
      <c r="A23" s="3"/>
      <c r="B23" s="10" t="s">
        <v>570</v>
      </c>
      <c r="C23" s="62"/>
      <c r="D23" s="62"/>
      <c r="E23" s="12">
        <v>0</v>
      </c>
      <c r="F23" s="12">
        <v>0</v>
      </c>
      <c r="G23" s="215"/>
      <c r="H23" s="65"/>
      <c r="I23" s="215"/>
      <c r="J23" s="65"/>
      <c r="K23" s="37"/>
      <c r="L23" s="37"/>
      <c r="M23" s="37"/>
      <c r="N23" s="37"/>
      <c r="O23" s="37"/>
      <c r="P23" s="37"/>
      <c r="Q23" s="37"/>
      <c r="R23" s="37"/>
      <c r="S23" s="37"/>
      <c r="T23" s="37"/>
      <c r="U23" s="3"/>
      <c r="V23" s="18"/>
    </row>
    <row r="24" spans="1:22" ht="15.75" hidden="1" customHeight="1" outlineLevel="1" x14ac:dyDescent="0.3">
      <c r="A24" s="3"/>
      <c r="B24" s="10" t="s">
        <v>571</v>
      </c>
      <c r="C24" s="62"/>
      <c r="D24" s="62"/>
      <c r="E24" s="12">
        <v>0</v>
      </c>
      <c r="F24" s="12">
        <v>0</v>
      </c>
      <c r="G24" s="215"/>
      <c r="H24" s="65"/>
      <c r="I24" s="215"/>
      <c r="J24" s="65"/>
      <c r="K24" s="37"/>
      <c r="L24" s="37"/>
      <c r="M24" s="37"/>
      <c r="N24" s="37"/>
      <c r="O24" s="37"/>
      <c r="P24" s="37"/>
      <c r="Q24" s="37"/>
      <c r="R24" s="37"/>
      <c r="S24" s="37"/>
      <c r="T24" s="37"/>
      <c r="U24" s="3"/>
      <c r="V24" s="18"/>
    </row>
    <row r="25" spans="1:22" ht="15.75" hidden="1" customHeight="1" outlineLevel="1" x14ac:dyDescent="0.3">
      <c r="A25" s="3"/>
      <c r="B25" s="10" t="s">
        <v>572</v>
      </c>
      <c r="C25" s="62"/>
      <c r="D25" s="62"/>
      <c r="E25" s="12">
        <v>0</v>
      </c>
      <c r="F25" s="12">
        <v>0</v>
      </c>
      <c r="G25" s="215"/>
      <c r="H25" s="65"/>
      <c r="I25" s="215"/>
      <c r="J25" s="65"/>
      <c r="K25" s="37"/>
      <c r="L25" s="37"/>
      <c r="M25" s="37"/>
      <c r="N25" s="37"/>
      <c r="O25" s="37"/>
      <c r="P25" s="37"/>
      <c r="Q25" s="37"/>
      <c r="R25" s="37"/>
      <c r="S25" s="37"/>
      <c r="T25" s="37"/>
      <c r="U25" s="3"/>
      <c r="V25" s="18"/>
    </row>
    <row r="26" spans="1:22" ht="15.75" hidden="1" customHeight="1" outlineLevel="1" x14ac:dyDescent="0.3">
      <c r="A26" s="3"/>
      <c r="B26" s="10" t="s">
        <v>573</v>
      </c>
      <c r="C26" s="62"/>
      <c r="D26" s="62"/>
      <c r="E26" s="12">
        <v>0</v>
      </c>
      <c r="F26" s="12">
        <v>0</v>
      </c>
      <c r="G26" s="215"/>
      <c r="H26" s="65"/>
      <c r="I26" s="215"/>
      <c r="J26" s="65"/>
      <c r="K26" s="37"/>
      <c r="L26" s="37"/>
      <c r="M26" s="37"/>
      <c r="N26" s="37"/>
      <c r="O26" s="37"/>
      <c r="P26" s="37"/>
      <c r="Q26" s="37"/>
      <c r="R26" s="37"/>
      <c r="S26" s="37"/>
      <c r="T26" s="37"/>
      <c r="U26" s="3"/>
      <c r="V26" s="18"/>
    </row>
    <row r="27" spans="1:22" ht="15.75" hidden="1" customHeight="1" outlineLevel="1" x14ac:dyDescent="0.3">
      <c r="A27" s="3"/>
      <c r="B27" s="10" t="s">
        <v>574</v>
      </c>
      <c r="C27" s="62"/>
      <c r="D27" s="62"/>
      <c r="E27" s="12">
        <v>0</v>
      </c>
      <c r="F27" s="12">
        <v>0</v>
      </c>
      <c r="G27" s="215"/>
      <c r="H27" s="65"/>
      <c r="I27" s="215"/>
      <c r="J27" s="65"/>
      <c r="K27" s="37"/>
      <c r="L27" s="37"/>
      <c r="M27" s="37"/>
      <c r="N27" s="37"/>
      <c r="O27" s="37"/>
      <c r="P27" s="37"/>
      <c r="Q27" s="37"/>
      <c r="R27" s="37"/>
      <c r="S27" s="37"/>
      <c r="T27" s="37"/>
      <c r="U27" s="3"/>
      <c r="V27" s="18"/>
    </row>
    <row r="28" spans="1:22" ht="15.75" hidden="1" customHeight="1" outlineLevel="1" x14ac:dyDescent="0.3">
      <c r="A28" s="3"/>
      <c r="B28" s="10" t="s">
        <v>575</v>
      </c>
      <c r="C28" s="62"/>
      <c r="D28" s="62"/>
      <c r="E28" s="12">
        <v>0</v>
      </c>
      <c r="F28" s="12">
        <v>0</v>
      </c>
      <c r="G28" s="216"/>
      <c r="H28" s="65"/>
      <c r="I28" s="216"/>
      <c r="J28" s="65"/>
      <c r="K28" s="37"/>
      <c r="L28" s="37"/>
      <c r="M28" s="37"/>
      <c r="N28" s="37"/>
      <c r="O28" s="37"/>
      <c r="P28" s="37"/>
      <c r="Q28" s="37"/>
      <c r="R28" s="37"/>
      <c r="S28" s="37"/>
      <c r="T28" s="37"/>
      <c r="U28" s="3"/>
      <c r="V28" s="18"/>
    </row>
    <row r="29" spans="1:22" ht="15.75" hidden="1" customHeight="1" outlineLevel="1" x14ac:dyDescent="0.3">
      <c r="A29" s="3"/>
      <c r="B29" s="10" t="s">
        <v>292</v>
      </c>
      <c r="C29" s="62"/>
      <c r="D29" s="62"/>
      <c r="E29" s="12">
        <v>0</v>
      </c>
      <c r="F29" s="12">
        <v>0</v>
      </c>
      <c r="G29" s="65"/>
      <c r="H29" s="65"/>
      <c r="I29" s="112"/>
      <c r="J29" s="65"/>
      <c r="K29" s="37"/>
      <c r="L29" s="37"/>
      <c r="M29" s="37"/>
      <c r="N29" s="37"/>
      <c r="O29" s="37"/>
      <c r="P29" s="37"/>
      <c r="Q29" s="37"/>
      <c r="R29" s="37"/>
      <c r="S29" s="37"/>
      <c r="T29" s="37"/>
      <c r="U29" s="3"/>
      <c r="V29" s="18"/>
    </row>
    <row r="30" spans="1:22" ht="15.75" hidden="1" customHeight="1" outlineLevel="1" x14ac:dyDescent="0.3">
      <c r="A30" s="3"/>
      <c r="B30" s="10" t="s">
        <v>294</v>
      </c>
      <c r="C30" s="62"/>
      <c r="D30" s="62"/>
      <c r="E30" s="12">
        <v>0</v>
      </c>
      <c r="F30" s="12">
        <v>0</v>
      </c>
      <c r="G30" s="89"/>
      <c r="H30" s="65"/>
      <c r="I30" s="112"/>
      <c r="J30" s="65"/>
      <c r="K30" s="37"/>
      <c r="L30" s="37"/>
      <c r="M30" s="37"/>
      <c r="N30" s="37"/>
      <c r="O30" s="37"/>
      <c r="P30" s="37"/>
      <c r="Q30" s="37"/>
      <c r="R30" s="37"/>
      <c r="S30" s="37"/>
      <c r="T30" s="37"/>
      <c r="U30" s="3"/>
    </row>
    <row r="31" spans="1:22" ht="15.75" hidden="1" customHeight="1" outlineLevel="1" x14ac:dyDescent="0.3">
      <c r="A31" s="3"/>
      <c r="B31" s="10" t="s">
        <v>579</v>
      </c>
      <c r="C31" s="62"/>
      <c r="D31" s="62"/>
      <c r="E31" s="12">
        <v>0</v>
      </c>
      <c r="F31" s="12">
        <v>0</v>
      </c>
      <c r="G31" s="65"/>
      <c r="H31" s="65"/>
      <c r="I31" s="157"/>
      <c r="J31" s="65"/>
      <c r="K31" s="37"/>
      <c r="L31" s="37"/>
      <c r="M31" s="37"/>
      <c r="N31" s="37"/>
      <c r="O31" s="37"/>
      <c r="P31" s="37"/>
      <c r="Q31" s="37"/>
      <c r="R31" s="37"/>
      <c r="S31" s="37"/>
      <c r="T31" s="37"/>
      <c r="U31" s="3"/>
    </row>
    <row r="32" spans="1:22" ht="15.75" hidden="1" customHeight="1" outlineLevel="1" x14ac:dyDescent="0.3">
      <c r="A32" s="3"/>
      <c r="B32" s="10" t="s">
        <v>1615</v>
      </c>
      <c r="C32" s="62"/>
      <c r="D32" s="62"/>
      <c r="E32" s="12">
        <v>0</v>
      </c>
      <c r="F32" s="12">
        <v>0</v>
      </c>
      <c r="G32" s="89"/>
      <c r="H32" s="65"/>
      <c r="I32" s="112"/>
      <c r="J32" s="65"/>
      <c r="K32" s="37"/>
      <c r="L32" s="37"/>
      <c r="M32" s="37"/>
      <c r="N32" s="37"/>
      <c r="O32" s="37"/>
      <c r="P32" s="37"/>
      <c r="Q32" s="37"/>
      <c r="R32" s="37"/>
      <c r="S32" s="37"/>
      <c r="T32" s="37"/>
      <c r="U32" s="3"/>
    </row>
    <row r="33" spans="1:26" ht="15.75" hidden="1" customHeight="1" outlineLevel="1" x14ac:dyDescent="0.3">
      <c r="A33" s="3"/>
      <c r="B33" s="10" t="s">
        <v>582</v>
      </c>
      <c r="C33" s="62"/>
      <c r="D33" s="62"/>
      <c r="E33" s="12">
        <v>0</v>
      </c>
      <c r="F33" s="12">
        <v>0</v>
      </c>
      <c r="G33" s="65"/>
      <c r="H33" s="65"/>
      <c r="I33" s="89"/>
      <c r="J33" s="65"/>
      <c r="K33" s="37"/>
      <c r="L33" s="37"/>
      <c r="M33" s="37"/>
      <c r="N33" s="37"/>
      <c r="O33" s="37"/>
      <c r="P33" s="37"/>
      <c r="Q33" s="37"/>
      <c r="R33" s="37"/>
      <c r="S33" s="37"/>
      <c r="T33" s="37"/>
      <c r="U33" s="3"/>
    </row>
    <row r="34" spans="1:26" ht="15.75" customHeight="1" collapsed="1" x14ac:dyDescent="0.3">
      <c r="A34" s="3"/>
      <c r="B34" s="84" t="s">
        <v>300</v>
      </c>
      <c r="C34" s="85" t="s">
        <v>43</v>
      </c>
      <c r="D34" s="85" t="s">
        <v>43</v>
      </c>
      <c r="E34" s="86">
        <f>SUM(E35:E37)</f>
        <v>0</v>
      </c>
      <c r="F34" s="86">
        <f>SUMIF(D35:D37,"OK",F35:F37)</f>
        <v>0</v>
      </c>
      <c r="G34" s="87"/>
      <c r="H34" s="87"/>
      <c r="I34" s="88"/>
      <c r="J34" s="87"/>
      <c r="K34" s="37"/>
      <c r="L34" s="37"/>
      <c r="M34" s="37"/>
      <c r="N34" s="37"/>
      <c r="O34" s="37"/>
      <c r="P34" s="37"/>
      <c r="Q34" s="37"/>
      <c r="R34" s="37"/>
      <c r="S34" s="37"/>
      <c r="T34" s="37"/>
      <c r="U34" s="3"/>
      <c r="W34" s="3"/>
      <c r="X34" s="3"/>
      <c r="Y34" s="3"/>
      <c r="Z34" s="3"/>
    </row>
    <row r="35" spans="1:26" ht="15.75" hidden="1" customHeight="1" outlineLevel="1" x14ac:dyDescent="0.3">
      <c r="A35" s="3"/>
      <c r="B35" s="10" t="s">
        <v>583</v>
      </c>
      <c r="C35" s="62"/>
      <c r="D35" s="62"/>
      <c r="E35" s="12">
        <v>0</v>
      </c>
      <c r="F35" s="12">
        <v>0</v>
      </c>
      <c r="G35" s="69"/>
      <c r="H35" s="65"/>
      <c r="I35" s="112"/>
      <c r="J35" s="65"/>
      <c r="K35" s="37"/>
      <c r="L35" s="37"/>
      <c r="M35" s="37"/>
      <c r="N35" s="37"/>
      <c r="O35" s="37"/>
      <c r="P35" s="37"/>
      <c r="Q35" s="37"/>
      <c r="R35" s="37"/>
      <c r="S35" s="37"/>
      <c r="T35" s="37"/>
      <c r="U35" s="3"/>
      <c r="W35" s="3"/>
      <c r="X35" s="3"/>
      <c r="Y35" s="3"/>
      <c r="Z35" s="3"/>
    </row>
    <row r="36" spans="1:26" ht="15.75" hidden="1" customHeight="1" outlineLevel="1" x14ac:dyDescent="0.3">
      <c r="A36" s="3"/>
      <c r="B36" s="10" t="s">
        <v>1527</v>
      </c>
      <c r="C36" s="62"/>
      <c r="D36" s="62"/>
      <c r="E36" s="12">
        <v>0</v>
      </c>
      <c r="F36" s="12">
        <v>0</v>
      </c>
      <c r="G36" s="67"/>
      <c r="H36" s="65"/>
      <c r="I36" s="157"/>
      <c r="J36" s="65"/>
      <c r="K36" s="37"/>
      <c r="L36" s="37"/>
      <c r="M36" s="37"/>
      <c r="N36" s="37"/>
      <c r="O36" s="37"/>
      <c r="P36" s="37"/>
      <c r="Q36" s="37"/>
      <c r="R36" s="37"/>
      <c r="S36" s="37"/>
      <c r="T36" s="37"/>
      <c r="U36" s="3"/>
      <c r="W36" s="3"/>
      <c r="X36" s="3"/>
      <c r="Y36" s="3"/>
      <c r="Z36" s="3"/>
    </row>
    <row r="37" spans="1:26" ht="15.75" hidden="1" customHeight="1" outlineLevel="1" x14ac:dyDescent="0.3">
      <c r="A37" s="3"/>
      <c r="B37" s="10" t="s">
        <v>1527</v>
      </c>
      <c r="C37" s="62"/>
      <c r="D37" s="62"/>
      <c r="E37" s="12">
        <v>0</v>
      </c>
      <c r="F37" s="12">
        <v>0</v>
      </c>
      <c r="G37" s="65"/>
      <c r="H37" s="65"/>
      <c r="I37" s="157"/>
      <c r="J37" s="65"/>
      <c r="K37" s="37"/>
      <c r="L37" s="37"/>
      <c r="M37" s="37"/>
      <c r="N37" s="37"/>
      <c r="O37" s="37"/>
      <c r="P37" s="37"/>
      <c r="Q37" s="37"/>
      <c r="R37" s="37"/>
      <c r="S37" s="37"/>
      <c r="T37" s="37"/>
      <c r="U37" s="3"/>
      <c r="W37" s="3"/>
      <c r="X37" s="3"/>
      <c r="Y37" s="3"/>
      <c r="Z37" s="3"/>
    </row>
    <row r="38" spans="1:26" ht="15.75" customHeight="1" collapsed="1" x14ac:dyDescent="0.3">
      <c r="A38" s="3"/>
      <c r="B38" s="84" t="s">
        <v>306</v>
      </c>
      <c r="C38" s="85" t="s">
        <v>43</v>
      </c>
      <c r="D38" s="85" t="s">
        <v>43</v>
      </c>
      <c r="E38" s="86">
        <f>SUM(E39:E62)</f>
        <v>0</v>
      </c>
      <c r="F38" s="86">
        <f>SUMIF(D39:D62,"OK",F39:F62)</f>
        <v>0</v>
      </c>
      <c r="G38" s="87"/>
      <c r="H38" s="87"/>
      <c r="I38" s="88"/>
      <c r="J38" s="87"/>
      <c r="K38" s="37"/>
      <c r="L38" s="37"/>
      <c r="M38" s="37"/>
      <c r="N38" s="37"/>
      <c r="O38" s="37"/>
      <c r="P38" s="37"/>
      <c r="Q38" s="37"/>
      <c r="R38" s="37"/>
      <c r="S38" s="37"/>
      <c r="T38" s="37"/>
      <c r="U38" s="3"/>
      <c r="W38" s="3"/>
      <c r="X38" s="3"/>
      <c r="Y38" s="3"/>
      <c r="Z38" s="3"/>
    </row>
    <row r="39" spans="1:26" ht="15.75" hidden="1" customHeight="1" outlineLevel="1" x14ac:dyDescent="0.3">
      <c r="A39" s="3"/>
      <c r="B39" s="10" t="s">
        <v>307</v>
      </c>
      <c r="C39" s="62"/>
      <c r="D39" s="62"/>
      <c r="E39" s="12">
        <v>0</v>
      </c>
      <c r="F39" s="12">
        <v>0</v>
      </c>
      <c r="G39" s="65"/>
      <c r="H39" s="65"/>
      <c r="I39" s="112"/>
      <c r="J39" s="65"/>
      <c r="K39" s="37"/>
      <c r="L39" s="37"/>
      <c r="M39" s="37"/>
      <c r="N39" s="37"/>
      <c r="O39" s="37"/>
      <c r="P39" s="37"/>
      <c r="Q39" s="37"/>
      <c r="R39" s="37"/>
      <c r="S39" s="37"/>
      <c r="T39" s="37"/>
      <c r="U39" s="3"/>
      <c r="W39" s="3"/>
      <c r="X39" s="3"/>
      <c r="Y39" s="3"/>
      <c r="Z39" s="3"/>
    </row>
    <row r="40" spans="1:26" ht="15.75" hidden="1" customHeight="1" outlineLevel="1" x14ac:dyDescent="0.3">
      <c r="A40" s="3"/>
      <c r="B40" s="10" t="s">
        <v>589</v>
      </c>
      <c r="C40" s="62"/>
      <c r="D40" s="62"/>
      <c r="E40" s="12">
        <v>0</v>
      </c>
      <c r="F40" s="12">
        <v>0</v>
      </c>
      <c r="G40" s="65"/>
      <c r="H40" s="65"/>
      <c r="I40" s="112"/>
      <c r="J40" s="65"/>
      <c r="K40" s="37"/>
      <c r="L40" s="37"/>
      <c r="M40" s="37"/>
      <c r="N40" s="37"/>
      <c r="O40" s="37"/>
      <c r="P40" s="37"/>
      <c r="Q40" s="37"/>
      <c r="R40" s="37"/>
      <c r="S40" s="37"/>
      <c r="T40" s="37"/>
      <c r="U40" s="3"/>
      <c r="W40" s="3"/>
      <c r="X40" s="3"/>
      <c r="Y40" s="3"/>
      <c r="Z40" s="3"/>
    </row>
    <row r="41" spans="1:26" ht="15.75" hidden="1" customHeight="1" outlineLevel="1" x14ac:dyDescent="0.3">
      <c r="A41" s="3"/>
      <c r="B41" s="10" t="s">
        <v>756</v>
      </c>
      <c r="C41" s="62"/>
      <c r="D41" s="62"/>
      <c r="E41" s="12">
        <v>0</v>
      </c>
      <c r="F41" s="12">
        <v>0</v>
      </c>
      <c r="G41" s="65"/>
      <c r="H41" s="65"/>
      <c r="I41" s="112"/>
      <c r="J41" s="65"/>
      <c r="K41" s="37"/>
      <c r="L41" s="37"/>
      <c r="M41" s="37"/>
      <c r="N41" s="37"/>
      <c r="O41" s="37"/>
      <c r="P41" s="37"/>
      <c r="Q41" s="37"/>
      <c r="R41" s="37"/>
      <c r="S41" s="37"/>
      <c r="T41" s="37"/>
      <c r="U41" s="3"/>
      <c r="W41" s="3"/>
      <c r="X41" s="3"/>
      <c r="Y41" s="3"/>
      <c r="Z41" s="3"/>
    </row>
    <row r="42" spans="1:26" ht="15.75" hidden="1" customHeight="1" outlineLevel="1" x14ac:dyDescent="0.3">
      <c r="A42" s="3"/>
      <c r="B42" s="10" t="s">
        <v>312</v>
      </c>
      <c r="C42" s="62"/>
      <c r="D42" s="62"/>
      <c r="E42" s="12">
        <v>0</v>
      </c>
      <c r="F42" s="12">
        <v>0</v>
      </c>
      <c r="G42" s="65"/>
      <c r="H42" s="65"/>
      <c r="I42" s="112"/>
      <c r="J42" s="65"/>
      <c r="K42" s="37"/>
      <c r="L42" s="37"/>
      <c r="M42" s="37"/>
      <c r="N42" s="37"/>
      <c r="O42" s="37"/>
      <c r="P42" s="37"/>
      <c r="Q42" s="37"/>
      <c r="R42" s="37"/>
      <c r="S42" s="37"/>
      <c r="T42" s="37"/>
      <c r="U42" s="3"/>
      <c r="W42" s="3"/>
      <c r="X42" s="3"/>
      <c r="Y42" s="3"/>
      <c r="Z42" s="3"/>
    </row>
    <row r="43" spans="1:26" ht="15.75" hidden="1" customHeight="1" outlineLevel="1" x14ac:dyDescent="0.3">
      <c r="A43" s="3"/>
      <c r="B43" s="10" t="s">
        <v>314</v>
      </c>
      <c r="C43" s="62"/>
      <c r="D43" s="62"/>
      <c r="E43" s="12">
        <v>0</v>
      </c>
      <c r="F43" s="12">
        <v>0</v>
      </c>
      <c r="G43" s="65"/>
      <c r="H43" s="65"/>
      <c r="I43" s="112"/>
      <c r="J43" s="65"/>
      <c r="K43" s="37"/>
      <c r="L43" s="37"/>
      <c r="M43" s="37"/>
      <c r="N43" s="37"/>
      <c r="O43" s="37"/>
      <c r="P43" s="37"/>
      <c r="Q43" s="37"/>
      <c r="R43" s="37"/>
      <c r="S43" s="37"/>
      <c r="T43" s="37"/>
      <c r="U43" s="3"/>
      <c r="W43" s="3"/>
      <c r="X43" s="3"/>
      <c r="Y43" s="3"/>
      <c r="Z43" s="3"/>
    </row>
    <row r="44" spans="1:26" ht="15.75" hidden="1" customHeight="1" outlineLevel="1" x14ac:dyDescent="0.3">
      <c r="A44" s="3"/>
      <c r="B44" s="10" t="s">
        <v>316</v>
      </c>
      <c r="C44" s="62"/>
      <c r="D44" s="62"/>
      <c r="E44" s="12">
        <v>0</v>
      </c>
      <c r="F44" s="12">
        <v>0</v>
      </c>
      <c r="G44" s="89"/>
      <c r="H44" s="65"/>
      <c r="I44" s="157"/>
      <c r="J44" s="65"/>
      <c r="K44" s="37"/>
      <c r="L44" s="37"/>
      <c r="M44" s="37"/>
      <c r="N44" s="37"/>
      <c r="O44" s="37"/>
      <c r="P44" s="37"/>
      <c r="Q44" s="37"/>
      <c r="R44" s="37"/>
      <c r="S44" s="37"/>
      <c r="T44" s="37"/>
      <c r="U44" s="3"/>
      <c r="W44" s="3"/>
      <c r="X44" s="3"/>
      <c r="Y44" s="3"/>
      <c r="Z44" s="3"/>
    </row>
    <row r="45" spans="1:26" ht="15.75" hidden="1" customHeight="1" outlineLevel="1" x14ac:dyDescent="0.3">
      <c r="A45" s="3"/>
      <c r="B45" s="10" t="s">
        <v>316</v>
      </c>
      <c r="C45" s="62"/>
      <c r="D45" s="62"/>
      <c r="E45" s="12">
        <v>0</v>
      </c>
      <c r="F45" s="12">
        <v>0</v>
      </c>
      <c r="G45" s="65"/>
      <c r="H45" s="65"/>
      <c r="I45" s="157"/>
      <c r="J45" s="65"/>
      <c r="K45" s="37"/>
      <c r="L45" s="37"/>
      <c r="M45" s="37"/>
      <c r="N45" s="37"/>
      <c r="O45" s="37"/>
      <c r="P45" s="37"/>
      <c r="Q45" s="37"/>
      <c r="R45" s="37"/>
      <c r="S45" s="37"/>
      <c r="T45" s="37"/>
      <c r="U45" s="3"/>
      <c r="W45" s="3"/>
      <c r="X45" s="3"/>
      <c r="Y45" s="3"/>
      <c r="Z45" s="3"/>
    </row>
    <row r="46" spans="1:26" ht="15.75" hidden="1" customHeight="1" outlineLevel="1" x14ac:dyDescent="0.3">
      <c r="A46" s="3"/>
      <c r="B46" s="10" t="s">
        <v>317</v>
      </c>
      <c r="C46" s="62"/>
      <c r="D46" s="62"/>
      <c r="E46" s="12">
        <v>0</v>
      </c>
      <c r="F46" s="12">
        <v>0</v>
      </c>
      <c r="G46" s="65"/>
      <c r="H46" s="65"/>
      <c r="I46" s="89"/>
      <c r="J46" s="65"/>
      <c r="K46" s="37"/>
      <c r="L46" s="37"/>
      <c r="M46" s="37"/>
      <c r="N46" s="37"/>
      <c r="O46" s="37"/>
      <c r="P46" s="37"/>
      <c r="Q46" s="37"/>
      <c r="R46" s="37"/>
      <c r="S46" s="37"/>
      <c r="T46" s="37"/>
      <c r="U46" s="3"/>
      <c r="W46" s="3"/>
      <c r="X46" s="3"/>
      <c r="Y46" s="3"/>
      <c r="Z46" s="3"/>
    </row>
    <row r="47" spans="1:26" ht="15.75" hidden="1" customHeight="1" outlineLevel="1" x14ac:dyDescent="0.3">
      <c r="A47" s="3"/>
      <c r="B47" s="10" t="s">
        <v>1529</v>
      </c>
      <c r="C47" s="62"/>
      <c r="D47" s="62"/>
      <c r="E47" s="12">
        <v>0</v>
      </c>
      <c r="F47" s="12">
        <v>0</v>
      </c>
      <c r="G47" s="89"/>
      <c r="H47" s="65"/>
      <c r="I47" s="112"/>
      <c r="J47" s="65"/>
      <c r="K47" s="37"/>
      <c r="L47" s="37"/>
      <c r="M47" s="37"/>
      <c r="N47" s="37"/>
      <c r="O47" s="37"/>
      <c r="P47" s="37"/>
      <c r="Q47" s="37"/>
      <c r="R47" s="37"/>
      <c r="S47" s="37"/>
      <c r="T47" s="37"/>
      <c r="U47" s="3"/>
      <c r="W47" s="3"/>
      <c r="X47" s="3"/>
      <c r="Y47" s="3"/>
      <c r="Z47" s="3"/>
    </row>
    <row r="48" spans="1:26" ht="15.75" hidden="1" customHeight="1" outlineLevel="1" x14ac:dyDescent="0.3">
      <c r="A48" s="3"/>
      <c r="B48" s="10" t="s">
        <v>595</v>
      </c>
      <c r="C48" s="62"/>
      <c r="D48" s="62"/>
      <c r="E48" s="12">
        <v>0</v>
      </c>
      <c r="F48" s="12">
        <v>0</v>
      </c>
      <c r="G48" s="65"/>
      <c r="H48" s="65"/>
      <c r="I48" s="112"/>
      <c r="J48" s="65"/>
      <c r="K48" s="37"/>
      <c r="L48" s="37"/>
      <c r="M48" s="37"/>
      <c r="N48" s="37"/>
      <c r="O48" s="37"/>
      <c r="P48" s="37"/>
      <c r="Q48" s="37"/>
      <c r="R48" s="37"/>
      <c r="S48" s="37"/>
      <c r="T48" s="37"/>
      <c r="U48" s="3"/>
      <c r="W48" s="3"/>
      <c r="X48" s="3"/>
      <c r="Y48" s="3"/>
      <c r="Z48" s="3"/>
    </row>
    <row r="49" spans="1:26" ht="15.75" hidden="1" customHeight="1" outlineLevel="1" x14ac:dyDescent="0.3">
      <c r="A49" s="3"/>
      <c r="B49" s="10" t="s">
        <v>1616</v>
      </c>
      <c r="C49" s="62"/>
      <c r="D49" s="62"/>
      <c r="E49" s="12">
        <v>0</v>
      </c>
      <c r="F49" s="12">
        <v>0</v>
      </c>
      <c r="G49" s="65"/>
      <c r="H49" s="65"/>
      <c r="I49" s="112"/>
      <c r="J49" s="65"/>
      <c r="K49" s="37"/>
      <c r="L49" s="37"/>
      <c r="M49" s="37"/>
      <c r="N49" s="37"/>
      <c r="O49" s="37"/>
      <c r="P49" s="37"/>
      <c r="Q49" s="37"/>
      <c r="R49" s="37"/>
      <c r="S49" s="37"/>
      <c r="T49" s="37"/>
      <c r="U49" s="3"/>
      <c r="W49" s="3"/>
      <c r="X49" s="3"/>
      <c r="Y49" s="3"/>
      <c r="Z49" s="3"/>
    </row>
    <row r="50" spans="1:26" ht="15.75" hidden="1" customHeight="1" outlineLevel="1" x14ac:dyDescent="0.3">
      <c r="A50" s="3"/>
      <c r="B50" s="10" t="s">
        <v>1617</v>
      </c>
      <c r="C50" s="80"/>
      <c r="D50" s="62"/>
      <c r="E50" s="12">
        <v>0</v>
      </c>
      <c r="F50" s="12">
        <v>0</v>
      </c>
      <c r="G50" s="89"/>
      <c r="H50" s="65"/>
      <c r="I50" s="112"/>
      <c r="J50" s="65"/>
      <c r="K50" s="37"/>
      <c r="L50" s="37"/>
      <c r="M50" s="37"/>
      <c r="N50" s="37"/>
      <c r="O50" s="37"/>
      <c r="P50" s="37"/>
      <c r="Q50" s="37"/>
      <c r="R50" s="37"/>
      <c r="S50" s="37"/>
      <c r="T50" s="37"/>
      <c r="U50" s="3"/>
      <c r="W50" s="3"/>
      <c r="X50" s="3"/>
      <c r="Y50" s="3"/>
      <c r="Z50" s="3"/>
    </row>
    <row r="51" spans="1:26" ht="15.75" hidden="1" customHeight="1" outlineLevel="1" x14ac:dyDescent="0.3">
      <c r="A51" s="3"/>
      <c r="B51" s="10" t="s">
        <v>1618</v>
      </c>
      <c r="C51" s="80"/>
      <c r="D51" s="62"/>
      <c r="E51" s="12">
        <v>0</v>
      </c>
      <c r="F51" s="12">
        <v>0</v>
      </c>
      <c r="G51" s="65"/>
      <c r="H51" s="65"/>
      <c r="I51" s="112"/>
      <c r="J51" s="65"/>
      <c r="K51" s="37"/>
      <c r="L51" s="37"/>
      <c r="M51" s="37"/>
      <c r="N51" s="37"/>
      <c r="O51" s="37"/>
      <c r="P51" s="37"/>
      <c r="Q51" s="37"/>
      <c r="R51" s="37"/>
      <c r="S51" s="37"/>
      <c r="T51" s="37"/>
      <c r="U51" s="3"/>
      <c r="W51" s="3"/>
      <c r="X51" s="3"/>
      <c r="Y51" s="3"/>
      <c r="Z51" s="3"/>
    </row>
    <row r="52" spans="1:26" ht="15.75" hidden="1" customHeight="1" outlineLevel="1" x14ac:dyDescent="0.3">
      <c r="A52" s="3"/>
      <c r="B52" s="10" t="s">
        <v>50</v>
      </c>
      <c r="C52" s="80"/>
      <c r="D52" s="62"/>
      <c r="E52" s="12">
        <v>0</v>
      </c>
      <c r="F52" s="12">
        <v>0</v>
      </c>
      <c r="G52" s="65"/>
      <c r="H52" s="65"/>
      <c r="I52" s="128"/>
      <c r="J52" s="65"/>
      <c r="K52" s="37"/>
      <c r="L52" s="37"/>
      <c r="M52" s="37"/>
      <c r="N52" s="37"/>
      <c r="O52" s="37"/>
      <c r="P52" s="37"/>
      <c r="Q52" s="37"/>
      <c r="R52" s="37"/>
      <c r="S52" s="37"/>
      <c r="T52" s="37"/>
      <c r="U52" s="3"/>
      <c r="W52" s="3"/>
      <c r="X52" s="3"/>
      <c r="Y52" s="3"/>
      <c r="Z52" s="3"/>
    </row>
    <row r="53" spans="1:26" ht="15.75" hidden="1" customHeight="1" outlineLevel="1" x14ac:dyDescent="0.3">
      <c r="A53" s="3"/>
      <c r="B53" s="10" t="s">
        <v>50</v>
      </c>
      <c r="C53" s="62"/>
      <c r="D53" s="62"/>
      <c r="E53" s="12">
        <v>0</v>
      </c>
      <c r="F53" s="12">
        <v>0</v>
      </c>
      <c r="G53" s="65"/>
      <c r="H53" s="65"/>
      <c r="I53" s="128"/>
      <c r="J53" s="65"/>
      <c r="K53" s="37"/>
      <c r="L53" s="37"/>
      <c r="M53" s="37"/>
      <c r="N53" s="37"/>
      <c r="O53" s="37"/>
      <c r="P53" s="37"/>
      <c r="Q53" s="37"/>
      <c r="R53" s="37"/>
      <c r="S53" s="37"/>
      <c r="T53" s="37"/>
      <c r="U53" s="3"/>
      <c r="W53" s="3"/>
      <c r="X53" s="3"/>
      <c r="Y53" s="3"/>
      <c r="Z53" s="3"/>
    </row>
    <row r="54" spans="1:26" ht="15.75" hidden="1" customHeight="1" outlineLevel="1" x14ac:dyDescent="0.3">
      <c r="A54" s="3"/>
      <c r="B54" s="10" t="s">
        <v>50</v>
      </c>
      <c r="C54" s="62"/>
      <c r="D54" s="62"/>
      <c r="E54" s="12">
        <v>0</v>
      </c>
      <c r="F54" s="12">
        <v>0</v>
      </c>
      <c r="G54" s="65"/>
      <c r="H54" s="65"/>
      <c r="I54" s="157"/>
      <c r="J54" s="65"/>
      <c r="K54" s="37"/>
      <c r="L54" s="37"/>
      <c r="M54" s="37"/>
      <c r="N54" s="37"/>
      <c r="O54" s="37"/>
      <c r="P54" s="37"/>
      <c r="Q54" s="37"/>
      <c r="R54" s="37"/>
      <c r="S54" s="37"/>
      <c r="T54" s="37"/>
      <c r="U54" s="3"/>
      <c r="W54" s="3"/>
      <c r="X54" s="3"/>
      <c r="Y54" s="3"/>
      <c r="Z54" s="3"/>
    </row>
    <row r="55" spans="1:26" ht="15.75" hidden="1" customHeight="1" outlineLevel="1" x14ac:dyDescent="0.3">
      <c r="A55" s="3"/>
      <c r="B55" s="10" t="s">
        <v>50</v>
      </c>
      <c r="C55" s="62"/>
      <c r="D55" s="62"/>
      <c r="E55" s="12">
        <v>0</v>
      </c>
      <c r="F55" s="12">
        <v>0</v>
      </c>
      <c r="G55" s="89"/>
      <c r="H55" s="65"/>
      <c r="I55" s="157"/>
      <c r="J55" s="65"/>
      <c r="K55" s="37"/>
      <c r="L55" s="37"/>
      <c r="M55" s="37"/>
      <c r="N55" s="37"/>
      <c r="O55" s="37"/>
      <c r="P55" s="37"/>
      <c r="Q55" s="37"/>
      <c r="R55" s="37"/>
      <c r="S55" s="37"/>
      <c r="T55" s="37"/>
      <c r="U55" s="3"/>
      <c r="W55" s="3"/>
      <c r="X55" s="3"/>
      <c r="Y55" s="3"/>
      <c r="Z55" s="3"/>
    </row>
    <row r="56" spans="1:26" ht="15.75" hidden="1" customHeight="1" outlineLevel="1" x14ac:dyDescent="0.3">
      <c r="A56" s="3"/>
      <c r="B56" s="10" t="s">
        <v>50</v>
      </c>
      <c r="C56" s="62"/>
      <c r="D56" s="62"/>
      <c r="E56" s="12">
        <v>0</v>
      </c>
      <c r="F56" s="12">
        <v>0</v>
      </c>
      <c r="G56" s="89"/>
      <c r="H56" s="65"/>
      <c r="I56" s="157"/>
      <c r="J56" s="65"/>
      <c r="K56" s="37"/>
      <c r="L56" s="37"/>
      <c r="M56" s="37"/>
      <c r="N56" s="37"/>
      <c r="O56" s="37"/>
      <c r="P56" s="37"/>
      <c r="Q56" s="37"/>
      <c r="R56" s="37"/>
      <c r="S56" s="37"/>
      <c r="T56" s="37"/>
      <c r="U56" s="3"/>
      <c r="W56" s="3"/>
      <c r="X56" s="3"/>
      <c r="Y56" s="3"/>
      <c r="Z56" s="3"/>
    </row>
    <row r="57" spans="1:26" ht="15.75" hidden="1" customHeight="1" outlineLevel="1" x14ac:dyDescent="0.3">
      <c r="A57" s="3"/>
      <c r="B57" s="10" t="s">
        <v>50</v>
      </c>
      <c r="C57" s="62"/>
      <c r="D57" s="62"/>
      <c r="E57" s="12">
        <v>0</v>
      </c>
      <c r="F57" s="12">
        <v>0</v>
      </c>
      <c r="G57" s="89"/>
      <c r="H57" s="65"/>
      <c r="I57" s="157"/>
      <c r="J57" s="65"/>
      <c r="K57" s="37"/>
      <c r="L57" s="37"/>
      <c r="M57" s="37"/>
      <c r="N57" s="37"/>
      <c r="O57" s="37"/>
      <c r="P57" s="37"/>
      <c r="Q57" s="37"/>
      <c r="R57" s="37"/>
      <c r="S57" s="37"/>
      <c r="T57" s="37"/>
      <c r="U57" s="3"/>
      <c r="W57" s="3"/>
      <c r="X57" s="3"/>
      <c r="Y57" s="3"/>
      <c r="Z57" s="3"/>
    </row>
    <row r="58" spans="1:26" ht="15.75" hidden="1" customHeight="1" outlineLevel="1" x14ac:dyDescent="0.3">
      <c r="A58" s="3"/>
      <c r="B58" s="10" t="s">
        <v>50</v>
      </c>
      <c r="C58" s="62"/>
      <c r="D58" s="62"/>
      <c r="E58" s="12">
        <v>0</v>
      </c>
      <c r="F58" s="12">
        <v>0</v>
      </c>
      <c r="G58" s="89"/>
      <c r="H58" s="65"/>
      <c r="I58" s="157"/>
      <c r="J58" s="65"/>
      <c r="K58" s="37"/>
      <c r="L58" s="37"/>
      <c r="M58" s="37"/>
      <c r="N58" s="37"/>
      <c r="O58" s="37"/>
      <c r="P58" s="37"/>
      <c r="Q58" s="37"/>
      <c r="R58" s="37"/>
      <c r="S58" s="37"/>
      <c r="T58" s="37"/>
      <c r="U58" s="3"/>
      <c r="W58" s="3"/>
      <c r="X58" s="3"/>
      <c r="Y58" s="3"/>
      <c r="Z58" s="3"/>
    </row>
    <row r="59" spans="1:26" ht="15.75" hidden="1" customHeight="1" outlineLevel="1" x14ac:dyDescent="0.3">
      <c r="A59" s="3"/>
      <c r="B59" s="10" t="s">
        <v>50</v>
      </c>
      <c r="C59" s="62"/>
      <c r="D59" s="62"/>
      <c r="E59" s="12">
        <v>0</v>
      </c>
      <c r="F59" s="12">
        <v>0</v>
      </c>
      <c r="G59" s="89"/>
      <c r="H59" s="65"/>
      <c r="I59" s="157"/>
      <c r="J59" s="65"/>
      <c r="K59" s="37"/>
      <c r="L59" s="37"/>
      <c r="M59" s="37"/>
      <c r="N59" s="37"/>
      <c r="O59" s="37"/>
      <c r="P59" s="37"/>
      <c r="Q59" s="37"/>
      <c r="R59" s="37"/>
      <c r="S59" s="37"/>
      <c r="T59" s="37"/>
      <c r="U59" s="3"/>
      <c r="W59" s="3"/>
      <c r="X59" s="3"/>
      <c r="Y59" s="3"/>
      <c r="Z59" s="3"/>
    </row>
    <row r="60" spans="1:26" ht="15.75" hidden="1" customHeight="1" outlineLevel="1" x14ac:dyDescent="0.3">
      <c r="A60" s="3"/>
      <c r="B60" s="10" t="s">
        <v>50</v>
      </c>
      <c r="C60" s="62"/>
      <c r="D60" s="62"/>
      <c r="E60" s="12">
        <v>0</v>
      </c>
      <c r="F60" s="12">
        <v>0</v>
      </c>
      <c r="G60" s="89"/>
      <c r="H60" s="65"/>
      <c r="I60" s="157"/>
      <c r="J60" s="65"/>
      <c r="K60" s="37"/>
      <c r="L60" s="37"/>
      <c r="M60" s="37"/>
      <c r="N60" s="37"/>
      <c r="O60" s="37"/>
      <c r="P60" s="37"/>
      <c r="Q60" s="37"/>
      <c r="R60" s="37"/>
      <c r="S60" s="37"/>
      <c r="T60" s="37"/>
      <c r="U60" s="3"/>
      <c r="W60" s="3"/>
      <c r="X60" s="3"/>
      <c r="Y60" s="3"/>
      <c r="Z60" s="3"/>
    </row>
    <row r="61" spans="1:26" ht="15.75" hidden="1" customHeight="1" outlineLevel="1" x14ac:dyDescent="0.3">
      <c r="A61" s="3"/>
      <c r="B61" s="10" t="s">
        <v>50</v>
      </c>
      <c r="C61" s="62"/>
      <c r="D61" s="62"/>
      <c r="E61" s="12">
        <v>0</v>
      </c>
      <c r="F61" s="12">
        <v>0</v>
      </c>
      <c r="G61" s="89"/>
      <c r="H61" s="65"/>
      <c r="I61" s="157"/>
      <c r="J61" s="65"/>
      <c r="K61" s="37"/>
      <c r="L61" s="37"/>
      <c r="M61" s="37"/>
      <c r="N61" s="37"/>
      <c r="O61" s="37"/>
      <c r="P61" s="37"/>
      <c r="Q61" s="37"/>
      <c r="R61" s="37"/>
      <c r="S61" s="37"/>
      <c r="T61" s="37"/>
      <c r="U61" s="3"/>
      <c r="W61" s="3"/>
      <c r="X61" s="3"/>
      <c r="Y61" s="3"/>
      <c r="Z61" s="3"/>
    </row>
    <row r="62" spans="1:26" ht="15.75" hidden="1" customHeight="1" outlineLevel="1" x14ac:dyDescent="0.3">
      <c r="A62" s="3"/>
      <c r="B62" s="10" t="s">
        <v>50</v>
      </c>
      <c r="C62" s="62"/>
      <c r="D62" s="62"/>
      <c r="E62" s="12">
        <v>0</v>
      </c>
      <c r="F62" s="12">
        <v>0</v>
      </c>
      <c r="G62" s="65"/>
      <c r="H62" s="65"/>
      <c r="I62" s="157"/>
      <c r="J62" s="65"/>
      <c r="K62" s="37"/>
      <c r="L62" s="37"/>
      <c r="M62" s="37"/>
      <c r="N62" s="37"/>
      <c r="O62" s="37"/>
      <c r="P62" s="37"/>
      <c r="Q62" s="37"/>
      <c r="R62" s="37"/>
      <c r="S62" s="37"/>
      <c r="T62" s="37"/>
      <c r="U62" s="3"/>
      <c r="W62" s="3"/>
      <c r="X62" s="3"/>
      <c r="Y62" s="3"/>
      <c r="Z62" s="3"/>
    </row>
    <row r="63" spans="1:26" ht="15.75" customHeight="1" collapsed="1" x14ac:dyDescent="0.3">
      <c r="A63" s="3"/>
      <c r="B63" s="84" t="s">
        <v>329</v>
      </c>
      <c r="C63" s="85" t="s">
        <v>43</v>
      </c>
      <c r="D63" s="85" t="s">
        <v>43</v>
      </c>
      <c r="E63" s="86">
        <f>SUM(E64:E89)</f>
        <v>0</v>
      </c>
      <c r="F63" s="86">
        <f>SUMIF(D64:D89,"OK",F64:F89)</f>
        <v>0</v>
      </c>
      <c r="G63" s="87"/>
      <c r="H63" s="87"/>
      <c r="I63" s="88"/>
      <c r="J63" s="87"/>
      <c r="K63" s="37"/>
      <c r="L63" s="37"/>
      <c r="M63" s="37"/>
      <c r="N63" s="37"/>
      <c r="O63" s="37"/>
      <c r="P63" s="37"/>
      <c r="Q63" s="37"/>
      <c r="R63" s="37"/>
      <c r="S63" s="37"/>
      <c r="T63" s="37"/>
      <c r="U63" s="3"/>
    </row>
    <row r="64" spans="1:26" ht="15.75" hidden="1" customHeight="1" outlineLevel="1" x14ac:dyDescent="0.3">
      <c r="A64" s="3"/>
      <c r="B64" s="10" t="s">
        <v>1199</v>
      </c>
      <c r="C64" s="80"/>
      <c r="D64" s="62"/>
      <c r="E64" s="12">
        <v>0</v>
      </c>
      <c r="F64" s="12">
        <v>0</v>
      </c>
      <c r="G64" s="65"/>
      <c r="H64" s="65"/>
      <c r="I64" s="112"/>
      <c r="J64" s="89"/>
      <c r="K64" s="37"/>
      <c r="L64" s="37"/>
      <c r="M64" s="37"/>
      <c r="N64" s="37"/>
      <c r="O64" s="37"/>
      <c r="P64" s="37"/>
      <c r="Q64" s="37"/>
      <c r="R64" s="37"/>
      <c r="S64" s="37"/>
      <c r="T64" s="37"/>
      <c r="U64" s="3"/>
      <c r="V64" s="18"/>
    </row>
    <row r="65" spans="1:22" ht="15.75" hidden="1" customHeight="1" outlineLevel="1" x14ac:dyDescent="0.3">
      <c r="A65" s="3"/>
      <c r="B65" s="10" t="s">
        <v>1199</v>
      </c>
      <c r="C65" s="80"/>
      <c r="D65" s="62"/>
      <c r="E65" s="12">
        <v>0</v>
      </c>
      <c r="F65" s="12">
        <v>0</v>
      </c>
      <c r="G65" s="65"/>
      <c r="H65" s="65"/>
      <c r="I65" s="156"/>
      <c r="J65" s="89"/>
      <c r="K65" s="37"/>
      <c r="L65" s="37"/>
      <c r="M65" s="37"/>
      <c r="N65" s="37"/>
      <c r="O65" s="37"/>
      <c r="P65" s="37"/>
      <c r="Q65" s="37"/>
      <c r="R65" s="37"/>
      <c r="S65" s="37"/>
      <c r="T65" s="37"/>
      <c r="U65" s="3"/>
      <c r="V65" s="18"/>
    </row>
    <row r="66" spans="1:22" ht="15.75" hidden="1" customHeight="1" outlineLevel="1" x14ac:dyDescent="0.3">
      <c r="A66" s="3"/>
      <c r="B66" s="10" t="s">
        <v>1199</v>
      </c>
      <c r="C66" s="80"/>
      <c r="D66" s="62"/>
      <c r="E66" s="12">
        <v>0</v>
      </c>
      <c r="F66" s="12">
        <v>0</v>
      </c>
      <c r="G66" s="65"/>
      <c r="H66" s="65"/>
      <c r="I66" s="112"/>
      <c r="J66" s="89"/>
      <c r="K66" s="37"/>
      <c r="L66" s="37"/>
      <c r="M66" s="37"/>
      <c r="N66" s="37"/>
      <c r="O66" s="37"/>
      <c r="P66" s="37"/>
      <c r="Q66" s="37"/>
      <c r="R66" s="37"/>
      <c r="S66" s="37"/>
      <c r="T66" s="37"/>
      <c r="U66" s="3"/>
      <c r="V66" s="18"/>
    </row>
    <row r="67" spans="1:22" ht="15.75" hidden="1" customHeight="1" outlineLevel="1" x14ac:dyDescent="0.3">
      <c r="A67" s="3"/>
      <c r="B67" s="10" t="s">
        <v>1199</v>
      </c>
      <c r="C67" s="80"/>
      <c r="D67" s="62"/>
      <c r="E67" s="12">
        <v>0</v>
      </c>
      <c r="F67" s="12">
        <v>0</v>
      </c>
      <c r="G67" s="65"/>
      <c r="H67" s="65"/>
      <c r="I67" s="112"/>
      <c r="J67" s="89"/>
      <c r="K67" s="37"/>
      <c r="L67" s="37"/>
      <c r="M67" s="37"/>
      <c r="N67" s="37"/>
      <c r="O67" s="37"/>
      <c r="P67" s="37"/>
      <c r="Q67" s="37"/>
      <c r="R67" s="37"/>
      <c r="S67" s="37"/>
      <c r="T67" s="37"/>
      <c r="U67" s="3"/>
      <c r="V67" s="18"/>
    </row>
    <row r="68" spans="1:22" ht="15.75" hidden="1" customHeight="1" outlineLevel="1" x14ac:dyDescent="0.3">
      <c r="A68" s="3"/>
      <c r="B68" s="10" t="s">
        <v>1199</v>
      </c>
      <c r="C68" s="80"/>
      <c r="D68" s="62"/>
      <c r="E68" s="12">
        <v>0</v>
      </c>
      <c r="F68" s="12">
        <v>0</v>
      </c>
      <c r="G68" s="65"/>
      <c r="H68" s="65"/>
      <c r="I68" s="156"/>
      <c r="J68" s="89"/>
      <c r="K68" s="37"/>
      <c r="L68" s="37"/>
      <c r="M68" s="37"/>
      <c r="N68" s="37"/>
      <c r="O68" s="37"/>
      <c r="P68" s="37"/>
      <c r="Q68" s="37"/>
      <c r="R68" s="37"/>
      <c r="S68" s="37"/>
      <c r="T68" s="37"/>
      <c r="U68" s="3"/>
      <c r="V68" s="18"/>
    </row>
    <row r="69" spans="1:22" ht="15.75" hidden="1" customHeight="1" outlineLevel="1" x14ac:dyDescent="0.3">
      <c r="A69" s="3"/>
      <c r="B69" s="10" t="s">
        <v>1581</v>
      </c>
      <c r="C69" s="80"/>
      <c r="D69" s="62"/>
      <c r="E69" s="12">
        <v>0</v>
      </c>
      <c r="F69" s="12">
        <v>0</v>
      </c>
      <c r="G69" s="65"/>
      <c r="H69" s="65"/>
      <c r="I69" s="112"/>
      <c r="J69" s="89"/>
      <c r="K69" s="37"/>
      <c r="L69" s="37"/>
      <c r="M69" s="37"/>
      <c r="N69" s="37"/>
      <c r="O69" s="37"/>
      <c r="P69" s="37"/>
      <c r="Q69" s="37"/>
      <c r="R69" s="37"/>
      <c r="S69" s="37"/>
      <c r="T69" s="37"/>
      <c r="U69" s="3"/>
      <c r="V69" s="18"/>
    </row>
    <row r="70" spans="1:22" ht="15.75" hidden="1" customHeight="1" outlineLevel="1" x14ac:dyDescent="0.3">
      <c r="A70" s="3"/>
      <c r="B70" s="10" t="s">
        <v>1581</v>
      </c>
      <c r="C70" s="80"/>
      <c r="D70" s="62"/>
      <c r="E70" s="12">
        <v>0</v>
      </c>
      <c r="F70" s="12">
        <v>0</v>
      </c>
      <c r="G70" s="65"/>
      <c r="H70" s="65"/>
      <c r="I70" s="112"/>
      <c r="J70" s="89"/>
      <c r="K70" s="37"/>
      <c r="L70" s="37"/>
      <c r="M70" s="37"/>
      <c r="N70" s="37"/>
      <c r="O70" s="37"/>
      <c r="P70" s="37"/>
      <c r="Q70" s="37"/>
      <c r="R70" s="37"/>
      <c r="S70" s="37"/>
      <c r="T70" s="37"/>
      <c r="U70" s="3"/>
      <c r="V70" s="18"/>
    </row>
    <row r="71" spans="1:22" ht="15.75" hidden="1" customHeight="1" outlineLevel="1" x14ac:dyDescent="0.3">
      <c r="A71" s="3"/>
      <c r="B71" s="10" t="s">
        <v>1202</v>
      </c>
      <c r="C71" s="80"/>
      <c r="D71" s="62"/>
      <c r="E71" s="12">
        <v>0</v>
      </c>
      <c r="F71" s="12">
        <v>0</v>
      </c>
      <c r="G71" s="65"/>
      <c r="H71" s="65"/>
      <c r="I71" s="112"/>
      <c r="J71" s="89"/>
      <c r="K71" s="37"/>
      <c r="L71" s="37"/>
      <c r="M71" s="37"/>
      <c r="N71" s="37"/>
      <c r="O71" s="37"/>
      <c r="P71" s="37"/>
      <c r="Q71" s="37"/>
      <c r="R71" s="37"/>
      <c r="S71" s="37"/>
      <c r="T71" s="37"/>
      <c r="U71" s="3"/>
      <c r="V71" s="18"/>
    </row>
    <row r="72" spans="1:22" ht="15.75" hidden="1" customHeight="1" outlineLevel="1" x14ac:dyDescent="0.3">
      <c r="A72" s="3"/>
      <c r="B72" s="10" t="s">
        <v>1202</v>
      </c>
      <c r="C72" s="80"/>
      <c r="D72" s="62"/>
      <c r="E72" s="12">
        <v>0</v>
      </c>
      <c r="F72" s="12">
        <v>0</v>
      </c>
      <c r="G72" s="65"/>
      <c r="H72" s="65"/>
      <c r="I72" s="112"/>
      <c r="J72" s="89"/>
      <c r="K72" s="37"/>
      <c r="L72" s="37"/>
      <c r="M72" s="37"/>
      <c r="N72" s="37"/>
      <c r="O72" s="37"/>
      <c r="P72" s="37"/>
      <c r="Q72" s="37"/>
      <c r="R72" s="37"/>
      <c r="S72" s="37"/>
      <c r="T72" s="37"/>
      <c r="U72" s="3"/>
      <c r="V72" s="18"/>
    </row>
    <row r="73" spans="1:22" ht="15.75" hidden="1" customHeight="1" outlineLevel="1" x14ac:dyDescent="0.3">
      <c r="A73" s="3"/>
      <c r="B73" s="10" t="s">
        <v>1202</v>
      </c>
      <c r="C73" s="80"/>
      <c r="D73" s="62"/>
      <c r="E73" s="12">
        <v>0</v>
      </c>
      <c r="F73" s="12">
        <v>0</v>
      </c>
      <c r="G73" s="65"/>
      <c r="H73" s="65"/>
      <c r="I73" s="112"/>
      <c r="J73" s="89"/>
      <c r="K73" s="37"/>
      <c r="L73" s="37"/>
      <c r="M73" s="37"/>
      <c r="N73" s="37"/>
      <c r="O73" s="37"/>
      <c r="P73" s="37"/>
      <c r="Q73" s="37"/>
      <c r="R73" s="37"/>
      <c r="S73" s="37"/>
      <c r="T73" s="37"/>
      <c r="U73" s="3"/>
      <c r="V73" s="18"/>
    </row>
    <row r="74" spans="1:22" ht="15.75" hidden="1" customHeight="1" outlineLevel="1" x14ac:dyDescent="0.3">
      <c r="A74" s="3"/>
      <c r="B74" s="10" t="s">
        <v>1202</v>
      </c>
      <c r="C74" s="80"/>
      <c r="D74" s="62"/>
      <c r="E74" s="12">
        <v>0</v>
      </c>
      <c r="F74" s="12">
        <v>0</v>
      </c>
      <c r="G74" s="65"/>
      <c r="H74" s="65"/>
      <c r="I74" s="112"/>
      <c r="J74" s="89"/>
      <c r="K74" s="37"/>
      <c r="L74" s="37"/>
      <c r="M74" s="37"/>
      <c r="N74" s="37"/>
      <c r="O74" s="37"/>
      <c r="P74" s="37"/>
      <c r="Q74" s="37"/>
      <c r="R74" s="37"/>
      <c r="S74" s="37"/>
      <c r="T74" s="37"/>
      <c r="U74" s="3"/>
      <c r="V74" s="18"/>
    </row>
    <row r="75" spans="1:22" ht="15.75" hidden="1" customHeight="1" outlineLevel="1" x14ac:dyDescent="0.3">
      <c r="A75" s="3"/>
      <c r="B75" s="10" t="s">
        <v>1202</v>
      </c>
      <c r="C75" s="80"/>
      <c r="D75" s="62"/>
      <c r="E75" s="12">
        <v>0</v>
      </c>
      <c r="F75" s="12">
        <v>0</v>
      </c>
      <c r="G75" s="65"/>
      <c r="H75" s="65"/>
      <c r="I75" s="112"/>
      <c r="J75" s="89"/>
      <c r="K75" s="37"/>
      <c r="L75" s="37"/>
      <c r="M75" s="37"/>
      <c r="N75" s="37"/>
      <c r="O75" s="37"/>
      <c r="P75" s="37"/>
      <c r="Q75" s="37"/>
      <c r="R75" s="37"/>
      <c r="S75" s="37"/>
      <c r="T75" s="37"/>
      <c r="U75" s="3"/>
      <c r="V75" s="18"/>
    </row>
    <row r="76" spans="1:22" ht="15.75" hidden="1" customHeight="1" outlineLevel="1" x14ac:dyDescent="0.3">
      <c r="A76" s="3"/>
      <c r="B76" s="10" t="s">
        <v>1202</v>
      </c>
      <c r="C76" s="80"/>
      <c r="D76" s="62"/>
      <c r="E76" s="12">
        <v>0</v>
      </c>
      <c r="F76" s="12">
        <v>0</v>
      </c>
      <c r="G76" s="65"/>
      <c r="H76" s="65"/>
      <c r="I76" s="112"/>
      <c r="J76" s="89"/>
      <c r="K76" s="37"/>
      <c r="L76" s="37"/>
      <c r="M76" s="37"/>
      <c r="N76" s="37"/>
      <c r="O76" s="37"/>
      <c r="P76" s="37"/>
      <c r="Q76" s="37"/>
      <c r="R76" s="37"/>
      <c r="S76" s="37"/>
      <c r="T76" s="37"/>
      <c r="U76" s="3"/>
      <c r="V76" s="18"/>
    </row>
    <row r="77" spans="1:22" ht="15.75" hidden="1" customHeight="1" outlineLevel="1" x14ac:dyDescent="0.3">
      <c r="A77" s="3"/>
      <c r="B77" s="10" t="s">
        <v>330</v>
      </c>
      <c r="C77" s="80"/>
      <c r="D77" s="62"/>
      <c r="E77" s="12">
        <v>0</v>
      </c>
      <c r="F77" s="12">
        <v>0</v>
      </c>
      <c r="G77" s="65"/>
      <c r="H77" s="65"/>
      <c r="I77" s="112"/>
      <c r="J77" s="89"/>
      <c r="K77" s="37"/>
      <c r="L77" s="37"/>
      <c r="M77" s="37"/>
      <c r="N77" s="37"/>
      <c r="O77" s="37"/>
      <c r="P77" s="37"/>
      <c r="Q77" s="37"/>
      <c r="R77" s="37"/>
      <c r="S77" s="37"/>
      <c r="T77" s="37"/>
      <c r="U77" s="3"/>
      <c r="V77" s="18"/>
    </row>
    <row r="78" spans="1:22" ht="15.75" hidden="1" customHeight="1" outlineLevel="1" x14ac:dyDescent="0.3">
      <c r="A78" s="3"/>
      <c r="B78" s="10" t="s">
        <v>330</v>
      </c>
      <c r="C78" s="80"/>
      <c r="D78" s="62"/>
      <c r="E78" s="12">
        <v>0</v>
      </c>
      <c r="F78" s="12">
        <v>0</v>
      </c>
      <c r="G78" s="65"/>
      <c r="H78" s="65"/>
      <c r="I78" s="112"/>
      <c r="J78" s="89"/>
      <c r="K78" s="37"/>
      <c r="L78" s="37"/>
      <c r="M78" s="37"/>
      <c r="N78" s="37"/>
      <c r="O78" s="37"/>
      <c r="P78" s="37"/>
      <c r="Q78" s="37"/>
      <c r="R78" s="37"/>
      <c r="S78" s="37"/>
      <c r="T78" s="37"/>
      <c r="U78" s="3"/>
      <c r="V78" s="18"/>
    </row>
    <row r="79" spans="1:22" ht="15.75" hidden="1" customHeight="1" outlineLevel="1" x14ac:dyDescent="0.3">
      <c r="A79" s="3"/>
      <c r="B79" s="10" t="s">
        <v>330</v>
      </c>
      <c r="C79" s="80"/>
      <c r="D79" s="62"/>
      <c r="E79" s="12">
        <v>0</v>
      </c>
      <c r="F79" s="12">
        <v>0</v>
      </c>
      <c r="G79" s="65"/>
      <c r="H79" s="65"/>
      <c r="I79" s="112"/>
      <c r="J79" s="89"/>
      <c r="K79" s="37"/>
      <c r="L79" s="37"/>
      <c r="M79" s="37"/>
      <c r="N79" s="37"/>
      <c r="O79" s="37"/>
      <c r="P79" s="37"/>
      <c r="Q79" s="37"/>
      <c r="R79" s="37"/>
      <c r="S79" s="37"/>
      <c r="T79" s="37"/>
      <c r="U79" s="3"/>
      <c r="V79" s="18"/>
    </row>
    <row r="80" spans="1:22" ht="15.75" hidden="1" customHeight="1" outlineLevel="1" x14ac:dyDescent="0.3">
      <c r="A80" s="3"/>
      <c r="B80" s="10" t="s">
        <v>334</v>
      </c>
      <c r="C80" s="62"/>
      <c r="D80" s="62"/>
      <c r="E80" s="12">
        <v>0</v>
      </c>
      <c r="F80" s="12">
        <v>0</v>
      </c>
      <c r="G80" s="89"/>
      <c r="H80" s="65"/>
      <c r="I80" s="112"/>
      <c r="J80" s="65"/>
      <c r="K80" s="37"/>
      <c r="L80" s="37"/>
      <c r="M80" s="37"/>
      <c r="N80" s="37"/>
      <c r="O80" s="37"/>
      <c r="P80" s="37"/>
      <c r="Q80" s="37"/>
      <c r="R80" s="37"/>
      <c r="S80" s="37"/>
      <c r="T80" s="37"/>
      <c r="U80" s="3"/>
    </row>
    <row r="81" spans="1:26" ht="15.75" hidden="1" customHeight="1" outlineLevel="1" x14ac:dyDescent="0.3">
      <c r="A81" s="3"/>
      <c r="B81" s="10" t="s">
        <v>334</v>
      </c>
      <c r="C81" s="62"/>
      <c r="D81" s="62"/>
      <c r="E81" s="12">
        <v>0</v>
      </c>
      <c r="F81" s="12">
        <v>0</v>
      </c>
      <c r="G81" s="65"/>
      <c r="H81" s="65"/>
      <c r="I81" s="112"/>
      <c r="J81" s="65"/>
      <c r="K81" s="37"/>
      <c r="L81" s="37"/>
      <c r="M81" s="37"/>
      <c r="N81" s="37"/>
      <c r="O81" s="37"/>
      <c r="P81" s="37"/>
      <c r="Q81" s="37"/>
      <c r="R81" s="37"/>
      <c r="S81" s="37"/>
      <c r="T81" s="37"/>
      <c r="U81" s="3"/>
    </row>
    <row r="82" spans="1:26" ht="15.75" hidden="1" customHeight="1" outlineLevel="1" x14ac:dyDescent="0.3">
      <c r="A82" s="3"/>
      <c r="B82" s="10" t="s">
        <v>627</v>
      </c>
      <c r="C82" s="80"/>
      <c r="D82" s="62"/>
      <c r="E82" s="12">
        <v>0</v>
      </c>
      <c r="F82" s="12">
        <v>0</v>
      </c>
      <c r="G82" s="65"/>
      <c r="H82" s="65"/>
      <c r="I82" s="112"/>
      <c r="J82" s="89"/>
      <c r="K82" s="37"/>
      <c r="L82" s="37"/>
      <c r="M82" s="37"/>
      <c r="N82" s="37"/>
      <c r="O82" s="37"/>
      <c r="P82" s="37"/>
      <c r="Q82" s="37"/>
      <c r="R82" s="37"/>
      <c r="S82" s="37"/>
      <c r="T82" s="37"/>
      <c r="U82" s="3"/>
    </row>
    <row r="83" spans="1:26" ht="15.75" hidden="1" customHeight="1" outlineLevel="1" x14ac:dyDescent="0.3">
      <c r="A83" s="3"/>
      <c r="B83" s="10" t="s">
        <v>627</v>
      </c>
      <c r="C83" s="80"/>
      <c r="D83" s="62"/>
      <c r="E83" s="12">
        <v>0</v>
      </c>
      <c r="F83" s="12">
        <v>0</v>
      </c>
      <c r="G83" s="65"/>
      <c r="H83" s="65"/>
      <c r="I83" s="112"/>
      <c r="J83" s="89"/>
      <c r="K83" s="37"/>
      <c r="L83" s="37"/>
      <c r="M83" s="37"/>
      <c r="N83" s="37"/>
      <c r="O83" s="37"/>
      <c r="P83" s="37"/>
      <c r="Q83" s="37"/>
      <c r="R83" s="37"/>
      <c r="S83" s="37"/>
      <c r="T83" s="37"/>
      <c r="U83" s="3"/>
    </row>
    <row r="84" spans="1:26" ht="15.75" hidden="1" customHeight="1" outlineLevel="1" x14ac:dyDescent="0.3">
      <c r="A84" s="3"/>
      <c r="B84" s="10" t="s">
        <v>629</v>
      </c>
      <c r="C84" s="80"/>
      <c r="D84" s="62"/>
      <c r="E84" s="12">
        <v>0</v>
      </c>
      <c r="F84" s="12">
        <v>0</v>
      </c>
      <c r="G84" s="65"/>
      <c r="H84" s="65"/>
      <c r="I84" s="112"/>
      <c r="J84" s="89"/>
      <c r="K84" s="37"/>
      <c r="L84" s="37"/>
      <c r="M84" s="37"/>
      <c r="N84" s="37"/>
      <c r="O84" s="37"/>
      <c r="P84" s="37"/>
      <c r="Q84" s="37"/>
      <c r="R84" s="37"/>
      <c r="S84" s="37"/>
      <c r="T84" s="37"/>
      <c r="U84" s="3"/>
    </row>
    <row r="85" spans="1:26" ht="15.75" hidden="1" customHeight="1" outlineLevel="1" x14ac:dyDescent="0.3">
      <c r="A85" s="3"/>
      <c r="B85" s="10" t="s">
        <v>629</v>
      </c>
      <c r="C85" s="80"/>
      <c r="D85" s="62"/>
      <c r="E85" s="12">
        <v>0</v>
      </c>
      <c r="F85" s="12">
        <v>0</v>
      </c>
      <c r="G85" s="65"/>
      <c r="H85" s="65"/>
      <c r="I85" s="112"/>
      <c r="J85" s="89"/>
      <c r="K85" s="37"/>
      <c r="L85" s="37"/>
      <c r="M85" s="37"/>
      <c r="N85" s="37"/>
      <c r="O85" s="37"/>
      <c r="P85" s="37"/>
      <c r="Q85" s="37"/>
      <c r="R85" s="37"/>
      <c r="S85" s="37"/>
      <c r="T85" s="37"/>
      <c r="U85" s="3"/>
    </row>
    <row r="86" spans="1:26" ht="15.75" hidden="1" customHeight="1" outlineLevel="1" x14ac:dyDescent="0.3">
      <c r="A86" s="3"/>
      <c r="B86" s="10" t="s">
        <v>629</v>
      </c>
      <c r="C86" s="80"/>
      <c r="D86" s="62"/>
      <c r="E86" s="12">
        <v>0</v>
      </c>
      <c r="F86" s="12">
        <v>0</v>
      </c>
      <c r="G86" s="65"/>
      <c r="H86" s="65"/>
      <c r="I86" s="112"/>
      <c r="J86" s="89"/>
      <c r="K86" s="37"/>
      <c r="L86" s="37"/>
      <c r="M86" s="37"/>
      <c r="N86" s="37"/>
      <c r="O86" s="37"/>
      <c r="P86" s="37"/>
      <c r="Q86" s="37"/>
      <c r="R86" s="37"/>
      <c r="S86" s="37"/>
      <c r="T86" s="37"/>
      <c r="U86" s="3"/>
    </row>
    <row r="87" spans="1:26" ht="15.75" hidden="1" customHeight="1" outlineLevel="1" x14ac:dyDescent="0.3">
      <c r="A87" s="3"/>
      <c r="B87" s="10" t="s">
        <v>1531</v>
      </c>
      <c r="C87" s="80"/>
      <c r="D87" s="62"/>
      <c r="E87" s="12">
        <v>0</v>
      </c>
      <c r="F87" s="12">
        <v>0</v>
      </c>
      <c r="G87" s="65"/>
      <c r="H87" s="65"/>
      <c r="I87" s="157"/>
      <c r="J87" s="65"/>
      <c r="K87" s="37"/>
      <c r="L87" s="37"/>
      <c r="M87" s="37"/>
      <c r="N87" s="37"/>
      <c r="O87" s="37"/>
      <c r="P87" s="37"/>
      <c r="Q87" s="37"/>
      <c r="R87" s="37"/>
      <c r="S87" s="37"/>
      <c r="T87" s="37"/>
      <c r="U87" s="3"/>
      <c r="W87" s="3"/>
      <c r="X87" s="3"/>
      <c r="Y87" s="3"/>
      <c r="Z87" s="3"/>
    </row>
    <row r="88" spans="1:26" ht="15.75" hidden="1" customHeight="1" outlineLevel="1" x14ac:dyDescent="0.3">
      <c r="A88" s="3"/>
      <c r="B88" s="10" t="s">
        <v>330</v>
      </c>
      <c r="C88" s="62"/>
      <c r="D88" s="62"/>
      <c r="E88" s="12">
        <v>0</v>
      </c>
      <c r="F88" s="12">
        <v>0</v>
      </c>
      <c r="G88" s="65"/>
      <c r="H88" s="65"/>
      <c r="I88" s="112"/>
      <c r="J88" s="65"/>
      <c r="K88" s="37"/>
      <c r="L88" s="37"/>
      <c r="M88" s="37"/>
      <c r="N88" s="37"/>
      <c r="O88" s="37"/>
      <c r="P88" s="37"/>
      <c r="Q88" s="37"/>
      <c r="R88" s="37"/>
      <c r="S88" s="37"/>
      <c r="T88" s="37"/>
      <c r="U88" s="3"/>
      <c r="W88" s="3"/>
      <c r="X88" s="3"/>
      <c r="Y88" s="3"/>
      <c r="Z88" s="3"/>
    </row>
    <row r="89" spans="1:26" ht="15.75" hidden="1" customHeight="1" outlineLevel="1" x14ac:dyDescent="0.3">
      <c r="A89" s="3"/>
      <c r="B89" s="10" t="s">
        <v>334</v>
      </c>
      <c r="C89" s="62"/>
      <c r="D89" s="62"/>
      <c r="E89" s="12">
        <v>0</v>
      </c>
      <c r="F89" s="12">
        <v>0</v>
      </c>
      <c r="G89" s="89"/>
      <c r="H89" s="65"/>
      <c r="I89" s="112"/>
      <c r="J89" s="65"/>
      <c r="K89" s="37"/>
      <c r="L89" s="37"/>
      <c r="M89" s="37"/>
      <c r="N89" s="37"/>
      <c r="O89" s="37"/>
      <c r="P89" s="37"/>
      <c r="Q89" s="37"/>
      <c r="R89" s="37"/>
      <c r="S89" s="37"/>
      <c r="T89" s="37"/>
      <c r="U89" s="3"/>
      <c r="W89" s="3"/>
      <c r="X89" s="3"/>
      <c r="Y89" s="3"/>
      <c r="Z89" s="3"/>
    </row>
    <row r="90" spans="1:26" ht="15.75" customHeight="1" collapsed="1" x14ac:dyDescent="0.3">
      <c r="A90" s="3"/>
      <c r="B90" s="84" t="s">
        <v>348</v>
      </c>
      <c r="C90" s="85" t="s">
        <v>43</v>
      </c>
      <c r="D90" s="85" t="s">
        <v>43</v>
      </c>
      <c r="E90" s="86">
        <f t="shared" ref="E90:F90" si="0">SUM(E91,E107,E112)</f>
        <v>0</v>
      </c>
      <c r="F90" s="86">
        <f t="shared" si="0"/>
        <v>0</v>
      </c>
      <c r="G90" s="87"/>
      <c r="H90" s="87"/>
      <c r="I90" s="88"/>
      <c r="J90" s="87"/>
      <c r="K90" s="37"/>
      <c r="L90" s="37"/>
      <c r="M90" s="37"/>
      <c r="N90" s="37"/>
      <c r="O90" s="37"/>
      <c r="P90" s="37"/>
      <c r="Q90" s="37"/>
      <c r="R90" s="37"/>
      <c r="S90" s="37"/>
      <c r="T90" s="37"/>
      <c r="U90" s="3"/>
      <c r="W90" s="3"/>
      <c r="X90" s="3"/>
      <c r="Y90" s="3"/>
      <c r="Z90" s="3"/>
    </row>
    <row r="91" spans="1:26" ht="15.75" hidden="1" customHeight="1" outlineLevel="1" x14ac:dyDescent="0.3">
      <c r="A91" s="3"/>
      <c r="B91" s="91" t="s">
        <v>349</v>
      </c>
      <c r="C91" s="92"/>
      <c r="D91" s="92"/>
      <c r="E91" s="93">
        <f>SUM(E92:E106)</f>
        <v>0</v>
      </c>
      <c r="F91" s="93">
        <f>SUMIF(D92:D106,"OK",F92:F106)</f>
        <v>0</v>
      </c>
      <c r="G91" s="94"/>
      <c r="H91" s="94"/>
      <c r="I91" s="95"/>
      <c r="J91" s="94"/>
      <c r="K91" s="37"/>
      <c r="L91" s="37"/>
      <c r="M91" s="37"/>
      <c r="N91" s="37"/>
      <c r="O91" s="37"/>
      <c r="P91" s="37"/>
      <c r="Q91" s="37"/>
      <c r="R91" s="37"/>
      <c r="S91" s="37"/>
      <c r="T91" s="37"/>
      <c r="U91" s="3"/>
      <c r="W91" s="3"/>
      <c r="X91" s="3"/>
      <c r="Y91" s="3"/>
      <c r="Z91" s="3"/>
    </row>
    <row r="92" spans="1:26" ht="15.75" hidden="1" customHeight="1" outlineLevel="1" x14ac:dyDescent="0.3">
      <c r="A92" s="3"/>
      <c r="B92" s="10" t="s">
        <v>50</v>
      </c>
      <c r="C92" s="62"/>
      <c r="D92" s="62"/>
      <c r="E92" s="12">
        <v>0</v>
      </c>
      <c r="F92" s="12">
        <v>0</v>
      </c>
      <c r="G92" s="65"/>
      <c r="H92" s="65"/>
      <c r="I92" s="112"/>
      <c r="J92" s="65"/>
      <c r="K92" s="37"/>
      <c r="L92" s="37"/>
      <c r="M92" s="37"/>
      <c r="N92" s="37"/>
      <c r="O92" s="37"/>
      <c r="P92" s="37"/>
      <c r="Q92" s="37"/>
      <c r="R92" s="37"/>
      <c r="S92" s="37"/>
      <c r="T92" s="37"/>
      <c r="U92" s="3"/>
      <c r="W92" s="3"/>
      <c r="X92" s="3"/>
      <c r="Y92" s="3"/>
      <c r="Z92" s="3"/>
    </row>
    <row r="93" spans="1:26" ht="15.75" hidden="1" customHeight="1" outlineLevel="1" x14ac:dyDescent="0.3">
      <c r="A93" s="3"/>
      <c r="B93" s="10" t="s">
        <v>50</v>
      </c>
      <c r="C93" s="62"/>
      <c r="D93" s="62"/>
      <c r="E93" s="12">
        <v>0</v>
      </c>
      <c r="F93" s="12">
        <v>0</v>
      </c>
      <c r="G93" s="65"/>
      <c r="H93" s="65"/>
      <c r="I93" s="112"/>
      <c r="J93" s="65"/>
      <c r="K93" s="37"/>
      <c r="L93" s="37"/>
      <c r="M93" s="37"/>
      <c r="N93" s="37"/>
      <c r="O93" s="37"/>
      <c r="P93" s="37"/>
      <c r="Q93" s="37"/>
      <c r="R93" s="37"/>
      <c r="S93" s="37"/>
      <c r="T93" s="37"/>
      <c r="U93" s="3"/>
      <c r="W93" s="3"/>
      <c r="X93" s="3"/>
      <c r="Y93" s="3"/>
      <c r="Z93" s="3"/>
    </row>
    <row r="94" spans="1:26" ht="15.75" hidden="1" customHeight="1" outlineLevel="1" x14ac:dyDescent="0.3">
      <c r="A94" s="3"/>
      <c r="B94" s="10" t="s">
        <v>50</v>
      </c>
      <c r="C94" s="62"/>
      <c r="D94" s="62"/>
      <c r="E94" s="12">
        <v>0</v>
      </c>
      <c r="F94" s="12">
        <v>0</v>
      </c>
      <c r="G94" s="65"/>
      <c r="H94" s="65"/>
      <c r="I94" s="112"/>
      <c r="J94" s="65"/>
      <c r="K94" s="37"/>
      <c r="L94" s="37"/>
      <c r="M94" s="37"/>
      <c r="N94" s="37"/>
      <c r="O94" s="37"/>
      <c r="P94" s="37"/>
      <c r="Q94" s="37"/>
      <c r="R94" s="37"/>
      <c r="S94" s="37"/>
      <c r="T94" s="37"/>
      <c r="U94" s="3"/>
      <c r="W94" s="3"/>
      <c r="X94" s="3"/>
      <c r="Y94" s="3"/>
      <c r="Z94" s="3"/>
    </row>
    <row r="95" spans="1:26" ht="15.75" hidden="1" customHeight="1" outlineLevel="1" x14ac:dyDescent="0.3">
      <c r="A95" s="3"/>
      <c r="B95" s="10" t="s">
        <v>50</v>
      </c>
      <c r="C95" s="62"/>
      <c r="D95" s="62"/>
      <c r="E95" s="12">
        <v>0</v>
      </c>
      <c r="F95" s="12">
        <v>0</v>
      </c>
      <c r="G95" s="65"/>
      <c r="H95" s="65"/>
      <c r="I95" s="112"/>
      <c r="J95" s="65"/>
      <c r="K95" s="37"/>
      <c r="L95" s="37"/>
      <c r="M95" s="37"/>
      <c r="N95" s="37"/>
      <c r="O95" s="37"/>
      <c r="P95" s="37"/>
      <c r="Q95" s="37"/>
      <c r="R95" s="37"/>
      <c r="S95" s="37"/>
      <c r="T95" s="37"/>
      <c r="U95" s="3"/>
      <c r="W95" s="3"/>
      <c r="X95" s="3"/>
      <c r="Y95" s="3"/>
      <c r="Z95" s="3"/>
    </row>
    <row r="96" spans="1:26" ht="15.75" hidden="1" customHeight="1" outlineLevel="1" x14ac:dyDescent="0.3">
      <c r="A96" s="3"/>
      <c r="B96" s="10" t="s">
        <v>50</v>
      </c>
      <c r="C96" s="62"/>
      <c r="D96" s="62"/>
      <c r="E96" s="12">
        <v>0</v>
      </c>
      <c r="F96" s="12">
        <v>0</v>
      </c>
      <c r="G96" s="65"/>
      <c r="H96" s="65"/>
      <c r="I96" s="112"/>
      <c r="J96" s="65"/>
      <c r="K96" s="37"/>
      <c r="L96" s="37"/>
      <c r="M96" s="37"/>
      <c r="N96" s="37"/>
      <c r="O96" s="37"/>
      <c r="P96" s="37"/>
      <c r="Q96" s="37"/>
      <c r="R96" s="37"/>
      <c r="S96" s="37"/>
      <c r="T96" s="37"/>
      <c r="U96" s="3"/>
      <c r="W96" s="3"/>
      <c r="X96" s="3"/>
      <c r="Y96" s="3"/>
      <c r="Z96" s="3"/>
    </row>
    <row r="97" spans="1:26" ht="15.75" hidden="1" customHeight="1" outlineLevel="1" x14ac:dyDescent="0.3">
      <c r="A97" s="3"/>
      <c r="B97" s="10" t="s">
        <v>50</v>
      </c>
      <c r="C97" s="62"/>
      <c r="D97" s="62"/>
      <c r="E97" s="12">
        <v>0</v>
      </c>
      <c r="F97" s="12">
        <v>0</v>
      </c>
      <c r="G97" s="65"/>
      <c r="H97" s="65"/>
      <c r="I97" s="112"/>
      <c r="J97" s="65"/>
      <c r="K97" s="37"/>
      <c r="L97" s="37"/>
      <c r="M97" s="37"/>
      <c r="N97" s="37"/>
      <c r="O97" s="37"/>
      <c r="P97" s="37"/>
      <c r="Q97" s="37"/>
      <c r="R97" s="37"/>
      <c r="S97" s="37"/>
      <c r="T97" s="37"/>
      <c r="U97" s="3"/>
      <c r="W97" s="3"/>
      <c r="X97" s="3"/>
      <c r="Y97" s="3"/>
      <c r="Z97" s="3"/>
    </row>
    <row r="98" spans="1:26" ht="15.75" hidden="1" customHeight="1" outlineLevel="1" x14ac:dyDescent="0.3">
      <c r="A98" s="3"/>
      <c r="B98" s="10" t="s">
        <v>50</v>
      </c>
      <c r="C98" s="62"/>
      <c r="D98" s="62"/>
      <c r="E98" s="12">
        <v>0</v>
      </c>
      <c r="F98" s="12">
        <v>0</v>
      </c>
      <c r="G98" s="65"/>
      <c r="H98" s="65"/>
      <c r="I98" s="112"/>
      <c r="J98" s="65"/>
      <c r="K98" s="37"/>
      <c r="L98" s="37"/>
      <c r="M98" s="37"/>
      <c r="N98" s="37"/>
      <c r="O98" s="37"/>
      <c r="P98" s="37"/>
      <c r="Q98" s="37"/>
      <c r="R98" s="37"/>
      <c r="S98" s="37"/>
      <c r="T98" s="37"/>
      <c r="U98" s="3"/>
      <c r="W98" s="3"/>
      <c r="X98" s="3"/>
      <c r="Y98" s="3"/>
      <c r="Z98" s="3"/>
    </row>
    <row r="99" spans="1:26" ht="15.75" hidden="1" customHeight="1" outlineLevel="1" x14ac:dyDescent="0.3">
      <c r="A99" s="3"/>
      <c r="B99" s="10" t="s">
        <v>50</v>
      </c>
      <c r="C99" s="62"/>
      <c r="D99" s="62"/>
      <c r="E99" s="12">
        <v>0</v>
      </c>
      <c r="F99" s="12">
        <v>0</v>
      </c>
      <c r="G99" s="65"/>
      <c r="H99" s="65"/>
      <c r="I99" s="112"/>
      <c r="J99" s="65"/>
      <c r="K99" s="37"/>
      <c r="L99" s="37"/>
      <c r="M99" s="37"/>
      <c r="N99" s="37"/>
      <c r="O99" s="37"/>
      <c r="P99" s="37"/>
      <c r="Q99" s="37"/>
      <c r="R99" s="37"/>
      <c r="S99" s="37"/>
      <c r="T99" s="37"/>
      <c r="U99" s="3"/>
      <c r="W99" s="3"/>
      <c r="X99" s="3"/>
      <c r="Y99" s="3"/>
      <c r="Z99" s="3"/>
    </row>
    <row r="100" spans="1:26" ht="15.75" hidden="1" customHeight="1" outlineLevel="1" x14ac:dyDescent="0.3">
      <c r="A100" s="3"/>
      <c r="B100" s="10" t="s">
        <v>50</v>
      </c>
      <c r="C100" s="62"/>
      <c r="D100" s="62"/>
      <c r="E100" s="12">
        <v>0</v>
      </c>
      <c r="F100" s="12">
        <v>0</v>
      </c>
      <c r="G100" s="65"/>
      <c r="H100" s="65"/>
      <c r="I100" s="112"/>
      <c r="J100" s="65"/>
      <c r="K100" s="37"/>
      <c r="L100" s="37"/>
      <c r="M100" s="37"/>
      <c r="N100" s="37"/>
      <c r="O100" s="37"/>
      <c r="P100" s="37"/>
      <c r="Q100" s="37"/>
      <c r="R100" s="37"/>
      <c r="S100" s="37"/>
      <c r="T100" s="37"/>
      <c r="U100" s="3"/>
      <c r="W100" s="3"/>
      <c r="X100" s="3"/>
      <c r="Y100" s="3"/>
      <c r="Z100" s="3"/>
    </row>
    <row r="101" spans="1:26" ht="15.75" hidden="1" customHeight="1" outlineLevel="1" x14ac:dyDescent="0.3">
      <c r="A101" s="3"/>
      <c r="B101" s="10" t="s">
        <v>50</v>
      </c>
      <c r="C101" s="62"/>
      <c r="D101" s="62"/>
      <c r="E101" s="12">
        <v>0</v>
      </c>
      <c r="F101" s="12">
        <v>0</v>
      </c>
      <c r="G101" s="65"/>
      <c r="H101" s="65"/>
      <c r="I101" s="112"/>
      <c r="J101" s="65"/>
      <c r="K101" s="37"/>
      <c r="L101" s="37"/>
      <c r="M101" s="37"/>
      <c r="N101" s="37"/>
      <c r="O101" s="37"/>
      <c r="P101" s="37"/>
      <c r="Q101" s="37"/>
      <c r="R101" s="37"/>
      <c r="S101" s="37"/>
      <c r="T101" s="37"/>
      <c r="U101" s="3"/>
      <c r="W101" s="3"/>
      <c r="X101" s="3"/>
      <c r="Y101" s="3"/>
      <c r="Z101" s="3"/>
    </row>
    <row r="102" spans="1:26" ht="15.75" hidden="1" customHeight="1" outlineLevel="1" x14ac:dyDescent="0.3">
      <c r="A102" s="3"/>
      <c r="B102" s="10" t="s">
        <v>50</v>
      </c>
      <c r="C102" s="62"/>
      <c r="D102" s="62"/>
      <c r="E102" s="12">
        <v>0</v>
      </c>
      <c r="F102" s="12">
        <v>0</v>
      </c>
      <c r="G102" s="89"/>
      <c r="H102" s="65"/>
      <c r="I102" s="112"/>
      <c r="J102" s="65"/>
      <c r="K102" s="37"/>
      <c r="L102" s="37"/>
      <c r="M102" s="37"/>
      <c r="N102" s="37"/>
      <c r="O102" s="37"/>
      <c r="P102" s="37"/>
      <c r="Q102" s="37"/>
      <c r="R102" s="37"/>
      <c r="S102" s="37"/>
      <c r="T102" s="37"/>
      <c r="U102" s="3"/>
      <c r="W102" s="3"/>
      <c r="X102" s="3"/>
      <c r="Y102" s="3"/>
      <c r="Z102" s="3"/>
    </row>
    <row r="103" spans="1:26" ht="15.75" hidden="1" customHeight="1" outlineLevel="1" x14ac:dyDescent="0.3">
      <c r="A103" s="3"/>
      <c r="B103" s="10" t="s">
        <v>50</v>
      </c>
      <c r="C103" s="62"/>
      <c r="D103" s="62"/>
      <c r="E103" s="12">
        <v>0</v>
      </c>
      <c r="F103" s="12">
        <v>0</v>
      </c>
      <c r="G103" s="65"/>
      <c r="H103" s="65"/>
      <c r="I103" s="112"/>
      <c r="J103" s="65"/>
      <c r="K103" s="37"/>
      <c r="L103" s="37"/>
      <c r="M103" s="37"/>
      <c r="N103" s="37"/>
      <c r="O103" s="37"/>
      <c r="P103" s="37"/>
      <c r="Q103" s="37"/>
      <c r="R103" s="37"/>
      <c r="S103" s="37"/>
      <c r="T103" s="37"/>
      <c r="U103" s="3"/>
      <c r="W103" s="3"/>
      <c r="X103" s="3"/>
      <c r="Y103" s="3"/>
      <c r="Z103" s="3"/>
    </row>
    <row r="104" spans="1:26" ht="15.75" hidden="1" customHeight="1" outlineLevel="1" x14ac:dyDescent="0.3">
      <c r="A104" s="3"/>
      <c r="B104" s="10" t="s">
        <v>50</v>
      </c>
      <c r="C104" s="62"/>
      <c r="D104" s="62"/>
      <c r="E104" s="12">
        <v>0</v>
      </c>
      <c r="F104" s="12">
        <v>0</v>
      </c>
      <c r="G104" s="65"/>
      <c r="H104" s="65"/>
      <c r="I104" s="157"/>
      <c r="J104" s="65"/>
      <c r="K104" s="37"/>
      <c r="L104" s="37"/>
      <c r="M104" s="37"/>
      <c r="N104" s="37"/>
      <c r="O104" s="37"/>
      <c r="P104" s="37"/>
      <c r="Q104" s="37"/>
      <c r="R104" s="37"/>
      <c r="S104" s="37"/>
      <c r="T104" s="37"/>
      <c r="U104" s="3"/>
      <c r="W104" s="3"/>
      <c r="X104" s="3"/>
      <c r="Y104" s="3"/>
      <c r="Z104" s="3"/>
    </row>
    <row r="105" spans="1:26" ht="15.75" hidden="1" customHeight="1" outlineLevel="1" x14ac:dyDescent="0.3">
      <c r="A105" s="3"/>
      <c r="B105" s="10" t="s">
        <v>50</v>
      </c>
      <c r="C105" s="62"/>
      <c r="D105" s="62"/>
      <c r="E105" s="12">
        <v>0</v>
      </c>
      <c r="F105" s="12">
        <v>0</v>
      </c>
      <c r="G105" s="65"/>
      <c r="H105" s="65"/>
      <c r="I105" s="128"/>
      <c r="J105" s="65"/>
      <c r="K105" s="37"/>
      <c r="L105" s="37"/>
      <c r="M105" s="37"/>
      <c r="N105" s="37"/>
      <c r="O105" s="37"/>
      <c r="P105" s="37"/>
      <c r="Q105" s="37"/>
      <c r="R105" s="37"/>
      <c r="S105" s="37"/>
      <c r="T105" s="37"/>
      <c r="U105" s="3"/>
      <c r="W105" s="3"/>
      <c r="X105" s="3"/>
      <c r="Y105" s="3"/>
      <c r="Z105" s="3"/>
    </row>
    <row r="106" spans="1:26" ht="15.75" hidden="1" customHeight="1" outlineLevel="1" x14ac:dyDescent="0.3">
      <c r="A106" s="3"/>
      <c r="B106" s="10" t="s">
        <v>50</v>
      </c>
      <c r="C106" s="62"/>
      <c r="D106" s="62"/>
      <c r="E106" s="12">
        <v>0</v>
      </c>
      <c r="F106" s="12">
        <v>0</v>
      </c>
      <c r="G106" s="65"/>
      <c r="H106" s="65"/>
      <c r="I106" s="128"/>
      <c r="J106" s="65"/>
      <c r="K106" s="37"/>
      <c r="L106" s="37"/>
      <c r="M106" s="37"/>
      <c r="N106" s="37"/>
      <c r="O106" s="37"/>
      <c r="P106" s="37"/>
      <c r="Q106" s="37"/>
      <c r="R106" s="37"/>
      <c r="S106" s="37"/>
      <c r="T106" s="37"/>
      <c r="U106" s="3"/>
      <c r="W106" s="3"/>
      <c r="X106" s="3"/>
      <c r="Y106" s="3"/>
      <c r="Z106" s="3"/>
    </row>
    <row r="107" spans="1:26" ht="15.75" hidden="1" customHeight="1" outlineLevel="1" x14ac:dyDescent="0.3">
      <c r="A107" s="3"/>
      <c r="B107" s="91" t="s">
        <v>352</v>
      </c>
      <c r="C107" s="92"/>
      <c r="D107" s="92"/>
      <c r="E107" s="93">
        <f>SUM(E108:E111)</f>
        <v>0</v>
      </c>
      <c r="F107" s="93">
        <f>SUMIF(D108:D111,"OK",F108:F111)</f>
        <v>0</v>
      </c>
      <c r="G107" s="94"/>
      <c r="H107" s="94"/>
      <c r="I107" s="95"/>
      <c r="J107" s="94"/>
      <c r="K107" s="37"/>
      <c r="L107" s="37"/>
      <c r="M107" s="37"/>
      <c r="N107" s="37"/>
      <c r="O107" s="37"/>
      <c r="P107" s="37"/>
      <c r="Q107" s="37"/>
      <c r="R107" s="37"/>
      <c r="S107" s="37"/>
      <c r="T107" s="37"/>
      <c r="U107" s="3"/>
      <c r="W107" s="3"/>
      <c r="X107" s="3"/>
      <c r="Y107" s="3"/>
      <c r="Z107" s="3"/>
    </row>
    <row r="108" spans="1:26" ht="15.75" hidden="1" customHeight="1" outlineLevel="1" x14ac:dyDescent="0.3">
      <c r="A108" s="3"/>
      <c r="B108" s="10" t="s">
        <v>50</v>
      </c>
      <c r="C108" s="62"/>
      <c r="D108" s="62"/>
      <c r="E108" s="12">
        <v>0</v>
      </c>
      <c r="F108" s="12">
        <v>0</v>
      </c>
      <c r="G108" s="65"/>
      <c r="H108" s="65"/>
      <c r="I108" s="112"/>
      <c r="J108" s="65"/>
      <c r="K108" s="37"/>
      <c r="L108" s="37"/>
      <c r="M108" s="37"/>
      <c r="N108" s="37"/>
      <c r="O108" s="37"/>
      <c r="P108" s="37"/>
      <c r="Q108" s="37"/>
      <c r="R108" s="37"/>
      <c r="S108" s="37"/>
      <c r="T108" s="37"/>
      <c r="U108" s="3"/>
      <c r="W108" s="3"/>
      <c r="X108" s="3"/>
      <c r="Y108" s="3"/>
      <c r="Z108" s="3"/>
    </row>
    <row r="109" spans="1:26" ht="15.75" hidden="1" customHeight="1" outlineLevel="1" x14ac:dyDescent="0.3">
      <c r="A109" s="3"/>
      <c r="B109" s="10" t="s">
        <v>50</v>
      </c>
      <c r="C109" s="62"/>
      <c r="D109" s="62"/>
      <c r="E109" s="12">
        <v>0</v>
      </c>
      <c r="F109" s="12">
        <v>0</v>
      </c>
      <c r="G109" s="65"/>
      <c r="H109" s="65"/>
      <c r="I109" s="157"/>
      <c r="J109" s="65"/>
      <c r="K109" s="37"/>
      <c r="L109" s="37"/>
      <c r="M109" s="37"/>
      <c r="N109" s="37"/>
      <c r="O109" s="37"/>
      <c r="P109" s="37"/>
      <c r="Q109" s="37"/>
      <c r="R109" s="37"/>
      <c r="S109" s="37"/>
      <c r="T109" s="37"/>
      <c r="U109" s="3"/>
      <c r="W109" s="3"/>
      <c r="X109" s="3"/>
      <c r="Y109" s="3"/>
      <c r="Z109" s="3"/>
    </row>
    <row r="110" spans="1:26" ht="15.75" hidden="1" customHeight="1" outlineLevel="1" x14ac:dyDescent="0.3">
      <c r="A110" s="3"/>
      <c r="B110" s="10" t="s">
        <v>50</v>
      </c>
      <c r="C110" s="62"/>
      <c r="D110" s="62"/>
      <c r="E110" s="12">
        <v>0</v>
      </c>
      <c r="F110" s="12">
        <v>0</v>
      </c>
      <c r="G110" s="65"/>
      <c r="H110" s="65"/>
      <c r="I110" s="157"/>
      <c r="J110" s="65"/>
      <c r="K110" s="37"/>
      <c r="L110" s="37"/>
      <c r="M110" s="37"/>
      <c r="N110" s="37"/>
      <c r="O110" s="37"/>
      <c r="P110" s="37"/>
      <c r="Q110" s="37"/>
      <c r="R110" s="37"/>
      <c r="S110" s="37"/>
      <c r="T110" s="37"/>
      <c r="U110" s="3"/>
      <c r="W110" s="3"/>
      <c r="X110" s="3"/>
      <c r="Y110" s="3"/>
      <c r="Z110" s="3"/>
    </row>
    <row r="111" spans="1:26" ht="15.75" hidden="1" customHeight="1" outlineLevel="1" x14ac:dyDescent="0.3">
      <c r="A111" s="3"/>
      <c r="B111" s="10" t="s">
        <v>50</v>
      </c>
      <c r="C111" s="62"/>
      <c r="D111" s="62"/>
      <c r="E111" s="12">
        <v>0</v>
      </c>
      <c r="F111" s="12">
        <v>0</v>
      </c>
      <c r="G111" s="89"/>
      <c r="H111" s="65"/>
      <c r="I111" s="157"/>
      <c r="J111" s="65"/>
      <c r="K111" s="37"/>
      <c r="L111" s="37"/>
      <c r="M111" s="37"/>
      <c r="N111" s="37"/>
      <c r="O111" s="37"/>
      <c r="P111" s="37"/>
      <c r="Q111" s="37"/>
      <c r="R111" s="37"/>
      <c r="S111" s="37"/>
      <c r="T111" s="37"/>
      <c r="U111" s="3"/>
      <c r="W111" s="3"/>
      <c r="X111" s="3"/>
      <c r="Y111" s="3"/>
      <c r="Z111" s="3"/>
    </row>
    <row r="112" spans="1:26" ht="15.75" hidden="1" customHeight="1" outlineLevel="1" x14ac:dyDescent="0.3">
      <c r="A112" s="3"/>
      <c r="B112" s="91" t="s">
        <v>356</v>
      </c>
      <c r="C112" s="92"/>
      <c r="D112" s="92"/>
      <c r="E112" s="93">
        <f>SUM(E113:E115)</f>
        <v>0</v>
      </c>
      <c r="F112" s="93">
        <f>SUMIF(D113:D115,"OK",F113:F115)</f>
        <v>0</v>
      </c>
      <c r="G112" s="94"/>
      <c r="H112" s="94"/>
      <c r="I112" s="95"/>
      <c r="J112" s="94"/>
      <c r="K112" s="37"/>
      <c r="L112" s="37"/>
      <c r="M112" s="37"/>
      <c r="N112" s="37"/>
      <c r="O112" s="37"/>
      <c r="P112" s="37"/>
      <c r="Q112" s="37"/>
      <c r="R112" s="37"/>
      <c r="S112" s="37"/>
      <c r="T112" s="37"/>
      <c r="U112" s="3"/>
      <c r="W112" s="3"/>
      <c r="X112" s="3"/>
      <c r="Y112" s="3"/>
      <c r="Z112" s="3"/>
    </row>
    <row r="113" spans="1:26" ht="15.75" hidden="1" customHeight="1" outlineLevel="1" x14ac:dyDescent="0.3">
      <c r="A113" s="3"/>
      <c r="B113" s="10" t="s">
        <v>50</v>
      </c>
      <c r="C113" s="62"/>
      <c r="D113" s="62"/>
      <c r="E113" s="12">
        <v>0</v>
      </c>
      <c r="F113" s="12">
        <v>0</v>
      </c>
      <c r="G113" s="65"/>
      <c r="H113" s="65"/>
      <c r="I113" s="157"/>
      <c r="J113" s="65"/>
      <c r="K113" s="37"/>
      <c r="L113" s="37"/>
      <c r="M113" s="37"/>
      <c r="N113" s="37"/>
      <c r="O113" s="37"/>
      <c r="P113" s="37"/>
      <c r="Q113" s="37"/>
      <c r="R113" s="37"/>
      <c r="S113" s="37"/>
      <c r="T113" s="37"/>
      <c r="U113" s="3"/>
      <c r="W113" s="3"/>
      <c r="X113" s="3"/>
      <c r="Y113" s="3"/>
      <c r="Z113" s="3"/>
    </row>
    <row r="114" spans="1:26" ht="15.75" hidden="1" customHeight="1" outlineLevel="1" x14ac:dyDescent="0.3">
      <c r="A114" s="3"/>
      <c r="B114" s="10" t="s">
        <v>50</v>
      </c>
      <c r="C114" s="62"/>
      <c r="D114" s="62"/>
      <c r="E114" s="12">
        <v>0</v>
      </c>
      <c r="F114" s="12">
        <v>0</v>
      </c>
      <c r="G114" s="65"/>
      <c r="H114" s="65"/>
      <c r="I114" s="157"/>
      <c r="J114" s="65"/>
      <c r="K114" s="37"/>
      <c r="L114" s="37"/>
      <c r="M114" s="37"/>
      <c r="N114" s="37"/>
      <c r="O114" s="37"/>
      <c r="P114" s="37"/>
      <c r="Q114" s="37"/>
      <c r="R114" s="37"/>
      <c r="S114" s="37"/>
      <c r="T114" s="37"/>
      <c r="U114" s="3"/>
      <c r="W114" s="3"/>
      <c r="X114" s="3"/>
      <c r="Y114" s="3"/>
      <c r="Z114" s="3"/>
    </row>
    <row r="115" spans="1:26" ht="15.75" hidden="1" customHeight="1" outlineLevel="1" x14ac:dyDescent="0.3">
      <c r="A115" s="3"/>
      <c r="B115" s="10" t="s">
        <v>50</v>
      </c>
      <c r="C115" s="62"/>
      <c r="D115" s="62"/>
      <c r="E115" s="12">
        <v>0</v>
      </c>
      <c r="F115" s="12">
        <v>0</v>
      </c>
      <c r="G115" s="65"/>
      <c r="H115" s="65"/>
      <c r="I115" s="128"/>
      <c r="J115" s="65"/>
      <c r="K115" s="37"/>
      <c r="L115" s="37"/>
      <c r="M115" s="37"/>
      <c r="N115" s="37"/>
      <c r="O115" s="37"/>
      <c r="P115" s="37"/>
      <c r="Q115" s="37"/>
      <c r="R115" s="37"/>
      <c r="S115" s="37"/>
      <c r="T115" s="37"/>
      <c r="U115" s="3"/>
      <c r="W115" s="3"/>
      <c r="X115" s="3"/>
      <c r="Y115" s="3"/>
      <c r="Z115" s="3"/>
    </row>
    <row r="116" spans="1:26" ht="15.75" customHeight="1" collapsed="1" x14ac:dyDescent="0.3">
      <c r="A116" s="3"/>
      <c r="B116" s="84" t="s">
        <v>357</v>
      </c>
      <c r="C116" s="85" t="s">
        <v>43</v>
      </c>
      <c r="D116" s="85" t="s">
        <v>43</v>
      </c>
      <c r="E116" s="86">
        <f t="shared" ref="E116:F116" si="1">SUM(E117,E125)</f>
        <v>0</v>
      </c>
      <c r="F116" s="86">
        <f t="shared" si="1"/>
        <v>0</v>
      </c>
      <c r="G116" s="87"/>
      <c r="H116" s="87"/>
      <c r="I116" s="88"/>
      <c r="J116" s="87"/>
      <c r="K116" s="37"/>
      <c r="L116" s="37"/>
      <c r="M116" s="37"/>
      <c r="N116" s="37"/>
      <c r="O116" s="37"/>
      <c r="P116" s="37"/>
      <c r="Q116" s="37"/>
      <c r="R116" s="37"/>
      <c r="S116" s="37"/>
      <c r="T116" s="37"/>
      <c r="U116" s="3"/>
      <c r="W116" s="3"/>
      <c r="X116" s="3"/>
      <c r="Y116" s="3"/>
      <c r="Z116" s="3"/>
    </row>
    <row r="117" spans="1:26" ht="15.75" hidden="1" customHeight="1" outlineLevel="1" x14ac:dyDescent="0.3">
      <c r="A117" s="3"/>
      <c r="B117" s="91" t="s">
        <v>1583</v>
      </c>
      <c r="C117" s="92"/>
      <c r="D117" s="92"/>
      <c r="E117" s="93">
        <f>SUM(E118:E124)</f>
        <v>0</v>
      </c>
      <c r="F117" s="93">
        <f>SUMIF(D118:D124,"OK",F118:F124)</f>
        <v>0</v>
      </c>
      <c r="G117" s="94"/>
      <c r="H117" s="94"/>
      <c r="I117" s="95"/>
      <c r="J117" s="94"/>
      <c r="K117" s="37"/>
      <c r="L117" s="37"/>
      <c r="M117" s="37"/>
      <c r="N117" s="37"/>
      <c r="O117" s="37"/>
      <c r="P117" s="37"/>
      <c r="Q117" s="37"/>
      <c r="R117" s="37"/>
      <c r="S117" s="37"/>
      <c r="T117" s="37"/>
      <c r="U117" s="3"/>
      <c r="W117" s="3"/>
      <c r="X117" s="3"/>
      <c r="Y117" s="3"/>
      <c r="Z117" s="3"/>
    </row>
    <row r="118" spans="1:26" ht="15.75" hidden="1" customHeight="1" outlineLevel="1" x14ac:dyDescent="0.3">
      <c r="A118" s="3"/>
      <c r="B118" s="10" t="s">
        <v>986</v>
      </c>
      <c r="C118" s="62"/>
      <c r="D118" s="62"/>
      <c r="E118" s="12">
        <v>0</v>
      </c>
      <c r="F118" s="12">
        <v>0</v>
      </c>
      <c r="G118" s="65"/>
      <c r="H118" s="65"/>
      <c r="I118" s="112"/>
      <c r="J118" s="65"/>
      <c r="K118" s="37"/>
      <c r="L118" s="37"/>
      <c r="M118" s="37"/>
      <c r="N118" s="37"/>
      <c r="O118" s="37"/>
      <c r="P118" s="37"/>
      <c r="Q118" s="37"/>
      <c r="R118" s="37"/>
      <c r="S118" s="37"/>
      <c r="T118" s="37"/>
      <c r="U118" s="3"/>
      <c r="W118" s="3"/>
      <c r="X118" s="3"/>
      <c r="Y118" s="3"/>
      <c r="Z118" s="3"/>
    </row>
    <row r="119" spans="1:26" ht="15.75" hidden="1" customHeight="1" outlineLevel="1" x14ac:dyDescent="0.3">
      <c r="A119" s="3"/>
      <c r="B119" s="10" t="s">
        <v>986</v>
      </c>
      <c r="C119" s="62"/>
      <c r="D119" s="62"/>
      <c r="E119" s="12">
        <v>0</v>
      </c>
      <c r="F119" s="12">
        <v>0</v>
      </c>
      <c r="G119" s="89"/>
      <c r="H119" s="65"/>
      <c r="I119" s="112"/>
      <c r="J119" s="65"/>
      <c r="K119" s="37"/>
      <c r="L119" s="37"/>
      <c r="M119" s="37"/>
      <c r="N119" s="37"/>
      <c r="O119" s="37"/>
      <c r="P119" s="37"/>
      <c r="Q119" s="37"/>
      <c r="R119" s="37"/>
      <c r="S119" s="37"/>
      <c r="T119" s="37"/>
      <c r="U119" s="3"/>
      <c r="W119" s="3"/>
      <c r="X119" s="3"/>
      <c r="Y119" s="3"/>
      <c r="Z119" s="3"/>
    </row>
    <row r="120" spans="1:26" ht="15.75" hidden="1" customHeight="1" outlineLevel="1" x14ac:dyDescent="0.3">
      <c r="A120" s="3"/>
      <c r="B120" s="10" t="s">
        <v>986</v>
      </c>
      <c r="C120" s="62"/>
      <c r="D120" s="62"/>
      <c r="E120" s="12">
        <v>0</v>
      </c>
      <c r="F120" s="12">
        <v>0</v>
      </c>
      <c r="G120" s="89"/>
      <c r="H120" s="65"/>
      <c r="I120" s="112"/>
      <c r="J120" s="65"/>
      <c r="K120" s="37"/>
      <c r="L120" s="37"/>
      <c r="M120" s="37"/>
      <c r="N120" s="37"/>
      <c r="O120" s="37"/>
      <c r="P120" s="37"/>
      <c r="Q120" s="37"/>
      <c r="R120" s="37"/>
      <c r="S120" s="37"/>
      <c r="T120" s="37"/>
      <c r="U120" s="3"/>
      <c r="W120" s="3"/>
      <c r="X120" s="3"/>
      <c r="Y120" s="3"/>
      <c r="Z120" s="3"/>
    </row>
    <row r="121" spans="1:26" ht="15.75" hidden="1" customHeight="1" outlineLevel="1" x14ac:dyDescent="0.3">
      <c r="A121" s="3"/>
      <c r="B121" s="10" t="s">
        <v>986</v>
      </c>
      <c r="C121" s="62"/>
      <c r="D121" s="62"/>
      <c r="E121" s="12">
        <v>0</v>
      </c>
      <c r="F121" s="12">
        <v>0</v>
      </c>
      <c r="G121" s="89"/>
      <c r="H121" s="65"/>
      <c r="I121" s="112"/>
      <c r="J121" s="65"/>
      <c r="K121" s="37"/>
      <c r="L121" s="37"/>
      <c r="M121" s="37"/>
      <c r="N121" s="37"/>
      <c r="O121" s="37"/>
      <c r="P121" s="37"/>
      <c r="Q121" s="37"/>
      <c r="R121" s="37"/>
      <c r="S121" s="37"/>
      <c r="T121" s="37"/>
      <c r="U121" s="3"/>
      <c r="W121" s="3"/>
      <c r="X121" s="3"/>
      <c r="Y121" s="3"/>
      <c r="Z121" s="3"/>
    </row>
    <row r="122" spans="1:26" ht="15.75" hidden="1" customHeight="1" outlineLevel="1" x14ac:dyDescent="0.3">
      <c r="A122" s="3"/>
      <c r="B122" s="10" t="s">
        <v>986</v>
      </c>
      <c r="C122" s="62"/>
      <c r="D122" s="62"/>
      <c r="E122" s="12">
        <v>0</v>
      </c>
      <c r="F122" s="12">
        <v>0</v>
      </c>
      <c r="G122" s="89"/>
      <c r="H122" s="65"/>
      <c r="I122" s="112"/>
      <c r="J122" s="65"/>
      <c r="K122" s="37"/>
      <c r="L122" s="37"/>
      <c r="M122" s="37"/>
      <c r="N122" s="37"/>
      <c r="O122" s="37"/>
      <c r="P122" s="37"/>
      <c r="Q122" s="37"/>
      <c r="R122" s="37"/>
      <c r="S122" s="37"/>
      <c r="T122" s="37"/>
      <c r="U122" s="3"/>
      <c r="W122" s="3"/>
      <c r="X122" s="3"/>
      <c r="Y122" s="3"/>
      <c r="Z122" s="3"/>
    </row>
    <row r="123" spans="1:26" ht="15.75" hidden="1" customHeight="1" outlineLevel="1" x14ac:dyDescent="0.3">
      <c r="A123" s="3"/>
      <c r="B123" s="10" t="s">
        <v>986</v>
      </c>
      <c r="C123" s="62"/>
      <c r="D123" s="62"/>
      <c r="E123" s="12">
        <v>0</v>
      </c>
      <c r="F123" s="12">
        <v>0</v>
      </c>
      <c r="G123" s="89"/>
      <c r="H123" s="65"/>
      <c r="I123" s="112"/>
      <c r="J123" s="65"/>
      <c r="K123" s="37"/>
      <c r="L123" s="37"/>
      <c r="M123" s="37"/>
      <c r="N123" s="37"/>
      <c r="O123" s="37"/>
      <c r="P123" s="37"/>
      <c r="Q123" s="37"/>
      <c r="R123" s="37"/>
      <c r="S123" s="37"/>
      <c r="T123" s="37"/>
      <c r="U123" s="3"/>
      <c r="W123" s="3"/>
      <c r="X123" s="3"/>
      <c r="Y123" s="3"/>
      <c r="Z123" s="3"/>
    </row>
    <row r="124" spans="1:26" ht="15.75" hidden="1" customHeight="1" outlineLevel="1" x14ac:dyDescent="0.3">
      <c r="A124" s="3"/>
      <c r="B124" s="10" t="s">
        <v>986</v>
      </c>
      <c r="C124" s="62"/>
      <c r="D124" s="62"/>
      <c r="E124" s="12">
        <v>0</v>
      </c>
      <c r="F124" s="12">
        <v>0</v>
      </c>
      <c r="G124" s="89"/>
      <c r="H124" s="65"/>
      <c r="I124" s="112"/>
      <c r="J124" s="65"/>
      <c r="K124" s="37"/>
      <c r="L124" s="37"/>
      <c r="M124" s="37"/>
      <c r="N124" s="37"/>
      <c r="O124" s="37"/>
      <c r="P124" s="37"/>
      <c r="Q124" s="37"/>
      <c r="R124" s="37"/>
      <c r="S124" s="37"/>
      <c r="T124" s="37"/>
      <c r="U124" s="3"/>
      <c r="W124" s="3"/>
      <c r="X124" s="3"/>
      <c r="Y124" s="3"/>
      <c r="Z124" s="3"/>
    </row>
    <row r="125" spans="1:26" ht="15.75" hidden="1" customHeight="1" outlineLevel="1" x14ac:dyDescent="0.3">
      <c r="A125" s="3"/>
      <c r="B125" s="91" t="s">
        <v>632</v>
      </c>
      <c r="C125" s="92"/>
      <c r="D125" s="92"/>
      <c r="E125" s="93">
        <f>SUM(E126:E143)</f>
        <v>0</v>
      </c>
      <c r="F125" s="93">
        <f>SUMIF(D126:D143,"OK",F126:F143)</f>
        <v>0</v>
      </c>
      <c r="G125" s="94"/>
      <c r="H125" s="94"/>
      <c r="I125" s="95"/>
      <c r="J125" s="94"/>
      <c r="K125" s="37"/>
      <c r="L125" s="37"/>
      <c r="M125" s="37"/>
      <c r="N125" s="37"/>
      <c r="O125" s="37"/>
      <c r="P125" s="37"/>
      <c r="Q125" s="37"/>
      <c r="R125" s="37"/>
      <c r="S125" s="37"/>
      <c r="T125" s="37"/>
      <c r="U125" s="3"/>
      <c r="W125" s="3"/>
      <c r="X125" s="3"/>
      <c r="Y125" s="3"/>
      <c r="Z125" s="3"/>
    </row>
    <row r="126" spans="1:26" ht="15.75" hidden="1" customHeight="1" outlineLevel="1" x14ac:dyDescent="0.3">
      <c r="A126" s="3"/>
      <c r="B126" s="10" t="s">
        <v>50</v>
      </c>
      <c r="C126" s="62"/>
      <c r="D126" s="62"/>
      <c r="E126" s="12">
        <v>0</v>
      </c>
      <c r="F126" s="12">
        <v>0</v>
      </c>
      <c r="G126" s="65"/>
      <c r="H126" s="65"/>
      <c r="I126" s="112"/>
      <c r="J126" s="65"/>
      <c r="K126" s="37"/>
      <c r="L126" s="37"/>
      <c r="M126" s="37"/>
      <c r="N126" s="37"/>
      <c r="O126" s="37"/>
      <c r="P126" s="37"/>
      <c r="Q126" s="37"/>
      <c r="R126" s="37"/>
      <c r="S126" s="37"/>
      <c r="T126" s="37"/>
      <c r="U126" s="3"/>
      <c r="W126" s="3"/>
      <c r="X126" s="3"/>
      <c r="Y126" s="3"/>
      <c r="Z126" s="3"/>
    </row>
    <row r="127" spans="1:26" ht="15.75" hidden="1" customHeight="1" outlineLevel="1" x14ac:dyDescent="0.3">
      <c r="A127" s="3"/>
      <c r="B127" s="10" t="s">
        <v>50</v>
      </c>
      <c r="C127" s="62"/>
      <c r="D127" s="62"/>
      <c r="E127" s="12">
        <v>0</v>
      </c>
      <c r="F127" s="12">
        <v>0</v>
      </c>
      <c r="G127" s="89"/>
      <c r="H127" s="65"/>
      <c r="I127" s="112"/>
      <c r="J127" s="65"/>
      <c r="K127" s="37"/>
      <c r="L127" s="37"/>
      <c r="M127" s="37"/>
      <c r="N127" s="37"/>
      <c r="O127" s="37"/>
      <c r="P127" s="37"/>
      <c r="Q127" s="37"/>
      <c r="R127" s="37"/>
      <c r="S127" s="37"/>
      <c r="T127" s="37"/>
      <c r="U127" s="3"/>
      <c r="W127" s="3"/>
      <c r="X127" s="3"/>
      <c r="Y127" s="3"/>
      <c r="Z127" s="3"/>
    </row>
    <row r="128" spans="1:26" ht="15.75" hidden="1" customHeight="1" outlineLevel="1" x14ac:dyDescent="0.3">
      <c r="A128" s="3"/>
      <c r="B128" s="10" t="s">
        <v>50</v>
      </c>
      <c r="C128" s="62"/>
      <c r="D128" s="62"/>
      <c r="E128" s="12">
        <v>0</v>
      </c>
      <c r="F128" s="12">
        <v>0</v>
      </c>
      <c r="G128" s="89"/>
      <c r="H128" s="65"/>
      <c r="I128" s="112"/>
      <c r="J128" s="65"/>
      <c r="K128" s="37"/>
      <c r="L128" s="37"/>
      <c r="M128" s="37"/>
      <c r="N128" s="37"/>
      <c r="O128" s="37"/>
      <c r="P128" s="37"/>
      <c r="Q128" s="37"/>
      <c r="R128" s="37"/>
      <c r="S128" s="37"/>
      <c r="T128" s="37"/>
      <c r="U128" s="3"/>
      <c r="W128" s="3"/>
      <c r="X128" s="3"/>
      <c r="Y128" s="3"/>
      <c r="Z128" s="3"/>
    </row>
    <row r="129" spans="1:26" ht="15.75" hidden="1" customHeight="1" outlineLevel="1" x14ac:dyDescent="0.3">
      <c r="A129" s="3"/>
      <c r="B129" s="10" t="s">
        <v>50</v>
      </c>
      <c r="C129" s="62"/>
      <c r="D129" s="62"/>
      <c r="E129" s="12">
        <v>0</v>
      </c>
      <c r="F129" s="12">
        <v>0</v>
      </c>
      <c r="G129" s="65"/>
      <c r="H129" s="65"/>
      <c r="I129" s="112"/>
      <c r="J129" s="65"/>
      <c r="K129" s="37"/>
      <c r="L129" s="37"/>
      <c r="M129" s="37"/>
      <c r="N129" s="37"/>
      <c r="O129" s="37"/>
      <c r="P129" s="37"/>
      <c r="Q129" s="37"/>
      <c r="R129" s="37"/>
      <c r="S129" s="37"/>
      <c r="T129" s="37"/>
      <c r="U129" s="3"/>
      <c r="W129" s="3"/>
      <c r="X129" s="3"/>
      <c r="Y129" s="3"/>
      <c r="Z129" s="3"/>
    </row>
    <row r="130" spans="1:26" ht="15.75" hidden="1" customHeight="1" outlineLevel="1" x14ac:dyDescent="0.3">
      <c r="A130" s="3"/>
      <c r="B130" s="10" t="s">
        <v>50</v>
      </c>
      <c r="C130" s="62"/>
      <c r="D130" s="62"/>
      <c r="E130" s="12">
        <v>0</v>
      </c>
      <c r="F130" s="12">
        <v>0</v>
      </c>
      <c r="G130" s="65"/>
      <c r="H130" s="65"/>
      <c r="I130" s="112"/>
      <c r="J130" s="65"/>
      <c r="K130" s="37"/>
      <c r="L130" s="37"/>
      <c r="M130" s="37"/>
      <c r="N130" s="37"/>
      <c r="O130" s="37"/>
      <c r="P130" s="37"/>
      <c r="Q130" s="37"/>
      <c r="R130" s="37"/>
      <c r="S130" s="37"/>
      <c r="T130" s="37"/>
      <c r="U130" s="3"/>
      <c r="W130" s="3"/>
      <c r="X130" s="3"/>
      <c r="Y130" s="3"/>
      <c r="Z130" s="3"/>
    </row>
    <row r="131" spans="1:26" ht="15.75" hidden="1" customHeight="1" outlineLevel="1" x14ac:dyDescent="0.3">
      <c r="A131" s="3"/>
      <c r="B131" s="10" t="s">
        <v>50</v>
      </c>
      <c r="C131" s="62"/>
      <c r="D131" s="62"/>
      <c r="E131" s="12">
        <v>0</v>
      </c>
      <c r="F131" s="12">
        <v>0</v>
      </c>
      <c r="G131" s="65"/>
      <c r="H131" s="65"/>
      <c r="I131" s="156"/>
      <c r="J131" s="65"/>
      <c r="K131" s="37"/>
      <c r="L131" s="37"/>
      <c r="M131" s="37"/>
      <c r="N131" s="37"/>
      <c r="O131" s="37"/>
      <c r="P131" s="37"/>
      <c r="Q131" s="37"/>
      <c r="R131" s="37"/>
      <c r="S131" s="37"/>
      <c r="T131" s="37"/>
      <c r="U131" s="3"/>
      <c r="W131" s="3"/>
      <c r="X131" s="3"/>
      <c r="Y131" s="3"/>
      <c r="Z131" s="3"/>
    </row>
    <row r="132" spans="1:26" ht="15.75" hidden="1" customHeight="1" outlineLevel="1" x14ac:dyDescent="0.3">
      <c r="A132" s="3"/>
      <c r="B132" s="10" t="s">
        <v>50</v>
      </c>
      <c r="C132" s="62"/>
      <c r="D132" s="62"/>
      <c r="E132" s="12">
        <v>0</v>
      </c>
      <c r="F132" s="12">
        <v>0</v>
      </c>
      <c r="G132" s="65"/>
      <c r="H132" s="65"/>
      <c r="I132" s="156"/>
      <c r="J132" s="65"/>
      <c r="K132" s="37"/>
      <c r="L132" s="37"/>
      <c r="M132" s="37"/>
      <c r="N132" s="37"/>
      <c r="O132" s="37"/>
      <c r="P132" s="37"/>
      <c r="Q132" s="37"/>
      <c r="R132" s="37"/>
      <c r="S132" s="37"/>
      <c r="T132" s="37"/>
      <c r="U132" s="3"/>
      <c r="W132" s="3"/>
      <c r="X132" s="3"/>
      <c r="Y132" s="3"/>
      <c r="Z132" s="3"/>
    </row>
    <row r="133" spans="1:26" ht="15.75" hidden="1" customHeight="1" outlineLevel="1" x14ac:dyDescent="0.3">
      <c r="A133" s="3"/>
      <c r="B133" s="10" t="s">
        <v>50</v>
      </c>
      <c r="C133" s="62"/>
      <c r="D133" s="62"/>
      <c r="E133" s="12">
        <v>0</v>
      </c>
      <c r="F133" s="12">
        <v>0</v>
      </c>
      <c r="G133" s="65"/>
      <c r="H133" s="65"/>
      <c r="I133" s="157"/>
      <c r="J133" s="65"/>
      <c r="K133" s="37"/>
      <c r="L133" s="37"/>
      <c r="M133" s="37"/>
      <c r="N133" s="37"/>
      <c r="O133" s="37"/>
      <c r="P133" s="37"/>
      <c r="Q133" s="37"/>
      <c r="R133" s="37"/>
      <c r="S133" s="37"/>
      <c r="T133" s="37"/>
      <c r="U133" s="3"/>
      <c r="W133" s="3"/>
      <c r="X133" s="3"/>
      <c r="Y133" s="3"/>
      <c r="Z133" s="3"/>
    </row>
    <row r="134" spans="1:26" ht="15.75" hidden="1" customHeight="1" outlineLevel="1" x14ac:dyDescent="0.3">
      <c r="A134" s="3"/>
      <c r="B134" s="10" t="s">
        <v>50</v>
      </c>
      <c r="C134" s="62"/>
      <c r="D134" s="62"/>
      <c r="E134" s="12">
        <v>0</v>
      </c>
      <c r="F134" s="12">
        <v>0</v>
      </c>
      <c r="G134" s="65"/>
      <c r="H134" s="65"/>
      <c r="I134" s="157"/>
      <c r="J134" s="65"/>
      <c r="K134" s="37"/>
      <c r="L134" s="37"/>
      <c r="M134" s="37"/>
      <c r="N134" s="37"/>
      <c r="O134" s="37"/>
      <c r="P134" s="37"/>
      <c r="Q134" s="37"/>
      <c r="R134" s="37"/>
      <c r="S134" s="37"/>
      <c r="T134" s="37"/>
      <c r="U134" s="3"/>
      <c r="W134" s="3"/>
      <c r="X134" s="3"/>
      <c r="Y134" s="3"/>
      <c r="Z134" s="3"/>
    </row>
    <row r="135" spans="1:26" ht="15.75" hidden="1" customHeight="1" outlineLevel="1" x14ac:dyDescent="0.3">
      <c r="A135" s="3"/>
      <c r="B135" s="10" t="s">
        <v>50</v>
      </c>
      <c r="C135" s="62"/>
      <c r="D135" s="62"/>
      <c r="E135" s="12">
        <v>0</v>
      </c>
      <c r="F135" s="12">
        <v>0</v>
      </c>
      <c r="G135" s="65"/>
      <c r="H135" s="65"/>
      <c r="I135" s="157"/>
      <c r="J135" s="65"/>
      <c r="K135" s="37"/>
      <c r="L135" s="37"/>
      <c r="M135" s="37"/>
      <c r="N135" s="37"/>
      <c r="O135" s="37"/>
      <c r="P135" s="37"/>
      <c r="Q135" s="37"/>
      <c r="R135" s="37"/>
      <c r="S135" s="37"/>
      <c r="T135" s="37"/>
      <c r="U135" s="3"/>
      <c r="W135" s="3"/>
      <c r="X135" s="3"/>
      <c r="Y135" s="3"/>
      <c r="Z135" s="3"/>
    </row>
    <row r="136" spans="1:26" ht="15.75" hidden="1" customHeight="1" outlineLevel="1" x14ac:dyDescent="0.3">
      <c r="A136" s="3"/>
      <c r="B136" s="10" t="s">
        <v>50</v>
      </c>
      <c r="C136" s="62"/>
      <c r="D136" s="62"/>
      <c r="E136" s="12">
        <v>0</v>
      </c>
      <c r="F136" s="12">
        <v>0</v>
      </c>
      <c r="G136" s="65"/>
      <c r="H136" s="65"/>
      <c r="I136" s="158"/>
      <c r="J136" s="65"/>
      <c r="K136" s="37"/>
      <c r="L136" s="37"/>
      <c r="M136" s="37"/>
      <c r="N136" s="37"/>
      <c r="O136" s="37"/>
      <c r="P136" s="37"/>
      <c r="Q136" s="37"/>
      <c r="R136" s="37"/>
      <c r="S136" s="37"/>
      <c r="T136" s="37"/>
      <c r="U136" s="3"/>
      <c r="W136" s="3"/>
      <c r="X136" s="3"/>
      <c r="Y136" s="3"/>
      <c r="Z136" s="3"/>
    </row>
    <row r="137" spans="1:26" ht="15.75" hidden="1" customHeight="1" outlineLevel="1" x14ac:dyDescent="0.3">
      <c r="A137" s="3"/>
      <c r="B137" s="10" t="s">
        <v>50</v>
      </c>
      <c r="C137" s="62"/>
      <c r="D137" s="62"/>
      <c r="E137" s="12">
        <v>0</v>
      </c>
      <c r="F137" s="12">
        <v>0</v>
      </c>
      <c r="G137" s="65"/>
      <c r="H137" s="65"/>
      <c r="I137" s="157"/>
      <c r="J137" s="65"/>
      <c r="K137" s="37"/>
      <c r="L137" s="37"/>
      <c r="M137" s="37"/>
      <c r="N137" s="37"/>
      <c r="O137" s="37"/>
      <c r="P137" s="37"/>
      <c r="Q137" s="37"/>
      <c r="R137" s="37"/>
      <c r="S137" s="37"/>
      <c r="T137" s="37"/>
      <c r="U137" s="3"/>
      <c r="W137" s="3"/>
      <c r="X137" s="3"/>
      <c r="Y137" s="3"/>
      <c r="Z137" s="3"/>
    </row>
    <row r="138" spans="1:26" ht="15.75" hidden="1" customHeight="1" outlineLevel="1" x14ac:dyDescent="0.3">
      <c r="A138" s="3"/>
      <c r="B138" s="10" t="s">
        <v>50</v>
      </c>
      <c r="C138" s="62"/>
      <c r="D138" s="62"/>
      <c r="E138" s="12">
        <v>0</v>
      </c>
      <c r="F138" s="12">
        <v>0</v>
      </c>
      <c r="G138" s="65"/>
      <c r="H138" s="65"/>
      <c r="I138" s="157"/>
      <c r="J138" s="65"/>
      <c r="K138" s="37"/>
      <c r="L138" s="37"/>
      <c r="M138" s="37"/>
      <c r="N138" s="37"/>
      <c r="O138" s="37"/>
      <c r="P138" s="37"/>
      <c r="Q138" s="37"/>
      <c r="R138" s="37"/>
      <c r="S138" s="37"/>
      <c r="T138" s="37"/>
      <c r="U138" s="3"/>
      <c r="W138" s="3"/>
      <c r="X138" s="3"/>
      <c r="Y138" s="3"/>
      <c r="Z138" s="3"/>
    </row>
    <row r="139" spans="1:26" ht="15.75" hidden="1" customHeight="1" outlineLevel="1" x14ac:dyDescent="0.3">
      <c r="A139" s="3"/>
      <c r="B139" s="10" t="s">
        <v>50</v>
      </c>
      <c r="C139" s="62"/>
      <c r="D139" s="62"/>
      <c r="E139" s="12">
        <v>0</v>
      </c>
      <c r="F139" s="12">
        <v>0</v>
      </c>
      <c r="G139" s="65"/>
      <c r="H139" s="65"/>
      <c r="I139" s="157"/>
      <c r="J139" s="65"/>
      <c r="K139" s="37"/>
      <c r="L139" s="37"/>
      <c r="M139" s="37"/>
      <c r="N139" s="37"/>
      <c r="O139" s="37"/>
      <c r="P139" s="37"/>
      <c r="Q139" s="37"/>
      <c r="R139" s="37"/>
      <c r="S139" s="37"/>
      <c r="T139" s="37"/>
      <c r="U139" s="3"/>
      <c r="W139" s="3"/>
      <c r="X139" s="3"/>
      <c r="Y139" s="3"/>
      <c r="Z139" s="3"/>
    </row>
    <row r="140" spans="1:26" ht="15.75" hidden="1" customHeight="1" outlineLevel="1" x14ac:dyDescent="0.3">
      <c r="A140" s="3"/>
      <c r="B140" s="10" t="s">
        <v>50</v>
      </c>
      <c r="C140" s="62"/>
      <c r="D140" s="62"/>
      <c r="E140" s="12">
        <v>0</v>
      </c>
      <c r="F140" s="12">
        <v>0</v>
      </c>
      <c r="G140" s="65"/>
      <c r="H140" s="65"/>
      <c r="I140" s="157"/>
      <c r="J140" s="65"/>
      <c r="K140" s="37"/>
      <c r="L140" s="37"/>
      <c r="M140" s="37"/>
      <c r="N140" s="37"/>
      <c r="O140" s="37"/>
      <c r="P140" s="37"/>
      <c r="Q140" s="37"/>
      <c r="R140" s="37"/>
      <c r="S140" s="37"/>
      <c r="T140" s="37"/>
      <c r="U140" s="3"/>
      <c r="W140" s="3"/>
      <c r="X140" s="3"/>
      <c r="Y140" s="3"/>
      <c r="Z140" s="3"/>
    </row>
    <row r="141" spans="1:26" ht="15.75" hidden="1" customHeight="1" outlineLevel="1" x14ac:dyDescent="0.3">
      <c r="A141" s="3"/>
      <c r="B141" s="10" t="s">
        <v>50</v>
      </c>
      <c r="C141" s="62"/>
      <c r="D141" s="62"/>
      <c r="E141" s="12">
        <v>0</v>
      </c>
      <c r="F141" s="12">
        <v>0</v>
      </c>
      <c r="G141" s="65"/>
      <c r="H141" s="65"/>
      <c r="I141" s="157"/>
      <c r="J141" s="65"/>
      <c r="K141" s="37"/>
      <c r="L141" s="37"/>
      <c r="M141" s="37"/>
      <c r="N141" s="37"/>
      <c r="O141" s="37"/>
      <c r="P141" s="37"/>
      <c r="Q141" s="37"/>
      <c r="R141" s="37"/>
      <c r="S141" s="37"/>
      <c r="T141" s="37"/>
      <c r="U141" s="3"/>
      <c r="W141" s="3"/>
      <c r="X141" s="3"/>
      <c r="Y141" s="3"/>
      <c r="Z141" s="3"/>
    </row>
    <row r="142" spans="1:26" ht="15.75" hidden="1" customHeight="1" outlineLevel="1" x14ac:dyDescent="0.3">
      <c r="A142" s="3"/>
      <c r="B142" s="10" t="s">
        <v>50</v>
      </c>
      <c r="C142" s="62"/>
      <c r="D142" s="62"/>
      <c r="E142" s="12">
        <v>0</v>
      </c>
      <c r="F142" s="12">
        <v>0</v>
      </c>
      <c r="G142" s="65"/>
      <c r="H142" s="65"/>
      <c r="I142" s="157"/>
      <c r="J142" s="65"/>
      <c r="K142" s="37"/>
      <c r="L142" s="37"/>
      <c r="M142" s="37"/>
      <c r="N142" s="37"/>
      <c r="O142" s="37"/>
      <c r="P142" s="37"/>
      <c r="Q142" s="37"/>
      <c r="R142" s="37"/>
      <c r="S142" s="37"/>
      <c r="T142" s="37"/>
      <c r="U142" s="3"/>
      <c r="W142" s="3"/>
      <c r="X142" s="3"/>
      <c r="Y142" s="3"/>
      <c r="Z142" s="3"/>
    </row>
    <row r="143" spans="1:26" ht="15.75" hidden="1" customHeight="1" outlineLevel="1" x14ac:dyDescent="0.3">
      <c r="A143" s="3"/>
      <c r="B143" s="10" t="s">
        <v>50</v>
      </c>
      <c r="C143" s="62"/>
      <c r="D143" s="62"/>
      <c r="E143" s="12">
        <v>0</v>
      </c>
      <c r="F143" s="12">
        <v>0</v>
      </c>
      <c r="G143" s="65"/>
      <c r="H143" s="65"/>
      <c r="I143" s="157"/>
      <c r="J143" s="65"/>
      <c r="K143" s="37"/>
      <c r="L143" s="37"/>
      <c r="M143" s="37"/>
      <c r="N143" s="37"/>
      <c r="O143" s="37"/>
      <c r="P143" s="37"/>
      <c r="Q143" s="37"/>
      <c r="R143" s="37"/>
      <c r="S143" s="37"/>
      <c r="T143" s="37"/>
      <c r="U143" s="3"/>
      <c r="W143" s="3"/>
      <c r="X143" s="3"/>
      <c r="Y143" s="3"/>
      <c r="Z143" s="3"/>
    </row>
    <row r="144" spans="1:26" ht="15.75" customHeight="1" collapsed="1" x14ac:dyDescent="0.3">
      <c r="A144" s="3"/>
      <c r="B144" s="84" t="s">
        <v>87</v>
      </c>
      <c r="C144" s="85" t="s">
        <v>43</v>
      </c>
      <c r="D144" s="85" t="s">
        <v>43</v>
      </c>
      <c r="E144" s="86">
        <f>SUM(E145:E153)</f>
        <v>0</v>
      </c>
      <c r="F144" s="86">
        <f>SUMIF(D145:D153,"OK",F145:F153)</f>
        <v>0</v>
      </c>
      <c r="G144" s="87"/>
      <c r="H144" s="87"/>
      <c r="I144" s="88"/>
      <c r="J144" s="87"/>
      <c r="K144" s="37"/>
      <c r="L144" s="37"/>
      <c r="M144" s="37"/>
      <c r="N144" s="37"/>
      <c r="O144" s="37"/>
      <c r="P144" s="37"/>
      <c r="Q144" s="37"/>
      <c r="R144" s="37"/>
      <c r="S144" s="37"/>
      <c r="T144" s="37"/>
      <c r="U144" s="3"/>
      <c r="W144" s="3"/>
      <c r="X144" s="3"/>
      <c r="Y144" s="3"/>
      <c r="Z144" s="3"/>
    </row>
    <row r="145" spans="1:26" ht="15.75" hidden="1" customHeight="1" outlineLevel="1" x14ac:dyDescent="0.3">
      <c r="A145" s="3"/>
      <c r="B145" s="10" t="s">
        <v>353</v>
      </c>
      <c r="C145" s="80"/>
      <c r="D145" s="62"/>
      <c r="E145" s="12">
        <v>0</v>
      </c>
      <c r="F145" s="12">
        <v>0</v>
      </c>
      <c r="G145" s="89"/>
      <c r="H145" s="65"/>
      <c r="I145" s="157"/>
      <c r="J145" s="89"/>
      <c r="K145" s="37"/>
      <c r="L145" s="37"/>
      <c r="M145" s="37"/>
      <c r="N145" s="37"/>
      <c r="O145" s="37"/>
      <c r="P145" s="37"/>
      <c r="Q145" s="37"/>
      <c r="R145" s="37"/>
      <c r="S145" s="37"/>
      <c r="T145" s="37"/>
      <c r="U145" s="3"/>
      <c r="W145" s="3"/>
      <c r="X145" s="3"/>
      <c r="Y145" s="3"/>
      <c r="Z145" s="3"/>
    </row>
    <row r="146" spans="1:26" ht="15.75" hidden="1" customHeight="1" outlineLevel="1" x14ac:dyDescent="0.3">
      <c r="A146" s="3"/>
      <c r="B146" s="10" t="s">
        <v>354</v>
      </c>
      <c r="C146" s="62"/>
      <c r="D146" s="62"/>
      <c r="E146" s="12">
        <v>0</v>
      </c>
      <c r="F146" s="12">
        <v>0</v>
      </c>
      <c r="G146" s="89"/>
      <c r="H146" s="65"/>
      <c r="I146" s="157"/>
      <c r="J146" s="65"/>
      <c r="K146" s="37"/>
      <c r="L146" s="37"/>
      <c r="M146" s="37"/>
      <c r="N146" s="37"/>
      <c r="O146" s="37"/>
      <c r="P146" s="37"/>
      <c r="Q146" s="37"/>
      <c r="R146" s="37"/>
      <c r="S146" s="37"/>
      <c r="T146" s="37"/>
      <c r="U146" s="3"/>
      <c r="W146" s="3"/>
      <c r="X146" s="3"/>
      <c r="Y146" s="3"/>
      <c r="Z146" s="3"/>
    </row>
    <row r="147" spans="1:26" ht="15.75" hidden="1" customHeight="1" outlineLevel="1" x14ac:dyDescent="0.3">
      <c r="A147" s="3"/>
      <c r="B147" s="10" t="s">
        <v>355</v>
      </c>
      <c r="C147" s="62"/>
      <c r="D147" s="62"/>
      <c r="E147" s="12">
        <v>0</v>
      </c>
      <c r="F147" s="12">
        <v>0</v>
      </c>
      <c r="G147" s="65"/>
      <c r="H147" s="65"/>
      <c r="I147" s="89"/>
      <c r="J147" s="65"/>
      <c r="K147" s="37"/>
      <c r="L147" s="37"/>
      <c r="M147" s="37"/>
      <c r="N147" s="37"/>
      <c r="O147" s="37"/>
      <c r="P147" s="37"/>
      <c r="Q147" s="37"/>
      <c r="R147" s="37"/>
      <c r="S147" s="37"/>
      <c r="T147" s="37"/>
      <c r="U147" s="3"/>
      <c r="W147" s="3"/>
      <c r="X147" s="3"/>
      <c r="Y147" s="3"/>
      <c r="Z147" s="3"/>
    </row>
    <row r="148" spans="1:26" ht="15.75" hidden="1" customHeight="1" outlineLevel="1" x14ac:dyDescent="0.3">
      <c r="A148" s="3"/>
      <c r="B148" s="10" t="s">
        <v>369</v>
      </c>
      <c r="C148" s="62"/>
      <c r="D148" s="62"/>
      <c r="E148" s="12">
        <v>0</v>
      </c>
      <c r="F148" s="12">
        <v>0</v>
      </c>
      <c r="G148" s="65"/>
      <c r="H148" s="65"/>
      <c r="I148" s="89"/>
      <c r="J148" s="65"/>
      <c r="K148" s="37"/>
      <c r="L148" s="37"/>
      <c r="M148" s="37"/>
      <c r="N148" s="37"/>
      <c r="O148" s="37"/>
      <c r="P148" s="37"/>
      <c r="Q148" s="37"/>
      <c r="R148" s="37"/>
      <c r="S148" s="37"/>
      <c r="T148" s="37"/>
      <c r="U148" s="3"/>
      <c r="W148" s="3"/>
      <c r="X148" s="3"/>
      <c r="Y148" s="3"/>
      <c r="Z148" s="3"/>
    </row>
    <row r="149" spans="1:26" ht="15.75" hidden="1" customHeight="1" outlineLevel="1" x14ac:dyDescent="0.3">
      <c r="A149" s="3"/>
      <c r="B149" s="10" t="s">
        <v>327</v>
      </c>
      <c r="C149" s="62"/>
      <c r="D149" s="62"/>
      <c r="E149" s="12">
        <v>0</v>
      </c>
      <c r="F149" s="12">
        <v>0</v>
      </c>
      <c r="G149" s="65"/>
      <c r="H149" s="65"/>
      <c r="I149" s="89"/>
      <c r="J149" s="65"/>
      <c r="K149" s="37"/>
      <c r="L149" s="37"/>
      <c r="M149" s="37"/>
      <c r="N149" s="37"/>
      <c r="O149" s="37"/>
      <c r="P149" s="37"/>
      <c r="Q149" s="37"/>
      <c r="R149" s="37"/>
      <c r="S149" s="37"/>
      <c r="T149" s="37"/>
      <c r="U149" s="3"/>
      <c r="W149" s="3"/>
      <c r="X149" s="3"/>
      <c r="Y149" s="3"/>
      <c r="Z149" s="3"/>
    </row>
    <row r="150" spans="1:26" ht="15.75" hidden="1" customHeight="1" outlineLevel="1" x14ac:dyDescent="0.3">
      <c r="A150" s="3"/>
      <c r="B150" s="10" t="s">
        <v>328</v>
      </c>
      <c r="C150" s="62"/>
      <c r="D150" s="62"/>
      <c r="E150" s="12">
        <v>0</v>
      </c>
      <c r="F150" s="12">
        <v>0</v>
      </c>
      <c r="G150" s="65"/>
      <c r="H150" s="65"/>
      <c r="I150" s="89"/>
      <c r="J150" s="65"/>
      <c r="K150" s="37"/>
      <c r="L150" s="37"/>
      <c r="M150" s="37"/>
      <c r="N150" s="37"/>
      <c r="O150" s="37"/>
      <c r="P150" s="37"/>
      <c r="Q150" s="37"/>
      <c r="R150" s="37"/>
      <c r="S150" s="37"/>
      <c r="T150" s="37"/>
      <c r="U150" s="3"/>
      <c r="W150" s="3"/>
      <c r="X150" s="3"/>
      <c r="Y150" s="3"/>
      <c r="Z150" s="3"/>
    </row>
    <row r="151" spans="1:26" ht="15.75" hidden="1" customHeight="1" outlineLevel="1" x14ac:dyDescent="0.3">
      <c r="A151" s="3"/>
      <c r="B151" s="10" t="s">
        <v>370</v>
      </c>
      <c r="C151" s="62"/>
      <c r="D151" s="62"/>
      <c r="E151" s="12">
        <v>0</v>
      </c>
      <c r="F151" s="12">
        <v>0</v>
      </c>
      <c r="G151" s="65"/>
      <c r="H151" s="65"/>
      <c r="I151" s="89"/>
      <c r="J151" s="65"/>
      <c r="K151" s="37"/>
      <c r="L151" s="37"/>
      <c r="M151" s="37"/>
      <c r="N151" s="37"/>
      <c r="O151" s="37"/>
      <c r="P151" s="37"/>
      <c r="Q151" s="37"/>
      <c r="R151" s="37"/>
      <c r="S151" s="37"/>
      <c r="T151" s="37"/>
      <c r="U151" s="3"/>
      <c r="W151" s="3"/>
      <c r="X151" s="3"/>
      <c r="Y151" s="3"/>
      <c r="Z151" s="3"/>
    </row>
    <row r="152" spans="1:26" ht="15.75" hidden="1" customHeight="1" outlineLevel="1" x14ac:dyDescent="0.3">
      <c r="A152" s="3"/>
      <c r="B152" s="10" t="s">
        <v>371</v>
      </c>
      <c r="C152" s="62"/>
      <c r="D152" s="62"/>
      <c r="E152" s="12">
        <v>0</v>
      </c>
      <c r="F152" s="12">
        <v>0</v>
      </c>
      <c r="G152" s="65"/>
      <c r="H152" s="65"/>
      <c r="I152" s="89"/>
      <c r="J152" s="65"/>
      <c r="K152" s="37"/>
      <c r="L152" s="37"/>
      <c r="M152" s="37"/>
      <c r="N152" s="37"/>
      <c r="O152" s="37"/>
      <c r="P152" s="37"/>
      <c r="Q152" s="37"/>
      <c r="R152" s="37"/>
      <c r="S152" s="37"/>
      <c r="T152" s="37"/>
      <c r="U152" s="3"/>
      <c r="W152" s="3"/>
      <c r="X152" s="3"/>
      <c r="Y152" s="3"/>
      <c r="Z152" s="3"/>
    </row>
    <row r="153" spans="1:26" ht="15.75" hidden="1" customHeight="1" outlineLevel="1" x14ac:dyDescent="0.3">
      <c r="A153" s="3"/>
      <c r="B153" s="10" t="s">
        <v>372</v>
      </c>
      <c r="C153" s="62"/>
      <c r="D153" s="62"/>
      <c r="E153" s="12">
        <v>0</v>
      </c>
      <c r="F153" s="12">
        <v>0</v>
      </c>
      <c r="G153" s="65"/>
      <c r="H153" s="65"/>
      <c r="I153" s="89"/>
      <c r="J153" s="65"/>
      <c r="K153" s="37"/>
      <c r="L153" s="37"/>
      <c r="M153" s="37"/>
      <c r="N153" s="37"/>
      <c r="O153" s="37"/>
      <c r="P153" s="37"/>
      <c r="Q153" s="37"/>
      <c r="R153" s="37"/>
      <c r="S153" s="37"/>
      <c r="T153" s="37"/>
      <c r="U153" s="3"/>
      <c r="W153" s="3"/>
      <c r="X153" s="3"/>
      <c r="Y153" s="3"/>
      <c r="Z153" s="3"/>
    </row>
    <row r="154" spans="1:26" ht="15.75" customHeight="1" collapsed="1" x14ac:dyDescent="0.3">
      <c r="A154" s="3"/>
      <c r="B154" s="84" t="s">
        <v>88</v>
      </c>
      <c r="C154" s="85" t="s">
        <v>43</v>
      </c>
      <c r="D154" s="85" t="s">
        <v>43</v>
      </c>
      <c r="E154" s="86">
        <f t="shared" ref="E154:F154" si="2">SUM(E155,E161,E167,E173)</f>
        <v>0</v>
      </c>
      <c r="F154" s="86">
        <f t="shared" si="2"/>
        <v>0</v>
      </c>
      <c r="G154" s="87"/>
      <c r="H154" s="87"/>
      <c r="I154" s="88"/>
      <c r="J154" s="87"/>
      <c r="K154" s="37"/>
      <c r="L154" s="37"/>
      <c r="M154" s="37"/>
      <c r="N154" s="37"/>
      <c r="O154" s="37"/>
      <c r="P154" s="37"/>
      <c r="Q154" s="37"/>
      <c r="R154" s="37"/>
      <c r="S154" s="37"/>
      <c r="T154" s="37"/>
      <c r="U154" s="3"/>
      <c r="W154" s="3"/>
      <c r="X154" s="3"/>
      <c r="Y154" s="3"/>
      <c r="Z154" s="3"/>
    </row>
    <row r="155" spans="1:26" ht="15.75" hidden="1" customHeight="1" outlineLevel="1" x14ac:dyDescent="0.3">
      <c r="A155" s="3"/>
      <c r="B155" s="91" t="s">
        <v>380</v>
      </c>
      <c r="C155" s="92"/>
      <c r="D155" s="92"/>
      <c r="E155" s="93">
        <f>SUM(E156:E160)</f>
        <v>0</v>
      </c>
      <c r="F155" s="93">
        <f>SUMIF(D156:D160,"OK",F156:F160)</f>
        <v>0</v>
      </c>
      <c r="G155" s="94"/>
      <c r="H155" s="94"/>
      <c r="I155" s="95"/>
      <c r="J155" s="94"/>
      <c r="K155" s="37"/>
      <c r="L155" s="37"/>
      <c r="M155" s="37"/>
      <c r="N155" s="37"/>
      <c r="O155" s="37"/>
      <c r="P155" s="37"/>
      <c r="Q155" s="37"/>
      <c r="R155" s="37"/>
      <c r="S155" s="37"/>
      <c r="T155" s="37"/>
      <c r="U155" s="3"/>
      <c r="W155" s="3"/>
      <c r="X155" s="3"/>
      <c r="Y155" s="3"/>
      <c r="Z155" s="3"/>
    </row>
    <row r="156" spans="1:26" ht="15.75" hidden="1" customHeight="1" outlineLevel="1" x14ac:dyDescent="0.3">
      <c r="A156" s="3"/>
      <c r="B156" s="10" t="s">
        <v>640</v>
      </c>
      <c r="C156" s="62"/>
      <c r="D156" s="62"/>
      <c r="E156" s="12">
        <v>0</v>
      </c>
      <c r="F156" s="12">
        <v>0</v>
      </c>
      <c r="G156" s="65"/>
      <c r="H156" s="65"/>
      <c r="I156" s="128"/>
      <c r="J156" s="65"/>
      <c r="K156" s="37"/>
      <c r="L156" s="37"/>
      <c r="M156" s="37"/>
      <c r="N156" s="37"/>
      <c r="O156" s="37"/>
      <c r="P156" s="37"/>
      <c r="Q156" s="37"/>
      <c r="R156" s="37"/>
      <c r="S156" s="37"/>
      <c r="T156" s="37"/>
      <c r="U156" s="3"/>
      <c r="W156" s="3"/>
      <c r="X156" s="3"/>
      <c r="Y156" s="3"/>
      <c r="Z156" s="3"/>
    </row>
    <row r="157" spans="1:26" ht="15.75" hidden="1" customHeight="1" outlineLevel="1" x14ac:dyDescent="0.3">
      <c r="A157" s="3"/>
      <c r="B157" s="10" t="s">
        <v>640</v>
      </c>
      <c r="C157" s="62"/>
      <c r="D157" s="62"/>
      <c r="E157" s="12">
        <v>0</v>
      </c>
      <c r="F157" s="12">
        <v>0</v>
      </c>
      <c r="G157" s="65"/>
      <c r="H157" s="65"/>
      <c r="I157" s="128"/>
      <c r="J157" s="65"/>
      <c r="K157" s="37"/>
      <c r="L157" s="37"/>
      <c r="M157" s="37"/>
      <c r="N157" s="37"/>
      <c r="O157" s="37"/>
      <c r="P157" s="37"/>
      <c r="Q157" s="37"/>
      <c r="R157" s="37"/>
      <c r="S157" s="37"/>
      <c r="T157" s="37"/>
      <c r="U157" s="3"/>
      <c r="W157" s="3"/>
      <c r="X157" s="3"/>
      <c r="Y157" s="3"/>
      <c r="Z157" s="3"/>
    </row>
    <row r="158" spans="1:26" ht="15.75" hidden="1" customHeight="1" outlineLevel="1" x14ac:dyDescent="0.3">
      <c r="A158" s="3"/>
      <c r="B158" s="10" t="s">
        <v>50</v>
      </c>
      <c r="C158" s="62"/>
      <c r="D158" s="62"/>
      <c r="E158" s="12">
        <v>0</v>
      </c>
      <c r="F158" s="12">
        <v>0</v>
      </c>
      <c r="G158" s="65"/>
      <c r="H158" s="65"/>
      <c r="I158" s="112"/>
      <c r="J158" s="65"/>
      <c r="K158" s="37"/>
      <c r="L158" s="37"/>
      <c r="M158" s="37"/>
      <c r="N158" s="37"/>
      <c r="O158" s="37"/>
      <c r="P158" s="37"/>
      <c r="Q158" s="37"/>
      <c r="R158" s="37"/>
      <c r="S158" s="37"/>
      <c r="T158" s="37"/>
      <c r="U158" s="3"/>
      <c r="W158" s="3"/>
      <c r="X158" s="3"/>
      <c r="Y158" s="3"/>
      <c r="Z158" s="3"/>
    </row>
    <row r="159" spans="1:26" ht="15.75" hidden="1" customHeight="1" outlineLevel="1" x14ac:dyDescent="0.3">
      <c r="A159" s="3"/>
      <c r="B159" s="10" t="s">
        <v>50</v>
      </c>
      <c r="C159" s="62"/>
      <c r="D159" s="62"/>
      <c r="E159" s="12">
        <v>0</v>
      </c>
      <c r="F159" s="12">
        <v>0</v>
      </c>
      <c r="G159" s="89"/>
      <c r="H159" s="65"/>
      <c r="I159" s="157"/>
      <c r="J159" s="65"/>
      <c r="K159" s="37"/>
      <c r="L159" s="37"/>
      <c r="M159" s="37"/>
      <c r="N159" s="37"/>
      <c r="O159" s="37"/>
      <c r="P159" s="37"/>
      <c r="Q159" s="37"/>
      <c r="R159" s="37"/>
      <c r="S159" s="37"/>
      <c r="T159" s="37"/>
      <c r="U159" s="3"/>
      <c r="W159" s="3"/>
      <c r="X159" s="3"/>
      <c r="Y159" s="3"/>
      <c r="Z159" s="3"/>
    </row>
    <row r="160" spans="1:26" ht="15.75" hidden="1" customHeight="1" outlineLevel="1" x14ac:dyDescent="0.3">
      <c r="A160" s="3"/>
      <c r="B160" s="10" t="s">
        <v>1619</v>
      </c>
      <c r="C160" s="62"/>
      <c r="D160" s="62"/>
      <c r="E160" s="12">
        <v>0</v>
      </c>
      <c r="F160" s="12">
        <v>0</v>
      </c>
      <c r="G160" s="65"/>
      <c r="H160" s="65"/>
      <c r="I160" s="128"/>
      <c r="J160" s="65"/>
      <c r="K160" s="37"/>
      <c r="L160" s="37"/>
      <c r="M160" s="37"/>
      <c r="N160" s="37"/>
      <c r="O160" s="37"/>
      <c r="P160" s="37"/>
      <c r="Q160" s="37"/>
      <c r="R160" s="37"/>
      <c r="S160" s="37"/>
      <c r="T160" s="37"/>
      <c r="U160" s="3"/>
      <c r="W160" s="3"/>
      <c r="X160" s="3"/>
      <c r="Y160" s="3"/>
      <c r="Z160" s="3"/>
    </row>
    <row r="161" spans="1:26" ht="15.75" hidden="1" customHeight="1" outlineLevel="1" x14ac:dyDescent="0.3">
      <c r="A161" s="3"/>
      <c r="B161" s="91" t="s">
        <v>643</v>
      </c>
      <c r="C161" s="92"/>
      <c r="D161" s="92"/>
      <c r="E161" s="93">
        <f>SUM(E162:E166)</f>
        <v>0</v>
      </c>
      <c r="F161" s="93">
        <f>SUMIF(D162:D166,"OK",F162:F166)</f>
        <v>0</v>
      </c>
      <c r="G161" s="94"/>
      <c r="H161" s="94"/>
      <c r="I161" s="95"/>
      <c r="J161" s="94"/>
      <c r="K161" s="37"/>
      <c r="L161" s="37"/>
      <c r="M161" s="37"/>
      <c r="N161" s="37"/>
      <c r="O161" s="37"/>
      <c r="P161" s="37"/>
      <c r="Q161" s="37"/>
      <c r="R161" s="37"/>
      <c r="S161" s="37"/>
      <c r="T161" s="37"/>
      <c r="U161" s="3"/>
      <c r="W161" s="3"/>
      <c r="X161" s="3"/>
      <c r="Y161" s="3"/>
      <c r="Z161" s="3"/>
    </row>
    <row r="162" spans="1:26" ht="15.75" hidden="1" customHeight="1" outlineLevel="1" x14ac:dyDescent="0.3">
      <c r="A162" s="3"/>
      <c r="B162" s="10" t="s">
        <v>353</v>
      </c>
      <c r="C162" s="62"/>
      <c r="D162" s="62"/>
      <c r="E162" s="12">
        <v>0</v>
      </c>
      <c r="F162" s="12">
        <v>0</v>
      </c>
      <c r="G162" s="65"/>
      <c r="H162" s="65"/>
      <c r="I162" s="89"/>
      <c r="J162" s="65"/>
      <c r="K162" s="37"/>
      <c r="L162" s="37"/>
      <c r="M162" s="37"/>
      <c r="N162" s="37"/>
      <c r="O162" s="37"/>
      <c r="P162" s="37"/>
      <c r="Q162" s="37"/>
      <c r="R162" s="37"/>
      <c r="S162" s="37"/>
      <c r="T162" s="37"/>
      <c r="U162" s="3"/>
      <c r="W162" s="3"/>
      <c r="X162" s="3"/>
      <c r="Y162" s="3"/>
      <c r="Z162" s="3"/>
    </row>
    <row r="163" spans="1:26" ht="15.75" hidden="1" customHeight="1" outlineLevel="1" x14ac:dyDescent="0.3">
      <c r="A163" s="3"/>
      <c r="B163" s="10" t="s">
        <v>354</v>
      </c>
      <c r="C163" s="62"/>
      <c r="D163" s="62"/>
      <c r="E163" s="12">
        <v>0</v>
      </c>
      <c r="F163" s="12">
        <v>0</v>
      </c>
      <c r="G163" s="65"/>
      <c r="H163" s="65"/>
      <c r="I163" s="89"/>
      <c r="J163" s="65"/>
      <c r="K163" s="37"/>
      <c r="L163" s="37"/>
      <c r="M163" s="37"/>
      <c r="N163" s="37"/>
      <c r="O163" s="37"/>
      <c r="P163" s="37"/>
      <c r="Q163" s="37"/>
      <c r="R163" s="37"/>
      <c r="S163" s="37"/>
      <c r="T163" s="37"/>
      <c r="U163" s="3"/>
      <c r="W163" s="3"/>
      <c r="X163" s="3"/>
      <c r="Y163" s="3"/>
      <c r="Z163" s="3"/>
    </row>
    <row r="164" spans="1:26" ht="15.75" hidden="1" customHeight="1" outlineLevel="1" x14ac:dyDescent="0.3">
      <c r="A164" s="3"/>
      <c r="B164" s="10" t="s">
        <v>355</v>
      </c>
      <c r="C164" s="62"/>
      <c r="D164" s="62"/>
      <c r="E164" s="12">
        <v>0</v>
      </c>
      <c r="F164" s="12">
        <v>0</v>
      </c>
      <c r="G164" s="65"/>
      <c r="H164" s="65"/>
      <c r="I164" s="89"/>
      <c r="J164" s="65"/>
      <c r="K164" s="37"/>
      <c r="L164" s="37"/>
      <c r="M164" s="37"/>
      <c r="N164" s="37"/>
      <c r="O164" s="37"/>
      <c r="P164" s="37"/>
      <c r="Q164" s="37"/>
      <c r="R164" s="37"/>
      <c r="S164" s="37"/>
      <c r="T164" s="37"/>
      <c r="U164" s="3"/>
      <c r="W164" s="3"/>
      <c r="X164" s="3"/>
      <c r="Y164" s="3"/>
      <c r="Z164" s="3"/>
    </row>
    <row r="165" spans="1:26" ht="15.75" hidden="1" customHeight="1" outlineLevel="1" x14ac:dyDescent="0.3">
      <c r="A165" s="3"/>
      <c r="B165" s="10" t="s">
        <v>369</v>
      </c>
      <c r="C165" s="62"/>
      <c r="D165" s="62"/>
      <c r="E165" s="12">
        <v>0</v>
      </c>
      <c r="F165" s="12">
        <v>0</v>
      </c>
      <c r="G165" s="65"/>
      <c r="H165" s="65"/>
      <c r="I165" s="89"/>
      <c r="J165" s="65"/>
      <c r="K165" s="37"/>
      <c r="L165" s="37"/>
      <c r="M165" s="37"/>
      <c r="N165" s="37"/>
      <c r="O165" s="37"/>
      <c r="P165" s="37"/>
      <c r="Q165" s="37"/>
      <c r="R165" s="37"/>
      <c r="S165" s="37"/>
      <c r="T165" s="37"/>
      <c r="U165" s="3"/>
      <c r="W165" s="3"/>
      <c r="X165" s="3"/>
      <c r="Y165" s="3"/>
      <c r="Z165" s="3"/>
    </row>
    <row r="166" spans="1:26" ht="15.75" hidden="1" customHeight="1" outlineLevel="1" x14ac:dyDescent="0.3">
      <c r="A166" s="3"/>
      <c r="B166" s="10" t="s">
        <v>327</v>
      </c>
      <c r="C166" s="62"/>
      <c r="D166" s="62"/>
      <c r="E166" s="12">
        <v>0</v>
      </c>
      <c r="F166" s="12">
        <v>0</v>
      </c>
      <c r="G166" s="65"/>
      <c r="H166" s="65"/>
      <c r="I166" s="89"/>
      <c r="J166" s="65"/>
      <c r="K166" s="37"/>
      <c r="L166" s="37"/>
      <c r="M166" s="37"/>
      <c r="N166" s="37"/>
      <c r="O166" s="37"/>
      <c r="P166" s="37"/>
      <c r="Q166" s="37"/>
      <c r="R166" s="37"/>
      <c r="S166" s="37"/>
      <c r="T166" s="37"/>
      <c r="U166" s="3"/>
      <c r="W166" s="3"/>
      <c r="X166" s="3"/>
      <c r="Y166" s="3"/>
      <c r="Z166" s="3"/>
    </row>
    <row r="167" spans="1:26" ht="15.75" hidden="1" customHeight="1" outlineLevel="1" x14ac:dyDescent="0.3">
      <c r="A167" s="3"/>
      <c r="B167" s="91" t="s">
        <v>381</v>
      </c>
      <c r="C167" s="92"/>
      <c r="D167" s="92"/>
      <c r="E167" s="93">
        <f>SUM(E168:E172)</f>
        <v>0</v>
      </c>
      <c r="F167" s="93">
        <f>SUMIF(D168:D172,"OK",F168:F172)</f>
        <v>0</v>
      </c>
      <c r="G167" s="94"/>
      <c r="H167" s="94"/>
      <c r="I167" s="95"/>
      <c r="J167" s="94"/>
      <c r="K167" s="37"/>
      <c r="L167" s="37"/>
      <c r="M167" s="37"/>
      <c r="N167" s="37"/>
      <c r="O167" s="37"/>
      <c r="P167" s="37"/>
      <c r="Q167" s="37"/>
      <c r="R167" s="37"/>
      <c r="S167" s="37"/>
      <c r="T167" s="37"/>
      <c r="U167" s="3"/>
      <c r="W167" s="3"/>
      <c r="X167" s="3"/>
      <c r="Y167" s="3"/>
      <c r="Z167" s="3"/>
    </row>
    <row r="168" spans="1:26" ht="15.75" hidden="1" customHeight="1" outlineLevel="1" x14ac:dyDescent="0.3">
      <c r="A168" s="3"/>
      <c r="B168" s="10" t="s">
        <v>353</v>
      </c>
      <c r="C168" s="62"/>
      <c r="D168" s="62"/>
      <c r="E168" s="12">
        <v>0</v>
      </c>
      <c r="F168" s="12">
        <v>0</v>
      </c>
      <c r="G168" s="65"/>
      <c r="H168" s="65"/>
      <c r="I168" s="89"/>
      <c r="J168" s="65"/>
      <c r="K168" s="37"/>
      <c r="L168" s="37"/>
      <c r="M168" s="37"/>
      <c r="N168" s="37"/>
      <c r="O168" s="37"/>
      <c r="P168" s="37"/>
      <c r="Q168" s="37"/>
      <c r="R168" s="37"/>
      <c r="S168" s="37"/>
      <c r="T168" s="37"/>
      <c r="U168" s="3"/>
      <c r="W168" s="3"/>
      <c r="X168" s="3"/>
      <c r="Y168" s="3"/>
      <c r="Z168" s="3"/>
    </row>
    <row r="169" spans="1:26" ht="15.75" hidden="1" customHeight="1" outlineLevel="1" x14ac:dyDescent="0.3">
      <c r="A169" s="3"/>
      <c r="B169" s="10" t="s">
        <v>354</v>
      </c>
      <c r="C169" s="62"/>
      <c r="D169" s="62"/>
      <c r="E169" s="12">
        <v>0</v>
      </c>
      <c r="F169" s="12">
        <v>0</v>
      </c>
      <c r="G169" s="65"/>
      <c r="H169" s="65"/>
      <c r="I169" s="89"/>
      <c r="J169" s="65"/>
      <c r="K169" s="37"/>
      <c r="L169" s="37"/>
      <c r="M169" s="37"/>
      <c r="N169" s="37"/>
      <c r="O169" s="37"/>
      <c r="P169" s="37"/>
      <c r="Q169" s="37"/>
      <c r="R169" s="37"/>
      <c r="S169" s="37"/>
      <c r="T169" s="37"/>
      <c r="U169" s="3"/>
      <c r="W169" s="3"/>
      <c r="X169" s="3"/>
      <c r="Y169" s="3"/>
      <c r="Z169" s="3"/>
    </row>
    <row r="170" spans="1:26" ht="15.75" hidden="1" customHeight="1" outlineLevel="1" x14ac:dyDescent="0.3">
      <c r="A170" s="3"/>
      <c r="B170" s="10" t="s">
        <v>355</v>
      </c>
      <c r="C170" s="62"/>
      <c r="D170" s="62"/>
      <c r="E170" s="12">
        <v>0</v>
      </c>
      <c r="F170" s="12">
        <v>0</v>
      </c>
      <c r="G170" s="65"/>
      <c r="H170" s="65"/>
      <c r="I170" s="89"/>
      <c r="J170" s="65"/>
      <c r="K170" s="37"/>
      <c r="L170" s="37"/>
      <c r="M170" s="37"/>
      <c r="N170" s="37"/>
      <c r="O170" s="37"/>
      <c r="P170" s="37"/>
      <c r="Q170" s="37"/>
      <c r="R170" s="37"/>
      <c r="S170" s="37"/>
      <c r="T170" s="37"/>
      <c r="U170" s="3"/>
      <c r="W170" s="3"/>
      <c r="X170" s="3"/>
      <c r="Y170" s="3"/>
      <c r="Z170" s="3"/>
    </row>
    <row r="171" spans="1:26" ht="15.75" hidden="1" customHeight="1" outlineLevel="1" x14ac:dyDescent="0.3">
      <c r="A171" s="3"/>
      <c r="B171" s="10" t="s">
        <v>369</v>
      </c>
      <c r="C171" s="62"/>
      <c r="D171" s="62"/>
      <c r="E171" s="12">
        <v>0</v>
      </c>
      <c r="F171" s="12">
        <v>0</v>
      </c>
      <c r="G171" s="65"/>
      <c r="H171" s="65"/>
      <c r="I171" s="89"/>
      <c r="J171" s="65"/>
      <c r="K171" s="37"/>
      <c r="L171" s="37"/>
      <c r="M171" s="37"/>
      <c r="N171" s="37"/>
      <c r="O171" s="37"/>
      <c r="P171" s="37"/>
      <c r="Q171" s="37"/>
      <c r="R171" s="37"/>
      <c r="S171" s="37"/>
      <c r="T171" s="37"/>
      <c r="U171" s="3"/>
      <c r="W171" s="3"/>
      <c r="X171" s="3"/>
      <c r="Y171" s="3"/>
      <c r="Z171" s="3"/>
    </row>
    <row r="172" spans="1:26" ht="15.75" hidden="1" customHeight="1" outlineLevel="1" x14ac:dyDescent="0.3">
      <c r="A172" s="3"/>
      <c r="B172" s="10" t="s">
        <v>327</v>
      </c>
      <c r="C172" s="62"/>
      <c r="D172" s="62"/>
      <c r="E172" s="12">
        <v>0</v>
      </c>
      <c r="F172" s="12">
        <v>0</v>
      </c>
      <c r="G172" s="65"/>
      <c r="H172" s="65"/>
      <c r="I172" s="89"/>
      <c r="J172" s="65"/>
      <c r="K172" s="37"/>
      <c r="L172" s="37"/>
      <c r="M172" s="37"/>
      <c r="N172" s="37"/>
      <c r="O172" s="37"/>
      <c r="P172" s="37"/>
      <c r="Q172" s="37"/>
      <c r="R172" s="37"/>
      <c r="S172" s="37"/>
      <c r="T172" s="37"/>
      <c r="U172" s="3"/>
      <c r="W172" s="3"/>
      <c r="X172" s="3"/>
      <c r="Y172" s="3"/>
      <c r="Z172" s="3"/>
    </row>
    <row r="173" spans="1:26" ht="15.75" hidden="1" customHeight="1" outlineLevel="1" x14ac:dyDescent="0.3">
      <c r="A173" s="3"/>
      <c r="B173" s="91" t="s">
        <v>382</v>
      </c>
      <c r="C173" s="92"/>
      <c r="D173" s="92"/>
      <c r="E173" s="93">
        <f>SUM(E174:E178)</f>
        <v>0</v>
      </c>
      <c r="F173" s="93">
        <f>SUMIF(D174:D178,"OK",F174:F178)</f>
        <v>0</v>
      </c>
      <c r="G173" s="94"/>
      <c r="H173" s="94"/>
      <c r="I173" s="95"/>
      <c r="J173" s="94"/>
      <c r="K173" s="37"/>
      <c r="L173" s="37"/>
      <c r="M173" s="37"/>
      <c r="N173" s="37"/>
      <c r="O173" s="37"/>
      <c r="P173" s="37"/>
      <c r="Q173" s="37"/>
      <c r="R173" s="37"/>
      <c r="S173" s="37"/>
      <c r="T173" s="37"/>
      <c r="U173" s="3"/>
      <c r="W173" s="3"/>
      <c r="X173" s="3"/>
      <c r="Y173" s="3"/>
      <c r="Z173" s="3"/>
    </row>
    <row r="174" spans="1:26" ht="15.75" hidden="1" customHeight="1" outlineLevel="1" x14ac:dyDescent="0.3">
      <c r="A174" s="3"/>
      <c r="B174" s="10" t="s">
        <v>353</v>
      </c>
      <c r="C174" s="62"/>
      <c r="D174" s="62"/>
      <c r="E174" s="12">
        <v>0</v>
      </c>
      <c r="F174" s="12">
        <v>0</v>
      </c>
      <c r="G174" s="65"/>
      <c r="H174" s="65"/>
      <c r="I174" s="89"/>
      <c r="J174" s="65"/>
      <c r="K174" s="37"/>
      <c r="L174" s="37"/>
      <c r="M174" s="37"/>
      <c r="N174" s="37"/>
      <c r="O174" s="37"/>
      <c r="P174" s="37"/>
      <c r="Q174" s="37"/>
      <c r="R174" s="37"/>
      <c r="S174" s="37"/>
      <c r="T174" s="37"/>
      <c r="U174" s="3"/>
      <c r="W174" s="3"/>
      <c r="X174" s="3"/>
      <c r="Y174" s="3"/>
      <c r="Z174" s="3"/>
    </row>
    <row r="175" spans="1:26" ht="15.75" hidden="1" customHeight="1" outlineLevel="1" x14ac:dyDescent="0.3">
      <c r="A175" s="3"/>
      <c r="B175" s="10" t="s">
        <v>354</v>
      </c>
      <c r="C175" s="62"/>
      <c r="D175" s="62"/>
      <c r="E175" s="12">
        <v>0</v>
      </c>
      <c r="F175" s="12">
        <v>0</v>
      </c>
      <c r="G175" s="65"/>
      <c r="H175" s="65"/>
      <c r="I175" s="89"/>
      <c r="J175" s="65"/>
      <c r="K175" s="37"/>
      <c r="L175" s="37"/>
      <c r="M175" s="37"/>
      <c r="N175" s="37"/>
      <c r="O175" s="37"/>
      <c r="P175" s="37"/>
      <c r="Q175" s="37"/>
      <c r="R175" s="37"/>
      <c r="S175" s="37"/>
      <c r="T175" s="37"/>
      <c r="U175" s="3"/>
      <c r="W175" s="3"/>
      <c r="X175" s="3"/>
      <c r="Y175" s="3"/>
      <c r="Z175" s="3"/>
    </row>
    <row r="176" spans="1:26" ht="15.75" hidden="1" customHeight="1" outlineLevel="1" x14ac:dyDescent="0.3">
      <c r="A176" s="3"/>
      <c r="B176" s="10" t="s">
        <v>355</v>
      </c>
      <c r="C176" s="62"/>
      <c r="D176" s="62"/>
      <c r="E176" s="12">
        <v>0</v>
      </c>
      <c r="F176" s="12">
        <v>0</v>
      </c>
      <c r="G176" s="65"/>
      <c r="H176" s="65"/>
      <c r="I176" s="89"/>
      <c r="J176" s="65"/>
      <c r="K176" s="37"/>
      <c r="L176" s="37"/>
      <c r="M176" s="37"/>
      <c r="N176" s="37"/>
      <c r="O176" s="37"/>
      <c r="P176" s="37"/>
      <c r="Q176" s="37"/>
      <c r="R176" s="37"/>
      <c r="S176" s="37"/>
      <c r="T176" s="37"/>
      <c r="U176" s="3"/>
      <c r="W176" s="3"/>
      <c r="X176" s="3"/>
      <c r="Y176" s="3"/>
      <c r="Z176" s="3"/>
    </row>
    <row r="177" spans="1:26" ht="15.75" hidden="1" customHeight="1" outlineLevel="1" x14ac:dyDescent="0.3">
      <c r="A177" s="3"/>
      <c r="B177" s="10" t="s">
        <v>369</v>
      </c>
      <c r="C177" s="62"/>
      <c r="D177" s="62"/>
      <c r="E177" s="12">
        <v>0</v>
      </c>
      <c r="F177" s="12">
        <v>0</v>
      </c>
      <c r="G177" s="65"/>
      <c r="H177" s="65"/>
      <c r="I177" s="89"/>
      <c r="J177" s="65"/>
      <c r="K177" s="37"/>
      <c r="L177" s="37"/>
      <c r="M177" s="37"/>
      <c r="N177" s="37"/>
      <c r="O177" s="37"/>
      <c r="P177" s="37"/>
      <c r="Q177" s="37"/>
      <c r="R177" s="37"/>
      <c r="S177" s="37"/>
      <c r="T177" s="37"/>
      <c r="U177" s="3"/>
      <c r="W177" s="3"/>
      <c r="X177" s="3"/>
      <c r="Y177" s="3"/>
      <c r="Z177" s="3"/>
    </row>
    <row r="178" spans="1:26" ht="15.75" hidden="1" customHeight="1" outlineLevel="1" x14ac:dyDescent="0.3">
      <c r="A178" s="3"/>
      <c r="B178" s="10" t="s">
        <v>327</v>
      </c>
      <c r="C178" s="62"/>
      <c r="D178" s="62"/>
      <c r="E178" s="12">
        <v>0</v>
      </c>
      <c r="F178" s="12">
        <v>0</v>
      </c>
      <c r="G178" s="65"/>
      <c r="H178" s="65"/>
      <c r="I178" s="89"/>
      <c r="J178" s="65"/>
      <c r="K178" s="37"/>
      <c r="L178" s="37"/>
      <c r="M178" s="37"/>
      <c r="N178" s="37"/>
      <c r="O178" s="37"/>
      <c r="P178" s="37"/>
      <c r="Q178" s="37"/>
      <c r="R178" s="37"/>
      <c r="S178" s="37"/>
      <c r="T178" s="37"/>
      <c r="U178" s="3"/>
      <c r="W178" s="3"/>
      <c r="X178" s="3"/>
      <c r="Y178" s="3"/>
      <c r="Z178" s="3"/>
    </row>
    <row r="179" spans="1:26" ht="15.75" customHeight="1" collapsed="1" x14ac:dyDescent="0.3">
      <c r="A179" s="3"/>
      <c r="B179" s="84" t="s">
        <v>383</v>
      </c>
      <c r="C179" s="85" t="s">
        <v>43</v>
      </c>
      <c r="D179" s="85" t="s">
        <v>43</v>
      </c>
      <c r="E179" s="86">
        <f>SUM(E180:E184)</f>
        <v>0</v>
      </c>
      <c r="F179" s="86">
        <f>SUMIF(D180:D184,"OK",F180:F184)</f>
        <v>0</v>
      </c>
      <c r="G179" s="87"/>
      <c r="H179" s="87"/>
      <c r="I179" s="88"/>
      <c r="J179" s="87"/>
      <c r="K179" s="37"/>
      <c r="L179" s="37"/>
      <c r="M179" s="37"/>
      <c r="N179" s="37"/>
      <c r="O179" s="37"/>
      <c r="P179" s="37"/>
      <c r="Q179" s="37"/>
      <c r="R179" s="37"/>
      <c r="S179" s="37"/>
      <c r="T179" s="37"/>
      <c r="U179" s="3"/>
      <c r="W179" s="3"/>
      <c r="X179" s="3"/>
      <c r="Y179" s="3"/>
      <c r="Z179" s="3"/>
    </row>
    <row r="180" spans="1:26" ht="15.75" hidden="1" customHeight="1" outlineLevel="1" x14ac:dyDescent="0.3">
      <c r="A180" s="3"/>
      <c r="B180" s="10" t="s">
        <v>353</v>
      </c>
      <c r="C180" s="62"/>
      <c r="D180" s="62"/>
      <c r="E180" s="12">
        <v>0</v>
      </c>
      <c r="F180" s="12">
        <v>0</v>
      </c>
      <c r="G180" s="65"/>
      <c r="H180" s="65"/>
      <c r="I180" s="157"/>
      <c r="J180" s="65"/>
      <c r="K180" s="37"/>
      <c r="L180" s="37"/>
      <c r="M180" s="37"/>
      <c r="N180" s="37"/>
      <c r="O180" s="37"/>
      <c r="P180" s="37"/>
      <c r="Q180" s="37"/>
      <c r="R180" s="37"/>
      <c r="S180" s="37"/>
      <c r="T180" s="37"/>
      <c r="U180" s="3"/>
      <c r="W180" s="3"/>
      <c r="X180" s="3"/>
      <c r="Y180" s="3"/>
      <c r="Z180" s="3"/>
    </row>
    <row r="181" spans="1:26" ht="15.75" hidden="1" customHeight="1" outlineLevel="1" x14ac:dyDescent="0.3">
      <c r="A181" s="3"/>
      <c r="B181" s="10" t="s">
        <v>354</v>
      </c>
      <c r="C181" s="62"/>
      <c r="D181" s="62"/>
      <c r="E181" s="12">
        <v>0</v>
      </c>
      <c r="F181" s="12">
        <v>0</v>
      </c>
      <c r="G181" s="65"/>
      <c r="H181" s="65"/>
      <c r="I181" s="89"/>
      <c r="J181" s="65"/>
      <c r="K181" s="37"/>
      <c r="L181" s="37"/>
      <c r="M181" s="37"/>
      <c r="N181" s="37"/>
      <c r="O181" s="37"/>
      <c r="P181" s="37"/>
      <c r="Q181" s="37"/>
      <c r="R181" s="37"/>
      <c r="S181" s="37"/>
      <c r="T181" s="37"/>
      <c r="U181" s="3"/>
      <c r="W181" s="3"/>
      <c r="X181" s="3"/>
      <c r="Y181" s="3"/>
      <c r="Z181" s="3"/>
    </row>
    <row r="182" spans="1:26" ht="15.75" hidden="1" customHeight="1" outlineLevel="1" x14ac:dyDescent="0.3">
      <c r="A182" s="3"/>
      <c r="B182" s="10" t="s">
        <v>355</v>
      </c>
      <c r="C182" s="62"/>
      <c r="D182" s="62"/>
      <c r="E182" s="12">
        <v>0</v>
      </c>
      <c r="F182" s="12">
        <v>0</v>
      </c>
      <c r="G182" s="65"/>
      <c r="H182" s="65"/>
      <c r="I182" s="89"/>
      <c r="J182" s="65"/>
      <c r="K182" s="37"/>
      <c r="L182" s="37"/>
      <c r="M182" s="37"/>
      <c r="N182" s="37"/>
      <c r="O182" s="37"/>
      <c r="P182" s="37"/>
      <c r="Q182" s="37"/>
      <c r="R182" s="37"/>
      <c r="S182" s="37"/>
      <c r="T182" s="37"/>
      <c r="U182" s="3"/>
      <c r="W182" s="3"/>
      <c r="X182" s="3"/>
      <c r="Y182" s="3"/>
      <c r="Z182" s="3"/>
    </row>
    <row r="183" spans="1:26" ht="15.75" hidden="1" customHeight="1" outlineLevel="1" x14ac:dyDescent="0.3">
      <c r="A183" s="3"/>
      <c r="B183" s="10" t="s">
        <v>369</v>
      </c>
      <c r="C183" s="62"/>
      <c r="D183" s="62"/>
      <c r="E183" s="12">
        <v>0</v>
      </c>
      <c r="F183" s="12">
        <v>0</v>
      </c>
      <c r="G183" s="65"/>
      <c r="H183" s="65"/>
      <c r="I183" s="89"/>
      <c r="J183" s="65"/>
      <c r="K183" s="37"/>
      <c r="L183" s="37"/>
      <c r="M183" s="37"/>
      <c r="N183" s="37"/>
      <c r="O183" s="37"/>
      <c r="P183" s="37"/>
      <c r="Q183" s="37"/>
      <c r="R183" s="37"/>
      <c r="S183" s="37"/>
      <c r="T183" s="37"/>
      <c r="U183" s="3"/>
      <c r="W183" s="3"/>
      <c r="X183" s="3"/>
      <c r="Y183" s="3"/>
      <c r="Z183" s="3"/>
    </row>
    <row r="184" spans="1:26" ht="15.75" hidden="1" customHeight="1" outlineLevel="1" x14ac:dyDescent="0.3">
      <c r="A184" s="3"/>
      <c r="B184" s="10" t="s">
        <v>327</v>
      </c>
      <c r="C184" s="62"/>
      <c r="D184" s="62"/>
      <c r="E184" s="12">
        <v>0</v>
      </c>
      <c r="F184" s="12">
        <v>0</v>
      </c>
      <c r="G184" s="65"/>
      <c r="H184" s="65"/>
      <c r="I184" s="89"/>
      <c r="J184" s="65"/>
      <c r="K184" s="37"/>
      <c r="L184" s="37"/>
      <c r="M184" s="37"/>
      <c r="N184" s="37"/>
      <c r="O184" s="37"/>
      <c r="P184" s="37"/>
      <c r="Q184" s="37"/>
      <c r="R184" s="37"/>
      <c r="S184" s="37"/>
      <c r="T184" s="37"/>
      <c r="U184" s="3"/>
      <c r="W184" s="3"/>
      <c r="X184" s="3"/>
      <c r="Y184" s="3"/>
      <c r="Z184" s="3"/>
    </row>
    <row r="185" spans="1:26" ht="15.75" customHeight="1" collapsed="1" x14ac:dyDescent="0.3">
      <c r="A185" s="3"/>
      <c r="B185" s="84" t="s">
        <v>384</v>
      </c>
      <c r="C185" s="85" t="s">
        <v>43</v>
      </c>
      <c r="D185" s="85" t="s">
        <v>43</v>
      </c>
      <c r="E185" s="86">
        <f>SUM(E186:E213)</f>
        <v>0</v>
      </c>
      <c r="F185" s="86">
        <f>SUMIF(D186:D213,"OK",F186:F213)</f>
        <v>0</v>
      </c>
      <c r="G185" s="87"/>
      <c r="H185" s="87"/>
      <c r="I185" s="88"/>
      <c r="J185" s="87"/>
      <c r="K185" s="37"/>
      <c r="L185" s="37"/>
      <c r="M185" s="37"/>
      <c r="N185" s="37"/>
      <c r="O185" s="37"/>
      <c r="P185" s="37"/>
      <c r="Q185" s="37"/>
      <c r="R185" s="37"/>
      <c r="S185" s="37"/>
      <c r="T185" s="37"/>
      <c r="U185" s="3"/>
      <c r="W185" s="3"/>
      <c r="X185" s="3"/>
      <c r="Y185" s="3"/>
      <c r="Z185" s="3"/>
    </row>
    <row r="186" spans="1:26" ht="15.75" hidden="1" customHeight="1" outlineLevel="1" x14ac:dyDescent="0.3">
      <c r="A186" s="3"/>
      <c r="B186" s="10" t="s">
        <v>1620</v>
      </c>
      <c r="C186" s="80"/>
      <c r="D186" s="62"/>
      <c r="E186" s="12">
        <v>0</v>
      </c>
      <c r="F186" s="12">
        <v>0</v>
      </c>
      <c r="G186" s="89"/>
      <c r="H186" s="65"/>
      <c r="I186" s="112"/>
      <c r="J186" s="65"/>
      <c r="K186" s="37"/>
      <c r="L186" s="37"/>
      <c r="M186" s="37"/>
      <c r="N186" s="37"/>
      <c r="O186" s="37"/>
      <c r="P186" s="37"/>
      <c r="Q186" s="37"/>
      <c r="R186" s="37"/>
      <c r="S186" s="37"/>
      <c r="T186" s="37"/>
      <c r="U186" s="3"/>
      <c r="W186" s="3"/>
      <c r="X186" s="3"/>
      <c r="Y186" s="3"/>
      <c r="Z186" s="3"/>
    </row>
    <row r="187" spans="1:26" ht="15.75" hidden="1" customHeight="1" outlineLevel="1" x14ac:dyDescent="0.3">
      <c r="A187" s="3"/>
      <c r="B187" s="10" t="s">
        <v>864</v>
      </c>
      <c r="C187" s="62"/>
      <c r="D187" s="62"/>
      <c r="E187" s="12">
        <v>0</v>
      </c>
      <c r="F187" s="12">
        <v>0</v>
      </c>
      <c r="G187" s="89"/>
      <c r="H187" s="65"/>
      <c r="I187" s="112"/>
      <c r="J187" s="89"/>
      <c r="K187" s="37"/>
      <c r="L187" s="37"/>
      <c r="M187" s="37"/>
      <c r="N187" s="37"/>
      <c r="O187" s="37"/>
      <c r="P187" s="37"/>
      <c r="Q187" s="37"/>
      <c r="R187" s="37"/>
      <c r="S187" s="37"/>
      <c r="T187" s="37"/>
      <c r="U187" s="3"/>
      <c r="W187" s="3"/>
      <c r="X187" s="3"/>
      <c r="Y187" s="3"/>
      <c r="Z187" s="3"/>
    </row>
    <row r="188" spans="1:26" ht="15.75" hidden="1" customHeight="1" outlineLevel="1" x14ac:dyDescent="0.3">
      <c r="A188" s="3"/>
      <c r="B188" s="10" t="s">
        <v>1621</v>
      </c>
      <c r="C188" s="62"/>
      <c r="D188" s="62"/>
      <c r="E188" s="12">
        <v>0</v>
      </c>
      <c r="F188" s="12">
        <v>0</v>
      </c>
      <c r="G188" s="65"/>
      <c r="H188" s="65"/>
      <c r="I188" s="112"/>
      <c r="J188" s="65"/>
      <c r="K188" s="37"/>
      <c r="L188" s="37"/>
      <c r="M188" s="37"/>
      <c r="N188" s="37"/>
      <c r="O188" s="37"/>
      <c r="P188" s="37"/>
      <c r="Q188" s="37"/>
      <c r="R188" s="37"/>
      <c r="S188" s="37"/>
      <c r="T188" s="37"/>
      <c r="U188" s="3"/>
      <c r="W188" s="3"/>
      <c r="X188" s="3"/>
      <c r="Y188" s="3"/>
      <c r="Z188" s="3"/>
    </row>
    <row r="189" spans="1:26" ht="15.75" hidden="1" customHeight="1" outlineLevel="1" x14ac:dyDescent="0.3">
      <c r="A189" s="3"/>
      <c r="B189" s="10" t="s">
        <v>1622</v>
      </c>
      <c r="C189" s="62"/>
      <c r="D189" s="62"/>
      <c r="E189" s="12">
        <v>0</v>
      </c>
      <c r="F189" s="12">
        <v>0</v>
      </c>
      <c r="G189" s="65"/>
      <c r="H189" s="65"/>
      <c r="I189" s="112"/>
      <c r="J189" s="65"/>
      <c r="K189" s="37"/>
      <c r="L189" s="37"/>
      <c r="M189" s="37"/>
      <c r="N189" s="37"/>
      <c r="O189" s="37"/>
      <c r="P189" s="37"/>
      <c r="Q189" s="37"/>
      <c r="R189" s="37"/>
      <c r="S189" s="37"/>
      <c r="T189" s="37"/>
      <c r="U189" s="3"/>
      <c r="W189" s="3"/>
      <c r="X189" s="3"/>
      <c r="Y189" s="3"/>
      <c r="Z189" s="3"/>
    </row>
    <row r="190" spans="1:26" ht="15.75" hidden="1" customHeight="1" outlineLevel="1" x14ac:dyDescent="0.3">
      <c r="A190" s="3"/>
      <c r="B190" s="10" t="s">
        <v>1622</v>
      </c>
      <c r="C190" s="62"/>
      <c r="D190" s="62"/>
      <c r="E190" s="12">
        <v>0</v>
      </c>
      <c r="F190" s="12">
        <v>0</v>
      </c>
      <c r="G190" s="65"/>
      <c r="H190" s="65"/>
      <c r="I190" s="112"/>
      <c r="J190" s="65"/>
      <c r="K190" s="37"/>
      <c r="L190" s="37"/>
      <c r="M190" s="37"/>
      <c r="N190" s="37"/>
      <c r="O190" s="37"/>
      <c r="P190" s="37"/>
      <c r="Q190" s="37"/>
      <c r="R190" s="37"/>
      <c r="S190" s="37"/>
      <c r="T190" s="37"/>
      <c r="U190" s="3"/>
      <c r="W190" s="3"/>
      <c r="X190" s="3"/>
      <c r="Y190" s="3"/>
      <c r="Z190" s="3"/>
    </row>
    <row r="191" spans="1:26" ht="15.75" hidden="1" customHeight="1" outlineLevel="1" x14ac:dyDescent="0.3">
      <c r="A191" s="3"/>
      <c r="B191" s="10" t="s">
        <v>50</v>
      </c>
      <c r="C191" s="62"/>
      <c r="D191" s="62"/>
      <c r="E191" s="12">
        <v>0</v>
      </c>
      <c r="F191" s="12">
        <v>0</v>
      </c>
      <c r="G191" s="65"/>
      <c r="H191" s="65"/>
      <c r="I191" s="112"/>
      <c r="J191" s="65"/>
      <c r="K191" s="37"/>
      <c r="L191" s="37"/>
      <c r="M191" s="37"/>
      <c r="N191" s="37"/>
      <c r="O191" s="37"/>
      <c r="P191" s="37"/>
      <c r="Q191" s="37"/>
      <c r="R191" s="37"/>
      <c r="S191" s="37"/>
      <c r="T191" s="37"/>
      <c r="U191" s="3"/>
      <c r="W191" s="3"/>
      <c r="X191" s="3"/>
      <c r="Y191" s="3"/>
      <c r="Z191" s="3"/>
    </row>
    <row r="192" spans="1:26" ht="15.75" hidden="1" customHeight="1" outlineLevel="1" x14ac:dyDescent="0.3">
      <c r="A192" s="3"/>
      <c r="B192" s="10" t="s">
        <v>50</v>
      </c>
      <c r="C192" s="62"/>
      <c r="D192" s="62"/>
      <c r="E192" s="12">
        <v>0</v>
      </c>
      <c r="F192" s="12">
        <v>0</v>
      </c>
      <c r="G192" s="89"/>
      <c r="H192" s="65"/>
      <c r="I192" s="112"/>
      <c r="J192" s="65"/>
      <c r="K192" s="37"/>
      <c r="L192" s="37"/>
      <c r="M192" s="37"/>
      <c r="N192" s="37"/>
      <c r="O192" s="37"/>
      <c r="P192" s="37"/>
      <c r="Q192" s="37"/>
      <c r="R192" s="37"/>
      <c r="S192" s="37"/>
      <c r="T192" s="37"/>
      <c r="U192" s="3"/>
      <c r="W192" s="3"/>
      <c r="X192" s="3"/>
      <c r="Y192" s="3"/>
      <c r="Z192" s="3"/>
    </row>
    <row r="193" spans="1:26" ht="15.75" hidden="1" customHeight="1" outlineLevel="1" x14ac:dyDescent="0.3">
      <c r="A193" s="3"/>
      <c r="B193" s="10" t="s">
        <v>50</v>
      </c>
      <c r="C193" s="62"/>
      <c r="D193" s="62"/>
      <c r="E193" s="12">
        <v>0</v>
      </c>
      <c r="F193" s="12">
        <v>0</v>
      </c>
      <c r="G193" s="65"/>
      <c r="H193" s="65"/>
      <c r="I193" s="157"/>
      <c r="J193" s="65"/>
      <c r="K193" s="37"/>
      <c r="L193" s="37"/>
      <c r="M193" s="37"/>
      <c r="N193" s="37"/>
      <c r="O193" s="37"/>
      <c r="P193" s="37"/>
      <c r="Q193" s="37"/>
      <c r="R193" s="37"/>
      <c r="S193" s="37"/>
      <c r="T193" s="37"/>
      <c r="U193" s="3"/>
      <c r="W193" s="3"/>
      <c r="X193" s="3"/>
      <c r="Y193" s="3"/>
      <c r="Z193" s="3"/>
    </row>
    <row r="194" spans="1:26" ht="15.75" hidden="1" customHeight="1" outlineLevel="1" x14ac:dyDescent="0.3">
      <c r="A194" s="3"/>
      <c r="B194" s="10" t="s">
        <v>50</v>
      </c>
      <c r="C194" s="62"/>
      <c r="D194" s="62"/>
      <c r="E194" s="12">
        <v>0</v>
      </c>
      <c r="F194" s="12">
        <v>0</v>
      </c>
      <c r="G194" s="65"/>
      <c r="H194" s="65"/>
      <c r="I194" s="157"/>
      <c r="J194" s="65"/>
      <c r="K194" s="37"/>
      <c r="L194" s="37"/>
      <c r="M194" s="37"/>
      <c r="N194" s="37"/>
      <c r="O194" s="37"/>
      <c r="P194" s="37"/>
      <c r="Q194" s="37"/>
      <c r="R194" s="37"/>
      <c r="S194" s="37"/>
      <c r="T194" s="37"/>
      <c r="U194" s="3"/>
      <c r="W194" s="3"/>
      <c r="X194" s="3"/>
      <c r="Y194" s="3"/>
      <c r="Z194" s="3"/>
    </row>
    <row r="195" spans="1:26" ht="15.75" hidden="1" customHeight="1" outlineLevel="1" x14ac:dyDescent="0.3">
      <c r="A195" s="3"/>
      <c r="B195" s="10" t="s">
        <v>50</v>
      </c>
      <c r="C195" s="62"/>
      <c r="D195" s="62"/>
      <c r="E195" s="12">
        <v>0</v>
      </c>
      <c r="F195" s="12">
        <v>0</v>
      </c>
      <c r="G195" s="65"/>
      <c r="H195" s="65"/>
      <c r="I195" s="157"/>
      <c r="J195" s="65"/>
      <c r="K195" s="37"/>
      <c r="L195" s="37"/>
      <c r="M195" s="37"/>
      <c r="N195" s="37"/>
      <c r="O195" s="37"/>
      <c r="P195" s="37"/>
      <c r="Q195" s="37"/>
      <c r="R195" s="37"/>
      <c r="S195" s="37"/>
      <c r="T195" s="37"/>
      <c r="U195" s="3"/>
      <c r="W195" s="3"/>
      <c r="X195" s="3"/>
      <c r="Y195" s="3"/>
      <c r="Z195" s="3"/>
    </row>
    <row r="196" spans="1:26" ht="15.75" hidden="1" customHeight="1" outlineLevel="1" x14ac:dyDescent="0.3">
      <c r="A196" s="3"/>
      <c r="B196" s="10" t="s">
        <v>50</v>
      </c>
      <c r="C196" s="62"/>
      <c r="D196" s="62"/>
      <c r="E196" s="12">
        <v>0</v>
      </c>
      <c r="F196" s="12">
        <v>0</v>
      </c>
      <c r="G196" s="65"/>
      <c r="H196" s="65"/>
      <c r="I196" s="157"/>
      <c r="J196" s="65"/>
      <c r="K196" s="37"/>
      <c r="L196" s="37"/>
      <c r="M196" s="37"/>
      <c r="N196" s="37"/>
      <c r="O196" s="37"/>
      <c r="P196" s="37"/>
      <c r="Q196" s="37"/>
      <c r="R196" s="37"/>
      <c r="S196" s="37"/>
      <c r="T196" s="37"/>
      <c r="U196" s="3"/>
      <c r="W196" s="3"/>
      <c r="X196" s="3"/>
      <c r="Y196" s="3"/>
      <c r="Z196" s="3"/>
    </row>
    <row r="197" spans="1:26" ht="15.75" hidden="1" customHeight="1" outlineLevel="1" x14ac:dyDescent="0.3">
      <c r="A197" s="3"/>
      <c r="B197" s="10" t="s">
        <v>50</v>
      </c>
      <c r="C197" s="62"/>
      <c r="D197" s="62"/>
      <c r="E197" s="12">
        <v>0</v>
      </c>
      <c r="F197" s="12">
        <v>0</v>
      </c>
      <c r="G197" s="65"/>
      <c r="H197" s="65"/>
      <c r="I197" s="157"/>
      <c r="J197" s="65"/>
      <c r="K197" s="37"/>
      <c r="L197" s="37"/>
      <c r="M197" s="37"/>
      <c r="N197" s="37"/>
      <c r="O197" s="37"/>
      <c r="P197" s="37"/>
      <c r="Q197" s="37"/>
      <c r="R197" s="37"/>
      <c r="S197" s="37"/>
      <c r="T197" s="37"/>
      <c r="U197" s="3"/>
      <c r="W197" s="3"/>
      <c r="X197" s="3"/>
      <c r="Y197" s="3"/>
      <c r="Z197" s="3"/>
    </row>
    <row r="198" spans="1:26" ht="15.75" hidden="1" customHeight="1" outlineLevel="1" x14ac:dyDescent="0.3">
      <c r="A198" s="3"/>
      <c r="B198" s="10" t="s">
        <v>50</v>
      </c>
      <c r="C198" s="62"/>
      <c r="D198" s="62"/>
      <c r="E198" s="12">
        <v>0</v>
      </c>
      <c r="F198" s="12">
        <v>0</v>
      </c>
      <c r="G198" s="65"/>
      <c r="H198" s="65"/>
      <c r="I198" s="128"/>
      <c r="J198" s="65"/>
      <c r="K198" s="37"/>
      <c r="L198" s="37"/>
      <c r="M198" s="37"/>
      <c r="N198" s="37"/>
      <c r="O198" s="37"/>
      <c r="P198" s="37"/>
      <c r="Q198" s="37"/>
      <c r="R198" s="37"/>
      <c r="S198" s="37"/>
      <c r="T198" s="37"/>
      <c r="U198" s="3"/>
      <c r="W198" s="3"/>
      <c r="X198" s="3"/>
      <c r="Y198" s="3"/>
      <c r="Z198" s="3"/>
    </row>
    <row r="199" spans="1:26" ht="15.75" hidden="1" customHeight="1" outlineLevel="1" x14ac:dyDescent="0.3">
      <c r="A199" s="3"/>
      <c r="B199" s="10" t="s">
        <v>50</v>
      </c>
      <c r="C199" s="62"/>
      <c r="D199" s="62"/>
      <c r="E199" s="12">
        <v>0</v>
      </c>
      <c r="F199" s="12">
        <v>0</v>
      </c>
      <c r="G199" s="65"/>
      <c r="H199" s="65"/>
      <c r="I199" s="128"/>
      <c r="J199" s="65"/>
      <c r="K199" s="37"/>
      <c r="L199" s="37"/>
      <c r="M199" s="37"/>
      <c r="N199" s="37"/>
      <c r="O199" s="37"/>
      <c r="P199" s="37"/>
      <c r="Q199" s="37"/>
      <c r="R199" s="37"/>
      <c r="S199" s="37"/>
      <c r="T199" s="37"/>
      <c r="U199" s="3"/>
      <c r="W199" s="3"/>
      <c r="X199" s="3"/>
      <c r="Y199" s="3"/>
      <c r="Z199" s="3"/>
    </row>
    <row r="200" spans="1:26" ht="15.75" hidden="1" customHeight="1" outlineLevel="1" x14ac:dyDescent="0.3">
      <c r="A200" s="3"/>
      <c r="B200" s="10" t="s">
        <v>50</v>
      </c>
      <c r="C200" s="62"/>
      <c r="D200" s="62"/>
      <c r="E200" s="12">
        <v>0</v>
      </c>
      <c r="F200" s="12">
        <v>0</v>
      </c>
      <c r="G200" s="65"/>
      <c r="H200" s="65"/>
      <c r="I200" s="157"/>
      <c r="J200" s="65"/>
      <c r="K200" s="37"/>
      <c r="L200" s="37"/>
      <c r="M200" s="37"/>
      <c r="N200" s="37"/>
      <c r="O200" s="37"/>
      <c r="P200" s="37"/>
      <c r="Q200" s="37"/>
      <c r="R200" s="37"/>
      <c r="S200" s="37"/>
      <c r="T200" s="37"/>
      <c r="U200" s="3"/>
      <c r="W200" s="3"/>
      <c r="X200" s="3"/>
      <c r="Y200" s="3"/>
      <c r="Z200" s="3"/>
    </row>
    <row r="201" spans="1:26" ht="15.75" hidden="1" customHeight="1" outlineLevel="1" x14ac:dyDescent="0.3">
      <c r="A201" s="3"/>
      <c r="B201" s="10" t="s">
        <v>50</v>
      </c>
      <c r="C201" s="62"/>
      <c r="D201" s="62"/>
      <c r="E201" s="12">
        <v>0</v>
      </c>
      <c r="F201" s="12">
        <v>0</v>
      </c>
      <c r="G201" s="65"/>
      <c r="H201" s="65"/>
      <c r="I201" s="157"/>
      <c r="J201" s="65"/>
      <c r="K201" s="37"/>
      <c r="L201" s="37"/>
      <c r="M201" s="37"/>
      <c r="N201" s="37"/>
      <c r="O201" s="37"/>
      <c r="P201" s="37"/>
      <c r="Q201" s="37"/>
      <c r="R201" s="37"/>
      <c r="S201" s="37"/>
      <c r="T201" s="37"/>
      <c r="U201" s="3"/>
      <c r="W201" s="3"/>
      <c r="X201" s="3"/>
      <c r="Y201" s="3"/>
      <c r="Z201" s="3"/>
    </row>
    <row r="202" spans="1:26" ht="15.75" hidden="1" customHeight="1" outlineLevel="1" x14ac:dyDescent="0.3">
      <c r="A202" s="3"/>
      <c r="B202" s="10" t="s">
        <v>50</v>
      </c>
      <c r="C202" s="62"/>
      <c r="D202" s="62"/>
      <c r="E202" s="12">
        <v>0</v>
      </c>
      <c r="F202" s="12">
        <v>0</v>
      </c>
      <c r="G202" s="65"/>
      <c r="H202" s="65"/>
      <c r="I202" s="157"/>
      <c r="J202" s="65"/>
      <c r="K202" s="37"/>
      <c r="L202" s="37"/>
      <c r="M202" s="37"/>
      <c r="N202" s="37"/>
      <c r="O202" s="37"/>
      <c r="P202" s="37"/>
      <c r="Q202" s="37"/>
      <c r="R202" s="37"/>
      <c r="S202" s="37"/>
      <c r="T202" s="37"/>
      <c r="U202" s="3"/>
      <c r="W202" s="3"/>
      <c r="X202" s="3"/>
      <c r="Y202" s="3"/>
      <c r="Z202" s="3"/>
    </row>
    <row r="203" spans="1:26" ht="15.75" hidden="1" customHeight="1" outlineLevel="1" x14ac:dyDescent="0.3">
      <c r="A203" s="3"/>
      <c r="B203" s="10" t="s">
        <v>50</v>
      </c>
      <c r="C203" s="62"/>
      <c r="D203" s="62"/>
      <c r="E203" s="12">
        <v>0</v>
      </c>
      <c r="F203" s="12">
        <v>0</v>
      </c>
      <c r="G203" s="65"/>
      <c r="H203" s="65"/>
      <c r="I203" s="157"/>
      <c r="J203" s="65"/>
      <c r="K203" s="37"/>
      <c r="L203" s="37"/>
      <c r="M203" s="37"/>
      <c r="N203" s="37"/>
      <c r="O203" s="37"/>
      <c r="P203" s="37"/>
      <c r="Q203" s="37"/>
      <c r="R203" s="37"/>
      <c r="S203" s="37"/>
      <c r="T203" s="37"/>
      <c r="U203" s="3"/>
      <c r="W203" s="3"/>
      <c r="X203" s="3"/>
      <c r="Y203" s="3"/>
      <c r="Z203" s="3"/>
    </row>
    <row r="204" spans="1:26" ht="15.75" hidden="1" customHeight="1" outlineLevel="1" x14ac:dyDescent="0.3">
      <c r="A204" s="3"/>
      <c r="B204" s="10" t="s">
        <v>50</v>
      </c>
      <c r="C204" s="62"/>
      <c r="D204" s="62"/>
      <c r="E204" s="12">
        <v>0</v>
      </c>
      <c r="F204" s="12">
        <v>0</v>
      </c>
      <c r="G204" s="65"/>
      <c r="H204" s="65"/>
      <c r="I204" s="157"/>
      <c r="J204" s="65"/>
      <c r="K204" s="37"/>
      <c r="L204" s="37"/>
      <c r="M204" s="37"/>
      <c r="N204" s="37"/>
      <c r="O204" s="37"/>
      <c r="P204" s="37"/>
      <c r="Q204" s="37"/>
      <c r="R204" s="37"/>
      <c r="S204" s="37"/>
      <c r="T204" s="37"/>
      <c r="U204" s="3"/>
      <c r="W204" s="3"/>
      <c r="X204" s="3"/>
      <c r="Y204" s="3"/>
      <c r="Z204" s="3"/>
    </row>
    <row r="205" spans="1:26" ht="15.75" hidden="1" customHeight="1" outlineLevel="1" x14ac:dyDescent="0.3">
      <c r="A205" s="3"/>
      <c r="B205" s="10" t="s">
        <v>50</v>
      </c>
      <c r="C205" s="62"/>
      <c r="D205" s="62"/>
      <c r="E205" s="12">
        <v>0</v>
      </c>
      <c r="F205" s="12">
        <v>0</v>
      </c>
      <c r="G205" s="65"/>
      <c r="H205" s="65"/>
      <c r="I205" s="128"/>
      <c r="J205" s="65"/>
      <c r="K205" s="37"/>
      <c r="L205" s="37"/>
      <c r="M205" s="37"/>
      <c r="N205" s="37"/>
      <c r="O205" s="37"/>
      <c r="P205" s="37"/>
      <c r="Q205" s="37"/>
      <c r="R205" s="37"/>
      <c r="S205" s="37"/>
      <c r="T205" s="37"/>
      <c r="U205" s="3"/>
      <c r="W205" s="3"/>
      <c r="X205" s="3"/>
      <c r="Y205" s="3"/>
      <c r="Z205" s="3"/>
    </row>
    <row r="206" spans="1:26" ht="15.75" hidden="1" customHeight="1" outlineLevel="1" x14ac:dyDescent="0.3">
      <c r="A206" s="3"/>
      <c r="B206" s="10" t="s">
        <v>50</v>
      </c>
      <c r="C206" s="62"/>
      <c r="D206" s="62"/>
      <c r="E206" s="12">
        <v>0</v>
      </c>
      <c r="F206" s="12">
        <v>0</v>
      </c>
      <c r="G206" s="65"/>
      <c r="H206" s="65"/>
      <c r="I206" s="157"/>
      <c r="J206" s="65"/>
      <c r="K206" s="37"/>
      <c r="L206" s="37"/>
      <c r="M206" s="37"/>
      <c r="N206" s="37"/>
      <c r="O206" s="37"/>
      <c r="P206" s="37"/>
      <c r="Q206" s="37"/>
      <c r="R206" s="37"/>
      <c r="S206" s="37"/>
      <c r="T206" s="37"/>
      <c r="U206" s="3"/>
      <c r="W206" s="3"/>
      <c r="X206" s="3"/>
      <c r="Y206" s="3"/>
      <c r="Z206" s="3"/>
    </row>
    <row r="207" spans="1:26" ht="15.75" hidden="1" customHeight="1" outlineLevel="1" x14ac:dyDescent="0.3">
      <c r="A207" s="3"/>
      <c r="B207" s="10" t="s">
        <v>50</v>
      </c>
      <c r="C207" s="62"/>
      <c r="D207" s="62"/>
      <c r="E207" s="12">
        <v>0</v>
      </c>
      <c r="F207" s="12">
        <v>0</v>
      </c>
      <c r="G207" s="65"/>
      <c r="H207" s="65"/>
      <c r="I207" s="128"/>
      <c r="J207" s="65"/>
      <c r="K207" s="37"/>
      <c r="L207" s="37"/>
      <c r="M207" s="37"/>
      <c r="N207" s="37"/>
      <c r="O207" s="37"/>
      <c r="P207" s="37"/>
      <c r="Q207" s="37"/>
      <c r="R207" s="37"/>
      <c r="S207" s="37"/>
      <c r="T207" s="37"/>
      <c r="U207" s="3"/>
      <c r="W207" s="3"/>
      <c r="X207" s="3"/>
      <c r="Y207" s="3"/>
      <c r="Z207" s="3"/>
    </row>
    <row r="208" spans="1:26" ht="15.75" hidden="1" customHeight="1" outlineLevel="1" x14ac:dyDescent="0.3">
      <c r="A208" s="3"/>
      <c r="B208" s="10" t="s">
        <v>50</v>
      </c>
      <c r="C208" s="62"/>
      <c r="D208" s="62"/>
      <c r="E208" s="12">
        <v>0</v>
      </c>
      <c r="F208" s="12">
        <v>0</v>
      </c>
      <c r="G208" s="65"/>
      <c r="H208" s="65"/>
      <c r="I208" s="128"/>
      <c r="J208" s="65"/>
      <c r="K208" s="37"/>
      <c r="L208" s="37"/>
      <c r="M208" s="37"/>
      <c r="N208" s="37"/>
      <c r="O208" s="37"/>
      <c r="P208" s="37"/>
      <c r="Q208" s="37"/>
      <c r="R208" s="37"/>
      <c r="S208" s="37"/>
      <c r="T208" s="37"/>
      <c r="U208" s="3"/>
      <c r="W208" s="3"/>
      <c r="X208" s="3"/>
      <c r="Y208" s="3"/>
      <c r="Z208" s="3"/>
    </row>
    <row r="209" spans="1:26" ht="15.75" hidden="1" customHeight="1" outlineLevel="1" x14ac:dyDescent="0.3">
      <c r="A209" s="3"/>
      <c r="B209" s="10" t="s">
        <v>50</v>
      </c>
      <c r="C209" s="62"/>
      <c r="D209" s="62"/>
      <c r="E209" s="12">
        <v>0</v>
      </c>
      <c r="F209" s="12">
        <v>0</v>
      </c>
      <c r="G209" s="65"/>
      <c r="H209" s="65"/>
      <c r="I209" s="89"/>
      <c r="J209" s="65"/>
      <c r="K209" s="37"/>
      <c r="L209" s="37"/>
      <c r="M209" s="37"/>
      <c r="N209" s="37"/>
      <c r="O209" s="37"/>
      <c r="P209" s="37"/>
      <c r="Q209" s="37"/>
      <c r="R209" s="37"/>
      <c r="S209" s="37"/>
      <c r="T209" s="37"/>
      <c r="U209" s="3"/>
      <c r="W209" s="3"/>
      <c r="X209" s="3"/>
      <c r="Y209" s="3"/>
      <c r="Z209" s="3"/>
    </row>
    <row r="210" spans="1:26" ht="15.75" hidden="1" customHeight="1" outlineLevel="1" x14ac:dyDescent="0.3">
      <c r="A210" s="3"/>
      <c r="B210" s="10" t="s">
        <v>50</v>
      </c>
      <c r="C210" s="62"/>
      <c r="D210" s="62"/>
      <c r="E210" s="12">
        <v>0</v>
      </c>
      <c r="F210" s="12">
        <v>0</v>
      </c>
      <c r="G210" s="65"/>
      <c r="H210" s="65"/>
      <c r="I210" s="89"/>
      <c r="J210" s="65"/>
      <c r="K210" s="37"/>
      <c r="L210" s="37"/>
      <c r="M210" s="37"/>
      <c r="N210" s="37"/>
      <c r="O210" s="37"/>
      <c r="P210" s="37"/>
      <c r="Q210" s="37"/>
      <c r="R210" s="37"/>
      <c r="S210" s="37"/>
      <c r="T210" s="37"/>
      <c r="U210" s="3"/>
      <c r="W210" s="3"/>
      <c r="X210" s="3"/>
      <c r="Y210" s="3"/>
      <c r="Z210" s="3"/>
    </row>
    <row r="211" spans="1:26" ht="15.75" hidden="1" customHeight="1" outlineLevel="1" x14ac:dyDescent="0.3">
      <c r="A211" s="3"/>
      <c r="B211" s="10" t="s">
        <v>50</v>
      </c>
      <c r="C211" s="62"/>
      <c r="D211" s="62"/>
      <c r="E211" s="12">
        <v>0</v>
      </c>
      <c r="F211" s="12">
        <v>0</v>
      </c>
      <c r="G211" s="65"/>
      <c r="H211" s="65"/>
      <c r="I211" s="89"/>
      <c r="J211" s="65"/>
      <c r="K211" s="37"/>
      <c r="L211" s="37"/>
      <c r="M211" s="37"/>
      <c r="N211" s="37"/>
      <c r="O211" s="37"/>
      <c r="P211" s="37"/>
      <c r="Q211" s="37"/>
      <c r="R211" s="37"/>
      <c r="S211" s="37"/>
      <c r="T211" s="37"/>
      <c r="U211" s="3"/>
      <c r="W211" s="3"/>
      <c r="X211" s="3"/>
      <c r="Y211" s="3"/>
      <c r="Z211" s="3"/>
    </row>
    <row r="212" spans="1:26" ht="15.75" hidden="1" customHeight="1" outlineLevel="1" x14ac:dyDescent="0.3">
      <c r="A212" s="3"/>
      <c r="B212" s="10" t="s">
        <v>50</v>
      </c>
      <c r="C212" s="62"/>
      <c r="D212" s="62"/>
      <c r="E212" s="12">
        <v>0</v>
      </c>
      <c r="F212" s="12">
        <v>0</v>
      </c>
      <c r="G212" s="65"/>
      <c r="H212" s="65"/>
      <c r="I212" s="89"/>
      <c r="J212" s="65"/>
      <c r="K212" s="37"/>
      <c r="L212" s="37"/>
      <c r="M212" s="37"/>
      <c r="N212" s="37"/>
      <c r="O212" s="37"/>
      <c r="P212" s="37"/>
      <c r="Q212" s="37"/>
      <c r="R212" s="37"/>
      <c r="S212" s="37"/>
      <c r="T212" s="37"/>
      <c r="U212" s="3"/>
      <c r="W212" s="3"/>
      <c r="X212" s="3"/>
      <c r="Y212" s="3"/>
      <c r="Z212" s="3"/>
    </row>
    <row r="213" spans="1:26" ht="15.75" hidden="1" customHeight="1" outlineLevel="1" x14ac:dyDescent="0.3">
      <c r="A213" s="3"/>
      <c r="B213" s="10" t="s">
        <v>50</v>
      </c>
      <c r="C213" s="62"/>
      <c r="D213" s="62"/>
      <c r="E213" s="12">
        <v>0</v>
      </c>
      <c r="F213" s="12">
        <v>0</v>
      </c>
      <c r="G213" s="65"/>
      <c r="H213" s="65"/>
      <c r="I213" s="89"/>
      <c r="J213" s="65"/>
      <c r="K213" s="37"/>
      <c r="L213" s="37"/>
      <c r="M213" s="37"/>
      <c r="N213" s="37"/>
      <c r="O213" s="37"/>
      <c r="P213" s="37"/>
      <c r="Q213" s="37"/>
      <c r="R213" s="37"/>
      <c r="S213" s="37"/>
      <c r="T213" s="37"/>
      <c r="U213" s="3"/>
      <c r="W213" s="3"/>
      <c r="X213" s="3"/>
      <c r="Y213" s="3"/>
      <c r="Z213" s="3"/>
    </row>
    <row r="214" spans="1:26" ht="15.75" customHeight="1" collapsed="1" x14ac:dyDescent="0.3">
      <c r="A214" s="3"/>
      <c r="B214" s="84" t="s">
        <v>394</v>
      </c>
      <c r="C214" s="85" t="s">
        <v>43</v>
      </c>
      <c r="D214" s="85" t="s">
        <v>43</v>
      </c>
      <c r="E214" s="86">
        <f>SUM(E215:E223)</f>
        <v>0</v>
      </c>
      <c r="F214" s="86">
        <f>SUMIF(D215:D223,"OK",F215:F223)</f>
        <v>0</v>
      </c>
      <c r="G214" s="87"/>
      <c r="H214" s="87"/>
      <c r="I214" s="88"/>
      <c r="J214" s="87"/>
      <c r="K214" s="37"/>
      <c r="L214" s="37"/>
      <c r="M214" s="37"/>
      <c r="N214" s="37"/>
      <c r="O214" s="37"/>
      <c r="P214" s="37"/>
      <c r="Q214" s="37"/>
      <c r="R214" s="37"/>
      <c r="S214" s="37"/>
      <c r="T214" s="37"/>
      <c r="U214" s="3"/>
      <c r="W214" s="3"/>
      <c r="X214" s="3"/>
      <c r="Y214" s="3"/>
      <c r="Z214" s="3"/>
    </row>
    <row r="215" spans="1:26" ht="15.75" hidden="1" customHeight="1" outlineLevel="1" x14ac:dyDescent="0.3">
      <c r="A215" s="3"/>
      <c r="B215" s="10" t="s">
        <v>1569</v>
      </c>
      <c r="C215" s="62"/>
      <c r="D215" s="62"/>
      <c r="E215" s="12">
        <v>0</v>
      </c>
      <c r="F215" s="12">
        <v>0</v>
      </c>
      <c r="G215" s="89"/>
      <c r="H215" s="65"/>
      <c r="I215" s="112"/>
      <c r="J215" s="65"/>
      <c r="K215" s="37"/>
      <c r="L215" s="37"/>
      <c r="M215" s="37"/>
      <c r="N215" s="37"/>
      <c r="O215" s="37"/>
      <c r="P215" s="37"/>
      <c r="Q215" s="37"/>
      <c r="R215" s="37"/>
      <c r="S215" s="37"/>
      <c r="T215" s="37"/>
      <c r="U215" s="3"/>
      <c r="W215" s="3"/>
      <c r="X215" s="3"/>
      <c r="Y215" s="3"/>
      <c r="Z215" s="3"/>
    </row>
    <row r="216" spans="1:26" ht="15.75" hidden="1" customHeight="1" outlineLevel="1" x14ac:dyDescent="0.3">
      <c r="A216" s="3"/>
      <c r="B216" s="10" t="s">
        <v>1623</v>
      </c>
      <c r="C216" s="62"/>
      <c r="D216" s="62"/>
      <c r="E216" s="12">
        <v>0</v>
      </c>
      <c r="F216" s="12">
        <v>0</v>
      </c>
      <c r="G216" s="65"/>
      <c r="H216" s="65"/>
      <c r="I216" s="112"/>
      <c r="J216" s="65"/>
      <c r="K216" s="37"/>
      <c r="L216" s="37"/>
      <c r="M216" s="37"/>
      <c r="N216" s="37"/>
      <c r="O216" s="37"/>
      <c r="P216" s="37"/>
      <c r="Q216" s="37"/>
      <c r="R216" s="37"/>
      <c r="S216" s="37"/>
      <c r="T216" s="37"/>
      <c r="U216" s="3"/>
      <c r="W216" s="3"/>
      <c r="X216" s="3"/>
      <c r="Y216" s="3"/>
      <c r="Z216" s="3"/>
    </row>
    <row r="217" spans="1:26" ht="15.75" hidden="1" customHeight="1" outlineLevel="1" x14ac:dyDescent="0.3">
      <c r="A217" s="3"/>
      <c r="B217" s="10" t="s">
        <v>1623</v>
      </c>
      <c r="C217" s="62"/>
      <c r="D217" s="62"/>
      <c r="E217" s="12">
        <v>0</v>
      </c>
      <c r="F217" s="12">
        <v>0</v>
      </c>
      <c r="G217" s="65"/>
      <c r="H217" s="65"/>
      <c r="I217" s="112"/>
      <c r="J217" s="65"/>
      <c r="K217" s="37"/>
      <c r="L217" s="37"/>
      <c r="M217" s="37"/>
      <c r="N217" s="37"/>
      <c r="O217" s="37"/>
      <c r="P217" s="37"/>
      <c r="Q217" s="37"/>
      <c r="R217" s="37"/>
      <c r="S217" s="37"/>
      <c r="T217" s="37"/>
      <c r="U217" s="3"/>
      <c r="W217" s="3"/>
      <c r="X217" s="3"/>
      <c r="Y217" s="3"/>
      <c r="Z217" s="3"/>
    </row>
    <row r="218" spans="1:26" ht="15.75" hidden="1" customHeight="1" outlineLevel="1" x14ac:dyDescent="0.3">
      <c r="A218" s="3"/>
      <c r="B218" s="10" t="s">
        <v>369</v>
      </c>
      <c r="C218" s="62"/>
      <c r="D218" s="62"/>
      <c r="E218" s="12">
        <v>0</v>
      </c>
      <c r="F218" s="12">
        <v>0</v>
      </c>
      <c r="G218" s="65"/>
      <c r="H218" s="65"/>
      <c r="I218" s="156"/>
      <c r="J218" s="65"/>
      <c r="K218" s="37"/>
      <c r="L218" s="37"/>
      <c r="M218" s="37"/>
      <c r="N218" s="37"/>
      <c r="O218" s="37"/>
      <c r="P218" s="37"/>
      <c r="Q218" s="37"/>
      <c r="R218" s="37"/>
      <c r="S218" s="37"/>
      <c r="T218" s="37"/>
      <c r="U218" s="3"/>
      <c r="W218" s="3"/>
      <c r="X218" s="3"/>
      <c r="Y218" s="3"/>
      <c r="Z218" s="3"/>
    </row>
    <row r="219" spans="1:26" ht="15.75" hidden="1" customHeight="1" outlineLevel="1" x14ac:dyDescent="0.3">
      <c r="A219" s="3"/>
      <c r="B219" s="10" t="s">
        <v>327</v>
      </c>
      <c r="C219" s="62"/>
      <c r="D219" s="62"/>
      <c r="E219" s="12">
        <v>0</v>
      </c>
      <c r="F219" s="12">
        <v>0</v>
      </c>
      <c r="G219" s="65"/>
      <c r="H219" s="65"/>
      <c r="I219" s="156"/>
      <c r="J219" s="65"/>
      <c r="K219" s="37"/>
      <c r="L219" s="37"/>
      <c r="M219" s="37"/>
      <c r="N219" s="37"/>
      <c r="O219" s="37"/>
      <c r="P219" s="37"/>
      <c r="Q219" s="37"/>
      <c r="R219" s="37"/>
      <c r="S219" s="37"/>
      <c r="T219" s="37"/>
      <c r="U219" s="3"/>
      <c r="W219" s="3"/>
      <c r="X219" s="3"/>
      <c r="Y219" s="3"/>
      <c r="Z219" s="3"/>
    </row>
    <row r="220" spans="1:26" ht="15.75" hidden="1" customHeight="1" outlineLevel="1" x14ac:dyDescent="0.3">
      <c r="A220" s="3"/>
      <c r="B220" s="10" t="s">
        <v>328</v>
      </c>
      <c r="C220" s="62"/>
      <c r="D220" s="62"/>
      <c r="E220" s="12">
        <v>0</v>
      </c>
      <c r="F220" s="12">
        <v>0</v>
      </c>
      <c r="G220" s="65"/>
      <c r="H220" s="65"/>
      <c r="I220" s="156"/>
      <c r="J220" s="65"/>
      <c r="K220" s="37"/>
      <c r="L220" s="37"/>
      <c r="M220" s="37"/>
      <c r="N220" s="37"/>
      <c r="O220" s="37"/>
      <c r="P220" s="37"/>
      <c r="Q220" s="37"/>
      <c r="R220" s="37"/>
      <c r="S220" s="37"/>
      <c r="T220" s="37"/>
      <c r="U220" s="3"/>
      <c r="W220" s="3"/>
      <c r="X220" s="3"/>
      <c r="Y220" s="3"/>
      <c r="Z220" s="3"/>
    </row>
    <row r="221" spans="1:26" ht="15.75" hidden="1" customHeight="1" outlineLevel="1" x14ac:dyDescent="0.3">
      <c r="A221" s="3"/>
      <c r="B221" s="10" t="s">
        <v>370</v>
      </c>
      <c r="C221" s="62"/>
      <c r="D221" s="62"/>
      <c r="E221" s="12">
        <v>0</v>
      </c>
      <c r="F221" s="12">
        <v>0</v>
      </c>
      <c r="G221" s="65"/>
      <c r="H221" s="65"/>
      <c r="I221" s="156"/>
      <c r="J221" s="65"/>
      <c r="K221" s="37"/>
      <c r="L221" s="37"/>
      <c r="M221" s="37"/>
      <c r="N221" s="37"/>
      <c r="O221" s="37"/>
      <c r="P221" s="37"/>
      <c r="Q221" s="37"/>
      <c r="R221" s="37"/>
      <c r="S221" s="37"/>
      <c r="T221" s="37"/>
      <c r="U221" s="3"/>
      <c r="W221" s="3"/>
      <c r="X221" s="3"/>
      <c r="Y221" s="3"/>
      <c r="Z221" s="3"/>
    </row>
    <row r="222" spans="1:26" ht="15.75" hidden="1" customHeight="1" outlineLevel="1" x14ac:dyDescent="0.3">
      <c r="A222" s="3"/>
      <c r="B222" s="10" t="s">
        <v>371</v>
      </c>
      <c r="C222" s="62"/>
      <c r="D222" s="62"/>
      <c r="E222" s="12">
        <v>0</v>
      </c>
      <c r="F222" s="12">
        <v>0</v>
      </c>
      <c r="G222" s="65"/>
      <c r="H222" s="65"/>
      <c r="I222" s="89"/>
      <c r="J222" s="65"/>
      <c r="K222" s="37"/>
      <c r="L222" s="37"/>
      <c r="M222" s="37"/>
      <c r="N222" s="37"/>
      <c r="O222" s="37"/>
      <c r="P222" s="37"/>
      <c r="Q222" s="37"/>
      <c r="R222" s="37"/>
      <c r="S222" s="37"/>
      <c r="T222" s="37"/>
      <c r="U222" s="3"/>
      <c r="W222" s="3"/>
      <c r="X222" s="3"/>
      <c r="Y222" s="3"/>
      <c r="Z222" s="3"/>
    </row>
    <row r="223" spans="1:26" ht="15.75" hidden="1" customHeight="1" outlineLevel="1" x14ac:dyDescent="0.3">
      <c r="A223" s="3"/>
      <c r="B223" s="10" t="s">
        <v>372</v>
      </c>
      <c r="C223" s="62"/>
      <c r="D223" s="62"/>
      <c r="E223" s="12">
        <v>0</v>
      </c>
      <c r="F223" s="12">
        <v>0</v>
      </c>
      <c r="G223" s="65"/>
      <c r="H223" s="65"/>
      <c r="I223" s="89"/>
      <c r="J223" s="65"/>
      <c r="K223" s="37"/>
      <c r="L223" s="37"/>
      <c r="M223" s="37"/>
      <c r="N223" s="37"/>
      <c r="O223" s="37"/>
      <c r="P223" s="37"/>
      <c r="Q223" s="37"/>
      <c r="R223" s="37"/>
      <c r="S223" s="37"/>
      <c r="T223" s="37"/>
      <c r="U223" s="3"/>
      <c r="W223" s="3"/>
      <c r="X223" s="3"/>
      <c r="Y223" s="3"/>
      <c r="Z223" s="3"/>
    </row>
    <row r="224" spans="1:26" ht="15.75" customHeight="1" collapsed="1" x14ac:dyDescent="0.3">
      <c r="A224" s="3"/>
      <c r="B224" s="84" t="s">
        <v>401</v>
      </c>
      <c r="C224" s="85" t="s">
        <v>43</v>
      </c>
      <c r="D224" s="85" t="s">
        <v>43</v>
      </c>
      <c r="E224" s="86">
        <f>SUM(E225:E233)</f>
        <v>0</v>
      </c>
      <c r="F224" s="86">
        <f>SUMIF(D225:D233,"OK",F225:F233)</f>
        <v>0</v>
      </c>
      <c r="G224" s="87"/>
      <c r="H224" s="87"/>
      <c r="I224" s="88"/>
      <c r="J224" s="87"/>
      <c r="K224" s="37"/>
      <c r="L224" s="37"/>
      <c r="M224" s="37"/>
      <c r="N224" s="37"/>
      <c r="O224" s="37"/>
      <c r="P224" s="37"/>
      <c r="Q224" s="37"/>
      <c r="R224" s="37"/>
      <c r="S224" s="37"/>
      <c r="T224" s="37"/>
      <c r="U224" s="3"/>
      <c r="W224" s="3"/>
      <c r="X224" s="3"/>
      <c r="Y224" s="3"/>
      <c r="Z224" s="3"/>
    </row>
    <row r="225" spans="1:26" ht="15.75" hidden="1" customHeight="1" outlineLevel="1" x14ac:dyDescent="0.3">
      <c r="A225" s="3"/>
      <c r="B225" s="10" t="s">
        <v>353</v>
      </c>
      <c r="C225" s="62"/>
      <c r="D225" s="62"/>
      <c r="E225" s="12">
        <v>0</v>
      </c>
      <c r="F225" s="12">
        <v>0</v>
      </c>
      <c r="G225" s="65"/>
      <c r="H225" s="65"/>
      <c r="I225" s="112"/>
      <c r="J225" s="65"/>
      <c r="K225" s="37"/>
      <c r="L225" s="37"/>
      <c r="M225" s="37"/>
      <c r="N225" s="37"/>
      <c r="O225" s="37"/>
      <c r="P225" s="37"/>
      <c r="Q225" s="37"/>
      <c r="R225" s="37"/>
      <c r="S225" s="37"/>
      <c r="T225" s="37"/>
      <c r="U225" s="3"/>
      <c r="W225" s="3"/>
      <c r="X225" s="3"/>
      <c r="Y225" s="3"/>
      <c r="Z225" s="3"/>
    </row>
    <row r="226" spans="1:26" ht="15.75" hidden="1" customHeight="1" outlineLevel="1" x14ac:dyDescent="0.3">
      <c r="A226" s="3"/>
      <c r="B226" s="10" t="s">
        <v>354</v>
      </c>
      <c r="C226" s="62"/>
      <c r="D226" s="62"/>
      <c r="E226" s="12">
        <v>0</v>
      </c>
      <c r="F226" s="12">
        <v>0</v>
      </c>
      <c r="G226" s="65"/>
      <c r="H226" s="65"/>
      <c r="I226" s="112"/>
      <c r="J226" s="65"/>
      <c r="K226" s="37"/>
      <c r="L226" s="37"/>
      <c r="M226" s="37"/>
      <c r="N226" s="37"/>
      <c r="O226" s="37"/>
      <c r="P226" s="37"/>
      <c r="Q226" s="37"/>
      <c r="R226" s="37"/>
      <c r="S226" s="37"/>
      <c r="T226" s="37"/>
      <c r="U226" s="3"/>
      <c r="W226" s="3"/>
      <c r="X226" s="3"/>
      <c r="Y226" s="3"/>
      <c r="Z226" s="3"/>
    </row>
    <row r="227" spans="1:26" ht="15.75" hidden="1" customHeight="1" outlineLevel="1" x14ac:dyDescent="0.3">
      <c r="A227" s="3"/>
      <c r="B227" s="10" t="s">
        <v>355</v>
      </c>
      <c r="C227" s="62"/>
      <c r="D227" s="62"/>
      <c r="E227" s="12">
        <v>0</v>
      </c>
      <c r="F227" s="12">
        <v>0</v>
      </c>
      <c r="G227" s="65"/>
      <c r="H227" s="65"/>
      <c r="I227" s="156"/>
      <c r="J227" s="65"/>
      <c r="K227" s="37"/>
      <c r="L227" s="37"/>
      <c r="M227" s="37"/>
      <c r="N227" s="37"/>
      <c r="O227" s="37"/>
      <c r="P227" s="37"/>
      <c r="Q227" s="37"/>
      <c r="R227" s="37"/>
      <c r="S227" s="37"/>
      <c r="T227" s="37"/>
      <c r="U227" s="3"/>
      <c r="W227" s="3"/>
      <c r="X227" s="3"/>
      <c r="Y227" s="3"/>
      <c r="Z227" s="3"/>
    </row>
    <row r="228" spans="1:26" ht="15.75" hidden="1" customHeight="1" outlineLevel="1" x14ac:dyDescent="0.3">
      <c r="A228" s="3"/>
      <c r="B228" s="10" t="s">
        <v>369</v>
      </c>
      <c r="C228" s="62"/>
      <c r="D228" s="62"/>
      <c r="E228" s="12">
        <v>0</v>
      </c>
      <c r="F228" s="12">
        <v>0</v>
      </c>
      <c r="G228" s="65"/>
      <c r="H228" s="65"/>
      <c r="I228" s="156"/>
      <c r="J228" s="65"/>
      <c r="K228" s="37"/>
      <c r="L228" s="37"/>
      <c r="M228" s="37"/>
      <c r="N228" s="37"/>
      <c r="O228" s="37"/>
      <c r="P228" s="37"/>
      <c r="Q228" s="37"/>
      <c r="R228" s="37"/>
      <c r="S228" s="37"/>
      <c r="T228" s="37"/>
      <c r="U228" s="3"/>
      <c r="W228" s="3"/>
      <c r="X228" s="3"/>
      <c r="Y228" s="3"/>
      <c r="Z228" s="3"/>
    </row>
    <row r="229" spans="1:26" ht="15.75" hidden="1" customHeight="1" outlineLevel="1" x14ac:dyDescent="0.3">
      <c r="A229" s="3"/>
      <c r="B229" s="10" t="s">
        <v>327</v>
      </c>
      <c r="C229" s="62"/>
      <c r="D229" s="62"/>
      <c r="E229" s="12">
        <v>0</v>
      </c>
      <c r="F229" s="12">
        <v>0</v>
      </c>
      <c r="G229" s="65"/>
      <c r="H229" s="65"/>
      <c r="I229" s="157"/>
      <c r="J229" s="65"/>
      <c r="K229" s="37"/>
      <c r="L229" s="37"/>
      <c r="M229" s="37"/>
      <c r="N229" s="37"/>
      <c r="O229" s="37"/>
      <c r="P229" s="37"/>
      <c r="Q229" s="37"/>
      <c r="R229" s="37"/>
      <c r="S229" s="37"/>
      <c r="T229" s="37"/>
      <c r="U229" s="3"/>
      <c r="W229" s="3"/>
      <c r="X229" s="3"/>
      <c r="Y229" s="3"/>
      <c r="Z229" s="3"/>
    </row>
    <row r="230" spans="1:26" ht="15.75" hidden="1" customHeight="1" outlineLevel="1" x14ac:dyDescent="0.3">
      <c r="A230" s="3"/>
      <c r="B230" s="10" t="s">
        <v>328</v>
      </c>
      <c r="C230" s="62"/>
      <c r="D230" s="62"/>
      <c r="E230" s="12">
        <v>0</v>
      </c>
      <c r="F230" s="12">
        <v>0</v>
      </c>
      <c r="G230" s="65"/>
      <c r="H230" s="65"/>
      <c r="I230" s="157"/>
      <c r="J230" s="65"/>
      <c r="K230" s="37"/>
      <c r="L230" s="37"/>
      <c r="M230" s="37"/>
      <c r="N230" s="37"/>
      <c r="O230" s="37"/>
      <c r="P230" s="37"/>
      <c r="Q230" s="37"/>
      <c r="R230" s="37"/>
      <c r="S230" s="37"/>
      <c r="T230" s="37"/>
      <c r="U230" s="3"/>
      <c r="W230" s="3"/>
      <c r="X230" s="3"/>
      <c r="Y230" s="3"/>
      <c r="Z230" s="3"/>
    </row>
    <row r="231" spans="1:26" ht="15.75" hidden="1" customHeight="1" outlineLevel="1" x14ac:dyDescent="0.3">
      <c r="A231" s="3"/>
      <c r="B231" s="10" t="s">
        <v>370</v>
      </c>
      <c r="C231" s="62"/>
      <c r="D231" s="62"/>
      <c r="E231" s="12">
        <v>0</v>
      </c>
      <c r="F231" s="12">
        <v>0</v>
      </c>
      <c r="G231" s="65"/>
      <c r="H231" s="65"/>
      <c r="I231" s="157"/>
      <c r="J231" s="65"/>
      <c r="K231" s="37"/>
      <c r="L231" s="37"/>
      <c r="M231" s="37"/>
      <c r="N231" s="37"/>
      <c r="O231" s="37"/>
      <c r="P231" s="37"/>
      <c r="Q231" s="37"/>
      <c r="R231" s="37"/>
      <c r="S231" s="37"/>
      <c r="T231" s="37"/>
      <c r="U231" s="3"/>
      <c r="W231" s="3"/>
      <c r="X231" s="3"/>
      <c r="Y231" s="3"/>
      <c r="Z231" s="3"/>
    </row>
    <row r="232" spans="1:26" ht="15.75" hidden="1" customHeight="1" outlineLevel="1" x14ac:dyDescent="0.3">
      <c r="A232" s="3"/>
      <c r="B232" s="10" t="s">
        <v>371</v>
      </c>
      <c r="C232" s="62"/>
      <c r="D232" s="62"/>
      <c r="E232" s="12">
        <v>0</v>
      </c>
      <c r="F232" s="12">
        <v>0</v>
      </c>
      <c r="G232" s="89"/>
      <c r="H232" s="65"/>
      <c r="I232" s="157"/>
      <c r="J232" s="65"/>
      <c r="K232" s="37"/>
      <c r="L232" s="37"/>
      <c r="M232" s="37"/>
      <c r="N232" s="37"/>
      <c r="O232" s="37"/>
      <c r="P232" s="37"/>
      <c r="Q232" s="37"/>
      <c r="R232" s="37"/>
      <c r="S232" s="37"/>
      <c r="T232" s="37"/>
      <c r="U232" s="3"/>
      <c r="W232" s="3"/>
      <c r="X232" s="3"/>
      <c r="Y232" s="3"/>
      <c r="Z232" s="3"/>
    </row>
    <row r="233" spans="1:26" ht="15.75" hidden="1" customHeight="1" outlineLevel="1" x14ac:dyDescent="0.3">
      <c r="A233" s="3"/>
      <c r="B233" s="10" t="s">
        <v>372</v>
      </c>
      <c r="C233" s="62"/>
      <c r="D233" s="62"/>
      <c r="E233" s="12">
        <v>0</v>
      </c>
      <c r="F233" s="12">
        <v>0</v>
      </c>
      <c r="G233" s="89"/>
      <c r="H233" s="65"/>
      <c r="I233" s="157"/>
      <c r="J233" s="65"/>
      <c r="K233" s="37"/>
      <c r="L233" s="37"/>
      <c r="M233" s="37"/>
      <c r="N233" s="37"/>
      <c r="O233" s="37"/>
      <c r="P233" s="37"/>
      <c r="Q233" s="37"/>
      <c r="R233" s="37"/>
      <c r="S233" s="37"/>
      <c r="T233" s="37"/>
      <c r="U233" s="3"/>
      <c r="W233" s="3"/>
      <c r="X233" s="3"/>
      <c r="Y233" s="3"/>
      <c r="Z233" s="3"/>
    </row>
    <row r="234" spans="1:26" ht="15.75" customHeight="1" collapsed="1" x14ac:dyDescent="0.3">
      <c r="A234" s="3"/>
      <c r="B234" s="84" t="s">
        <v>402</v>
      </c>
      <c r="C234" s="85" t="s">
        <v>43</v>
      </c>
      <c r="D234" s="85" t="s">
        <v>43</v>
      </c>
      <c r="E234" s="86">
        <f>SUM(E235:E243)</f>
        <v>0</v>
      </c>
      <c r="F234" s="86">
        <f>SUMIF(D235:D243,"OK",F235:F243)</f>
        <v>0</v>
      </c>
      <c r="G234" s="87"/>
      <c r="H234" s="87"/>
      <c r="I234" s="88"/>
      <c r="J234" s="87"/>
      <c r="K234" s="37"/>
      <c r="L234" s="37"/>
      <c r="M234" s="37"/>
      <c r="N234" s="37"/>
      <c r="O234" s="37"/>
      <c r="P234" s="37"/>
      <c r="Q234" s="37"/>
      <c r="R234" s="37"/>
      <c r="S234" s="37"/>
      <c r="T234" s="37"/>
      <c r="U234" s="3"/>
      <c r="W234" s="3"/>
      <c r="X234" s="3"/>
      <c r="Y234" s="3"/>
      <c r="Z234" s="3"/>
    </row>
    <row r="235" spans="1:26" ht="15.75" hidden="1" customHeight="1" outlineLevel="1" x14ac:dyDescent="0.3">
      <c r="A235" s="3"/>
      <c r="B235" s="10" t="s">
        <v>353</v>
      </c>
      <c r="C235" s="62"/>
      <c r="D235" s="62"/>
      <c r="E235" s="12">
        <v>0</v>
      </c>
      <c r="F235" s="12">
        <v>0</v>
      </c>
      <c r="G235" s="65"/>
      <c r="H235" s="65"/>
      <c r="I235" s="157"/>
      <c r="J235" s="65"/>
      <c r="K235" s="37"/>
      <c r="L235" s="37"/>
      <c r="M235" s="37"/>
      <c r="N235" s="37"/>
      <c r="O235" s="37"/>
      <c r="P235" s="37"/>
      <c r="Q235" s="37"/>
      <c r="R235" s="37"/>
      <c r="S235" s="37"/>
      <c r="T235" s="37"/>
      <c r="U235" s="3"/>
      <c r="W235" s="3"/>
      <c r="X235" s="3"/>
      <c r="Y235" s="3"/>
      <c r="Z235" s="3"/>
    </row>
    <row r="236" spans="1:26" ht="15.75" hidden="1" customHeight="1" outlineLevel="1" x14ac:dyDescent="0.3">
      <c r="A236" s="3"/>
      <c r="B236" s="10" t="s">
        <v>354</v>
      </c>
      <c r="C236" s="62"/>
      <c r="D236" s="62"/>
      <c r="E236" s="12">
        <v>0</v>
      </c>
      <c r="F236" s="12">
        <v>0</v>
      </c>
      <c r="G236" s="65"/>
      <c r="H236" s="65"/>
      <c r="I236" s="157"/>
      <c r="J236" s="65"/>
      <c r="K236" s="37"/>
      <c r="L236" s="37"/>
      <c r="M236" s="37"/>
      <c r="N236" s="37"/>
      <c r="O236" s="37"/>
      <c r="P236" s="37"/>
      <c r="Q236" s="37"/>
      <c r="R236" s="37"/>
      <c r="S236" s="37"/>
      <c r="T236" s="37"/>
      <c r="U236" s="3"/>
      <c r="W236" s="3"/>
      <c r="X236" s="3"/>
      <c r="Y236" s="3"/>
      <c r="Z236" s="3"/>
    </row>
    <row r="237" spans="1:26" ht="15.75" hidden="1" customHeight="1" outlineLevel="1" x14ac:dyDescent="0.3">
      <c r="A237" s="3"/>
      <c r="B237" s="10" t="s">
        <v>355</v>
      </c>
      <c r="C237" s="62"/>
      <c r="D237" s="62"/>
      <c r="E237" s="12">
        <v>0</v>
      </c>
      <c r="F237" s="12">
        <v>0</v>
      </c>
      <c r="G237" s="65"/>
      <c r="H237" s="65"/>
      <c r="I237" s="89"/>
      <c r="J237" s="65"/>
      <c r="K237" s="37"/>
      <c r="L237" s="37"/>
      <c r="M237" s="37"/>
      <c r="N237" s="37"/>
      <c r="O237" s="37"/>
      <c r="P237" s="37"/>
      <c r="Q237" s="37"/>
      <c r="R237" s="37"/>
      <c r="S237" s="37"/>
      <c r="T237" s="37"/>
      <c r="U237" s="3"/>
      <c r="W237" s="3"/>
      <c r="X237" s="3"/>
      <c r="Y237" s="3"/>
      <c r="Z237" s="3"/>
    </row>
    <row r="238" spans="1:26" ht="15.75" hidden="1" customHeight="1" outlineLevel="1" x14ac:dyDescent="0.3">
      <c r="A238" s="3"/>
      <c r="B238" s="10" t="s">
        <v>369</v>
      </c>
      <c r="C238" s="62"/>
      <c r="D238" s="62"/>
      <c r="E238" s="12">
        <v>0</v>
      </c>
      <c r="F238" s="12">
        <v>0</v>
      </c>
      <c r="G238" s="65"/>
      <c r="H238" s="65"/>
      <c r="I238" s="89"/>
      <c r="J238" s="65"/>
      <c r="K238" s="37"/>
      <c r="L238" s="37"/>
      <c r="M238" s="37"/>
      <c r="N238" s="37"/>
      <c r="O238" s="37"/>
      <c r="P238" s="37"/>
      <c r="Q238" s="37"/>
      <c r="R238" s="37"/>
      <c r="S238" s="37"/>
      <c r="T238" s="37"/>
      <c r="U238" s="3"/>
      <c r="W238" s="3"/>
      <c r="X238" s="3"/>
      <c r="Y238" s="3"/>
      <c r="Z238" s="3"/>
    </row>
    <row r="239" spans="1:26" ht="15.75" hidden="1" customHeight="1" outlineLevel="1" x14ac:dyDescent="0.3">
      <c r="A239" s="3"/>
      <c r="B239" s="10" t="s">
        <v>327</v>
      </c>
      <c r="C239" s="62"/>
      <c r="D239" s="62"/>
      <c r="E239" s="12">
        <v>0</v>
      </c>
      <c r="F239" s="12">
        <v>0</v>
      </c>
      <c r="G239" s="65"/>
      <c r="H239" s="65"/>
      <c r="I239" s="89"/>
      <c r="J239" s="65"/>
      <c r="K239" s="37"/>
      <c r="L239" s="37"/>
      <c r="M239" s="37"/>
      <c r="N239" s="37"/>
      <c r="O239" s="37"/>
      <c r="P239" s="37"/>
      <c r="Q239" s="37"/>
      <c r="R239" s="37"/>
      <c r="S239" s="37"/>
      <c r="T239" s="37"/>
      <c r="U239" s="3"/>
      <c r="W239" s="3"/>
      <c r="X239" s="3"/>
      <c r="Y239" s="3"/>
      <c r="Z239" s="3"/>
    </row>
    <row r="240" spans="1:26" ht="15.75" hidden="1" customHeight="1" outlineLevel="1" x14ac:dyDescent="0.3">
      <c r="A240" s="3"/>
      <c r="B240" s="10" t="s">
        <v>328</v>
      </c>
      <c r="C240" s="62"/>
      <c r="D240" s="62"/>
      <c r="E240" s="12">
        <v>0</v>
      </c>
      <c r="F240" s="12">
        <v>0</v>
      </c>
      <c r="G240" s="65"/>
      <c r="H240" s="65"/>
      <c r="I240" s="89"/>
      <c r="J240" s="65"/>
      <c r="K240" s="37"/>
      <c r="L240" s="37"/>
      <c r="M240" s="37"/>
      <c r="N240" s="37"/>
      <c r="O240" s="37"/>
      <c r="P240" s="37"/>
      <c r="Q240" s="37"/>
      <c r="R240" s="37"/>
      <c r="S240" s="37"/>
      <c r="T240" s="37"/>
      <c r="U240" s="3"/>
      <c r="W240" s="3"/>
      <c r="X240" s="3"/>
      <c r="Y240" s="3"/>
      <c r="Z240" s="3"/>
    </row>
    <row r="241" spans="1:26" ht="15.75" hidden="1" customHeight="1" outlineLevel="1" x14ac:dyDescent="0.3">
      <c r="A241" s="3"/>
      <c r="B241" s="10" t="s">
        <v>370</v>
      </c>
      <c r="C241" s="62"/>
      <c r="D241" s="62"/>
      <c r="E241" s="12">
        <v>0</v>
      </c>
      <c r="F241" s="12">
        <v>0</v>
      </c>
      <c r="G241" s="65"/>
      <c r="H241" s="65"/>
      <c r="I241" s="89"/>
      <c r="J241" s="65"/>
      <c r="K241" s="37"/>
      <c r="L241" s="37"/>
      <c r="M241" s="37"/>
      <c r="N241" s="37"/>
      <c r="O241" s="37"/>
      <c r="P241" s="37"/>
      <c r="Q241" s="37"/>
      <c r="R241" s="37"/>
      <c r="S241" s="37"/>
      <c r="T241" s="37"/>
      <c r="U241" s="3"/>
      <c r="W241" s="3"/>
      <c r="X241" s="3"/>
      <c r="Y241" s="3"/>
      <c r="Z241" s="3"/>
    </row>
    <row r="242" spans="1:26" ht="15.75" hidden="1" customHeight="1" outlineLevel="1" x14ac:dyDescent="0.3">
      <c r="A242" s="3"/>
      <c r="B242" s="10" t="s">
        <v>371</v>
      </c>
      <c r="C242" s="62"/>
      <c r="D242" s="62"/>
      <c r="E242" s="12">
        <v>0</v>
      </c>
      <c r="F242" s="12">
        <v>0</v>
      </c>
      <c r="G242" s="65"/>
      <c r="H242" s="65"/>
      <c r="I242" s="89"/>
      <c r="J242" s="65"/>
      <c r="K242" s="37"/>
      <c r="L242" s="37"/>
      <c r="M242" s="37"/>
      <c r="N242" s="37"/>
      <c r="O242" s="37"/>
      <c r="P242" s="37"/>
      <c r="Q242" s="37"/>
      <c r="R242" s="37"/>
      <c r="S242" s="37"/>
      <c r="T242" s="37"/>
      <c r="U242" s="3"/>
      <c r="W242" s="3"/>
      <c r="X242" s="3"/>
      <c r="Y242" s="3"/>
      <c r="Z242" s="3"/>
    </row>
    <row r="243" spans="1:26" ht="15.75" hidden="1" customHeight="1" outlineLevel="1" x14ac:dyDescent="0.3">
      <c r="A243" s="3"/>
      <c r="B243" s="10" t="s">
        <v>372</v>
      </c>
      <c r="C243" s="62"/>
      <c r="D243" s="62"/>
      <c r="E243" s="12">
        <v>0</v>
      </c>
      <c r="F243" s="12">
        <v>0</v>
      </c>
      <c r="G243" s="65"/>
      <c r="H243" s="65"/>
      <c r="I243" s="89"/>
      <c r="J243" s="65"/>
      <c r="K243" s="37"/>
      <c r="L243" s="37"/>
      <c r="M243" s="37"/>
      <c r="N243" s="37"/>
      <c r="O243" s="37"/>
      <c r="P243" s="37"/>
      <c r="Q243" s="37"/>
      <c r="R243" s="37"/>
      <c r="S243" s="37"/>
      <c r="T243" s="37"/>
      <c r="U243" s="3"/>
      <c r="W243" s="3"/>
      <c r="X243" s="3"/>
      <c r="Y243" s="3"/>
      <c r="Z243" s="3"/>
    </row>
    <row r="244" spans="1:26" ht="15.75" customHeight="1" collapsed="1" x14ac:dyDescent="0.3">
      <c r="A244" s="3"/>
      <c r="B244" s="84" t="s">
        <v>403</v>
      </c>
      <c r="C244" s="85" t="s">
        <v>43</v>
      </c>
      <c r="D244" s="85" t="s">
        <v>43</v>
      </c>
      <c r="E244" s="86">
        <f>SUM(E245:E253)</f>
        <v>0</v>
      </c>
      <c r="F244" s="86">
        <f>SUMIF(D245:D253,"OK",F245:F253)</f>
        <v>0</v>
      </c>
      <c r="G244" s="87"/>
      <c r="H244" s="87"/>
      <c r="I244" s="88"/>
      <c r="J244" s="87"/>
      <c r="K244" s="37"/>
      <c r="L244" s="37"/>
      <c r="M244" s="37"/>
      <c r="N244" s="37"/>
      <c r="O244" s="37"/>
      <c r="P244" s="37"/>
      <c r="Q244" s="37"/>
      <c r="R244" s="37"/>
      <c r="S244" s="37"/>
      <c r="T244" s="37"/>
      <c r="U244" s="3"/>
      <c r="W244" s="3"/>
      <c r="X244" s="3"/>
      <c r="Y244" s="3"/>
      <c r="Z244" s="3"/>
    </row>
    <row r="245" spans="1:26" ht="15.75" hidden="1" customHeight="1" outlineLevel="1" x14ac:dyDescent="0.3">
      <c r="A245" s="3"/>
      <c r="B245" s="10" t="s">
        <v>1506</v>
      </c>
      <c r="C245" s="62"/>
      <c r="D245" s="62"/>
      <c r="E245" s="12">
        <v>0</v>
      </c>
      <c r="F245" s="12">
        <v>0</v>
      </c>
      <c r="G245" s="89"/>
      <c r="H245" s="65"/>
      <c r="I245" s="128"/>
      <c r="J245" s="65"/>
      <c r="K245" s="37"/>
      <c r="L245" s="37"/>
      <c r="M245" s="37"/>
      <c r="N245" s="37"/>
      <c r="O245" s="37"/>
      <c r="P245" s="37"/>
      <c r="Q245" s="37"/>
      <c r="R245" s="37"/>
      <c r="S245" s="37"/>
      <c r="T245" s="37"/>
      <c r="U245" s="3"/>
      <c r="W245" s="3"/>
      <c r="X245" s="3"/>
      <c r="Y245" s="3"/>
      <c r="Z245" s="3"/>
    </row>
    <row r="246" spans="1:26" ht="15.75" hidden="1" customHeight="1" outlineLevel="1" x14ac:dyDescent="0.3">
      <c r="A246" s="3"/>
      <c r="B246" s="10" t="s">
        <v>354</v>
      </c>
      <c r="C246" s="62"/>
      <c r="D246" s="62"/>
      <c r="E246" s="12">
        <v>0</v>
      </c>
      <c r="F246" s="12">
        <v>0</v>
      </c>
      <c r="G246" s="65"/>
      <c r="H246" s="65"/>
      <c r="I246" s="157"/>
      <c r="J246" s="65"/>
      <c r="K246" s="37"/>
      <c r="L246" s="37"/>
      <c r="M246" s="37"/>
      <c r="N246" s="37"/>
      <c r="O246" s="37"/>
      <c r="P246" s="37"/>
      <c r="Q246" s="37"/>
      <c r="R246" s="37"/>
      <c r="S246" s="37"/>
      <c r="T246" s="37"/>
      <c r="U246" s="3"/>
      <c r="W246" s="3"/>
      <c r="X246" s="3"/>
      <c r="Y246" s="3"/>
      <c r="Z246" s="3"/>
    </row>
    <row r="247" spans="1:26" ht="15.75" hidden="1" customHeight="1" outlineLevel="1" x14ac:dyDescent="0.3">
      <c r="A247" s="3"/>
      <c r="B247" s="10" t="s">
        <v>355</v>
      </c>
      <c r="C247" s="62"/>
      <c r="D247" s="62"/>
      <c r="E247" s="12">
        <v>0</v>
      </c>
      <c r="F247" s="12">
        <v>0</v>
      </c>
      <c r="G247" s="65"/>
      <c r="H247" s="65"/>
      <c r="I247" s="89"/>
      <c r="J247" s="65"/>
      <c r="K247" s="37"/>
      <c r="L247" s="37"/>
      <c r="M247" s="37"/>
      <c r="N247" s="37"/>
      <c r="O247" s="37"/>
      <c r="P247" s="37"/>
      <c r="Q247" s="37"/>
      <c r="R247" s="37"/>
      <c r="S247" s="37"/>
      <c r="T247" s="37"/>
      <c r="U247" s="3"/>
      <c r="W247" s="3"/>
      <c r="X247" s="3"/>
      <c r="Y247" s="3"/>
      <c r="Z247" s="3"/>
    </row>
    <row r="248" spans="1:26" ht="15.75" hidden="1" customHeight="1" outlineLevel="1" x14ac:dyDescent="0.3">
      <c r="A248" s="3"/>
      <c r="B248" s="10" t="s">
        <v>369</v>
      </c>
      <c r="C248" s="62"/>
      <c r="D248" s="62"/>
      <c r="E248" s="12">
        <v>0</v>
      </c>
      <c r="F248" s="12">
        <v>0</v>
      </c>
      <c r="G248" s="65"/>
      <c r="H248" s="65"/>
      <c r="I248" s="89"/>
      <c r="J248" s="65"/>
      <c r="K248" s="37"/>
      <c r="L248" s="37"/>
      <c r="M248" s="37"/>
      <c r="N248" s="37"/>
      <c r="O248" s="37"/>
      <c r="P248" s="37"/>
      <c r="Q248" s="37"/>
      <c r="R248" s="37"/>
      <c r="S248" s="37"/>
      <c r="T248" s="37"/>
      <c r="U248" s="3"/>
      <c r="W248" s="3"/>
      <c r="X248" s="3"/>
      <c r="Y248" s="3"/>
      <c r="Z248" s="3"/>
    </row>
    <row r="249" spans="1:26" ht="15.75" hidden="1" customHeight="1" outlineLevel="1" x14ac:dyDescent="0.3">
      <c r="A249" s="3"/>
      <c r="B249" s="10" t="s">
        <v>327</v>
      </c>
      <c r="C249" s="62"/>
      <c r="D249" s="62"/>
      <c r="E249" s="12">
        <v>0</v>
      </c>
      <c r="F249" s="12">
        <v>0</v>
      </c>
      <c r="G249" s="65"/>
      <c r="H249" s="65"/>
      <c r="I249" s="89"/>
      <c r="J249" s="65"/>
      <c r="K249" s="37"/>
      <c r="L249" s="37"/>
      <c r="M249" s="37"/>
      <c r="N249" s="37"/>
      <c r="O249" s="37"/>
      <c r="P249" s="37"/>
      <c r="Q249" s="37"/>
      <c r="R249" s="37"/>
      <c r="S249" s="37"/>
      <c r="T249" s="37"/>
      <c r="U249" s="3"/>
      <c r="W249" s="3"/>
      <c r="X249" s="3"/>
      <c r="Y249" s="3"/>
      <c r="Z249" s="3"/>
    </row>
    <row r="250" spans="1:26" ht="15.75" hidden="1" customHeight="1" outlineLevel="1" x14ac:dyDescent="0.3">
      <c r="A250" s="3"/>
      <c r="B250" s="10" t="s">
        <v>328</v>
      </c>
      <c r="C250" s="62"/>
      <c r="D250" s="62"/>
      <c r="E250" s="12">
        <v>0</v>
      </c>
      <c r="F250" s="12">
        <v>0</v>
      </c>
      <c r="G250" s="65"/>
      <c r="H250" s="65"/>
      <c r="I250" s="89"/>
      <c r="J250" s="65"/>
      <c r="K250" s="37"/>
      <c r="L250" s="37"/>
      <c r="M250" s="37"/>
      <c r="N250" s="37"/>
      <c r="O250" s="37"/>
      <c r="P250" s="37"/>
      <c r="Q250" s="37"/>
      <c r="R250" s="37"/>
      <c r="S250" s="37"/>
      <c r="T250" s="37"/>
      <c r="U250" s="3"/>
      <c r="W250" s="3"/>
      <c r="X250" s="3"/>
      <c r="Y250" s="3"/>
      <c r="Z250" s="3"/>
    </row>
    <row r="251" spans="1:26" ht="15.75" hidden="1" customHeight="1" outlineLevel="1" x14ac:dyDescent="0.3">
      <c r="A251" s="3"/>
      <c r="B251" s="10" t="s">
        <v>370</v>
      </c>
      <c r="C251" s="62"/>
      <c r="D251" s="62"/>
      <c r="E251" s="12">
        <v>0</v>
      </c>
      <c r="F251" s="12">
        <v>0</v>
      </c>
      <c r="G251" s="65"/>
      <c r="H251" s="65"/>
      <c r="I251" s="89"/>
      <c r="J251" s="65"/>
      <c r="K251" s="37"/>
      <c r="L251" s="37"/>
      <c r="M251" s="37"/>
      <c r="N251" s="37"/>
      <c r="O251" s="37"/>
      <c r="P251" s="37"/>
      <c r="Q251" s="37"/>
      <c r="R251" s="37"/>
      <c r="S251" s="37"/>
      <c r="T251" s="37"/>
      <c r="U251" s="3"/>
      <c r="W251" s="3"/>
      <c r="X251" s="3"/>
      <c r="Y251" s="3"/>
      <c r="Z251" s="3"/>
    </row>
    <row r="252" spans="1:26" ht="15.75" hidden="1" customHeight="1" outlineLevel="1" x14ac:dyDescent="0.3">
      <c r="A252" s="3"/>
      <c r="B252" s="10" t="s">
        <v>371</v>
      </c>
      <c r="C252" s="62"/>
      <c r="D252" s="62"/>
      <c r="E252" s="12">
        <v>0</v>
      </c>
      <c r="F252" s="12">
        <v>0</v>
      </c>
      <c r="G252" s="65"/>
      <c r="H252" s="65"/>
      <c r="I252" s="89"/>
      <c r="J252" s="65"/>
      <c r="K252" s="37"/>
      <c r="L252" s="37"/>
      <c r="M252" s="37"/>
      <c r="N252" s="37"/>
      <c r="O252" s="37"/>
      <c r="P252" s="37"/>
      <c r="Q252" s="37"/>
      <c r="R252" s="37"/>
      <c r="S252" s="37"/>
      <c r="T252" s="37"/>
      <c r="U252" s="3"/>
      <c r="W252" s="3"/>
      <c r="X252" s="3"/>
      <c r="Y252" s="3"/>
      <c r="Z252" s="3"/>
    </row>
    <row r="253" spans="1:26" ht="15.75" hidden="1" customHeight="1" outlineLevel="1" x14ac:dyDescent="0.3">
      <c r="A253" s="3"/>
      <c r="B253" s="10" t="s">
        <v>372</v>
      </c>
      <c r="C253" s="62"/>
      <c r="D253" s="62"/>
      <c r="E253" s="12">
        <v>0</v>
      </c>
      <c r="F253" s="12">
        <v>0</v>
      </c>
      <c r="G253" s="65"/>
      <c r="H253" s="65"/>
      <c r="I253" s="89"/>
      <c r="J253" s="65"/>
      <c r="K253" s="37"/>
      <c r="L253" s="37"/>
      <c r="M253" s="37"/>
      <c r="N253" s="37"/>
      <c r="O253" s="37"/>
      <c r="P253" s="37"/>
      <c r="Q253" s="37"/>
      <c r="R253" s="37"/>
      <c r="S253" s="37"/>
      <c r="T253" s="37"/>
      <c r="U253" s="3"/>
      <c r="W253" s="3"/>
      <c r="X253" s="3"/>
      <c r="Y253" s="3"/>
      <c r="Z253" s="3"/>
    </row>
    <row r="254" spans="1:26" ht="15.75" customHeight="1" collapsed="1" x14ac:dyDescent="0.3">
      <c r="A254" s="3"/>
      <c r="B254" s="84" t="s">
        <v>405</v>
      </c>
      <c r="C254" s="85" t="s">
        <v>43</v>
      </c>
      <c r="D254" s="85" t="s">
        <v>43</v>
      </c>
      <c r="E254" s="86">
        <f>SUM(E255:E263)</f>
        <v>0</v>
      </c>
      <c r="F254" s="86">
        <f>SUMIF(D255:D263,"OK",F255:F263)</f>
        <v>0</v>
      </c>
      <c r="G254" s="87"/>
      <c r="H254" s="87"/>
      <c r="I254" s="88"/>
      <c r="J254" s="87"/>
      <c r="K254" s="37"/>
      <c r="L254" s="37"/>
      <c r="M254" s="37"/>
      <c r="N254" s="37"/>
      <c r="O254" s="37"/>
      <c r="P254" s="37"/>
      <c r="Q254" s="37"/>
      <c r="R254" s="37"/>
      <c r="S254" s="37"/>
      <c r="T254" s="37"/>
      <c r="U254" s="3"/>
      <c r="W254" s="3"/>
      <c r="X254" s="3"/>
      <c r="Y254" s="3"/>
      <c r="Z254" s="3"/>
    </row>
    <row r="255" spans="1:26" ht="15.75" hidden="1" customHeight="1" outlineLevel="1" x14ac:dyDescent="0.3">
      <c r="A255" s="3"/>
      <c r="B255" s="10" t="s">
        <v>353</v>
      </c>
      <c r="C255" s="62"/>
      <c r="D255" s="62"/>
      <c r="E255" s="12">
        <v>0</v>
      </c>
      <c r="F255" s="12">
        <v>0</v>
      </c>
      <c r="G255" s="65"/>
      <c r="H255" s="65"/>
      <c r="I255" s="112"/>
      <c r="J255" s="65"/>
      <c r="K255" s="37"/>
      <c r="L255" s="37"/>
      <c r="M255" s="37"/>
      <c r="N255" s="37"/>
      <c r="O255" s="37"/>
      <c r="P255" s="37"/>
      <c r="Q255" s="37"/>
      <c r="R255" s="37"/>
      <c r="S255" s="37"/>
      <c r="T255" s="37"/>
      <c r="U255" s="3"/>
      <c r="W255" s="3"/>
      <c r="X255" s="3"/>
      <c r="Y255" s="3"/>
      <c r="Z255" s="3"/>
    </row>
    <row r="256" spans="1:26" ht="15.75" hidden="1" customHeight="1" outlineLevel="1" x14ac:dyDescent="0.3">
      <c r="A256" s="3"/>
      <c r="B256" s="10" t="s">
        <v>354</v>
      </c>
      <c r="C256" s="62"/>
      <c r="D256" s="62"/>
      <c r="E256" s="12">
        <v>0</v>
      </c>
      <c r="F256" s="12">
        <v>0</v>
      </c>
      <c r="G256" s="65"/>
      <c r="H256" s="65"/>
      <c r="I256" s="112"/>
      <c r="J256" s="65"/>
      <c r="K256" s="37"/>
      <c r="L256" s="37"/>
      <c r="M256" s="37"/>
      <c r="N256" s="37"/>
      <c r="O256" s="37"/>
      <c r="P256" s="37"/>
      <c r="Q256" s="37"/>
      <c r="R256" s="37"/>
      <c r="S256" s="37"/>
      <c r="T256" s="37"/>
      <c r="U256" s="3"/>
      <c r="W256" s="3"/>
      <c r="X256" s="3"/>
      <c r="Y256" s="3"/>
      <c r="Z256" s="3"/>
    </row>
    <row r="257" spans="1:26" ht="15.75" hidden="1" customHeight="1" outlineLevel="1" x14ac:dyDescent="0.3">
      <c r="A257" s="3"/>
      <c r="B257" s="10" t="s">
        <v>355</v>
      </c>
      <c r="C257" s="62"/>
      <c r="D257" s="62"/>
      <c r="E257" s="12">
        <v>0</v>
      </c>
      <c r="F257" s="12">
        <v>0</v>
      </c>
      <c r="G257" s="65"/>
      <c r="H257" s="65"/>
      <c r="I257" s="89"/>
      <c r="J257" s="65"/>
      <c r="K257" s="37"/>
      <c r="L257" s="37"/>
      <c r="M257" s="37"/>
      <c r="N257" s="37"/>
      <c r="O257" s="37"/>
      <c r="P257" s="37"/>
      <c r="Q257" s="37"/>
      <c r="R257" s="37"/>
      <c r="S257" s="37"/>
      <c r="T257" s="37"/>
      <c r="U257" s="3"/>
      <c r="W257" s="3"/>
      <c r="X257" s="3"/>
      <c r="Y257" s="3"/>
      <c r="Z257" s="3"/>
    </row>
    <row r="258" spans="1:26" ht="15.75" hidden="1" customHeight="1" outlineLevel="1" x14ac:dyDescent="0.3">
      <c r="A258" s="3"/>
      <c r="B258" s="10" t="s">
        <v>369</v>
      </c>
      <c r="C258" s="62"/>
      <c r="D258" s="62"/>
      <c r="E258" s="12">
        <v>0</v>
      </c>
      <c r="F258" s="12">
        <v>0</v>
      </c>
      <c r="G258" s="65"/>
      <c r="H258" s="65"/>
      <c r="I258" s="89"/>
      <c r="J258" s="65"/>
      <c r="K258" s="37"/>
      <c r="L258" s="37"/>
      <c r="M258" s="37"/>
      <c r="N258" s="37"/>
      <c r="O258" s="37"/>
      <c r="P258" s="37"/>
      <c r="Q258" s="37"/>
      <c r="R258" s="37"/>
      <c r="S258" s="37"/>
      <c r="T258" s="37"/>
      <c r="U258" s="3"/>
      <c r="W258" s="3"/>
      <c r="X258" s="3"/>
      <c r="Y258" s="3"/>
      <c r="Z258" s="3"/>
    </row>
    <row r="259" spans="1:26" ht="15.75" hidden="1" customHeight="1" outlineLevel="1" x14ac:dyDescent="0.3">
      <c r="A259" s="3"/>
      <c r="B259" s="10" t="s">
        <v>327</v>
      </c>
      <c r="C259" s="62"/>
      <c r="D259" s="62"/>
      <c r="E259" s="12">
        <v>0</v>
      </c>
      <c r="F259" s="12">
        <v>0</v>
      </c>
      <c r="G259" s="65"/>
      <c r="H259" s="65"/>
      <c r="I259" s="89"/>
      <c r="J259" s="65"/>
      <c r="K259" s="37"/>
      <c r="L259" s="37"/>
      <c r="M259" s="37"/>
      <c r="N259" s="37"/>
      <c r="O259" s="37"/>
      <c r="P259" s="37"/>
      <c r="Q259" s="37"/>
      <c r="R259" s="37"/>
      <c r="S259" s="37"/>
      <c r="T259" s="37"/>
      <c r="U259" s="3"/>
      <c r="W259" s="3"/>
      <c r="X259" s="3"/>
      <c r="Y259" s="3"/>
      <c r="Z259" s="3"/>
    </row>
    <row r="260" spans="1:26" ht="15.75" hidden="1" customHeight="1" outlineLevel="1" x14ac:dyDescent="0.3">
      <c r="A260" s="3"/>
      <c r="B260" s="10" t="s">
        <v>328</v>
      </c>
      <c r="C260" s="62"/>
      <c r="D260" s="62"/>
      <c r="E260" s="12">
        <v>0</v>
      </c>
      <c r="F260" s="12">
        <v>0</v>
      </c>
      <c r="G260" s="65"/>
      <c r="H260" s="65"/>
      <c r="I260" s="89"/>
      <c r="J260" s="65"/>
      <c r="K260" s="37"/>
      <c r="L260" s="37"/>
      <c r="M260" s="37"/>
      <c r="N260" s="37"/>
      <c r="O260" s="37"/>
      <c r="P260" s="37"/>
      <c r="Q260" s="37"/>
      <c r="R260" s="37"/>
      <c r="S260" s="37"/>
      <c r="T260" s="37"/>
      <c r="U260" s="3"/>
      <c r="W260" s="3"/>
      <c r="X260" s="3"/>
      <c r="Y260" s="3"/>
      <c r="Z260" s="3"/>
    </row>
    <row r="261" spans="1:26" ht="15.75" hidden="1" customHeight="1" outlineLevel="1" x14ac:dyDescent="0.3">
      <c r="A261" s="3"/>
      <c r="B261" s="10" t="s">
        <v>370</v>
      </c>
      <c r="C261" s="62"/>
      <c r="D261" s="62"/>
      <c r="E261" s="12">
        <v>0</v>
      </c>
      <c r="F261" s="12">
        <v>0</v>
      </c>
      <c r="G261" s="65"/>
      <c r="H261" s="65"/>
      <c r="I261" s="89"/>
      <c r="J261" s="65"/>
      <c r="K261" s="37"/>
      <c r="L261" s="37"/>
      <c r="M261" s="37"/>
      <c r="N261" s="37"/>
      <c r="O261" s="37"/>
      <c r="P261" s="37"/>
      <c r="Q261" s="37"/>
      <c r="R261" s="37"/>
      <c r="S261" s="37"/>
      <c r="T261" s="37"/>
      <c r="U261" s="3"/>
      <c r="W261" s="3"/>
      <c r="X261" s="3"/>
      <c r="Y261" s="3"/>
      <c r="Z261" s="3"/>
    </row>
    <row r="262" spans="1:26" ht="15.75" hidden="1" customHeight="1" outlineLevel="1" x14ac:dyDescent="0.3">
      <c r="A262" s="3"/>
      <c r="B262" s="10" t="s">
        <v>371</v>
      </c>
      <c r="C262" s="62"/>
      <c r="D262" s="62"/>
      <c r="E262" s="12">
        <v>0</v>
      </c>
      <c r="F262" s="12">
        <v>0</v>
      </c>
      <c r="G262" s="65"/>
      <c r="H262" s="65"/>
      <c r="I262" s="89"/>
      <c r="J262" s="65"/>
      <c r="K262" s="37"/>
      <c r="L262" s="37"/>
      <c r="M262" s="37"/>
      <c r="N262" s="37"/>
      <c r="O262" s="37"/>
      <c r="P262" s="37"/>
      <c r="Q262" s="37"/>
      <c r="R262" s="37"/>
      <c r="S262" s="37"/>
      <c r="T262" s="37"/>
      <c r="U262" s="3"/>
      <c r="W262" s="3"/>
      <c r="X262" s="3"/>
      <c r="Y262" s="3"/>
      <c r="Z262" s="3"/>
    </row>
    <row r="263" spans="1:26" ht="15.75" hidden="1" customHeight="1" outlineLevel="1" x14ac:dyDescent="0.3">
      <c r="A263" s="3"/>
      <c r="B263" s="10" t="s">
        <v>372</v>
      </c>
      <c r="C263" s="62"/>
      <c r="D263" s="62"/>
      <c r="E263" s="12">
        <v>0</v>
      </c>
      <c r="F263" s="12">
        <v>0</v>
      </c>
      <c r="G263" s="65"/>
      <c r="H263" s="65"/>
      <c r="I263" s="89"/>
      <c r="J263" s="65"/>
      <c r="K263" s="37"/>
      <c r="L263" s="37"/>
      <c r="M263" s="37"/>
      <c r="N263" s="37"/>
      <c r="O263" s="37"/>
      <c r="P263" s="37"/>
      <c r="Q263" s="37"/>
      <c r="R263" s="37"/>
      <c r="S263" s="37"/>
      <c r="T263" s="37"/>
      <c r="U263" s="3"/>
      <c r="W263" s="3"/>
      <c r="X263" s="3"/>
      <c r="Y263" s="3"/>
      <c r="Z263" s="3"/>
    </row>
    <row r="264" spans="1:26" ht="15.75" customHeight="1" collapsed="1" x14ac:dyDescent="0.3">
      <c r="A264" s="3"/>
      <c r="B264" s="84" t="s">
        <v>408</v>
      </c>
      <c r="C264" s="85" t="s">
        <v>43</v>
      </c>
      <c r="D264" s="85" t="s">
        <v>43</v>
      </c>
      <c r="E264" s="86">
        <f t="shared" ref="E264:F264" si="3">SUM(E265,E275,E285,E295,E317)</f>
        <v>0</v>
      </c>
      <c r="F264" s="86">
        <f t="shared" si="3"/>
        <v>0</v>
      </c>
      <c r="G264" s="87"/>
      <c r="H264" s="87"/>
      <c r="I264" s="88"/>
      <c r="J264" s="87"/>
      <c r="K264" s="37"/>
      <c r="L264" s="37"/>
      <c r="M264" s="37"/>
      <c r="N264" s="37"/>
      <c r="O264" s="37"/>
      <c r="P264" s="37"/>
      <c r="Q264" s="37"/>
      <c r="R264" s="37"/>
      <c r="S264" s="37"/>
      <c r="T264" s="37"/>
      <c r="U264" s="3"/>
      <c r="W264" s="3"/>
      <c r="X264" s="3"/>
      <c r="Y264" s="3"/>
      <c r="Z264" s="3"/>
    </row>
    <row r="265" spans="1:26" ht="15.75" hidden="1" customHeight="1" outlineLevel="1" x14ac:dyDescent="0.3">
      <c r="A265" s="3"/>
      <c r="B265" s="91" t="s">
        <v>1624</v>
      </c>
      <c r="C265" s="92"/>
      <c r="D265" s="92"/>
      <c r="E265" s="93">
        <f>SUM(E266:E274)</f>
        <v>0</v>
      </c>
      <c r="F265" s="93">
        <f>SUMIF(D266:D274,"OK",F266:F274)</f>
        <v>0</v>
      </c>
      <c r="G265" s="94"/>
      <c r="H265" s="94"/>
      <c r="I265" s="95"/>
      <c r="J265" s="94"/>
      <c r="K265" s="37"/>
      <c r="L265" s="37"/>
      <c r="M265" s="37"/>
      <c r="N265" s="37"/>
      <c r="O265" s="37"/>
      <c r="P265" s="37"/>
      <c r="Q265" s="37"/>
      <c r="R265" s="37"/>
      <c r="S265" s="37"/>
      <c r="T265" s="37"/>
      <c r="U265" s="3"/>
      <c r="W265" s="3"/>
      <c r="X265" s="3"/>
      <c r="Y265" s="3"/>
      <c r="Z265" s="3"/>
    </row>
    <row r="266" spans="1:26" ht="15.75" hidden="1" customHeight="1" outlineLevel="1" x14ac:dyDescent="0.3">
      <c r="A266" s="3"/>
      <c r="B266" s="10" t="s">
        <v>1625</v>
      </c>
      <c r="C266" s="62"/>
      <c r="D266" s="62"/>
      <c r="E266" s="12">
        <v>0</v>
      </c>
      <c r="F266" s="12">
        <v>0</v>
      </c>
      <c r="G266" s="65"/>
      <c r="H266" s="65"/>
      <c r="I266" s="126"/>
      <c r="J266" s="65"/>
      <c r="K266" s="37"/>
      <c r="L266" s="37"/>
      <c r="M266" s="37"/>
      <c r="N266" s="37"/>
      <c r="O266" s="37"/>
      <c r="P266" s="37"/>
      <c r="Q266" s="37"/>
      <c r="R266" s="37"/>
      <c r="S266" s="37"/>
      <c r="T266" s="37"/>
      <c r="U266" s="3"/>
      <c r="W266" s="3"/>
      <c r="X266" s="3"/>
      <c r="Y266" s="3"/>
      <c r="Z266" s="3"/>
    </row>
    <row r="267" spans="1:26" ht="15.75" hidden="1" customHeight="1" outlineLevel="1" x14ac:dyDescent="0.3">
      <c r="A267" s="3"/>
      <c r="B267" s="10" t="s">
        <v>1625</v>
      </c>
      <c r="C267" s="62"/>
      <c r="D267" s="62"/>
      <c r="E267" s="12">
        <v>0</v>
      </c>
      <c r="F267" s="12">
        <v>0</v>
      </c>
      <c r="G267" s="65"/>
      <c r="H267" s="65"/>
      <c r="I267" s="126"/>
      <c r="J267" s="65"/>
      <c r="K267" s="37"/>
      <c r="L267" s="37"/>
      <c r="M267" s="37"/>
      <c r="N267" s="37"/>
      <c r="O267" s="37"/>
      <c r="P267" s="37"/>
      <c r="Q267" s="37"/>
      <c r="R267" s="37"/>
      <c r="S267" s="37"/>
      <c r="T267" s="37"/>
      <c r="U267" s="3"/>
      <c r="W267" s="3"/>
      <c r="X267" s="3"/>
      <c r="Y267" s="3"/>
      <c r="Z267" s="3"/>
    </row>
    <row r="268" spans="1:26" ht="15.75" hidden="1" customHeight="1" outlineLevel="1" x14ac:dyDescent="0.3">
      <c r="A268" s="3"/>
      <c r="B268" s="10" t="s">
        <v>1625</v>
      </c>
      <c r="C268" s="62"/>
      <c r="D268" s="62"/>
      <c r="E268" s="12">
        <v>0</v>
      </c>
      <c r="F268" s="12">
        <v>0</v>
      </c>
      <c r="G268" s="65"/>
      <c r="H268" s="65"/>
      <c r="I268" s="106"/>
      <c r="J268" s="65"/>
      <c r="K268" s="37"/>
      <c r="L268" s="37"/>
      <c r="M268" s="37"/>
      <c r="N268" s="37"/>
      <c r="O268" s="37"/>
      <c r="P268" s="37"/>
      <c r="Q268" s="37"/>
      <c r="R268" s="37"/>
      <c r="S268" s="37"/>
      <c r="T268" s="37"/>
      <c r="U268" s="3"/>
      <c r="W268" s="3"/>
      <c r="X268" s="3"/>
      <c r="Y268" s="3"/>
      <c r="Z268" s="3"/>
    </row>
    <row r="269" spans="1:26" ht="15.75" hidden="1" customHeight="1" outlineLevel="1" x14ac:dyDescent="0.3">
      <c r="A269" s="3"/>
      <c r="B269" s="10" t="s">
        <v>1625</v>
      </c>
      <c r="C269" s="62"/>
      <c r="D269" s="62"/>
      <c r="E269" s="12">
        <v>0</v>
      </c>
      <c r="F269" s="12">
        <v>0</v>
      </c>
      <c r="G269" s="65"/>
      <c r="H269" s="65"/>
      <c r="I269" s="126"/>
      <c r="J269" s="65"/>
      <c r="K269" s="37"/>
      <c r="L269" s="37"/>
      <c r="M269" s="37"/>
      <c r="N269" s="37"/>
      <c r="O269" s="37"/>
      <c r="P269" s="37"/>
      <c r="Q269" s="37"/>
      <c r="R269" s="37"/>
      <c r="S269" s="37"/>
      <c r="T269" s="37"/>
      <c r="U269" s="3"/>
      <c r="W269" s="3"/>
      <c r="X269" s="3"/>
      <c r="Y269" s="3"/>
      <c r="Z269" s="3"/>
    </row>
    <row r="270" spans="1:26" ht="15.75" hidden="1" customHeight="1" outlineLevel="1" x14ac:dyDescent="0.3">
      <c r="A270" s="3"/>
      <c r="B270" s="10" t="s">
        <v>1625</v>
      </c>
      <c r="C270" s="62"/>
      <c r="D270" s="62"/>
      <c r="E270" s="12">
        <v>0</v>
      </c>
      <c r="F270" s="12">
        <v>0</v>
      </c>
      <c r="G270" s="65"/>
      <c r="H270" s="65"/>
      <c r="I270" s="126"/>
      <c r="J270" s="65"/>
      <c r="K270" s="37"/>
      <c r="L270" s="37"/>
      <c r="M270" s="37"/>
      <c r="N270" s="37"/>
      <c r="O270" s="37"/>
      <c r="P270" s="37"/>
      <c r="Q270" s="37"/>
      <c r="R270" s="37"/>
      <c r="S270" s="37"/>
      <c r="T270" s="37"/>
      <c r="U270" s="3"/>
      <c r="W270" s="3"/>
      <c r="X270" s="3"/>
      <c r="Y270" s="3"/>
      <c r="Z270" s="3"/>
    </row>
    <row r="271" spans="1:26" ht="15.75" hidden="1" customHeight="1" outlineLevel="1" x14ac:dyDescent="0.3">
      <c r="A271" s="3"/>
      <c r="B271" s="10" t="s">
        <v>1625</v>
      </c>
      <c r="C271" s="62"/>
      <c r="D271" s="62"/>
      <c r="E271" s="12">
        <v>0</v>
      </c>
      <c r="F271" s="12">
        <v>0</v>
      </c>
      <c r="G271" s="65"/>
      <c r="H271" s="65"/>
      <c r="I271" s="126"/>
      <c r="J271" s="65"/>
      <c r="K271" s="37"/>
      <c r="L271" s="37"/>
      <c r="M271" s="37"/>
      <c r="N271" s="37"/>
      <c r="O271" s="37"/>
      <c r="P271" s="37"/>
      <c r="Q271" s="37"/>
      <c r="R271" s="37"/>
      <c r="S271" s="37"/>
      <c r="T271" s="37"/>
      <c r="U271" s="3"/>
      <c r="W271" s="3"/>
      <c r="X271" s="3"/>
      <c r="Y271" s="3"/>
      <c r="Z271" s="3"/>
    </row>
    <row r="272" spans="1:26" ht="15.75" hidden="1" customHeight="1" outlineLevel="1" x14ac:dyDescent="0.3">
      <c r="A272" s="3"/>
      <c r="B272" s="10" t="s">
        <v>1625</v>
      </c>
      <c r="C272" s="62"/>
      <c r="D272" s="62"/>
      <c r="E272" s="12">
        <v>0</v>
      </c>
      <c r="F272" s="12">
        <v>0</v>
      </c>
      <c r="G272" s="65"/>
      <c r="H272" s="65"/>
      <c r="I272" s="126"/>
      <c r="J272" s="65"/>
      <c r="K272" s="37"/>
      <c r="L272" s="37"/>
      <c r="M272" s="37"/>
      <c r="N272" s="37"/>
      <c r="O272" s="37"/>
      <c r="P272" s="37"/>
      <c r="Q272" s="37"/>
      <c r="R272" s="37"/>
      <c r="S272" s="37"/>
      <c r="T272" s="37"/>
      <c r="U272" s="3"/>
      <c r="W272" s="3"/>
      <c r="X272" s="3"/>
      <c r="Y272" s="3"/>
      <c r="Z272" s="3"/>
    </row>
    <row r="273" spans="1:26" ht="15.75" hidden="1" customHeight="1" outlineLevel="1" x14ac:dyDescent="0.3">
      <c r="A273" s="3"/>
      <c r="B273" s="10" t="s">
        <v>1625</v>
      </c>
      <c r="C273" s="62"/>
      <c r="D273" s="62"/>
      <c r="E273" s="12">
        <v>0</v>
      </c>
      <c r="F273" s="12">
        <v>0</v>
      </c>
      <c r="G273" s="65"/>
      <c r="H273" s="65"/>
      <c r="I273" s="126"/>
      <c r="J273" s="65"/>
      <c r="K273" s="37"/>
      <c r="L273" s="37"/>
      <c r="M273" s="37"/>
      <c r="N273" s="37"/>
      <c r="O273" s="37"/>
      <c r="P273" s="37"/>
      <c r="Q273" s="37"/>
      <c r="R273" s="37"/>
      <c r="S273" s="37"/>
      <c r="T273" s="37"/>
      <c r="U273" s="3"/>
      <c r="W273" s="3"/>
      <c r="X273" s="3"/>
      <c r="Y273" s="3"/>
      <c r="Z273" s="3"/>
    </row>
    <row r="274" spans="1:26" ht="15.75" hidden="1" customHeight="1" outlineLevel="1" x14ac:dyDescent="0.3">
      <c r="A274" s="3"/>
      <c r="B274" s="10" t="s">
        <v>1625</v>
      </c>
      <c r="C274" s="62"/>
      <c r="D274" s="62"/>
      <c r="E274" s="12">
        <v>0</v>
      </c>
      <c r="F274" s="12">
        <v>0</v>
      </c>
      <c r="G274" s="65"/>
      <c r="H274" s="65"/>
      <c r="I274" s="126"/>
      <c r="J274" s="65"/>
      <c r="K274" s="37"/>
      <c r="L274" s="37"/>
      <c r="M274" s="37"/>
      <c r="N274" s="37"/>
      <c r="O274" s="37"/>
      <c r="P274" s="37"/>
      <c r="Q274" s="37"/>
      <c r="R274" s="37"/>
      <c r="S274" s="37"/>
      <c r="T274" s="37"/>
      <c r="U274" s="3"/>
      <c r="W274" s="3"/>
      <c r="X274" s="3"/>
      <c r="Y274" s="3"/>
      <c r="Z274" s="3"/>
    </row>
    <row r="275" spans="1:26" ht="15.75" hidden="1" customHeight="1" outlineLevel="1" x14ac:dyDescent="0.3">
      <c r="A275" s="3"/>
      <c r="B275" s="91" t="s">
        <v>651</v>
      </c>
      <c r="C275" s="92"/>
      <c r="D275" s="92"/>
      <c r="E275" s="93">
        <f>SUM(E276:E284)</f>
        <v>0</v>
      </c>
      <c r="F275" s="93">
        <f>SUMIF(D276:D284,"OK",F276:F284)</f>
        <v>0</v>
      </c>
      <c r="G275" s="94"/>
      <c r="H275" s="94"/>
      <c r="I275" s="95"/>
      <c r="J275" s="94"/>
      <c r="K275" s="37"/>
      <c r="L275" s="37"/>
      <c r="M275" s="37"/>
      <c r="N275" s="37"/>
      <c r="O275" s="37"/>
      <c r="P275" s="37"/>
      <c r="Q275" s="37"/>
      <c r="R275" s="37"/>
      <c r="S275" s="37"/>
      <c r="T275" s="37"/>
      <c r="U275" s="3"/>
      <c r="W275" s="3"/>
      <c r="X275" s="3"/>
      <c r="Y275" s="3"/>
      <c r="Z275" s="3"/>
    </row>
    <row r="276" spans="1:26" ht="15.75" hidden="1" customHeight="1" outlineLevel="1" x14ac:dyDescent="0.3">
      <c r="A276" s="3"/>
      <c r="B276" s="10" t="s">
        <v>353</v>
      </c>
      <c r="C276" s="62"/>
      <c r="D276" s="62"/>
      <c r="E276" s="12">
        <v>0</v>
      </c>
      <c r="F276" s="12">
        <v>0</v>
      </c>
      <c r="G276" s="65"/>
      <c r="H276" s="65"/>
      <c r="I276" s="157"/>
      <c r="J276" s="65"/>
      <c r="K276" s="37"/>
      <c r="L276" s="37"/>
      <c r="M276" s="37"/>
      <c r="N276" s="37"/>
      <c r="O276" s="37"/>
      <c r="P276" s="37"/>
      <c r="Q276" s="37"/>
      <c r="R276" s="37"/>
      <c r="S276" s="37"/>
      <c r="T276" s="37"/>
      <c r="U276" s="3"/>
      <c r="W276" s="3"/>
      <c r="X276" s="3"/>
      <c r="Y276" s="3"/>
      <c r="Z276" s="3"/>
    </row>
    <row r="277" spans="1:26" ht="15.75" hidden="1" customHeight="1" outlineLevel="1" x14ac:dyDescent="0.3">
      <c r="A277" s="3"/>
      <c r="B277" s="10" t="s">
        <v>354</v>
      </c>
      <c r="C277" s="62"/>
      <c r="D277" s="62"/>
      <c r="E277" s="12">
        <v>0</v>
      </c>
      <c r="F277" s="12">
        <v>0</v>
      </c>
      <c r="G277" s="65"/>
      <c r="H277" s="65"/>
      <c r="I277" s="157"/>
      <c r="J277" s="65"/>
      <c r="K277" s="37"/>
      <c r="L277" s="37"/>
      <c r="M277" s="37"/>
      <c r="N277" s="37"/>
      <c r="O277" s="37"/>
      <c r="P277" s="37"/>
      <c r="Q277" s="37"/>
      <c r="R277" s="37"/>
      <c r="S277" s="37"/>
      <c r="T277" s="37"/>
      <c r="U277" s="3"/>
      <c r="W277" s="3"/>
      <c r="X277" s="3"/>
      <c r="Y277" s="3"/>
      <c r="Z277" s="3"/>
    </row>
    <row r="278" spans="1:26" ht="15.75" hidden="1" customHeight="1" outlineLevel="1" x14ac:dyDescent="0.3">
      <c r="A278" s="3"/>
      <c r="B278" s="10" t="s">
        <v>355</v>
      </c>
      <c r="C278" s="62"/>
      <c r="D278" s="62"/>
      <c r="E278" s="12">
        <v>0</v>
      </c>
      <c r="F278" s="12">
        <v>0</v>
      </c>
      <c r="G278" s="65"/>
      <c r="H278" s="65"/>
      <c r="I278" s="157"/>
      <c r="J278" s="65"/>
      <c r="K278" s="37"/>
      <c r="L278" s="37"/>
      <c r="M278" s="37"/>
      <c r="N278" s="37"/>
      <c r="O278" s="37"/>
      <c r="P278" s="37"/>
      <c r="Q278" s="37"/>
      <c r="R278" s="37"/>
      <c r="S278" s="37"/>
      <c r="T278" s="37"/>
      <c r="U278" s="3"/>
      <c r="W278" s="3"/>
      <c r="X278" s="3"/>
      <c r="Y278" s="3"/>
      <c r="Z278" s="3"/>
    </row>
    <row r="279" spans="1:26" ht="15.75" hidden="1" customHeight="1" outlineLevel="1" x14ac:dyDescent="0.3">
      <c r="A279" s="3"/>
      <c r="B279" s="10" t="s">
        <v>369</v>
      </c>
      <c r="C279" s="62"/>
      <c r="D279" s="62"/>
      <c r="E279" s="12">
        <v>0</v>
      </c>
      <c r="F279" s="12">
        <v>0</v>
      </c>
      <c r="G279" s="65"/>
      <c r="H279" s="65"/>
      <c r="I279" s="157"/>
      <c r="J279" s="65"/>
      <c r="K279" s="37"/>
      <c r="L279" s="37"/>
      <c r="M279" s="37"/>
      <c r="N279" s="37"/>
      <c r="O279" s="37"/>
      <c r="P279" s="37"/>
      <c r="Q279" s="37"/>
      <c r="R279" s="37"/>
      <c r="S279" s="37"/>
      <c r="T279" s="37"/>
      <c r="U279" s="3"/>
      <c r="W279" s="3"/>
      <c r="X279" s="3"/>
      <c r="Y279" s="3"/>
      <c r="Z279" s="3"/>
    </row>
    <row r="280" spans="1:26" ht="15.75" hidden="1" customHeight="1" outlineLevel="1" x14ac:dyDescent="0.3">
      <c r="A280" s="3"/>
      <c r="B280" s="10" t="s">
        <v>327</v>
      </c>
      <c r="C280" s="62"/>
      <c r="D280" s="62"/>
      <c r="E280" s="12">
        <v>0</v>
      </c>
      <c r="F280" s="12">
        <v>0</v>
      </c>
      <c r="G280" s="65"/>
      <c r="H280" s="65"/>
      <c r="I280" s="157"/>
      <c r="J280" s="65"/>
      <c r="K280" s="37"/>
      <c r="L280" s="37"/>
      <c r="M280" s="37"/>
      <c r="N280" s="37"/>
      <c r="O280" s="37"/>
      <c r="P280" s="37"/>
      <c r="Q280" s="37"/>
      <c r="R280" s="37"/>
      <c r="S280" s="37"/>
      <c r="T280" s="37"/>
      <c r="U280" s="3"/>
      <c r="W280" s="3"/>
      <c r="X280" s="3"/>
      <c r="Y280" s="3"/>
      <c r="Z280" s="3"/>
    </row>
    <row r="281" spans="1:26" ht="15.75" hidden="1" customHeight="1" outlineLevel="1" x14ac:dyDescent="0.3">
      <c r="A281" s="3"/>
      <c r="B281" s="10" t="s">
        <v>328</v>
      </c>
      <c r="C281" s="62"/>
      <c r="D281" s="62"/>
      <c r="E281" s="12">
        <v>0</v>
      </c>
      <c r="F281" s="12">
        <v>0</v>
      </c>
      <c r="G281" s="65"/>
      <c r="H281" s="65"/>
      <c r="I281" s="157"/>
      <c r="J281" s="65"/>
      <c r="K281" s="37"/>
      <c r="L281" s="37"/>
      <c r="M281" s="37"/>
      <c r="N281" s="37"/>
      <c r="O281" s="37"/>
      <c r="P281" s="37"/>
      <c r="Q281" s="37"/>
      <c r="R281" s="37"/>
      <c r="S281" s="37"/>
      <c r="T281" s="37"/>
      <c r="U281" s="3"/>
      <c r="W281" s="3"/>
      <c r="X281" s="3"/>
      <c r="Y281" s="3"/>
      <c r="Z281" s="3"/>
    </row>
    <row r="282" spans="1:26" ht="15.75" hidden="1" customHeight="1" outlineLevel="1" x14ac:dyDescent="0.3">
      <c r="A282" s="3"/>
      <c r="B282" s="10" t="s">
        <v>370</v>
      </c>
      <c r="C282" s="62"/>
      <c r="D282" s="62"/>
      <c r="E282" s="12">
        <v>0</v>
      </c>
      <c r="F282" s="12">
        <v>0</v>
      </c>
      <c r="G282" s="65"/>
      <c r="H282" s="65"/>
      <c r="I282" s="157"/>
      <c r="J282" s="65"/>
      <c r="K282" s="37"/>
      <c r="L282" s="37"/>
      <c r="M282" s="37"/>
      <c r="N282" s="37"/>
      <c r="O282" s="37"/>
      <c r="P282" s="37"/>
      <c r="Q282" s="37"/>
      <c r="R282" s="37"/>
      <c r="S282" s="37"/>
      <c r="T282" s="37"/>
      <c r="U282" s="3"/>
      <c r="W282" s="3"/>
      <c r="X282" s="3"/>
      <c r="Y282" s="3"/>
      <c r="Z282" s="3"/>
    </row>
    <row r="283" spans="1:26" ht="15.75" hidden="1" customHeight="1" outlineLevel="1" x14ac:dyDescent="0.3">
      <c r="A283" s="3"/>
      <c r="B283" s="10" t="s">
        <v>371</v>
      </c>
      <c r="C283" s="62"/>
      <c r="D283" s="62"/>
      <c r="E283" s="12">
        <v>0</v>
      </c>
      <c r="F283" s="12">
        <v>0</v>
      </c>
      <c r="G283" s="65"/>
      <c r="H283" s="65"/>
      <c r="I283" s="157"/>
      <c r="J283" s="65"/>
      <c r="K283" s="37"/>
      <c r="L283" s="37"/>
      <c r="M283" s="37"/>
      <c r="N283" s="37"/>
      <c r="O283" s="37"/>
      <c r="P283" s="37"/>
      <c r="Q283" s="37"/>
      <c r="R283" s="37"/>
      <c r="S283" s="37"/>
      <c r="T283" s="37"/>
      <c r="U283" s="3"/>
      <c r="W283" s="3"/>
      <c r="X283" s="3"/>
      <c r="Y283" s="3"/>
      <c r="Z283" s="3"/>
    </row>
    <row r="284" spans="1:26" ht="15.75" hidden="1" customHeight="1" outlineLevel="1" x14ac:dyDescent="0.3">
      <c r="A284" s="3"/>
      <c r="B284" s="10" t="s">
        <v>372</v>
      </c>
      <c r="C284" s="62"/>
      <c r="D284" s="62"/>
      <c r="E284" s="12">
        <v>0</v>
      </c>
      <c r="F284" s="12">
        <v>0</v>
      </c>
      <c r="G284" s="65"/>
      <c r="H284" s="65"/>
      <c r="I284" s="89"/>
      <c r="J284" s="65"/>
      <c r="K284" s="37"/>
      <c r="L284" s="37"/>
      <c r="M284" s="37"/>
      <c r="N284" s="37"/>
      <c r="O284" s="37"/>
      <c r="P284" s="37"/>
      <c r="Q284" s="37"/>
      <c r="R284" s="37"/>
      <c r="S284" s="37"/>
      <c r="T284" s="37"/>
      <c r="U284" s="3"/>
      <c r="W284" s="3"/>
      <c r="X284" s="3"/>
      <c r="Y284" s="3"/>
      <c r="Z284" s="3"/>
    </row>
    <row r="285" spans="1:26" ht="15.75" hidden="1" customHeight="1" outlineLevel="1" x14ac:dyDescent="0.3">
      <c r="A285" s="3"/>
      <c r="B285" s="91" t="s">
        <v>1024</v>
      </c>
      <c r="C285" s="92"/>
      <c r="D285" s="92"/>
      <c r="E285" s="93">
        <f>SUM(E286:E294)</f>
        <v>0</v>
      </c>
      <c r="F285" s="93">
        <f>SUMIF(D286:D294,"OK",F286:F294)</f>
        <v>0</v>
      </c>
      <c r="G285" s="94"/>
      <c r="H285" s="94"/>
      <c r="I285" s="95"/>
      <c r="J285" s="94"/>
      <c r="K285" s="37"/>
      <c r="L285" s="37"/>
      <c r="M285" s="37"/>
      <c r="N285" s="37"/>
      <c r="O285" s="37"/>
      <c r="P285" s="37"/>
      <c r="Q285" s="37"/>
      <c r="R285" s="37"/>
      <c r="S285" s="37"/>
      <c r="T285" s="37"/>
      <c r="U285" s="3"/>
      <c r="W285" s="3"/>
      <c r="X285" s="3"/>
      <c r="Y285" s="3"/>
      <c r="Z285" s="3"/>
    </row>
    <row r="286" spans="1:26" ht="15.75" hidden="1" customHeight="1" outlineLevel="1" x14ac:dyDescent="0.3">
      <c r="A286" s="3"/>
      <c r="B286" s="10" t="s">
        <v>353</v>
      </c>
      <c r="C286" s="62"/>
      <c r="D286" s="62"/>
      <c r="E286" s="12">
        <v>0</v>
      </c>
      <c r="F286" s="12">
        <v>0</v>
      </c>
      <c r="G286" s="65"/>
      <c r="H286" s="65"/>
      <c r="I286" s="89"/>
      <c r="J286" s="65"/>
      <c r="K286" s="37"/>
      <c r="L286" s="37"/>
      <c r="M286" s="37"/>
      <c r="N286" s="37"/>
      <c r="O286" s="37"/>
      <c r="P286" s="37"/>
      <c r="Q286" s="37"/>
      <c r="R286" s="37"/>
      <c r="S286" s="37"/>
      <c r="T286" s="37"/>
      <c r="U286" s="3"/>
      <c r="W286" s="3"/>
      <c r="X286" s="3"/>
      <c r="Y286" s="3"/>
      <c r="Z286" s="3"/>
    </row>
    <row r="287" spans="1:26" ht="15.75" hidden="1" customHeight="1" outlineLevel="1" x14ac:dyDescent="0.3">
      <c r="A287" s="3"/>
      <c r="B287" s="10" t="s">
        <v>354</v>
      </c>
      <c r="C287" s="62"/>
      <c r="D287" s="62"/>
      <c r="E287" s="12">
        <v>0</v>
      </c>
      <c r="F287" s="12">
        <v>0</v>
      </c>
      <c r="G287" s="65"/>
      <c r="H287" s="65"/>
      <c r="I287" s="89"/>
      <c r="J287" s="65"/>
      <c r="K287" s="37"/>
      <c r="L287" s="37"/>
      <c r="M287" s="37"/>
      <c r="N287" s="37"/>
      <c r="O287" s="37"/>
      <c r="P287" s="37"/>
      <c r="Q287" s="37"/>
      <c r="R287" s="37"/>
      <c r="S287" s="37"/>
      <c r="T287" s="37"/>
      <c r="U287" s="3"/>
      <c r="W287" s="3"/>
      <c r="X287" s="3"/>
      <c r="Y287" s="3"/>
      <c r="Z287" s="3"/>
    </row>
    <row r="288" spans="1:26" ht="15.75" hidden="1" customHeight="1" outlineLevel="1" x14ac:dyDescent="0.3">
      <c r="A288" s="3"/>
      <c r="B288" s="10" t="s">
        <v>355</v>
      </c>
      <c r="C288" s="62"/>
      <c r="D288" s="62"/>
      <c r="E288" s="12">
        <v>0</v>
      </c>
      <c r="F288" s="12">
        <v>0</v>
      </c>
      <c r="G288" s="65"/>
      <c r="H288" s="65"/>
      <c r="I288" s="89"/>
      <c r="J288" s="65"/>
      <c r="K288" s="37"/>
      <c r="L288" s="37"/>
      <c r="M288" s="37"/>
      <c r="N288" s="37"/>
      <c r="O288" s="37"/>
      <c r="P288" s="37"/>
      <c r="Q288" s="37"/>
      <c r="R288" s="37"/>
      <c r="S288" s="37"/>
      <c r="T288" s="37"/>
      <c r="U288" s="3"/>
      <c r="W288" s="3"/>
      <c r="X288" s="3"/>
      <c r="Y288" s="3"/>
      <c r="Z288" s="3"/>
    </row>
    <row r="289" spans="1:26" ht="15.75" hidden="1" customHeight="1" outlineLevel="1" x14ac:dyDescent="0.3">
      <c r="A289" s="3"/>
      <c r="B289" s="10" t="s">
        <v>369</v>
      </c>
      <c r="C289" s="62"/>
      <c r="D289" s="62"/>
      <c r="E289" s="12">
        <v>0</v>
      </c>
      <c r="F289" s="12">
        <v>0</v>
      </c>
      <c r="G289" s="65"/>
      <c r="H289" s="65"/>
      <c r="I289" s="89"/>
      <c r="J289" s="65"/>
      <c r="K289" s="37"/>
      <c r="L289" s="37"/>
      <c r="M289" s="37"/>
      <c r="N289" s="37"/>
      <c r="O289" s="37"/>
      <c r="P289" s="37"/>
      <c r="Q289" s="37"/>
      <c r="R289" s="37"/>
      <c r="S289" s="37"/>
      <c r="T289" s="37"/>
      <c r="U289" s="3"/>
      <c r="W289" s="3"/>
      <c r="X289" s="3"/>
      <c r="Y289" s="3"/>
      <c r="Z289" s="3"/>
    </row>
    <row r="290" spans="1:26" ht="15.75" hidden="1" customHeight="1" outlineLevel="1" x14ac:dyDescent="0.3">
      <c r="A290" s="3"/>
      <c r="B290" s="10" t="s">
        <v>327</v>
      </c>
      <c r="C290" s="62"/>
      <c r="D290" s="62"/>
      <c r="E290" s="12">
        <v>0</v>
      </c>
      <c r="F290" s="12">
        <v>0</v>
      </c>
      <c r="G290" s="65"/>
      <c r="H290" s="65"/>
      <c r="I290" s="89"/>
      <c r="J290" s="65"/>
      <c r="K290" s="37"/>
      <c r="L290" s="37"/>
      <c r="M290" s="37"/>
      <c r="N290" s="37"/>
      <c r="O290" s="37"/>
      <c r="P290" s="37"/>
      <c r="Q290" s="37"/>
      <c r="R290" s="37"/>
      <c r="S290" s="37"/>
      <c r="T290" s="37"/>
      <c r="U290" s="3"/>
      <c r="W290" s="3"/>
      <c r="X290" s="3"/>
      <c r="Y290" s="3"/>
      <c r="Z290" s="3"/>
    </row>
    <row r="291" spans="1:26" ht="15.75" hidden="1" customHeight="1" outlineLevel="1" x14ac:dyDescent="0.3">
      <c r="A291" s="3"/>
      <c r="B291" s="10" t="s">
        <v>328</v>
      </c>
      <c r="C291" s="62"/>
      <c r="D291" s="62"/>
      <c r="E291" s="12">
        <v>0</v>
      </c>
      <c r="F291" s="12">
        <v>0</v>
      </c>
      <c r="G291" s="65"/>
      <c r="H291" s="65"/>
      <c r="I291" s="89"/>
      <c r="J291" s="65"/>
      <c r="K291" s="37"/>
      <c r="L291" s="37"/>
      <c r="M291" s="37"/>
      <c r="N291" s="37"/>
      <c r="O291" s="37"/>
      <c r="P291" s="37"/>
      <c r="Q291" s="37"/>
      <c r="R291" s="37"/>
      <c r="S291" s="37"/>
      <c r="T291" s="37"/>
      <c r="U291" s="3"/>
      <c r="W291" s="3"/>
      <c r="X291" s="3"/>
      <c r="Y291" s="3"/>
      <c r="Z291" s="3"/>
    </row>
    <row r="292" spans="1:26" ht="15.75" hidden="1" customHeight="1" outlineLevel="1" x14ac:dyDescent="0.3">
      <c r="A292" s="3"/>
      <c r="B292" s="10" t="s">
        <v>370</v>
      </c>
      <c r="C292" s="62"/>
      <c r="D292" s="62"/>
      <c r="E292" s="12">
        <v>0</v>
      </c>
      <c r="F292" s="12">
        <v>0</v>
      </c>
      <c r="G292" s="65"/>
      <c r="H292" s="65"/>
      <c r="I292" s="89"/>
      <c r="J292" s="65"/>
      <c r="K292" s="37"/>
      <c r="L292" s="37"/>
      <c r="M292" s="37"/>
      <c r="N292" s="37"/>
      <c r="O292" s="37"/>
      <c r="P292" s="37"/>
      <c r="Q292" s="37"/>
      <c r="R292" s="37"/>
      <c r="S292" s="37"/>
      <c r="T292" s="37"/>
      <c r="U292" s="3"/>
      <c r="W292" s="3"/>
      <c r="X292" s="3"/>
      <c r="Y292" s="3"/>
      <c r="Z292" s="3"/>
    </row>
    <row r="293" spans="1:26" ht="15.75" hidden="1" customHeight="1" outlineLevel="1" x14ac:dyDescent="0.3">
      <c r="A293" s="3"/>
      <c r="B293" s="10" t="s">
        <v>371</v>
      </c>
      <c r="C293" s="62"/>
      <c r="D293" s="62"/>
      <c r="E293" s="12">
        <v>0</v>
      </c>
      <c r="F293" s="12">
        <v>0</v>
      </c>
      <c r="G293" s="65"/>
      <c r="H293" s="65"/>
      <c r="I293" s="89"/>
      <c r="J293" s="65"/>
      <c r="K293" s="37"/>
      <c r="L293" s="37"/>
      <c r="M293" s="37"/>
      <c r="N293" s="37"/>
      <c r="O293" s="37"/>
      <c r="P293" s="37"/>
      <c r="Q293" s="37"/>
      <c r="R293" s="37"/>
      <c r="S293" s="37"/>
      <c r="T293" s="37"/>
      <c r="U293" s="3"/>
      <c r="W293" s="3"/>
      <c r="X293" s="3"/>
      <c r="Y293" s="3"/>
      <c r="Z293" s="3"/>
    </row>
    <row r="294" spans="1:26" ht="15.75" hidden="1" customHeight="1" outlineLevel="1" x14ac:dyDescent="0.3">
      <c r="A294" s="3"/>
      <c r="B294" s="10" t="s">
        <v>372</v>
      </c>
      <c r="C294" s="62"/>
      <c r="D294" s="62"/>
      <c r="E294" s="12">
        <v>0</v>
      </c>
      <c r="F294" s="12">
        <v>0</v>
      </c>
      <c r="G294" s="65"/>
      <c r="H294" s="65"/>
      <c r="I294" s="89"/>
      <c r="J294" s="65"/>
      <c r="K294" s="37"/>
      <c r="L294" s="37"/>
      <c r="M294" s="37"/>
      <c r="N294" s="37"/>
      <c r="O294" s="37"/>
      <c r="P294" s="37"/>
      <c r="Q294" s="37"/>
      <c r="R294" s="37"/>
      <c r="S294" s="37"/>
      <c r="T294" s="37"/>
      <c r="U294" s="3"/>
      <c r="W294" s="3"/>
      <c r="X294" s="3"/>
      <c r="Y294" s="3"/>
      <c r="Z294" s="3"/>
    </row>
    <row r="295" spans="1:26" ht="15.75" hidden="1" customHeight="1" outlineLevel="1" x14ac:dyDescent="0.3">
      <c r="A295" s="3"/>
      <c r="B295" s="91" t="s">
        <v>64</v>
      </c>
      <c r="C295" s="92"/>
      <c r="D295" s="92"/>
      <c r="E295" s="93">
        <f>SUM(E296:E316)</f>
        <v>0</v>
      </c>
      <c r="F295" s="93">
        <f>SUMIF(D296:D316,"OK",F296:F316)</f>
        <v>0</v>
      </c>
      <c r="G295" s="94"/>
      <c r="H295" s="94"/>
      <c r="I295" s="95"/>
      <c r="J295" s="94"/>
      <c r="K295" s="37"/>
      <c r="L295" s="37"/>
      <c r="M295" s="37"/>
      <c r="N295" s="37"/>
      <c r="O295" s="37"/>
      <c r="P295" s="37"/>
      <c r="Q295" s="37"/>
      <c r="R295" s="37"/>
      <c r="S295" s="37"/>
      <c r="T295" s="37"/>
      <c r="U295" s="3"/>
      <c r="W295" s="3"/>
      <c r="X295" s="3"/>
      <c r="Y295" s="3"/>
      <c r="Z295" s="3"/>
    </row>
    <row r="296" spans="1:26" ht="15.75" hidden="1" customHeight="1" outlineLevel="1" x14ac:dyDescent="0.3">
      <c r="A296" s="3"/>
      <c r="B296" s="10" t="s">
        <v>1626</v>
      </c>
      <c r="C296" s="62"/>
      <c r="D296" s="62"/>
      <c r="E296" s="12">
        <v>0</v>
      </c>
      <c r="F296" s="12">
        <v>0</v>
      </c>
      <c r="G296" s="65"/>
      <c r="H296" s="65"/>
      <c r="I296" s="112"/>
      <c r="J296" s="65"/>
      <c r="K296" s="37"/>
      <c r="L296" s="37"/>
      <c r="M296" s="37"/>
      <c r="N296" s="37"/>
      <c r="O296" s="37"/>
      <c r="P296" s="37"/>
      <c r="Q296" s="37"/>
      <c r="R296" s="37"/>
      <c r="S296" s="37"/>
      <c r="T296" s="37"/>
      <c r="U296" s="3"/>
      <c r="W296" s="3"/>
      <c r="X296" s="3"/>
      <c r="Y296" s="3"/>
      <c r="Z296" s="3"/>
    </row>
    <row r="297" spans="1:26" ht="15.75" hidden="1" customHeight="1" outlineLevel="1" x14ac:dyDescent="0.3">
      <c r="A297" s="3"/>
      <c r="B297" s="10" t="s">
        <v>354</v>
      </c>
      <c r="C297" s="62"/>
      <c r="D297" s="62"/>
      <c r="E297" s="12">
        <v>0</v>
      </c>
      <c r="F297" s="12">
        <v>0</v>
      </c>
      <c r="G297" s="65"/>
      <c r="H297" s="65"/>
      <c r="I297" s="157"/>
      <c r="J297" s="65"/>
      <c r="K297" s="37"/>
      <c r="L297" s="37"/>
      <c r="M297" s="37"/>
      <c r="N297" s="37"/>
      <c r="O297" s="37"/>
      <c r="P297" s="37"/>
      <c r="Q297" s="37"/>
      <c r="R297" s="37"/>
      <c r="S297" s="37"/>
      <c r="T297" s="37"/>
      <c r="U297" s="3"/>
      <c r="W297" s="3"/>
      <c r="X297" s="3"/>
      <c r="Y297" s="3"/>
      <c r="Z297" s="3"/>
    </row>
    <row r="298" spans="1:26" ht="15.75" hidden="1" customHeight="1" outlineLevel="1" x14ac:dyDescent="0.3">
      <c r="A298" s="3"/>
      <c r="B298" s="10" t="s">
        <v>355</v>
      </c>
      <c r="C298" s="62"/>
      <c r="D298" s="62"/>
      <c r="E298" s="12">
        <v>0</v>
      </c>
      <c r="F298" s="12">
        <v>0</v>
      </c>
      <c r="G298" s="65"/>
      <c r="H298" s="65"/>
      <c r="I298" s="157"/>
      <c r="J298" s="65"/>
      <c r="K298" s="37"/>
      <c r="L298" s="37"/>
      <c r="M298" s="37"/>
      <c r="N298" s="37"/>
      <c r="O298" s="37"/>
      <c r="P298" s="37"/>
      <c r="Q298" s="37"/>
      <c r="R298" s="37"/>
      <c r="S298" s="37"/>
      <c r="T298" s="37"/>
      <c r="U298" s="3"/>
      <c r="W298" s="3"/>
      <c r="X298" s="3"/>
      <c r="Y298" s="3"/>
      <c r="Z298" s="3"/>
    </row>
    <row r="299" spans="1:26" ht="15.75" hidden="1" customHeight="1" outlineLevel="1" x14ac:dyDescent="0.3">
      <c r="A299" s="3"/>
      <c r="B299" s="10" t="s">
        <v>369</v>
      </c>
      <c r="C299" s="62"/>
      <c r="D299" s="62"/>
      <c r="E299" s="12">
        <v>0</v>
      </c>
      <c r="F299" s="12">
        <v>0</v>
      </c>
      <c r="G299" s="65"/>
      <c r="H299" s="65"/>
      <c r="I299" s="157"/>
      <c r="J299" s="65"/>
      <c r="K299" s="37"/>
      <c r="L299" s="37"/>
      <c r="M299" s="37"/>
      <c r="N299" s="37"/>
      <c r="O299" s="37"/>
      <c r="P299" s="37"/>
      <c r="Q299" s="37"/>
      <c r="R299" s="37"/>
      <c r="S299" s="37"/>
      <c r="T299" s="37"/>
      <c r="U299" s="3"/>
      <c r="W299" s="3"/>
      <c r="X299" s="3"/>
      <c r="Y299" s="3"/>
      <c r="Z299" s="3"/>
    </row>
    <row r="300" spans="1:26" ht="15.75" hidden="1" customHeight="1" outlineLevel="1" x14ac:dyDescent="0.3">
      <c r="A300" s="3"/>
      <c r="B300" s="10" t="s">
        <v>327</v>
      </c>
      <c r="C300" s="62"/>
      <c r="D300" s="62"/>
      <c r="E300" s="12">
        <v>0</v>
      </c>
      <c r="F300" s="12">
        <v>0</v>
      </c>
      <c r="G300" s="89"/>
      <c r="H300" s="65"/>
      <c r="I300" s="157"/>
      <c r="J300" s="65"/>
      <c r="K300" s="37"/>
      <c r="L300" s="37"/>
      <c r="M300" s="37"/>
      <c r="N300" s="37"/>
      <c r="O300" s="37"/>
      <c r="P300" s="37"/>
      <c r="Q300" s="37"/>
      <c r="R300" s="37"/>
      <c r="S300" s="37"/>
      <c r="T300" s="37"/>
      <c r="U300" s="3"/>
      <c r="W300" s="3"/>
      <c r="X300" s="3"/>
      <c r="Y300" s="3"/>
      <c r="Z300" s="3"/>
    </row>
    <row r="301" spans="1:26" ht="15.75" hidden="1" customHeight="1" outlineLevel="1" x14ac:dyDescent="0.3">
      <c r="A301" s="3"/>
      <c r="B301" s="10" t="s">
        <v>328</v>
      </c>
      <c r="C301" s="62"/>
      <c r="D301" s="62"/>
      <c r="E301" s="12">
        <v>0</v>
      </c>
      <c r="F301" s="12">
        <v>0</v>
      </c>
      <c r="G301" s="65"/>
      <c r="H301" s="65"/>
      <c r="I301" s="157"/>
      <c r="J301" s="65"/>
      <c r="K301" s="37"/>
      <c r="L301" s="37"/>
      <c r="M301" s="37"/>
      <c r="N301" s="37"/>
      <c r="O301" s="37"/>
      <c r="P301" s="37"/>
      <c r="Q301" s="37"/>
      <c r="R301" s="37"/>
      <c r="S301" s="37"/>
      <c r="T301" s="37"/>
      <c r="U301" s="3"/>
      <c r="W301" s="3"/>
      <c r="X301" s="3"/>
      <c r="Y301" s="3"/>
      <c r="Z301" s="3"/>
    </row>
    <row r="302" spans="1:26" ht="15.75" hidden="1" customHeight="1" outlineLevel="1" x14ac:dyDescent="0.3">
      <c r="A302" s="3"/>
      <c r="B302" s="10" t="s">
        <v>370</v>
      </c>
      <c r="C302" s="62"/>
      <c r="D302" s="62"/>
      <c r="E302" s="12">
        <v>0</v>
      </c>
      <c r="F302" s="12">
        <v>0</v>
      </c>
      <c r="G302" s="65"/>
      <c r="H302" s="65"/>
      <c r="I302" s="157"/>
      <c r="J302" s="65"/>
      <c r="K302" s="37"/>
      <c r="L302" s="37"/>
      <c r="M302" s="37"/>
      <c r="N302" s="37"/>
      <c r="O302" s="37"/>
      <c r="P302" s="37"/>
      <c r="Q302" s="37"/>
      <c r="R302" s="37"/>
      <c r="S302" s="37"/>
      <c r="T302" s="37"/>
      <c r="U302" s="3"/>
      <c r="W302" s="3"/>
      <c r="X302" s="3"/>
      <c r="Y302" s="3"/>
      <c r="Z302" s="3"/>
    </row>
    <row r="303" spans="1:26" ht="15.75" hidden="1" customHeight="1" outlineLevel="1" x14ac:dyDescent="0.3">
      <c r="A303" s="3"/>
      <c r="B303" s="10" t="s">
        <v>371</v>
      </c>
      <c r="C303" s="62"/>
      <c r="D303" s="62"/>
      <c r="E303" s="12">
        <v>0</v>
      </c>
      <c r="F303" s="12">
        <v>0</v>
      </c>
      <c r="G303" s="65"/>
      <c r="H303" s="65"/>
      <c r="I303" s="157"/>
      <c r="J303" s="65"/>
      <c r="K303" s="37"/>
      <c r="L303" s="37"/>
      <c r="M303" s="37"/>
      <c r="N303" s="37"/>
      <c r="O303" s="37"/>
      <c r="P303" s="37"/>
      <c r="Q303" s="37"/>
      <c r="R303" s="37"/>
      <c r="S303" s="37"/>
      <c r="T303" s="37"/>
      <c r="U303" s="3"/>
      <c r="W303" s="3"/>
      <c r="X303" s="3"/>
      <c r="Y303" s="3"/>
      <c r="Z303" s="3"/>
    </row>
    <row r="304" spans="1:26" ht="15.75" hidden="1" customHeight="1" outlineLevel="1" x14ac:dyDescent="0.3">
      <c r="A304" s="3"/>
      <c r="B304" s="10" t="s">
        <v>372</v>
      </c>
      <c r="C304" s="62"/>
      <c r="D304" s="62"/>
      <c r="E304" s="12">
        <v>0</v>
      </c>
      <c r="F304" s="12">
        <v>0</v>
      </c>
      <c r="G304" s="65"/>
      <c r="H304" s="65"/>
      <c r="I304" s="157"/>
      <c r="J304" s="65"/>
      <c r="K304" s="37"/>
      <c r="L304" s="37"/>
      <c r="M304" s="37"/>
      <c r="N304" s="37"/>
      <c r="O304" s="37"/>
      <c r="P304" s="37"/>
      <c r="Q304" s="37"/>
      <c r="R304" s="37"/>
      <c r="S304" s="37"/>
      <c r="T304" s="37"/>
      <c r="U304" s="3"/>
      <c r="W304" s="3"/>
      <c r="X304" s="3"/>
      <c r="Y304" s="3"/>
      <c r="Z304" s="3"/>
    </row>
    <row r="305" spans="1:26" ht="15.75" hidden="1" customHeight="1" outlineLevel="1" x14ac:dyDescent="0.3">
      <c r="A305" s="3"/>
      <c r="B305" s="10" t="s">
        <v>1547</v>
      </c>
      <c r="C305" s="62"/>
      <c r="D305" s="62"/>
      <c r="E305" s="12">
        <v>0</v>
      </c>
      <c r="F305" s="12">
        <v>0</v>
      </c>
      <c r="G305" s="65"/>
      <c r="H305" s="65"/>
      <c r="I305" s="157"/>
      <c r="J305" s="65"/>
      <c r="K305" s="37"/>
      <c r="L305" s="37"/>
      <c r="M305" s="37"/>
      <c r="N305" s="37"/>
      <c r="O305" s="37"/>
      <c r="P305" s="37"/>
      <c r="Q305" s="37"/>
      <c r="R305" s="37"/>
      <c r="S305" s="37"/>
      <c r="T305" s="37"/>
      <c r="U305" s="3"/>
      <c r="W305" s="3"/>
      <c r="X305" s="3"/>
      <c r="Y305" s="3"/>
      <c r="Z305" s="3"/>
    </row>
    <row r="306" spans="1:26" ht="15.75" hidden="1" customHeight="1" outlineLevel="1" x14ac:dyDescent="0.3">
      <c r="A306" s="3"/>
      <c r="B306" s="10" t="s">
        <v>1548</v>
      </c>
      <c r="C306" s="62"/>
      <c r="D306" s="62"/>
      <c r="E306" s="12">
        <v>0</v>
      </c>
      <c r="F306" s="12">
        <v>0</v>
      </c>
      <c r="G306" s="65"/>
      <c r="H306" s="65"/>
      <c r="I306" s="157"/>
      <c r="J306" s="65"/>
      <c r="K306" s="37"/>
      <c r="L306" s="37"/>
      <c r="M306" s="37"/>
      <c r="N306" s="37"/>
      <c r="O306" s="37"/>
      <c r="P306" s="37"/>
      <c r="Q306" s="37"/>
      <c r="R306" s="37"/>
      <c r="S306" s="37"/>
      <c r="T306" s="37"/>
      <c r="U306" s="3"/>
      <c r="W306" s="3"/>
      <c r="X306" s="3"/>
      <c r="Y306" s="3"/>
      <c r="Z306" s="3"/>
    </row>
    <row r="307" spans="1:26" ht="15.75" hidden="1" customHeight="1" outlineLevel="1" x14ac:dyDescent="0.3">
      <c r="A307" s="3"/>
      <c r="B307" s="10" t="s">
        <v>1549</v>
      </c>
      <c r="C307" s="62"/>
      <c r="D307" s="62"/>
      <c r="E307" s="12">
        <v>0</v>
      </c>
      <c r="F307" s="12">
        <v>0</v>
      </c>
      <c r="G307" s="65"/>
      <c r="H307" s="65"/>
      <c r="I307" s="157"/>
      <c r="J307" s="65"/>
      <c r="K307" s="37"/>
      <c r="L307" s="37"/>
      <c r="M307" s="37"/>
      <c r="N307" s="37"/>
      <c r="O307" s="37"/>
      <c r="P307" s="37"/>
      <c r="Q307" s="37"/>
      <c r="R307" s="37"/>
      <c r="S307" s="37"/>
      <c r="T307" s="37"/>
      <c r="U307" s="3"/>
      <c r="W307" s="3"/>
      <c r="X307" s="3"/>
      <c r="Y307" s="3"/>
      <c r="Z307" s="3"/>
    </row>
    <row r="308" spans="1:26" ht="15.75" hidden="1" customHeight="1" outlineLevel="1" x14ac:dyDescent="0.3">
      <c r="A308" s="3"/>
      <c r="B308" s="10" t="s">
        <v>1550</v>
      </c>
      <c r="C308" s="62"/>
      <c r="D308" s="62"/>
      <c r="E308" s="12">
        <v>0</v>
      </c>
      <c r="F308" s="12">
        <v>0</v>
      </c>
      <c r="G308" s="65"/>
      <c r="H308" s="65"/>
      <c r="I308" s="157"/>
      <c r="J308" s="65"/>
      <c r="K308" s="37"/>
      <c r="L308" s="37"/>
      <c r="M308" s="37"/>
      <c r="N308" s="37"/>
      <c r="O308" s="37"/>
      <c r="P308" s="37"/>
      <c r="Q308" s="37"/>
      <c r="R308" s="37"/>
      <c r="S308" s="37"/>
      <c r="T308" s="37"/>
      <c r="U308" s="3"/>
      <c r="W308" s="3"/>
      <c r="X308" s="3"/>
      <c r="Y308" s="3"/>
      <c r="Z308" s="3"/>
    </row>
    <row r="309" spans="1:26" ht="15.75" hidden="1" customHeight="1" outlineLevel="1" x14ac:dyDescent="0.3">
      <c r="A309" s="3"/>
      <c r="B309" s="10" t="s">
        <v>1551</v>
      </c>
      <c r="C309" s="62"/>
      <c r="D309" s="62"/>
      <c r="E309" s="12">
        <v>0</v>
      </c>
      <c r="F309" s="12">
        <v>0</v>
      </c>
      <c r="G309" s="65"/>
      <c r="H309" s="65"/>
      <c r="I309" s="157"/>
      <c r="J309" s="65"/>
      <c r="K309" s="37"/>
      <c r="L309" s="37"/>
      <c r="M309" s="37"/>
      <c r="N309" s="37"/>
      <c r="O309" s="37"/>
      <c r="P309" s="37"/>
      <c r="Q309" s="37"/>
      <c r="R309" s="37"/>
      <c r="S309" s="37"/>
      <c r="T309" s="37"/>
      <c r="U309" s="3"/>
      <c r="W309" s="3"/>
      <c r="X309" s="3"/>
      <c r="Y309" s="3"/>
      <c r="Z309" s="3"/>
    </row>
    <row r="310" spans="1:26" ht="15.75" hidden="1" customHeight="1" outlineLevel="1" x14ac:dyDescent="0.3">
      <c r="A310" s="3"/>
      <c r="B310" s="10" t="s">
        <v>1552</v>
      </c>
      <c r="C310" s="62"/>
      <c r="D310" s="62"/>
      <c r="E310" s="12">
        <v>0</v>
      </c>
      <c r="F310" s="12">
        <v>0</v>
      </c>
      <c r="G310" s="65"/>
      <c r="H310" s="65"/>
      <c r="I310" s="157"/>
      <c r="J310" s="65"/>
      <c r="K310" s="37"/>
      <c r="L310" s="37"/>
      <c r="M310" s="37"/>
      <c r="N310" s="37"/>
      <c r="O310" s="37"/>
      <c r="P310" s="37"/>
      <c r="Q310" s="37"/>
      <c r="R310" s="37"/>
      <c r="S310" s="37"/>
      <c r="T310" s="37"/>
      <c r="U310" s="3"/>
      <c r="W310" s="3"/>
      <c r="X310" s="3"/>
      <c r="Y310" s="3"/>
      <c r="Z310" s="3"/>
    </row>
    <row r="311" spans="1:26" ht="15.75" hidden="1" customHeight="1" outlineLevel="1" x14ac:dyDescent="0.3">
      <c r="A311" s="3"/>
      <c r="B311" s="10" t="s">
        <v>1553</v>
      </c>
      <c r="C311" s="62"/>
      <c r="D311" s="62"/>
      <c r="E311" s="12">
        <v>0</v>
      </c>
      <c r="F311" s="12">
        <v>0</v>
      </c>
      <c r="G311" s="65"/>
      <c r="H311" s="65"/>
      <c r="I311" s="157"/>
      <c r="J311" s="65"/>
      <c r="K311" s="37"/>
      <c r="L311" s="37"/>
      <c r="M311" s="37"/>
      <c r="N311" s="37"/>
      <c r="O311" s="37"/>
      <c r="P311" s="37"/>
      <c r="Q311" s="37"/>
      <c r="R311" s="37"/>
      <c r="S311" s="37"/>
      <c r="T311" s="37"/>
      <c r="U311" s="3"/>
      <c r="W311" s="3"/>
      <c r="X311" s="3"/>
      <c r="Y311" s="3"/>
      <c r="Z311" s="3"/>
    </row>
    <row r="312" spans="1:26" ht="15.75" hidden="1" customHeight="1" outlineLevel="1" x14ac:dyDescent="0.3">
      <c r="A312" s="3"/>
      <c r="B312" s="10" t="s">
        <v>1554</v>
      </c>
      <c r="C312" s="62"/>
      <c r="D312" s="62"/>
      <c r="E312" s="12">
        <v>0</v>
      </c>
      <c r="F312" s="12">
        <v>0</v>
      </c>
      <c r="G312" s="65"/>
      <c r="H312" s="65"/>
      <c r="I312" s="157"/>
      <c r="J312" s="65"/>
      <c r="K312" s="37"/>
      <c r="L312" s="37"/>
      <c r="M312" s="37"/>
      <c r="N312" s="37"/>
      <c r="O312" s="37"/>
      <c r="P312" s="37"/>
      <c r="Q312" s="37"/>
      <c r="R312" s="37"/>
      <c r="S312" s="37"/>
      <c r="T312" s="37"/>
      <c r="U312" s="3"/>
      <c r="W312" s="3"/>
      <c r="X312" s="3"/>
      <c r="Y312" s="3"/>
      <c r="Z312" s="3"/>
    </row>
    <row r="313" spans="1:26" ht="15.75" hidden="1" customHeight="1" outlineLevel="1" x14ac:dyDescent="0.3">
      <c r="A313" s="3"/>
      <c r="B313" s="10" t="s">
        <v>1555</v>
      </c>
      <c r="C313" s="62"/>
      <c r="D313" s="62"/>
      <c r="E313" s="12">
        <v>0</v>
      </c>
      <c r="F313" s="12">
        <v>0</v>
      </c>
      <c r="G313" s="65"/>
      <c r="H313" s="65"/>
      <c r="I313" s="157"/>
      <c r="J313" s="65"/>
      <c r="K313" s="37"/>
      <c r="L313" s="37"/>
      <c r="M313" s="37"/>
      <c r="N313" s="37"/>
      <c r="O313" s="37"/>
      <c r="P313" s="37"/>
      <c r="Q313" s="37"/>
      <c r="R313" s="37"/>
      <c r="S313" s="37"/>
      <c r="T313" s="37"/>
      <c r="U313" s="3"/>
      <c r="W313" s="3"/>
      <c r="X313" s="3"/>
      <c r="Y313" s="3"/>
      <c r="Z313" s="3"/>
    </row>
    <row r="314" spans="1:26" ht="15.75" hidden="1" customHeight="1" outlineLevel="1" x14ac:dyDescent="0.3">
      <c r="A314" s="3"/>
      <c r="B314" s="10" t="s">
        <v>1556</v>
      </c>
      <c r="C314" s="62"/>
      <c r="D314" s="62"/>
      <c r="E314" s="12">
        <v>0</v>
      </c>
      <c r="F314" s="12">
        <v>0</v>
      </c>
      <c r="G314" s="65"/>
      <c r="H314" s="65"/>
      <c r="I314" s="157"/>
      <c r="J314" s="65"/>
      <c r="K314" s="37"/>
      <c r="L314" s="37"/>
      <c r="M314" s="37"/>
      <c r="N314" s="37"/>
      <c r="O314" s="37"/>
      <c r="P314" s="37"/>
      <c r="Q314" s="37"/>
      <c r="R314" s="37"/>
      <c r="S314" s="37"/>
      <c r="T314" s="37"/>
      <c r="U314" s="3"/>
      <c r="W314" s="3"/>
      <c r="X314" s="3"/>
      <c r="Y314" s="3"/>
      <c r="Z314" s="3"/>
    </row>
    <row r="315" spans="1:26" ht="15.75" hidden="1" customHeight="1" outlineLevel="1" x14ac:dyDescent="0.3">
      <c r="A315" s="3"/>
      <c r="B315" s="10" t="s">
        <v>1557</v>
      </c>
      <c r="C315" s="62"/>
      <c r="D315" s="62"/>
      <c r="E315" s="12">
        <v>0</v>
      </c>
      <c r="F315" s="12">
        <v>0</v>
      </c>
      <c r="G315" s="65"/>
      <c r="H315" s="65"/>
      <c r="I315" s="157"/>
      <c r="J315" s="65"/>
      <c r="K315" s="37"/>
      <c r="L315" s="37"/>
      <c r="M315" s="37"/>
      <c r="N315" s="37"/>
      <c r="O315" s="37"/>
      <c r="P315" s="37"/>
      <c r="Q315" s="37"/>
      <c r="R315" s="37"/>
      <c r="S315" s="37"/>
      <c r="T315" s="37"/>
      <c r="U315" s="3"/>
      <c r="W315" s="3"/>
      <c r="X315" s="3"/>
      <c r="Y315" s="3"/>
      <c r="Z315" s="3"/>
    </row>
    <row r="316" spans="1:26" ht="15.75" hidden="1" customHeight="1" outlineLevel="1" x14ac:dyDescent="0.3">
      <c r="A316" s="3"/>
      <c r="B316" s="10" t="s">
        <v>1558</v>
      </c>
      <c r="C316" s="62"/>
      <c r="D316" s="62"/>
      <c r="E316" s="12">
        <v>0</v>
      </c>
      <c r="F316" s="12">
        <v>0</v>
      </c>
      <c r="G316" s="65"/>
      <c r="H316" s="65"/>
      <c r="I316" s="89"/>
      <c r="J316" s="65"/>
      <c r="K316" s="37"/>
      <c r="L316" s="37"/>
      <c r="M316" s="37"/>
      <c r="N316" s="37"/>
      <c r="O316" s="37"/>
      <c r="P316" s="37"/>
      <c r="Q316" s="37"/>
      <c r="R316" s="37"/>
      <c r="S316" s="37"/>
      <c r="T316" s="37"/>
      <c r="U316" s="3"/>
      <c r="W316" s="3"/>
      <c r="X316" s="3"/>
      <c r="Y316" s="3"/>
      <c r="Z316" s="3"/>
    </row>
    <row r="317" spans="1:26" ht="15.75" hidden="1" customHeight="1" outlineLevel="1" x14ac:dyDescent="0.3">
      <c r="A317" s="3"/>
      <c r="B317" s="91" t="s">
        <v>689</v>
      </c>
      <c r="C317" s="92"/>
      <c r="D317" s="92"/>
      <c r="E317" s="93">
        <f>SUM(E318:E326)</f>
        <v>0</v>
      </c>
      <c r="F317" s="93">
        <f>SUMIF(D318:D326,"OK",F318:F326)</f>
        <v>0</v>
      </c>
      <c r="G317" s="94"/>
      <c r="H317" s="94"/>
      <c r="I317" s="95"/>
      <c r="J317" s="94"/>
      <c r="K317" s="37"/>
      <c r="L317" s="37"/>
      <c r="M317" s="37"/>
      <c r="N317" s="37"/>
      <c r="O317" s="37"/>
      <c r="P317" s="37"/>
      <c r="Q317" s="37"/>
      <c r="R317" s="37"/>
      <c r="S317" s="37"/>
      <c r="T317" s="37"/>
      <c r="U317" s="3"/>
      <c r="W317" s="3"/>
      <c r="X317" s="3"/>
      <c r="Y317" s="3"/>
      <c r="Z317" s="3"/>
    </row>
    <row r="318" spans="1:26" ht="15.75" hidden="1" customHeight="1" outlineLevel="1" x14ac:dyDescent="0.3">
      <c r="A318" s="3"/>
      <c r="B318" s="10" t="s">
        <v>1625</v>
      </c>
      <c r="C318" s="62"/>
      <c r="D318" s="62"/>
      <c r="E318" s="12">
        <v>0</v>
      </c>
      <c r="F318" s="12">
        <v>0</v>
      </c>
      <c r="G318" s="65"/>
      <c r="H318" s="65"/>
      <c r="I318" s="112"/>
      <c r="J318" s="65"/>
      <c r="K318" s="37"/>
      <c r="L318" s="37"/>
      <c r="M318" s="37"/>
      <c r="N318" s="37"/>
      <c r="O318" s="37"/>
      <c r="P318" s="37"/>
      <c r="Q318" s="37"/>
      <c r="R318" s="37"/>
      <c r="S318" s="37"/>
      <c r="T318" s="37"/>
      <c r="U318" s="3"/>
      <c r="W318" s="3"/>
      <c r="X318" s="3"/>
      <c r="Y318" s="3"/>
      <c r="Z318" s="3"/>
    </row>
    <row r="319" spans="1:26" ht="15.75" hidden="1" customHeight="1" outlineLevel="1" x14ac:dyDescent="0.3">
      <c r="A319" s="3"/>
      <c r="B319" s="10" t="s">
        <v>1625</v>
      </c>
      <c r="C319" s="62"/>
      <c r="D319" s="62"/>
      <c r="E319" s="12">
        <v>0</v>
      </c>
      <c r="F319" s="12">
        <v>0</v>
      </c>
      <c r="G319" s="65"/>
      <c r="H319" s="65"/>
      <c r="I319" s="112"/>
      <c r="J319" s="65"/>
      <c r="K319" s="37"/>
      <c r="L319" s="37"/>
      <c r="M319" s="37"/>
      <c r="N319" s="37"/>
      <c r="O319" s="37"/>
      <c r="P319" s="37"/>
      <c r="Q319" s="37"/>
      <c r="R319" s="37"/>
      <c r="S319" s="37"/>
      <c r="T319" s="37"/>
      <c r="U319" s="3"/>
      <c r="W319" s="3"/>
      <c r="X319" s="3"/>
      <c r="Y319" s="3"/>
      <c r="Z319" s="3"/>
    </row>
    <row r="320" spans="1:26" ht="15.75" hidden="1" customHeight="1" outlineLevel="1" x14ac:dyDescent="0.3">
      <c r="A320" s="3"/>
      <c r="B320" s="10" t="s">
        <v>1627</v>
      </c>
      <c r="C320" s="62"/>
      <c r="D320" s="62"/>
      <c r="E320" s="12">
        <v>0</v>
      </c>
      <c r="F320" s="12">
        <v>0</v>
      </c>
      <c r="G320" s="65"/>
      <c r="H320" s="65"/>
      <c r="I320" s="128"/>
      <c r="J320" s="65"/>
      <c r="K320" s="37"/>
      <c r="L320" s="37"/>
      <c r="M320" s="37"/>
      <c r="N320" s="37"/>
      <c r="O320" s="37"/>
      <c r="P320" s="37"/>
      <c r="Q320" s="37"/>
      <c r="R320" s="37"/>
      <c r="S320" s="37"/>
      <c r="T320" s="37"/>
      <c r="U320" s="3"/>
      <c r="W320" s="3"/>
      <c r="X320" s="3"/>
      <c r="Y320" s="3"/>
      <c r="Z320" s="3"/>
    </row>
    <row r="321" spans="1:26" ht="15.75" hidden="1" customHeight="1" outlineLevel="1" x14ac:dyDescent="0.3">
      <c r="A321" s="3"/>
      <c r="B321" s="10" t="s">
        <v>1628</v>
      </c>
      <c r="C321" s="62"/>
      <c r="D321" s="62"/>
      <c r="E321" s="12">
        <v>0</v>
      </c>
      <c r="F321" s="12">
        <v>0</v>
      </c>
      <c r="G321" s="65"/>
      <c r="H321" s="65"/>
      <c r="I321" s="112"/>
      <c r="J321" s="65"/>
      <c r="K321" s="37"/>
      <c r="L321" s="37"/>
      <c r="M321" s="37"/>
      <c r="N321" s="37"/>
      <c r="O321" s="37"/>
      <c r="P321" s="37"/>
      <c r="Q321" s="37"/>
      <c r="R321" s="37"/>
      <c r="S321" s="37"/>
      <c r="T321" s="37"/>
      <c r="U321" s="3"/>
      <c r="W321" s="3"/>
      <c r="X321" s="3"/>
      <c r="Y321" s="3"/>
      <c r="Z321" s="3"/>
    </row>
    <row r="322" spans="1:26" ht="15.75" hidden="1" customHeight="1" outlineLevel="1" x14ac:dyDescent="0.3">
      <c r="A322" s="3"/>
      <c r="B322" s="10" t="s">
        <v>1628</v>
      </c>
      <c r="C322" s="62"/>
      <c r="D322" s="62"/>
      <c r="E322" s="12">
        <v>0</v>
      </c>
      <c r="F322" s="12">
        <v>0</v>
      </c>
      <c r="G322" s="65"/>
      <c r="H322" s="65"/>
      <c r="I322" s="112"/>
      <c r="J322" s="65"/>
      <c r="K322" s="37"/>
      <c r="L322" s="37"/>
      <c r="M322" s="37"/>
      <c r="N322" s="37"/>
      <c r="O322" s="37"/>
      <c r="P322" s="37"/>
      <c r="Q322" s="37"/>
      <c r="R322" s="37"/>
      <c r="S322" s="37"/>
      <c r="T322" s="37"/>
      <c r="U322" s="3"/>
      <c r="W322" s="3"/>
      <c r="X322" s="3"/>
      <c r="Y322" s="3"/>
      <c r="Z322" s="3"/>
    </row>
    <row r="323" spans="1:26" ht="15.75" hidden="1" customHeight="1" outlineLevel="1" x14ac:dyDescent="0.3">
      <c r="A323" s="3"/>
      <c r="B323" s="10" t="s">
        <v>1628</v>
      </c>
      <c r="C323" s="62"/>
      <c r="D323" s="62"/>
      <c r="E323" s="12">
        <v>0</v>
      </c>
      <c r="F323" s="12">
        <v>0</v>
      </c>
      <c r="G323" s="65"/>
      <c r="H323" s="65"/>
      <c r="I323" s="112"/>
      <c r="J323" s="65"/>
      <c r="K323" s="37"/>
      <c r="L323" s="37"/>
      <c r="M323" s="37"/>
      <c r="N323" s="37"/>
      <c r="O323" s="37"/>
      <c r="P323" s="37"/>
      <c r="Q323" s="37"/>
      <c r="R323" s="37"/>
      <c r="S323" s="37"/>
      <c r="T323" s="37"/>
      <c r="U323" s="3"/>
      <c r="W323" s="3"/>
      <c r="X323" s="3"/>
      <c r="Y323" s="3"/>
      <c r="Z323" s="3"/>
    </row>
    <row r="324" spans="1:26" ht="15.75" hidden="1" customHeight="1" outlineLevel="1" x14ac:dyDescent="0.3">
      <c r="A324" s="3"/>
      <c r="B324" s="10" t="s">
        <v>1625</v>
      </c>
      <c r="C324" s="62"/>
      <c r="D324" s="62"/>
      <c r="E324" s="12">
        <v>0</v>
      </c>
      <c r="F324" s="12">
        <v>0</v>
      </c>
      <c r="G324" s="65"/>
      <c r="H324" s="65"/>
      <c r="I324" s="112"/>
      <c r="J324" s="65"/>
      <c r="K324" s="37"/>
      <c r="L324" s="37"/>
      <c r="M324" s="37"/>
      <c r="N324" s="37"/>
      <c r="O324" s="37"/>
      <c r="P324" s="37"/>
      <c r="Q324" s="37"/>
      <c r="R324" s="37"/>
      <c r="S324" s="37"/>
      <c r="T324" s="37"/>
      <c r="U324" s="3"/>
      <c r="W324" s="3"/>
      <c r="X324" s="3"/>
      <c r="Y324" s="3"/>
      <c r="Z324" s="3"/>
    </row>
    <row r="325" spans="1:26" ht="15.75" hidden="1" customHeight="1" outlineLevel="1" x14ac:dyDescent="0.3">
      <c r="A325" s="3"/>
      <c r="B325" s="10" t="s">
        <v>1625</v>
      </c>
      <c r="C325" s="62"/>
      <c r="D325" s="62"/>
      <c r="E325" s="12">
        <v>0</v>
      </c>
      <c r="F325" s="12">
        <v>0</v>
      </c>
      <c r="G325" s="65"/>
      <c r="H325" s="65"/>
      <c r="I325" s="112"/>
      <c r="J325" s="65"/>
      <c r="K325" s="37"/>
      <c r="L325" s="37"/>
      <c r="M325" s="37"/>
      <c r="N325" s="37"/>
      <c r="O325" s="37"/>
      <c r="P325" s="37"/>
      <c r="Q325" s="37"/>
      <c r="R325" s="37"/>
      <c r="S325" s="37"/>
      <c r="T325" s="37"/>
      <c r="U325" s="3"/>
      <c r="W325" s="3"/>
      <c r="X325" s="3"/>
      <c r="Y325" s="3"/>
      <c r="Z325" s="3"/>
    </row>
    <row r="326" spans="1:26" ht="15.75" hidden="1" customHeight="1" outlineLevel="1" x14ac:dyDescent="0.3">
      <c r="A326" s="3"/>
      <c r="B326" s="10" t="s">
        <v>1625</v>
      </c>
      <c r="C326" s="62"/>
      <c r="D326" s="62"/>
      <c r="E326" s="12">
        <v>0</v>
      </c>
      <c r="F326" s="12">
        <v>0</v>
      </c>
      <c r="G326" s="65"/>
      <c r="H326" s="65"/>
      <c r="I326" s="112"/>
      <c r="J326" s="65"/>
      <c r="K326" s="37"/>
      <c r="L326" s="37"/>
      <c r="M326" s="37"/>
      <c r="N326" s="37"/>
      <c r="O326" s="37"/>
      <c r="P326" s="37"/>
      <c r="Q326" s="37"/>
      <c r="R326" s="37"/>
      <c r="S326" s="37"/>
      <c r="T326" s="37"/>
      <c r="U326" s="3"/>
      <c r="W326" s="3"/>
      <c r="X326" s="3"/>
      <c r="Y326" s="3"/>
      <c r="Z326" s="3"/>
    </row>
    <row r="327" spans="1:26" ht="15.75" customHeight="1" collapsed="1" x14ac:dyDescent="0.3">
      <c r="A327" s="3"/>
      <c r="B327" s="84" t="s">
        <v>411</v>
      </c>
      <c r="C327" s="85" t="s">
        <v>43</v>
      </c>
      <c r="D327" s="85" t="s">
        <v>43</v>
      </c>
      <c r="E327" s="86">
        <f>SUM(E328:E349)</f>
        <v>0</v>
      </c>
      <c r="F327" s="86">
        <f>SUMIF(D328:D349,"OK",F328:F349)</f>
        <v>0</v>
      </c>
      <c r="G327" s="87"/>
      <c r="H327" s="87"/>
      <c r="I327" s="88"/>
      <c r="J327" s="87"/>
      <c r="K327" s="37"/>
      <c r="L327" s="37"/>
      <c r="M327" s="37"/>
      <c r="N327" s="37"/>
      <c r="O327" s="37"/>
      <c r="P327" s="37"/>
      <c r="Q327" s="37"/>
      <c r="R327" s="37"/>
      <c r="S327" s="37"/>
      <c r="T327" s="37"/>
      <c r="U327" s="3"/>
      <c r="W327" s="3"/>
      <c r="X327" s="3"/>
      <c r="Y327" s="3"/>
      <c r="Z327" s="3"/>
    </row>
    <row r="328" spans="1:26" ht="15.75" hidden="1" customHeight="1" outlineLevel="1" x14ac:dyDescent="0.3">
      <c r="A328" s="3"/>
      <c r="B328" s="10" t="s">
        <v>412</v>
      </c>
      <c r="C328" s="62"/>
      <c r="D328" s="62"/>
      <c r="E328" s="12">
        <v>0</v>
      </c>
      <c r="F328" s="12">
        <v>0</v>
      </c>
      <c r="G328" s="65"/>
      <c r="H328" s="65"/>
      <c r="I328" s="89"/>
      <c r="J328" s="65"/>
      <c r="K328" s="37"/>
      <c r="L328" s="37"/>
      <c r="M328" s="37"/>
      <c r="N328" s="37"/>
      <c r="O328" s="37"/>
      <c r="P328" s="37"/>
      <c r="Q328" s="37"/>
      <c r="R328" s="37"/>
      <c r="S328" s="37"/>
      <c r="T328" s="37"/>
      <c r="U328" s="3"/>
      <c r="W328" s="3"/>
      <c r="X328" s="3"/>
      <c r="Y328" s="3"/>
      <c r="Z328" s="3"/>
    </row>
    <row r="329" spans="1:26" ht="15.75" hidden="1" customHeight="1" outlineLevel="1" x14ac:dyDescent="0.3">
      <c r="A329" s="3"/>
      <c r="B329" s="10" t="s">
        <v>413</v>
      </c>
      <c r="C329" s="62"/>
      <c r="D329" s="62"/>
      <c r="E329" s="12">
        <v>0</v>
      </c>
      <c r="F329" s="12">
        <v>0</v>
      </c>
      <c r="G329" s="89"/>
      <c r="H329" s="65"/>
      <c r="I329" s="157"/>
      <c r="J329" s="65"/>
      <c r="K329" s="37"/>
      <c r="L329" s="37"/>
      <c r="M329" s="37"/>
      <c r="N329" s="37"/>
      <c r="O329" s="37"/>
      <c r="P329" s="37"/>
      <c r="Q329" s="37"/>
      <c r="R329" s="37"/>
      <c r="S329" s="37"/>
      <c r="T329" s="37"/>
      <c r="U329" s="3"/>
      <c r="W329" s="3"/>
      <c r="X329" s="3"/>
      <c r="Y329" s="3"/>
      <c r="Z329" s="3"/>
    </row>
    <row r="330" spans="1:26" ht="15.75" hidden="1" customHeight="1" outlineLevel="1" x14ac:dyDescent="0.3">
      <c r="A330" s="3"/>
      <c r="B330" s="10" t="s">
        <v>413</v>
      </c>
      <c r="C330" s="62"/>
      <c r="D330" s="62"/>
      <c r="E330" s="12">
        <v>0</v>
      </c>
      <c r="F330" s="12">
        <v>0</v>
      </c>
      <c r="G330" s="65"/>
      <c r="H330" s="65"/>
      <c r="I330" s="157"/>
      <c r="J330" s="65"/>
      <c r="K330" s="37"/>
      <c r="L330" s="37"/>
      <c r="M330" s="37"/>
      <c r="N330" s="37"/>
      <c r="O330" s="37"/>
      <c r="P330" s="37"/>
      <c r="Q330" s="37"/>
      <c r="R330" s="37"/>
      <c r="S330" s="37"/>
      <c r="T330" s="37"/>
      <c r="U330" s="3"/>
      <c r="W330" s="3"/>
      <c r="X330" s="3"/>
      <c r="Y330" s="3"/>
      <c r="Z330" s="3"/>
    </row>
    <row r="331" spans="1:26" ht="15.75" hidden="1" customHeight="1" outlineLevel="1" x14ac:dyDescent="0.3">
      <c r="A331" s="3"/>
      <c r="B331" s="10" t="s">
        <v>414</v>
      </c>
      <c r="C331" s="62"/>
      <c r="D331" s="62"/>
      <c r="E331" s="12">
        <v>0</v>
      </c>
      <c r="F331" s="12">
        <v>0</v>
      </c>
      <c r="G331" s="65"/>
      <c r="H331" s="65"/>
      <c r="I331" s="89"/>
      <c r="J331" s="65"/>
      <c r="K331" s="37"/>
      <c r="L331" s="37"/>
      <c r="M331" s="37"/>
      <c r="N331" s="37"/>
      <c r="O331" s="37"/>
      <c r="P331" s="37"/>
      <c r="Q331" s="37"/>
      <c r="R331" s="37"/>
      <c r="S331" s="37"/>
      <c r="T331" s="37"/>
      <c r="U331" s="3"/>
      <c r="W331" s="3"/>
      <c r="X331" s="3"/>
      <c r="Y331" s="3"/>
      <c r="Z331" s="3"/>
    </row>
    <row r="332" spans="1:26" ht="15.75" hidden="1" customHeight="1" outlineLevel="1" x14ac:dyDescent="0.3">
      <c r="A332" s="3"/>
      <c r="B332" s="10" t="s">
        <v>414</v>
      </c>
      <c r="C332" s="62"/>
      <c r="D332" s="62"/>
      <c r="E332" s="12">
        <v>0</v>
      </c>
      <c r="F332" s="12">
        <v>0</v>
      </c>
      <c r="G332" s="65"/>
      <c r="H332" s="65"/>
      <c r="I332" s="89"/>
      <c r="J332" s="65"/>
      <c r="K332" s="37"/>
      <c r="L332" s="37"/>
      <c r="M332" s="37"/>
      <c r="N332" s="37"/>
      <c r="O332" s="37"/>
      <c r="P332" s="37"/>
      <c r="Q332" s="37"/>
      <c r="R332" s="37"/>
      <c r="S332" s="37"/>
      <c r="T332" s="37"/>
      <c r="U332" s="3"/>
      <c r="W332" s="3"/>
      <c r="X332" s="3"/>
      <c r="Y332" s="3"/>
      <c r="Z332" s="3"/>
    </row>
    <row r="333" spans="1:26" ht="15.75" hidden="1" customHeight="1" outlineLevel="1" x14ac:dyDescent="0.3">
      <c r="A333" s="3"/>
      <c r="B333" s="10" t="s">
        <v>414</v>
      </c>
      <c r="C333" s="62"/>
      <c r="D333" s="62"/>
      <c r="E333" s="12">
        <v>0</v>
      </c>
      <c r="F333" s="12">
        <v>0</v>
      </c>
      <c r="G333" s="65"/>
      <c r="H333" s="65"/>
      <c r="I333" s="89"/>
      <c r="J333" s="65"/>
      <c r="K333" s="37"/>
      <c r="L333" s="37"/>
      <c r="M333" s="37"/>
      <c r="N333" s="37"/>
      <c r="O333" s="37"/>
      <c r="P333" s="37"/>
      <c r="Q333" s="37"/>
      <c r="R333" s="37"/>
      <c r="S333" s="37"/>
      <c r="T333" s="37"/>
      <c r="U333" s="3"/>
      <c r="W333" s="3"/>
      <c r="X333" s="3"/>
      <c r="Y333" s="3"/>
      <c r="Z333" s="3"/>
    </row>
    <row r="334" spans="1:26" ht="15.75" hidden="1" customHeight="1" outlineLevel="1" x14ac:dyDescent="0.3">
      <c r="A334" s="3"/>
      <c r="B334" s="10" t="s">
        <v>415</v>
      </c>
      <c r="C334" s="62"/>
      <c r="D334" s="62"/>
      <c r="E334" s="12">
        <v>0</v>
      </c>
      <c r="F334" s="12">
        <v>0</v>
      </c>
      <c r="G334" s="65"/>
      <c r="H334" s="65"/>
      <c r="I334" s="157"/>
      <c r="J334" s="65"/>
      <c r="K334" s="37"/>
      <c r="L334" s="37"/>
      <c r="M334" s="37"/>
      <c r="N334" s="37"/>
      <c r="O334" s="37"/>
      <c r="P334" s="37"/>
      <c r="Q334" s="37"/>
      <c r="R334" s="37"/>
      <c r="S334" s="37"/>
      <c r="T334" s="37"/>
      <c r="U334" s="3"/>
      <c r="W334" s="3"/>
      <c r="X334" s="3"/>
      <c r="Y334" s="3"/>
      <c r="Z334" s="3"/>
    </row>
    <row r="335" spans="1:26" ht="15.75" hidden="1" customHeight="1" outlineLevel="1" x14ac:dyDescent="0.3">
      <c r="A335" s="3"/>
      <c r="B335" s="10" t="s">
        <v>415</v>
      </c>
      <c r="C335" s="62"/>
      <c r="D335" s="62"/>
      <c r="E335" s="12">
        <v>0</v>
      </c>
      <c r="F335" s="12">
        <v>0</v>
      </c>
      <c r="G335" s="65"/>
      <c r="H335" s="65"/>
      <c r="I335" s="157"/>
      <c r="J335" s="65"/>
      <c r="K335" s="37"/>
      <c r="L335" s="37"/>
      <c r="M335" s="37"/>
      <c r="N335" s="37"/>
      <c r="O335" s="37"/>
      <c r="P335" s="37"/>
      <c r="Q335" s="37"/>
      <c r="R335" s="37"/>
      <c r="S335" s="37"/>
      <c r="T335" s="37"/>
      <c r="U335" s="3"/>
      <c r="W335" s="3"/>
      <c r="X335" s="3"/>
      <c r="Y335" s="3"/>
      <c r="Z335" s="3"/>
    </row>
    <row r="336" spans="1:26" ht="15.75" hidden="1" customHeight="1" outlineLevel="1" x14ac:dyDescent="0.3">
      <c r="A336" s="3"/>
      <c r="B336" s="10" t="s">
        <v>415</v>
      </c>
      <c r="C336" s="62"/>
      <c r="D336" s="62"/>
      <c r="E336" s="12">
        <v>0</v>
      </c>
      <c r="F336" s="12">
        <v>0</v>
      </c>
      <c r="G336" s="65"/>
      <c r="H336" s="65"/>
      <c r="I336" s="157"/>
      <c r="J336" s="65"/>
      <c r="K336" s="37"/>
      <c r="L336" s="37"/>
      <c r="M336" s="37"/>
      <c r="N336" s="37"/>
      <c r="O336" s="37"/>
      <c r="P336" s="37"/>
      <c r="Q336" s="37"/>
      <c r="R336" s="37"/>
      <c r="S336" s="37"/>
      <c r="T336" s="37"/>
      <c r="U336" s="3"/>
      <c r="W336" s="3"/>
      <c r="X336" s="3"/>
      <c r="Y336" s="3"/>
      <c r="Z336" s="3"/>
    </row>
    <row r="337" spans="1:26" ht="15.75" hidden="1" customHeight="1" outlineLevel="1" x14ac:dyDescent="0.3">
      <c r="A337" s="3"/>
      <c r="B337" s="10" t="s">
        <v>416</v>
      </c>
      <c r="C337" s="62"/>
      <c r="D337" s="62"/>
      <c r="E337" s="12">
        <v>0</v>
      </c>
      <c r="F337" s="12">
        <v>0</v>
      </c>
      <c r="G337" s="65"/>
      <c r="H337" s="65"/>
      <c r="I337" s="157"/>
      <c r="J337" s="65"/>
      <c r="K337" s="37"/>
      <c r="L337" s="37"/>
      <c r="M337" s="37"/>
      <c r="N337" s="37"/>
      <c r="O337" s="37"/>
      <c r="P337" s="37"/>
      <c r="Q337" s="37"/>
      <c r="R337" s="37"/>
      <c r="S337" s="37"/>
      <c r="T337" s="37"/>
      <c r="U337" s="3"/>
      <c r="W337" s="3"/>
      <c r="X337" s="3"/>
      <c r="Y337" s="3"/>
      <c r="Z337" s="3"/>
    </row>
    <row r="338" spans="1:26" ht="15.75" hidden="1" customHeight="1" outlineLevel="1" x14ac:dyDescent="0.3">
      <c r="A338" s="3"/>
      <c r="B338" s="10" t="s">
        <v>416</v>
      </c>
      <c r="C338" s="62"/>
      <c r="D338" s="62"/>
      <c r="E338" s="12">
        <v>0</v>
      </c>
      <c r="F338" s="12">
        <v>0</v>
      </c>
      <c r="G338" s="65"/>
      <c r="H338" s="65"/>
      <c r="I338" s="157"/>
      <c r="J338" s="65"/>
      <c r="K338" s="37"/>
      <c r="L338" s="37"/>
      <c r="M338" s="37"/>
      <c r="N338" s="37"/>
      <c r="O338" s="37"/>
      <c r="P338" s="37"/>
      <c r="Q338" s="37"/>
      <c r="R338" s="37"/>
      <c r="S338" s="37"/>
      <c r="T338" s="37"/>
      <c r="U338" s="3"/>
      <c r="W338" s="3"/>
      <c r="X338" s="3"/>
      <c r="Y338" s="3"/>
      <c r="Z338" s="3"/>
    </row>
    <row r="339" spans="1:26" ht="15.75" hidden="1" customHeight="1" outlineLevel="1" x14ac:dyDescent="0.3">
      <c r="A339" s="3"/>
      <c r="B339" s="10" t="s">
        <v>416</v>
      </c>
      <c r="C339" s="62"/>
      <c r="D339" s="62"/>
      <c r="E339" s="12">
        <v>0</v>
      </c>
      <c r="F339" s="12">
        <v>0</v>
      </c>
      <c r="G339" s="65"/>
      <c r="H339" s="65"/>
      <c r="I339" s="157"/>
      <c r="J339" s="65"/>
      <c r="K339" s="37"/>
      <c r="L339" s="37"/>
      <c r="M339" s="37"/>
      <c r="N339" s="37"/>
      <c r="O339" s="37"/>
      <c r="P339" s="37"/>
      <c r="Q339" s="37"/>
      <c r="R339" s="37"/>
      <c r="S339" s="37"/>
      <c r="T339" s="37"/>
      <c r="U339" s="3"/>
      <c r="W339" s="3"/>
      <c r="X339" s="3"/>
      <c r="Y339" s="3"/>
      <c r="Z339" s="3"/>
    </row>
    <row r="340" spans="1:26" ht="15.75" hidden="1" customHeight="1" outlineLevel="1" x14ac:dyDescent="0.3">
      <c r="A340" s="3"/>
      <c r="B340" s="10" t="s">
        <v>416</v>
      </c>
      <c r="C340" s="62"/>
      <c r="D340" s="62"/>
      <c r="E340" s="12">
        <v>0</v>
      </c>
      <c r="F340" s="12">
        <v>0</v>
      </c>
      <c r="G340" s="65"/>
      <c r="H340" s="65"/>
      <c r="I340" s="157"/>
      <c r="J340" s="65"/>
      <c r="K340" s="37"/>
      <c r="L340" s="37"/>
      <c r="M340" s="37"/>
      <c r="N340" s="37"/>
      <c r="O340" s="37"/>
      <c r="P340" s="37"/>
      <c r="Q340" s="37"/>
      <c r="R340" s="37"/>
      <c r="S340" s="37"/>
      <c r="T340" s="37"/>
      <c r="U340" s="3"/>
      <c r="W340" s="3"/>
      <c r="X340" s="3"/>
      <c r="Y340" s="3"/>
      <c r="Z340" s="3"/>
    </row>
    <row r="341" spans="1:26" ht="15.75" hidden="1" customHeight="1" outlineLevel="1" x14ac:dyDescent="0.3">
      <c r="A341" s="3"/>
      <c r="B341" s="10" t="s">
        <v>417</v>
      </c>
      <c r="C341" s="62"/>
      <c r="D341" s="62"/>
      <c r="E341" s="12">
        <v>0</v>
      </c>
      <c r="F341" s="12">
        <v>0</v>
      </c>
      <c r="G341" s="65"/>
      <c r="H341" s="65"/>
      <c r="I341" s="157"/>
      <c r="J341" s="65"/>
      <c r="K341" s="37"/>
      <c r="L341" s="37"/>
      <c r="M341" s="37"/>
      <c r="N341" s="37"/>
      <c r="O341" s="37"/>
      <c r="P341" s="37"/>
      <c r="Q341" s="37"/>
      <c r="R341" s="37"/>
      <c r="S341" s="37"/>
      <c r="T341" s="37"/>
      <c r="U341" s="3"/>
      <c r="W341" s="3"/>
      <c r="X341" s="3"/>
      <c r="Y341" s="3"/>
      <c r="Z341" s="3"/>
    </row>
    <row r="342" spans="1:26" ht="15.75" hidden="1" customHeight="1" outlineLevel="1" x14ac:dyDescent="0.3">
      <c r="A342" s="3"/>
      <c r="B342" s="10" t="s">
        <v>417</v>
      </c>
      <c r="C342" s="62"/>
      <c r="D342" s="62"/>
      <c r="E342" s="12">
        <v>0</v>
      </c>
      <c r="F342" s="12">
        <v>0</v>
      </c>
      <c r="G342" s="65"/>
      <c r="H342" s="65"/>
      <c r="I342" s="157"/>
      <c r="J342" s="65"/>
      <c r="K342" s="37"/>
      <c r="L342" s="37"/>
      <c r="M342" s="37"/>
      <c r="N342" s="37"/>
      <c r="O342" s="37"/>
      <c r="P342" s="37"/>
      <c r="Q342" s="37"/>
      <c r="R342" s="37"/>
      <c r="S342" s="37"/>
      <c r="T342" s="37"/>
      <c r="U342" s="3"/>
      <c r="W342" s="3"/>
      <c r="X342" s="3"/>
      <c r="Y342" s="3"/>
      <c r="Z342" s="3"/>
    </row>
    <row r="343" spans="1:26" ht="15.75" hidden="1" customHeight="1" outlineLevel="1" x14ac:dyDescent="0.3">
      <c r="A343" s="3"/>
      <c r="B343" s="10" t="s">
        <v>417</v>
      </c>
      <c r="C343" s="62"/>
      <c r="D343" s="62"/>
      <c r="E343" s="12">
        <v>0</v>
      </c>
      <c r="F343" s="12">
        <v>0</v>
      </c>
      <c r="G343" s="65"/>
      <c r="H343" s="65"/>
      <c r="I343" s="157"/>
      <c r="J343" s="65"/>
      <c r="K343" s="37"/>
      <c r="L343" s="37"/>
      <c r="M343" s="37"/>
      <c r="N343" s="37"/>
      <c r="O343" s="37"/>
      <c r="P343" s="37"/>
      <c r="Q343" s="37"/>
      <c r="R343" s="37"/>
      <c r="S343" s="37"/>
      <c r="T343" s="37"/>
      <c r="U343" s="3"/>
      <c r="W343" s="3"/>
      <c r="X343" s="3"/>
      <c r="Y343" s="3"/>
      <c r="Z343" s="3"/>
    </row>
    <row r="344" spans="1:26" ht="15.75" hidden="1" customHeight="1" outlineLevel="1" x14ac:dyDescent="0.3">
      <c r="A344" s="3"/>
      <c r="B344" s="10" t="s">
        <v>417</v>
      </c>
      <c r="C344" s="62"/>
      <c r="D344" s="62"/>
      <c r="E344" s="12">
        <v>0</v>
      </c>
      <c r="F344" s="12">
        <v>0</v>
      </c>
      <c r="G344" s="65"/>
      <c r="H344" s="65"/>
      <c r="I344" s="157"/>
      <c r="J344" s="65"/>
      <c r="K344" s="37"/>
      <c r="L344" s="37"/>
      <c r="M344" s="37"/>
      <c r="N344" s="37"/>
      <c r="O344" s="37"/>
      <c r="P344" s="37"/>
      <c r="Q344" s="37"/>
      <c r="R344" s="37"/>
      <c r="S344" s="37"/>
      <c r="T344" s="37"/>
      <c r="U344" s="3"/>
      <c r="W344" s="3"/>
      <c r="X344" s="3"/>
      <c r="Y344" s="3"/>
      <c r="Z344" s="3"/>
    </row>
    <row r="345" spans="1:26" ht="15.75" hidden="1" customHeight="1" outlineLevel="1" x14ac:dyDescent="0.3">
      <c r="A345" s="3"/>
      <c r="B345" s="10" t="s">
        <v>418</v>
      </c>
      <c r="C345" s="62"/>
      <c r="D345" s="62"/>
      <c r="E345" s="12">
        <v>0</v>
      </c>
      <c r="F345" s="12">
        <v>0</v>
      </c>
      <c r="G345" s="65"/>
      <c r="H345" s="65"/>
      <c r="I345" s="156"/>
      <c r="J345" s="65"/>
      <c r="K345" s="37"/>
      <c r="L345" s="37"/>
      <c r="M345" s="37"/>
      <c r="N345" s="37"/>
      <c r="O345" s="37"/>
      <c r="P345" s="37"/>
      <c r="Q345" s="37"/>
      <c r="R345" s="37"/>
      <c r="S345" s="37"/>
      <c r="T345" s="37"/>
      <c r="U345" s="3"/>
      <c r="W345" s="3"/>
      <c r="X345" s="3"/>
      <c r="Y345" s="3"/>
      <c r="Z345" s="3"/>
    </row>
    <row r="346" spans="1:26" ht="15.75" hidden="1" customHeight="1" outlineLevel="1" x14ac:dyDescent="0.3">
      <c r="A346" s="3"/>
      <c r="B346" s="10" t="s">
        <v>419</v>
      </c>
      <c r="C346" s="62"/>
      <c r="D346" s="62"/>
      <c r="E346" s="12">
        <v>0</v>
      </c>
      <c r="F346" s="12">
        <v>0</v>
      </c>
      <c r="G346" s="65"/>
      <c r="H346" s="65"/>
      <c r="I346" s="112"/>
      <c r="J346" s="65"/>
      <c r="K346" s="37"/>
      <c r="L346" s="37"/>
      <c r="M346" s="37"/>
      <c r="N346" s="37"/>
      <c r="O346" s="37"/>
      <c r="P346" s="37"/>
      <c r="Q346" s="37"/>
      <c r="R346" s="37"/>
      <c r="S346" s="37"/>
      <c r="T346" s="37"/>
      <c r="U346" s="3"/>
      <c r="W346" s="3"/>
      <c r="X346" s="3"/>
      <c r="Y346" s="3"/>
      <c r="Z346" s="3"/>
    </row>
    <row r="347" spans="1:26" ht="15.75" hidden="1" customHeight="1" outlineLevel="1" x14ac:dyDescent="0.3">
      <c r="A347" s="3"/>
      <c r="B347" s="10" t="s">
        <v>419</v>
      </c>
      <c r="C347" s="62"/>
      <c r="D347" s="62"/>
      <c r="E347" s="12">
        <v>0</v>
      </c>
      <c r="F347" s="12">
        <v>0</v>
      </c>
      <c r="G347" s="65"/>
      <c r="H347" s="65"/>
      <c r="I347" s="112"/>
      <c r="J347" s="65"/>
      <c r="K347" s="37"/>
      <c r="L347" s="37"/>
      <c r="M347" s="37"/>
      <c r="N347" s="37"/>
      <c r="O347" s="37"/>
      <c r="P347" s="37"/>
      <c r="Q347" s="37"/>
      <c r="R347" s="37"/>
      <c r="S347" s="37"/>
      <c r="T347" s="37"/>
      <c r="U347" s="3"/>
      <c r="W347" s="3"/>
      <c r="X347" s="3"/>
      <c r="Y347" s="3"/>
      <c r="Z347" s="3"/>
    </row>
    <row r="348" spans="1:26" ht="15.75" hidden="1" customHeight="1" outlineLevel="1" x14ac:dyDescent="0.3">
      <c r="A348" s="3"/>
      <c r="B348" s="10" t="s">
        <v>420</v>
      </c>
      <c r="C348" s="62"/>
      <c r="D348" s="62"/>
      <c r="E348" s="12">
        <v>0</v>
      </c>
      <c r="F348" s="12">
        <v>0</v>
      </c>
      <c r="G348" s="65"/>
      <c r="H348" s="65"/>
      <c r="I348" s="89"/>
      <c r="J348" s="65"/>
      <c r="K348" s="37"/>
      <c r="L348" s="37"/>
      <c r="M348" s="37"/>
      <c r="N348" s="37"/>
      <c r="O348" s="37"/>
      <c r="P348" s="37"/>
      <c r="Q348" s="37"/>
      <c r="R348" s="37"/>
      <c r="S348" s="37"/>
      <c r="T348" s="37"/>
      <c r="U348" s="3"/>
      <c r="W348" s="3"/>
      <c r="X348" s="3"/>
      <c r="Y348" s="3"/>
      <c r="Z348" s="3"/>
    </row>
    <row r="349" spans="1:26" ht="15.75" hidden="1" customHeight="1" outlineLevel="1" x14ac:dyDescent="0.3">
      <c r="A349" s="3"/>
      <c r="B349" s="10" t="s">
        <v>65</v>
      </c>
      <c r="C349" s="62"/>
      <c r="D349" s="62"/>
      <c r="E349" s="12">
        <v>0</v>
      </c>
      <c r="F349" s="12">
        <v>0</v>
      </c>
      <c r="G349" s="65"/>
      <c r="H349" s="65"/>
      <c r="I349" s="89"/>
      <c r="J349" s="65"/>
      <c r="K349" s="37"/>
      <c r="L349" s="37"/>
      <c r="M349" s="37"/>
      <c r="N349" s="37"/>
      <c r="O349" s="37"/>
      <c r="P349" s="37"/>
      <c r="Q349" s="37"/>
      <c r="R349" s="37"/>
      <c r="S349" s="37"/>
      <c r="T349" s="37"/>
      <c r="U349" s="3"/>
      <c r="W349" s="3"/>
      <c r="X349" s="3"/>
      <c r="Y349" s="3"/>
      <c r="Z349" s="3"/>
    </row>
    <row r="350" spans="1:26" ht="15.75" customHeight="1" collapsed="1" x14ac:dyDescent="0.3">
      <c r="A350" s="3"/>
      <c r="B350" s="3"/>
      <c r="C350" s="37"/>
      <c r="D350" s="37"/>
      <c r="E350" s="37"/>
      <c r="F350" s="37"/>
      <c r="G350" s="98"/>
      <c r="H350" s="98"/>
      <c r="I350" s="99"/>
      <c r="J350" s="98"/>
      <c r="K350" s="37"/>
      <c r="L350" s="37"/>
      <c r="M350" s="37"/>
      <c r="N350" s="37"/>
      <c r="O350" s="37"/>
      <c r="P350" s="37"/>
      <c r="Q350" s="37"/>
      <c r="R350" s="37"/>
      <c r="S350" s="37"/>
      <c r="T350" s="37"/>
      <c r="U350" s="3"/>
    </row>
    <row r="351" spans="1:26" ht="14.25" customHeight="1" x14ac:dyDescent="0.3">
      <c r="A351" s="3"/>
      <c r="B351" s="3"/>
      <c r="C351" s="37"/>
      <c r="D351" s="37"/>
      <c r="E351" s="37"/>
      <c r="F351" s="37"/>
      <c r="G351" s="98"/>
      <c r="H351" s="98"/>
      <c r="I351" s="99"/>
      <c r="J351" s="98"/>
      <c r="K351" s="37"/>
      <c r="L351" s="37"/>
      <c r="M351" s="37"/>
      <c r="N351" s="37"/>
      <c r="O351" s="37"/>
      <c r="P351" s="37"/>
      <c r="Q351" s="37"/>
      <c r="R351" s="37"/>
      <c r="S351" s="37"/>
      <c r="T351" s="37"/>
      <c r="U351" s="3"/>
    </row>
    <row r="352" spans="1:26" ht="57" customHeight="1" x14ac:dyDescent="0.3">
      <c r="A352" s="3"/>
      <c r="B352" s="223" t="s">
        <v>1629</v>
      </c>
      <c r="C352" s="224"/>
      <c r="D352" s="224"/>
      <c r="E352" s="224"/>
      <c r="F352" s="224"/>
      <c r="G352" s="224"/>
      <c r="H352" s="224"/>
      <c r="I352" s="198"/>
      <c r="J352" s="98"/>
      <c r="K352" s="37"/>
      <c r="L352" s="37"/>
      <c r="M352" s="37"/>
      <c r="N352" s="37"/>
      <c r="O352" s="37"/>
      <c r="P352" s="37"/>
      <c r="Q352" s="37"/>
      <c r="R352" s="37"/>
      <c r="S352" s="37"/>
      <c r="T352" s="37"/>
      <c r="U352" s="3"/>
    </row>
    <row r="353" spans="1:21" ht="14.25" customHeight="1" x14ac:dyDescent="0.3">
      <c r="A353" s="3"/>
      <c r="B353" s="3"/>
      <c r="C353" s="37"/>
      <c r="D353" s="37"/>
      <c r="E353" s="37"/>
      <c r="F353" s="37"/>
      <c r="G353" s="98"/>
      <c r="H353" s="98"/>
      <c r="I353" s="99"/>
      <c r="J353" s="98"/>
      <c r="K353" s="37"/>
      <c r="L353" s="37"/>
      <c r="M353" s="37"/>
      <c r="N353" s="37"/>
      <c r="O353" s="37"/>
      <c r="P353" s="37"/>
      <c r="Q353" s="37"/>
      <c r="R353" s="37"/>
      <c r="S353" s="37"/>
      <c r="T353" s="37"/>
      <c r="U353" s="3"/>
    </row>
    <row r="354" spans="1:21" ht="14.25" customHeight="1" x14ac:dyDescent="0.3">
      <c r="A354" s="3"/>
      <c r="B354" s="3"/>
      <c r="C354" s="37"/>
      <c r="D354" s="37"/>
      <c r="E354" s="37"/>
      <c r="F354" s="37"/>
      <c r="G354" s="98"/>
      <c r="H354" s="98"/>
      <c r="I354" s="99"/>
      <c r="J354" s="98"/>
      <c r="K354" s="37"/>
      <c r="L354" s="37"/>
      <c r="M354" s="37"/>
      <c r="N354" s="37"/>
      <c r="O354" s="37"/>
      <c r="P354" s="37"/>
      <c r="Q354" s="37"/>
      <c r="R354" s="37"/>
      <c r="S354" s="37"/>
      <c r="T354" s="37"/>
      <c r="U354" s="3"/>
    </row>
    <row r="355" spans="1:21" ht="14.25" customHeight="1" x14ac:dyDescent="0.3">
      <c r="A355" s="3"/>
      <c r="B355" s="3"/>
      <c r="C355" s="37"/>
      <c r="D355" s="37"/>
      <c r="E355" s="37"/>
      <c r="F355" s="37"/>
      <c r="G355" s="98"/>
      <c r="H355" s="98"/>
      <c r="I355" s="99"/>
      <c r="J355" s="98"/>
      <c r="K355" s="37"/>
      <c r="L355" s="37"/>
      <c r="M355" s="37"/>
      <c r="N355" s="37"/>
      <c r="O355" s="37"/>
      <c r="P355" s="37"/>
      <c r="Q355" s="37"/>
      <c r="R355" s="37"/>
      <c r="S355" s="37"/>
      <c r="T355" s="37"/>
      <c r="U355" s="3"/>
    </row>
    <row r="356" spans="1:21" ht="14.25" customHeight="1" x14ac:dyDescent="0.3">
      <c r="A356" s="3"/>
      <c r="B356" s="3"/>
      <c r="C356" s="37"/>
      <c r="D356" s="37"/>
      <c r="E356" s="37"/>
      <c r="F356" s="37"/>
      <c r="G356" s="98"/>
      <c r="H356" s="98"/>
      <c r="I356" s="99"/>
      <c r="J356" s="98"/>
      <c r="K356" s="37"/>
      <c r="L356" s="37"/>
      <c r="M356" s="37"/>
      <c r="N356" s="37"/>
      <c r="O356" s="37"/>
      <c r="P356" s="37"/>
      <c r="Q356" s="37"/>
      <c r="R356" s="37"/>
      <c r="S356" s="37"/>
      <c r="T356" s="37"/>
      <c r="U356" s="3"/>
    </row>
    <row r="357" spans="1:21" ht="14.25" customHeight="1" x14ac:dyDescent="0.3">
      <c r="A357" s="3"/>
      <c r="B357" s="3"/>
      <c r="C357" s="37"/>
      <c r="D357" s="37"/>
      <c r="E357" s="37"/>
      <c r="F357" s="37"/>
      <c r="G357" s="98"/>
      <c r="H357" s="98"/>
      <c r="I357" s="99"/>
      <c r="J357" s="98"/>
      <c r="K357" s="37"/>
      <c r="L357" s="37"/>
      <c r="M357" s="37"/>
      <c r="N357" s="37"/>
      <c r="O357" s="37"/>
      <c r="P357" s="37"/>
      <c r="Q357" s="37"/>
      <c r="R357" s="37"/>
      <c r="S357" s="37"/>
      <c r="T357" s="37"/>
      <c r="U357" s="3"/>
    </row>
    <row r="358" spans="1:21" ht="14.25" customHeight="1" x14ac:dyDescent="0.3">
      <c r="A358" s="3"/>
      <c r="B358" s="3"/>
      <c r="C358" s="37"/>
      <c r="D358" s="37"/>
      <c r="E358" s="37"/>
      <c r="F358" s="37"/>
      <c r="G358" s="98"/>
      <c r="H358" s="98"/>
      <c r="I358" s="99"/>
      <c r="J358" s="98"/>
      <c r="K358" s="37"/>
      <c r="L358" s="37"/>
      <c r="M358" s="37"/>
      <c r="N358" s="37"/>
      <c r="O358" s="37"/>
      <c r="P358" s="37"/>
      <c r="Q358" s="37"/>
      <c r="R358" s="37"/>
      <c r="S358" s="37"/>
      <c r="T358" s="37"/>
      <c r="U358" s="3"/>
    </row>
    <row r="359" spans="1:21" ht="14.25" customHeight="1" x14ac:dyDescent="0.3">
      <c r="A359" s="3"/>
      <c r="B359" s="3"/>
      <c r="C359" s="37"/>
      <c r="D359" s="37"/>
      <c r="E359" s="37"/>
      <c r="F359" s="37"/>
      <c r="G359" s="98"/>
      <c r="H359" s="98"/>
      <c r="I359" s="99"/>
      <c r="J359" s="98"/>
      <c r="K359" s="37"/>
      <c r="L359" s="37"/>
      <c r="M359" s="37"/>
      <c r="N359" s="37"/>
      <c r="O359" s="37"/>
      <c r="P359" s="37"/>
      <c r="Q359" s="37"/>
      <c r="R359" s="37"/>
      <c r="S359" s="37"/>
      <c r="T359" s="37"/>
      <c r="U359" s="3"/>
    </row>
    <row r="360" spans="1:21" ht="14.25" customHeight="1" x14ac:dyDescent="0.3">
      <c r="A360" s="3"/>
      <c r="B360" s="3"/>
      <c r="C360" s="37"/>
      <c r="D360" s="37"/>
      <c r="E360" s="37"/>
      <c r="F360" s="37"/>
      <c r="G360" s="98"/>
      <c r="H360" s="98"/>
      <c r="I360" s="99"/>
      <c r="J360" s="98"/>
      <c r="K360" s="37"/>
      <c r="L360" s="37"/>
      <c r="M360" s="37"/>
      <c r="N360" s="37"/>
      <c r="O360" s="37"/>
      <c r="P360" s="37"/>
      <c r="Q360" s="37"/>
      <c r="R360" s="37"/>
      <c r="S360" s="37"/>
      <c r="T360" s="37"/>
      <c r="U360" s="3"/>
    </row>
    <row r="361" spans="1:21" ht="14.25" customHeight="1" x14ac:dyDescent="0.3">
      <c r="A361" s="3"/>
      <c r="B361" s="3"/>
      <c r="C361" s="37"/>
      <c r="D361" s="37"/>
      <c r="E361" s="37"/>
      <c r="F361" s="37"/>
      <c r="G361" s="98"/>
      <c r="H361" s="98"/>
      <c r="I361" s="99"/>
      <c r="J361" s="98"/>
      <c r="K361" s="37"/>
      <c r="L361" s="37"/>
      <c r="M361" s="37"/>
      <c r="N361" s="37"/>
      <c r="O361" s="37"/>
      <c r="P361" s="37"/>
      <c r="Q361" s="37"/>
      <c r="R361" s="37"/>
      <c r="S361" s="37"/>
      <c r="T361" s="37"/>
      <c r="U361" s="3"/>
    </row>
    <row r="362" spans="1:21" ht="14.25" customHeight="1" x14ac:dyDescent="0.3">
      <c r="A362" s="3"/>
      <c r="B362" s="3"/>
      <c r="C362" s="37"/>
      <c r="D362" s="37"/>
      <c r="E362" s="37"/>
      <c r="F362" s="37"/>
      <c r="G362" s="98"/>
      <c r="H362" s="98"/>
      <c r="I362" s="99"/>
      <c r="J362" s="98"/>
      <c r="K362" s="37"/>
      <c r="L362" s="37"/>
      <c r="M362" s="37"/>
      <c r="N362" s="37"/>
      <c r="O362" s="37"/>
      <c r="P362" s="37"/>
      <c r="Q362" s="37"/>
      <c r="R362" s="37"/>
      <c r="S362" s="37"/>
      <c r="T362" s="37"/>
      <c r="U362" s="3"/>
    </row>
    <row r="363" spans="1:21" ht="14.25" customHeight="1" x14ac:dyDescent="0.3">
      <c r="A363" s="3"/>
      <c r="B363" s="3"/>
      <c r="C363" s="37"/>
      <c r="D363" s="37"/>
      <c r="E363" s="37"/>
      <c r="F363" s="37"/>
      <c r="G363" s="98"/>
      <c r="H363" s="98"/>
      <c r="I363" s="99"/>
      <c r="J363" s="98"/>
      <c r="K363" s="37"/>
      <c r="L363" s="37"/>
      <c r="M363" s="37"/>
      <c r="N363" s="37"/>
      <c r="O363" s="37"/>
      <c r="P363" s="37"/>
      <c r="Q363" s="37"/>
      <c r="R363" s="37"/>
      <c r="S363" s="37"/>
      <c r="T363" s="37"/>
      <c r="U363" s="3"/>
    </row>
    <row r="364" spans="1:21" ht="14.25" customHeight="1" x14ac:dyDescent="0.3">
      <c r="A364" s="3"/>
      <c r="B364" s="3"/>
      <c r="C364" s="37"/>
      <c r="D364" s="37"/>
      <c r="E364" s="37"/>
      <c r="F364" s="37"/>
      <c r="G364" s="98"/>
      <c r="H364" s="98"/>
      <c r="I364" s="99"/>
      <c r="J364" s="98"/>
      <c r="K364" s="37"/>
      <c r="L364" s="37"/>
      <c r="M364" s="37"/>
      <c r="N364" s="37"/>
      <c r="O364" s="37"/>
      <c r="P364" s="37"/>
      <c r="Q364" s="37"/>
      <c r="R364" s="37"/>
      <c r="S364" s="37"/>
      <c r="T364" s="37"/>
      <c r="U364" s="3"/>
    </row>
    <row r="365" spans="1:21" ht="14.25" customHeight="1" x14ac:dyDescent="0.3">
      <c r="A365" s="3"/>
      <c r="B365" s="3"/>
      <c r="C365" s="37"/>
      <c r="D365" s="37"/>
      <c r="E365" s="37"/>
      <c r="F365" s="37"/>
      <c r="G365" s="98"/>
      <c r="H365" s="98"/>
      <c r="I365" s="99"/>
      <c r="J365" s="98"/>
      <c r="K365" s="37"/>
      <c r="L365" s="37"/>
      <c r="M365" s="37"/>
      <c r="N365" s="37"/>
      <c r="O365" s="37"/>
      <c r="P365" s="37"/>
      <c r="Q365" s="37"/>
      <c r="R365" s="37"/>
      <c r="S365" s="37"/>
      <c r="T365" s="37"/>
      <c r="U365" s="3"/>
    </row>
    <row r="366" spans="1:21" ht="14.25" customHeight="1" x14ac:dyDescent="0.3">
      <c r="A366" s="3"/>
      <c r="B366" s="3"/>
      <c r="C366" s="37"/>
      <c r="D366" s="37"/>
      <c r="E366" s="37"/>
      <c r="F366" s="37"/>
      <c r="G366" s="98"/>
      <c r="H366" s="98"/>
      <c r="I366" s="99"/>
      <c r="J366" s="98"/>
      <c r="K366" s="37"/>
      <c r="L366" s="37"/>
      <c r="M366" s="37"/>
      <c r="N366" s="37"/>
      <c r="O366" s="37"/>
      <c r="P366" s="37"/>
      <c r="Q366" s="37"/>
      <c r="R366" s="37"/>
      <c r="S366" s="37"/>
      <c r="T366" s="37"/>
      <c r="U366" s="3"/>
    </row>
    <row r="367" spans="1:21" ht="14.25" customHeight="1" x14ac:dyDescent="0.3">
      <c r="A367" s="3"/>
      <c r="B367" s="3"/>
      <c r="C367" s="37"/>
      <c r="D367" s="37"/>
      <c r="E367" s="37"/>
      <c r="F367" s="37"/>
      <c r="G367" s="98"/>
      <c r="H367" s="98"/>
      <c r="I367" s="99"/>
      <c r="J367" s="98"/>
      <c r="K367" s="37"/>
      <c r="L367" s="37"/>
      <c r="M367" s="37"/>
      <c r="N367" s="37"/>
      <c r="O367" s="37"/>
      <c r="P367" s="37"/>
      <c r="Q367" s="37"/>
      <c r="R367" s="37"/>
      <c r="S367" s="37"/>
      <c r="T367" s="37"/>
      <c r="U367" s="3"/>
    </row>
    <row r="368" spans="1:21" ht="14.25" customHeight="1" x14ac:dyDescent="0.3">
      <c r="A368" s="3"/>
      <c r="B368" s="3"/>
      <c r="C368" s="37"/>
      <c r="D368" s="37"/>
      <c r="E368" s="37"/>
      <c r="F368" s="37"/>
      <c r="G368" s="98"/>
      <c r="H368" s="98"/>
      <c r="I368" s="99"/>
      <c r="J368" s="98"/>
      <c r="K368" s="37"/>
      <c r="L368" s="37"/>
      <c r="M368" s="37"/>
      <c r="N368" s="37"/>
      <c r="O368" s="37"/>
      <c r="P368" s="37"/>
      <c r="Q368" s="37"/>
      <c r="R368" s="37"/>
      <c r="S368" s="37"/>
      <c r="T368" s="37"/>
      <c r="U368" s="3"/>
    </row>
    <row r="369" spans="1:21" ht="14.25" customHeight="1" x14ac:dyDescent="0.3">
      <c r="A369" s="3"/>
      <c r="B369" s="3"/>
      <c r="C369" s="37"/>
      <c r="D369" s="37"/>
      <c r="E369" s="37"/>
      <c r="F369" s="37"/>
      <c r="G369" s="98"/>
      <c r="H369" s="98"/>
      <c r="I369" s="99"/>
      <c r="J369" s="98"/>
      <c r="K369" s="37"/>
      <c r="L369" s="37"/>
      <c r="M369" s="37"/>
      <c r="N369" s="37"/>
      <c r="O369" s="37"/>
      <c r="P369" s="37"/>
      <c r="Q369" s="37"/>
      <c r="R369" s="37"/>
      <c r="S369" s="37"/>
      <c r="T369" s="37"/>
      <c r="U369" s="3"/>
    </row>
    <row r="370" spans="1:21" ht="14.25" customHeight="1" x14ac:dyDescent="0.3">
      <c r="A370" s="3"/>
      <c r="B370" s="3"/>
      <c r="C370" s="37"/>
      <c r="D370" s="37"/>
      <c r="E370" s="37"/>
      <c r="F370" s="37"/>
      <c r="G370" s="98"/>
      <c r="H370" s="98"/>
      <c r="I370" s="99"/>
      <c r="J370" s="98"/>
      <c r="K370" s="37"/>
      <c r="L370" s="37"/>
      <c r="M370" s="37"/>
      <c r="N370" s="37"/>
      <c r="O370" s="37"/>
      <c r="P370" s="37"/>
      <c r="Q370" s="37"/>
      <c r="R370" s="37"/>
      <c r="S370" s="37"/>
      <c r="T370" s="37"/>
      <c r="U370" s="3"/>
    </row>
    <row r="371" spans="1:21" ht="14.25" customHeight="1" x14ac:dyDescent="0.3">
      <c r="A371" s="3"/>
      <c r="B371" s="3"/>
      <c r="C371" s="37"/>
      <c r="D371" s="37"/>
      <c r="E371" s="37"/>
      <c r="F371" s="37"/>
      <c r="G371" s="98"/>
      <c r="H371" s="98"/>
      <c r="I371" s="99"/>
      <c r="J371" s="98"/>
      <c r="K371" s="37"/>
      <c r="L371" s="37"/>
      <c r="M371" s="37"/>
      <c r="N371" s="37"/>
      <c r="O371" s="37"/>
      <c r="P371" s="37"/>
      <c r="Q371" s="37"/>
      <c r="R371" s="37"/>
      <c r="S371" s="37"/>
      <c r="T371" s="37"/>
      <c r="U371" s="3"/>
    </row>
    <row r="372" spans="1:21" ht="14.25" customHeight="1" x14ac:dyDescent="0.3">
      <c r="A372" s="3"/>
      <c r="B372" s="3"/>
      <c r="C372" s="37"/>
      <c r="D372" s="37"/>
      <c r="E372" s="37"/>
      <c r="F372" s="37"/>
      <c r="G372" s="98"/>
      <c r="H372" s="98"/>
      <c r="I372" s="99"/>
      <c r="J372" s="98"/>
      <c r="K372" s="37"/>
      <c r="L372" s="37"/>
      <c r="M372" s="37"/>
      <c r="N372" s="37"/>
      <c r="O372" s="37"/>
      <c r="P372" s="37"/>
      <c r="Q372" s="37"/>
      <c r="R372" s="37"/>
      <c r="S372" s="37"/>
      <c r="T372" s="37"/>
      <c r="U372" s="3"/>
    </row>
    <row r="373" spans="1:21" ht="14.25" customHeight="1" x14ac:dyDescent="0.3">
      <c r="A373" s="3"/>
      <c r="B373" s="3"/>
      <c r="C373" s="37"/>
      <c r="D373" s="37"/>
      <c r="E373" s="37"/>
      <c r="F373" s="37"/>
      <c r="G373" s="98"/>
      <c r="H373" s="98"/>
      <c r="I373" s="99"/>
      <c r="J373" s="98"/>
      <c r="K373" s="37"/>
      <c r="L373" s="37"/>
      <c r="M373" s="37"/>
      <c r="N373" s="37"/>
      <c r="O373" s="37"/>
      <c r="P373" s="37"/>
      <c r="Q373" s="37"/>
      <c r="R373" s="37"/>
      <c r="S373" s="37"/>
      <c r="T373" s="37"/>
      <c r="U373" s="3"/>
    </row>
    <row r="374" spans="1:21" ht="14.25" customHeight="1" x14ac:dyDescent="0.3">
      <c r="A374" s="3"/>
      <c r="B374" s="3"/>
      <c r="C374" s="37"/>
      <c r="D374" s="37"/>
      <c r="E374" s="37"/>
      <c r="F374" s="37"/>
      <c r="G374" s="98"/>
      <c r="H374" s="98"/>
      <c r="I374" s="99"/>
      <c r="J374" s="98"/>
      <c r="K374" s="37"/>
      <c r="L374" s="37"/>
      <c r="M374" s="37"/>
      <c r="N374" s="37"/>
      <c r="O374" s="37"/>
      <c r="P374" s="37"/>
      <c r="Q374" s="37"/>
      <c r="R374" s="37"/>
      <c r="S374" s="37"/>
      <c r="T374" s="37"/>
      <c r="U374" s="3"/>
    </row>
    <row r="375" spans="1:21" ht="14.25" customHeight="1" x14ac:dyDescent="0.3">
      <c r="A375" s="3"/>
      <c r="B375" s="3"/>
      <c r="C375" s="37"/>
      <c r="D375" s="37"/>
      <c r="E375" s="37"/>
      <c r="F375" s="37"/>
      <c r="G375" s="98"/>
      <c r="H375" s="98"/>
      <c r="I375" s="99"/>
      <c r="J375" s="98"/>
      <c r="K375" s="37"/>
      <c r="L375" s="37"/>
      <c r="M375" s="37"/>
      <c r="N375" s="37"/>
      <c r="O375" s="37"/>
      <c r="P375" s="37"/>
      <c r="Q375" s="37"/>
      <c r="R375" s="37"/>
      <c r="S375" s="37"/>
      <c r="T375" s="37"/>
      <c r="U375" s="3"/>
    </row>
    <row r="376" spans="1:21" ht="14.25" customHeight="1" x14ac:dyDescent="0.3">
      <c r="A376" s="3"/>
      <c r="B376" s="3"/>
      <c r="C376" s="37"/>
      <c r="D376" s="37"/>
      <c r="E376" s="37"/>
      <c r="F376" s="37"/>
      <c r="G376" s="98"/>
      <c r="H376" s="98"/>
      <c r="I376" s="99"/>
      <c r="J376" s="98"/>
      <c r="K376" s="37"/>
      <c r="L376" s="37"/>
      <c r="M376" s="37"/>
      <c r="N376" s="37"/>
      <c r="O376" s="37"/>
      <c r="P376" s="37"/>
      <c r="Q376" s="37"/>
      <c r="R376" s="37"/>
      <c r="S376" s="37"/>
      <c r="T376" s="37"/>
      <c r="U376" s="3"/>
    </row>
    <row r="377" spans="1:21" ht="14.25" customHeight="1" x14ac:dyDescent="0.3">
      <c r="A377" s="3"/>
      <c r="B377" s="3"/>
      <c r="C377" s="37"/>
      <c r="D377" s="37"/>
      <c r="E377" s="37"/>
      <c r="F377" s="37"/>
      <c r="G377" s="98"/>
      <c r="H377" s="98"/>
      <c r="I377" s="99"/>
      <c r="J377" s="98"/>
      <c r="K377" s="37"/>
      <c r="L377" s="37"/>
      <c r="M377" s="37"/>
      <c r="N377" s="37"/>
      <c r="O377" s="37"/>
      <c r="P377" s="37"/>
      <c r="Q377" s="37"/>
      <c r="R377" s="37"/>
      <c r="S377" s="37"/>
      <c r="T377" s="37"/>
      <c r="U377" s="3"/>
    </row>
    <row r="378" spans="1:21" ht="14.25" customHeight="1" x14ac:dyDescent="0.3">
      <c r="A378" s="3"/>
      <c r="B378" s="3"/>
      <c r="C378" s="37"/>
      <c r="D378" s="37"/>
      <c r="E378" s="37"/>
      <c r="F378" s="37"/>
      <c r="G378" s="98"/>
      <c r="H378" s="98"/>
      <c r="I378" s="99"/>
      <c r="J378" s="98"/>
      <c r="K378" s="37"/>
      <c r="L378" s="37"/>
      <c r="M378" s="37"/>
      <c r="N378" s="37"/>
      <c r="O378" s="37"/>
      <c r="P378" s="37"/>
      <c r="Q378" s="37"/>
      <c r="R378" s="37"/>
      <c r="S378" s="37"/>
      <c r="T378" s="37"/>
      <c r="U378" s="3"/>
    </row>
    <row r="379" spans="1:21" ht="14.25" customHeight="1" x14ac:dyDescent="0.3">
      <c r="A379" s="3"/>
      <c r="B379" s="3"/>
      <c r="C379" s="37"/>
      <c r="D379" s="37"/>
      <c r="E379" s="37"/>
      <c r="F379" s="37"/>
      <c r="G379" s="98"/>
      <c r="H379" s="98"/>
      <c r="I379" s="99"/>
      <c r="J379" s="98"/>
      <c r="K379" s="37"/>
      <c r="L379" s="37"/>
      <c r="M379" s="37"/>
      <c r="N379" s="37"/>
      <c r="O379" s="37"/>
      <c r="P379" s="37"/>
      <c r="Q379" s="37"/>
      <c r="R379" s="37"/>
      <c r="S379" s="37"/>
      <c r="T379" s="37"/>
      <c r="U379" s="3"/>
    </row>
    <row r="380" spans="1:21" ht="14.25" customHeight="1" x14ac:dyDescent="0.3">
      <c r="A380" s="3"/>
      <c r="B380" s="3"/>
      <c r="C380" s="37"/>
      <c r="D380" s="37"/>
      <c r="E380" s="37"/>
      <c r="F380" s="37"/>
      <c r="G380" s="98"/>
      <c r="H380" s="98"/>
      <c r="I380" s="99"/>
      <c r="J380" s="98"/>
      <c r="K380" s="37"/>
      <c r="L380" s="37"/>
      <c r="M380" s="37"/>
      <c r="N380" s="37"/>
      <c r="O380" s="37"/>
      <c r="P380" s="37"/>
      <c r="Q380" s="37"/>
      <c r="R380" s="37"/>
      <c r="S380" s="37"/>
      <c r="T380" s="37"/>
      <c r="U380" s="3"/>
    </row>
    <row r="381" spans="1:21" ht="14.25" customHeight="1" x14ac:dyDescent="0.3">
      <c r="A381" s="3"/>
      <c r="B381" s="3"/>
      <c r="C381" s="37"/>
      <c r="D381" s="37"/>
      <c r="E381" s="37"/>
      <c r="F381" s="37"/>
      <c r="G381" s="98"/>
      <c r="H381" s="98"/>
      <c r="I381" s="99"/>
      <c r="J381" s="98"/>
      <c r="K381" s="37"/>
      <c r="L381" s="37"/>
      <c r="M381" s="37"/>
      <c r="N381" s="37"/>
      <c r="O381" s="37"/>
      <c r="P381" s="37"/>
      <c r="Q381" s="37"/>
      <c r="R381" s="37"/>
      <c r="S381" s="37"/>
      <c r="T381" s="37"/>
      <c r="U381" s="3"/>
    </row>
    <row r="382" spans="1:21" ht="14.25" customHeight="1" x14ac:dyDescent="0.3">
      <c r="A382" s="3"/>
      <c r="B382" s="3"/>
      <c r="C382" s="37"/>
      <c r="D382" s="37"/>
      <c r="E382" s="37"/>
      <c r="F382" s="37"/>
      <c r="G382" s="98"/>
      <c r="H382" s="98"/>
      <c r="I382" s="99"/>
      <c r="J382" s="98"/>
      <c r="K382" s="37"/>
      <c r="L382" s="37"/>
      <c r="M382" s="37"/>
      <c r="N382" s="37"/>
      <c r="O382" s="37"/>
      <c r="P382" s="37"/>
      <c r="Q382" s="37"/>
      <c r="R382" s="37"/>
      <c r="S382" s="37"/>
      <c r="T382" s="37"/>
      <c r="U382" s="3"/>
    </row>
    <row r="383" spans="1:21" ht="14.25" customHeight="1" x14ac:dyDescent="0.3">
      <c r="A383" s="3"/>
      <c r="B383" s="3"/>
      <c r="C383" s="37"/>
      <c r="D383" s="37"/>
      <c r="E383" s="37"/>
      <c r="F383" s="37"/>
      <c r="G383" s="98"/>
      <c r="H383" s="98"/>
      <c r="I383" s="99"/>
      <c r="J383" s="98"/>
      <c r="K383" s="37"/>
      <c r="L383" s="37"/>
      <c r="M383" s="37"/>
      <c r="N383" s="37"/>
      <c r="O383" s="37"/>
      <c r="P383" s="37"/>
      <c r="Q383" s="37"/>
      <c r="R383" s="37"/>
      <c r="S383" s="37"/>
      <c r="T383" s="37"/>
      <c r="U383" s="3"/>
    </row>
    <row r="384" spans="1:21" ht="14.25" customHeight="1" x14ac:dyDescent="0.3">
      <c r="A384" s="3"/>
      <c r="B384" s="3"/>
      <c r="C384" s="37"/>
      <c r="D384" s="37"/>
      <c r="E384" s="37"/>
      <c r="F384" s="37"/>
      <c r="G384" s="98"/>
      <c r="H384" s="98"/>
      <c r="I384" s="99"/>
      <c r="J384" s="98"/>
      <c r="K384" s="37"/>
      <c r="L384" s="37"/>
      <c r="M384" s="37"/>
      <c r="N384" s="37"/>
      <c r="O384" s="37"/>
      <c r="P384" s="37"/>
      <c r="Q384" s="37"/>
      <c r="R384" s="37"/>
      <c r="S384" s="37"/>
      <c r="T384" s="37"/>
      <c r="U384" s="3"/>
    </row>
    <row r="385" spans="1:21" ht="14.25" customHeight="1" x14ac:dyDescent="0.3">
      <c r="A385" s="3"/>
      <c r="B385" s="3"/>
      <c r="C385" s="37"/>
      <c r="D385" s="37"/>
      <c r="E385" s="37"/>
      <c r="F385" s="37"/>
      <c r="G385" s="98"/>
      <c r="H385" s="98"/>
      <c r="I385" s="99"/>
      <c r="J385" s="98"/>
      <c r="K385" s="37"/>
      <c r="L385" s="37"/>
      <c r="M385" s="37"/>
      <c r="N385" s="37"/>
      <c r="O385" s="37"/>
      <c r="P385" s="37"/>
      <c r="Q385" s="37"/>
      <c r="R385" s="37"/>
      <c r="S385" s="37"/>
      <c r="T385" s="37"/>
      <c r="U385" s="3"/>
    </row>
    <row r="386" spans="1:21" ht="14.25" customHeight="1" x14ac:dyDescent="0.3">
      <c r="A386" s="3"/>
      <c r="B386" s="3"/>
      <c r="C386" s="37"/>
      <c r="D386" s="37"/>
      <c r="E386" s="37"/>
      <c r="F386" s="37"/>
      <c r="G386" s="98"/>
      <c r="H386" s="98"/>
      <c r="I386" s="99"/>
      <c r="J386" s="98"/>
      <c r="K386" s="37"/>
      <c r="L386" s="37"/>
      <c r="M386" s="37"/>
      <c r="N386" s="37"/>
      <c r="O386" s="37"/>
      <c r="P386" s="37"/>
      <c r="Q386" s="37"/>
      <c r="R386" s="37"/>
      <c r="S386" s="37"/>
      <c r="T386" s="37"/>
      <c r="U386" s="3"/>
    </row>
    <row r="387" spans="1:21" ht="14.25" customHeight="1" x14ac:dyDescent="0.3">
      <c r="A387" s="3"/>
      <c r="B387" s="3"/>
      <c r="C387" s="37"/>
      <c r="D387" s="37"/>
      <c r="E387" s="37"/>
      <c r="F387" s="37"/>
      <c r="G387" s="98"/>
      <c r="H387" s="98"/>
      <c r="I387" s="99"/>
      <c r="J387" s="98"/>
      <c r="K387" s="37"/>
      <c r="L387" s="37"/>
      <c r="M387" s="37"/>
      <c r="N387" s="37"/>
      <c r="O387" s="37"/>
      <c r="P387" s="37"/>
      <c r="Q387" s="37"/>
      <c r="R387" s="37"/>
      <c r="S387" s="37"/>
      <c r="T387" s="37"/>
      <c r="U387" s="3"/>
    </row>
    <row r="388" spans="1:21" ht="14.25" customHeight="1" x14ac:dyDescent="0.3">
      <c r="A388" s="3"/>
      <c r="B388" s="3"/>
      <c r="C388" s="37"/>
      <c r="D388" s="37"/>
      <c r="E388" s="37"/>
      <c r="F388" s="37"/>
      <c r="G388" s="98"/>
      <c r="H388" s="98"/>
      <c r="I388" s="99"/>
      <c r="J388" s="98"/>
      <c r="K388" s="37"/>
      <c r="L388" s="37"/>
      <c r="M388" s="37"/>
      <c r="N388" s="37"/>
      <c r="O388" s="37"/>
      <c r="P388" s="37"/>
      <c r="Q388" s="37"/>
      <c r="R388" s="37"/>
      <c r="S388" s="37"/>
      <c r="T388" s="37"/>
      <c r="U388" s="3"/>
    </row>
    <row r="389" spans="1:21" ht="14.25" customHeight="1" x14ac:dyDescent="0.3">
      <c r="A389" s="3"/>
      <c r="B389" s="3"/>
      <c r="C389" s="37"/>
      <c r="D389" s="37"/>
      <c r="E389" s="37"/>
      <c r="F389" s="37"/>
      <c r="G389" s="98"/>
      <c r="H389" s="98"/>
      <c r="I389" s="99"/>
      <c r="J389" s="98"/>
      <c r="K389" s="37"/>
      <c r="L389" s="37"/>
      <c r="M389" s="37"/>
      <c r="N389" s="37"/>
      <c r="O389" s="37"/>
      <c r="P389" s="37"/>
      <c r="Q389" s="37"/>
      <c r="R389" s="37"/>
      <c r="S389" s="37"/>
      <c r="T389" s="37"/>
      <c r="U389" s="3"/>
    </row>
    <row r="390" spans="1:21" ht="14.25" customHeight="1" x14ac:dyDescent="0.3">
      <c r="A390" s="3"/>
      <c r="B390" s="3"/>
      <c r="C390" s="37"/>
      <c r="D390" s="37"/>
      <c r="E390" s="37"/>
      <c r="F390" s="37"/>
      <c r="G390" s="98"/>
      <c r="H390" s="98"/>
      <c r="I390" s="99"/>
      <c r="J390" s="98"/>
      <c r="K390" s="37"/>
      <c r="L390" s="37"/>
      <c r="M390" s="37"/>
      <c r="N390" s="37"/>
      <c r="O390" s="37"/>
      <c r="P390" s="37"/>
      <c r="Q390" s="37"/>
      <c r="R390" s="37"/>
      <c r="S390" s="37"/>
      <c r="T390" s="37"/>
      <c r="U390" s="3"/>
    </row>
    <row r="391" spans="1:21" ht="14.25" customHeight="1" x14ac:dyDescent="0.3">
      <c r="A391" s="3"/>
      <c r="B391" s="3"/>
      <c r="C391" s="37"/>
      <c r="D391" s="37"/>
      <c r="E391" s="37"/>
      <c r="F391" s="37"/>
      <c r="G391" s="98"/>
      <c r="H391" s="98"/>
      <c r="I391" s="99"/>
      <c r="J391" s="98"/>
      <c r="K391" s="37"/>
      <c r="L391" s="37"/>
      <c r="M391" s="37"/>
      <c r="N391" s="37"/>
      <c r="O391" s="37"/>
      <c r="P391" s="37"/>
      <c r="Q391" s="37"/>
      <c r="R391" s="37"/>
      <c r="S391" s="37"/>
      <c r="T391" s="37"/>
      <c r="U391" s="3"/>
    </row>
    <row r="392" spans="1:21" ht="14.25" customHeight="1" x14ac:dyDescent="0.3">
      <c r="A392" s="3"/>
      <c r="B392" s="3"/>
      <c r="C392" s="37"/>
      <c r="D392" s="37"/>
      <c r="E392" s="37"/>
      <c r="F392" s="37"/>
      <c r="G392" s="98"/>
      <c r="H392" s="98"/>
      <c r="I392" s="99"/>
      <c r="J392" s="98"/>
      <c r="K392" s="37"/>
      <c r="L392" s="37"/>
      <c r="M392" s="37"/>
      <c r="N392" s="37"/>
      <c r="O392" s="37"/>
      <c r="P392" s="37"/>
      <c r="Q392" s="37"/>
      <c r="R392" s="37"/>
      <c r="S392" s="37"/>
      <c r="T392" s="37"/>
      <c r="U392" s="3"/>
    </row>
    <row r="393" spans="1:21" ht="14.25" customHeight="1" x14ac:dyDescent="0.3">
      <c r="A393" s="3"/>
      <c r="B393" s="3"/>
      <c r="C393" s="37"/>
      <c r="D393" s="37"/>
      <c r="E393" s="37"/>
      <c r="F393" s="37"/>
      <c r="G393" s="98"/>
      <c r="H393" s="98"/>
      <c r="I393" s="99"/>
      <c r="J393" s="98"/>
      <c r="K393" s="37"/>
      <c r="L393" s="37"/>
      <c r="M393" s="37"/>
      <c r="N393" s="37"/>
      <c r="O393" s="37"/>
      <c r="P393" s="37"/>
      <c r="Q393" s="37"/>
      <c r="R393" s="37"/>
      <c r="S393" s="37"/>
      <c r="T393" s="37"/>
      <c r="U393" s="3"/>
    </row>
    <row r="394" spans="1:21" ht="14.25" customHeight="1" x14ac:dyDescent="0.3">
      <c r="A394" s="3"/>
      <c r="B394" s="3"/>
      <c r="C394" s="37"/>
      <c r="D394" s="37"/>
      <c r="E394" s="37"/>
      <c r="F394" s="37"/>
      <c r="G394" s="98"/>
      <c r="H394" s="98"/>
      <c r="I394" s="99"/>
      <c r="J394" s="98"/>
      <c r="K394" s="37"/>
      <c r="L394" s="37"/>
      <c r="M394" s="37"/>
      <c r="N394" s="37"/>
      <c r="O394" s="37"/>
      <c r="P394" s="37"/>
      <c r="Q394" s="37"/>
      <c r="R394" s="37"/>
      <c r="S394" s="37"/>
      <c r="T394" s="37"/>
      <c r="U394" s="3"/>
    </row>
    <row r="395" spans="1:21" ht="14.25" customHeight="1" x14ac:dyDescent="0.3">
      <c r="A395" s="3"/>
      <c r="B395" s="3"/>
      <c r="C395" s="37"/>
      <c r="D395" s="37"/>
      <c r="E395" s="37"/>
      <c r="F395" s="37"/>
      <c r="G395" s="98"/>
      <c r="H395" s="98"/>
      <c r="I395" s="99"/>
      <c r="J395" s="98"/>
      <c r="K395" s="37"/>
      <c r="L395" s="37"/>
      <c r="M395" s="37"/>
      <c r="N395" s="37"/>
      <c r="O395" s="37"/>
      <c r="P395" s="37"/>
      <c r="Q395" s="37"/>
      <c r="R395" s="37"/>
      <c r="S395" s="37"/>
      <c r="T395" s="37"/>
      <c r="U395" s="3"/>
    </row>
    <row r="396" spans="1:21" ht="14.25" customHeight="1" x14ac:dyDescent="0.3">
      <c r="A396" s="3"/>
      <c r="B396" s="3"/>
      <c r="C396" s="37"/>
      <c r="D396" s="37"/>
      <c r="E396" s="37"/>
      <c r="F396" s="37"/>
      <c r="G396" s="98"/>
      <c r="H396" s="98"/>
      <c r="I396" s="99"/>
      <c r="J396" s="98"/>
      <c r="K396" s="37"/>
      <c r="L396" s="37"/>
      <c r="M396" s="37"/>
      <c r="N396" s="37"/>
      <c r="O396" s="37"/>
      <c r="P396" s="37"/>
      <c r="Q396" s="37"/>
      <c r="R396" s="37"/>
      <c r="S396" s="37"/>
      <c r="T396" s="37"/>
      <c r="U396" s="3"/>
    </row>
    <row r="397" spans="1:21" ht="14.25" customHeight="1" x14ac:dyDescent="0.3">
      <c r="A397" s="3"/>
      <c r="B397" s="3"/>
      <c r="C397" s="37"/>
      <c r="D397" s="37"/>
      <c r="E397" s="37"/>
      <c r="F397" s="37"/>
      <c r="G397" s="98"/>
      <c r="H397" s="98"/>
      <c r="I397" s="99"/>
      <c r="J397" s="98"/>
      <c r="K397" s="37"/>
      <c r="L397" s="37"/>
      <c r="M397" s="37"/>
      <c r="N397" s="37"/>
      <c r="O397" s="37"/>
      <c r="P397" s="37"/>
      <c r="Q397" s="37"/>
      <c r="R397" s="37"/>
      <c r="S397" s="37"/>
      <c r="T397" s="37"/>
      <c r="U397" s="3"/>
    </row>
    <row r="398" spans="1:21" ht="14.25" customHeight="1" x14ac:dyDescent="0.3">
      <c r="A398" s="3"/>
      <c r="B398" s="3"/>
      <c r="C398" s="37"/>
      <c r="D398" s="37"/>
      <c r="E398" s="37"/>
      <c r="F398" s="37"/>
      <c r="G398" s="98"/>
      <c r="H398" s="98"/>
      <c r="I398" s="99"/>
      <c r="J398" s="98"/>
      <c r="K398" s="37"/>
      <c r="L398" s="37"/>
      <c r="M398" s="37"/>
      <c r="N398" s="37"/>
      <c r="O398" s="37"/>
      <c r="P398" s="37"/>
      <c r="Q398" s="37"/>
      <c r="R398" s="37"/>
      <c r="S398" s="37"/>
      <c r="T398" s="37"/>
      <c r="U398" s="3"/>
    </row>
    <row r="399" spans="1:21" ht="14.25" customHeight="1" x14ac:dyDescent="0.3">
      <c r="A399" s="3"/>
      <c r="B399" s="3"/>
      <c r="C399" s="37"/>
      <c r="D399" s="37"/>
      <c r="E399" s="37"/>
      <c r="F399" s="37"/>
      <c r="G399" s="98"/>
      <c r="H399" s="98"/>
      <c r="I399" s="99"/>
      <c r="J399" s="98"/>
      <c r="K399" s="37"/>
      <c r="L399" s="37"/>
      <c r="M399" s="37"/>
      <c r="N399" s="37"/>
      <c r="O399" s="37"/>
      <c r="P399" s="37"/>
      <c r="Q399" s="37"/>
      <c r="R399" s="37"/>
      <c r="S399" s="37"/>
      <c r="T399" s="37"/>
      <c r="U399" s="3"/>
    </row>
    <row r="400" spans="1:21" ht="14.25" customHeight="1" x14ac:dyDescent="0.3">
      <c r="A400" s="3"/>
      <c r="B400" s="3"/>
      <c r="C400" s="37"/>
      <c r="D400" s="37"/>
      <c r="E400" s="37"/>
      <c r="F400" s="37"/>
      <c r="G400" s="98"/>
      <c r="H400" s="98"/>
      <c r="I400" s="99"/>
      <c r="J400" s="98"/>
      <c r="K400" s="37"/>
      <c r="L400" s="37"/>
      <c r="M400" s="37"/>
      <c r="N400" s="37"/>
      <c r="O400" s="37"/>
      <c r="P400" s="37"/>
      <c r="Q400" s="37"/>
      <c r="R400" s="37"/>
      <c r="S400" s="37"/>
      <c r="T400" s="37"/>
      <c r="U400" s="3"/>
    </row>
    <row r="401" spans="1:21" ht="14.25" customHeight="1" x14ac:dyDescent="0.3">
      <c r="A401" s="3"/>
      <c r="B401" s="3"/>
      <c r="C401" s="37"/>
      <c r="D401" s="37"/>
      <c r="E401" s="37"/>
      <c r="F401" s="37"/>
      <c r="G401" s="98"/>
      <c r="H401" s="98"/>
      <c r="I401" s="99"/>
      <c r="J401" s="98"/>
      <c r="K401" s="37"/>
      <c r="L401" s="37"/>
      <c r="M401" s="37"/>
      <c r="N401" s="37"/>
      <c r="O401" s="37"/>
      <c r="P401" s="37"/>
      <c r="Q401" s="37"/>
      <c r="R401" s="37"/>
      <c r="S401" s="37"/>
      <c r="T401" s="37"/>
      <c r="U401" s="3"/>
    </row>
    <row r="402" spans="1:21" ht="14.25" customHeight="1" x14ac:dyDescent="0.3">
      <c r="A402" s="3"/>
      <c r="B402" s="3"/>
      <c r="C402" s="37"/>
      <c r="D402" s="37"/>
      <c r="E402" s="37"/>
      <c r="F402" s="37"/>
      <c r="G402" s="98"/>
      <c r="H402" s="98"/>
      <c r="I402" s="99"/>
      <c r="J402" s="98"/>
      <c r="K402" s="37"/>
      <c r="L402" s="37"/>
      <c r="M402" s="37"/>
      <c r="N402" s="37"/>
      <c r="O402" s="37"/>
      <c r="P402" s="37"/>
      <c r="Q402" s="37"/>
      <c r="R402" s="37"/>
      <c r="S402" s="37"/>
      <c r="T402" s="37"/>
      <c r="U402" s="3"/>
    </row>
    <row r="403" spans="1:21" ht="14.25" customHeight="1" x14ac:dyDescent="0.3">
      <c r="A403" s="3"/>
      <c r="B403" s="3"/>
      <c r="C403" s="37"/>
      <c r="D403" s="37"/>
      <c r="E403" s="37"/>
      <c r="F403" s="37"/>
      <c r="G403" s="98"/>
      <c r="H403" s="98"/>
      <c r="I403" s="99"/>
      <c r="J403" s="98"/>
      <c r="K403" s="37"/>
      <c r="L403" s="37"/>
      <c r="M403" s="37"/>
      <c r="N403" s="37"/>
      <c r="O403" s="37"/>
      <c r="P403" s="37"/>
      <c r="Q403" s="37"/>
      <c r="R403" s="37"/>
      <c r="S403" s="37"/>
      <c r="T403" s="37"/>
      <c r="U403" s="3"/>
    </row>
    <row r="404" spans="1:21" ht="14.25" customHeight="1" x14ac:dyDescent="0.3">
      <c r="A404" s="3"/>
      <c r="B404" s="3"/>
      <c r="C404" s="37"/>
      <c r="D404" s="37"/>
      <c r="E404" s="37"/>
      <c r="F404" s="37"/>
      <c r="G404" s="98"/>
      <c r="H404" s="98"/>
      <c r="I404" s="99"/>
      <c r="J404" s="98"/>
      <c r="K404" s="37"/>
      <c r="L404" s="37"/>
      <c r="M404" s="37"/>
      <c r="N404" s="37"/>
      <c r="O404" s="37"/>
      <c r="P404" s="37"/>
      <c r="Q404" s="37"/>
      <c r="R404" s="37"/>
      <c r="S404" s="37"/>
      <c r="T404" s="37"/>
      <c r="U404" s="3"/>
    </row>
    <row r="405" spans="1:21" ht="14.25" customHeight="1" x14ac:dyDescent="0.3">
      <c r="A405" s="3"/>
      <c r="B405" s="3"/>
      <c r="C405" s="37"/>
      <c r="D405" s="37"/>
      <c r="E405" s="37"/>
      <c r="F405" s="37"/>
      <c r="G405" s="98"/>
      <c r="H405" s="98"/>
      <c r="I405" s="99"/>
      <c r="J405" s="98"/>
      <c r="K405" s="37"/>
      <c r="L405" s="37"/>
      <c r="M405" s="37"/>
      <c r="N405" s="37"/>
      <c r="O405" s="37"/>
      <c r="P405" s="37"/>
      <c r="Q405" s="37"/>
      <c r="R405" s="37"/>
      <c r="S405" s="37"/>
      <c r="T405" s="37"/>
      <c r="U405" s="3"/>
    </row>
    <row r="406" spans="1:21" ht="14.25" customHeight="1" x14ac:dyDescent="0.3">
      <c r="A406" s="3"/>
      <c r="B406" s="3"/>
      <c r="C406" s="37"/>
      <c r="D406" s="37"/>
      <c r="E406" s="37"/>
      <c r="F406" s="37"/>
      <c r="G406" s="98"/>
      <c r="H406" s="98"/>
      <c r="I406" s="99"/>
      <c r="J406" s="98"/>
      <c r="K406" s="37"/>
      <c r="L406" s="37"/>
      <c r="M406" s="37"/>
      <c r="N406" s="37"/>
      <c r="O406" s="37"/>
      <c r="P406" s="37"/>
      <c r="Q406" s="37"/>
      <c r="R406" s="37"/>
      <c r="S406" s="37"/>
      <c r="T406" s="37"/>
      <c r="U406" s="3"/>
    </row>
    <row r="407" spans="1:21" ht="14.25" customHeight="1" x14ac:dyDescent="0.3">
      <c r="A407" s="3"/>
      <c r="B407" s="3"/>
      <c r="C407" s="37"/>
      <c r="D407" s="37"/>
      <c r="E407" s="37"/>
      <c r="F407" s="37"/>
      <c r="G407" s="98"/>
      <c r="H407" s="98"/>
      <c r="I407" s="99"/>
      <c r="J407" s="98"/>
      <c r="K407" s="37"/>
      <c r="L407" s="37"/>
      <c r="M407" s="37"/>
      <c r="N407" s="37"/>
      <c r="O407" s="37"/>
      <c r="P407" s="37"/>
      <c r="Q407" s="37"/>
      <c r="R407" s="37"/>
      <c r="S407" s="37"/>
      <c r="T407" s="37"/>
      <c r="U407" s="3"/>
    </row>
    <row r="408" spans="1:21" ht="14.25" customHeight="1" x14ac:dyDescent="0.3">
      <c r="A408" s="3"/>
      <c r="B408" s="3"/>
      <c r="C408" s="37"/>
      <c r="D408" s="37"/>
      <c r="E408" s="37"/>
      <c r="F408" s="37"/>
      <c r="G408" s="98"/>
      <c r="H408" s="98"/>
      <c r="I408" s="99"/>
      <c r="J408" s="98"/>
      <c r="K408" s="37"/>
      <c r="L408" s="37"/>
      <c r="M408" s="37"/>
      <c r="N408" s="37"/>
      <c r="O408" s="37"/>
      <c r="P408" s="37"/>
      <c r="Q408" s="37"/>
      <c r="R408" s="37"/>
      <c r="S408" s="37"/>
      <c r="T408" s="37"/>
      <c r="U408" s="3"/>
    </row>
    <row r="409" spans="1:21" ht="14.25" customHeight="1" x14ac:dyDescent="0.3">
      <c r="A409" s="3"/>
      <c r="B409" s="3"/>
      <c r="C409" s="37"/>
      <c r="D409" s="37"/>
      <c r="E409" s="37"/>
      <c r="F409" s="37"/>
      <c r="G409" s="98"/>
      <c r="H409" s="98"/>
      <c r="I409" s="99"/>
      <c r="J409" s="98"/>
      <c r="K409" s="37"/>
      <c r="L409" s="37"/>
      <c r="M409" s="37"/>
      <c r="N409" s="37"/>
      <c r="O409" s="37"/>
      <c r="P409" s="37"/>
      <c r="Q409" s="37"/>
      <c r="R409" s="37"/>
      <c r="S409" s="37"/>
      <c r="T409" s="37"/>
      <c r="U409" s="3"/>
    </row>
    <row r="410" spans="1:21" ht="14.25" customHeight="1" x14ac:dyDescent="0.3">
      <c r="A410" s="3"/>
      <c r="B410" s="3"/>
      <c r="C410" s="37"/>
      <c r="D410" s="37"/>
      <c r="E410" s="37"/>
      <c r="F410" s="37"/>
      <c r="G410" s="98"/>
      <c r="H410" s="98"/>
      <c r="I410" s="99"/>
      <c r="J410" s="98"/>
      <c r="K410" s="37"/>
      <c r="L410" s="37"/>
      <c r="M410" s="37"/>
      <c r="N410" s="37"/>
      <c r="O410" s="37"/>
      <c r="P410" s="37"/>
      <c r="Q410" s="37"/>
      <c r="R410" s="37"/>
      <c r="S410" s="37"/>
      <c r="T410" s="37"/>
      <c r="U410" s="3"/>
    </row>
    <row r="411" spans="1:21" ht="14.25" customHeight="1" x14ac:dyDescent="0.3">
      <c r="A411" s="3"/>
      <c r="B411" s="3"/>
      <c r="C411" s="37"/>
      <c r="D411" s="37"/>
      <c r="E411" s="37"/>
      <c r="F411" s="37"/>
      <c r="G411" s="98"/>
      <c r="H411" s="98"/>
      <c r="I411" s="99"/>
      <c r="J411" s="98"/>
      <c r="K411" s="37"/>
      <c r="L411" s="37"/>
      <c r="M411" s="37"/>
      <c r="N411" s="37"/>
      <c r="O411" s="37"/>
      <c r="P411" s="37"/>
      <c r="Q411" s="37"/>
      <c r="R411" s="37"/>
      <c r="S411" s="37"/>
      <c r="T411" s="37"/>
      <c r="U411" s="3"/>
    </row>
    <row r="412" spans="1:21" ht="14.25" customHeight="1" x14ac:dyDescent="0.3">
      <c r="A412" s="3"/>
      <c r="B412" s="3"/>
      <c r="C412" s="37"/>
      <c r="D412" s="37"/>
      <c r="E412" s="37"/>
      <c r="F412" s="37"/>
      <c r="G412" s="98"/>
      <c r="H412" s="98"/>
      <c r="I412" s="99"/>
      <c r="J412" s="98"/>
      <c r="K412" s="37"/>
      <c r="L412" s="37"/>
      <c r="M412" s="37"/>
      <c r="N412" s="37"/>
      <c r="O412" s="37"/>
      <c r="P412" s="37"/>
      <c r="Q412" s="37"/>
      <c r="R412" s="37"/>
      <c r="S412" s="37"/>
      <c r="T412" s="37"/>
      <c r="U412" s="3"/>
    </row>
    <row r="413" spans="1:21" ht="14.25" customHeight="1" x14ac:dyDescent="0.3">
      <c r="A413" s="3"/>
      <c r="B413" s="3"/>
      <c r="C413" s="37"/>
      <c r="D413" s="37"/>
      <c r="E413" s="37"/>
      <c r="F413" s="37"/>
      <c r="G413" s="98"/>
      <c r="H413" s="98"/>
      <c r="I413" s="99"/>
      <c r="J413" s="98"/>
      <c r="K413" s="37"/>
      <c r="L413" s="37"/>
      <c r="M413" s="37"/>
      <c r="N413" s="37"/>
      <c r="O413" s="37"/>
      <c r="P413" s="37"/>
      <c r="Q413" s="37"/>
      <c r="R413" s="37"/>
      <c r="S413" s="37"/>
      <c r="T413" s="37"/>
      <c r="U413" s="3"/>
    </row>
    <row r="414" spans="1:21" ht="14.25" customHeight="1" x14ac:dyDescent="0.3">
      <c r="A414" s="3"/>
      <c r="B414" s="3"/>
      <c r="C414" s="37"/>
      <c r="D414" s="37"/>
      <c r="E414" s="37"/>
      <c r="F414" s="37"/>
      <c r="G414" s="98"/>
      <c r="H414" s="98"/>
      <c r="I414" s="99"/>
      <c r="J414" s="98"/>
      <c r="K414" s="37"/>
      <c r="L414" s="37"/>
      <c r="M414" s="37"/>
      <c r="N414" s="37"/>
      <c r="O414" s="37"/>
      <c r="P414" s="37"/>
      <c r="Q414" s="37"/>
      <c r="R414" s="37"/>
      <c r="S414" s="37"/>
      <c r="T414" s="37"/>
      <c r="U414" s="3"/>
    </row>
    <row r="415" spans="1:21" ht="14.25" customHeight="1" x14ac:dyDescent="0.3">
      <c r="A415" s="3"/>
      <c r="B415" s="3"/>
      <c r="C415" s="37"/>
      <c r="D415" s="37"/>
      <c r="E415" s="37"/>
      <c r="F415" s="37"/>
      <c r="G415" s="98"/>
      <c r="H415" s="98"/>
      <c r="I415" s="99"/>
      <c r="J415" s="98"/>
      <c r="K415" s="37"/>
      <c r="L415" s="37"/>
      <c r="M415" s="37"/>
      <c r="N415" s="37"/>
      <c r="O415" s="37"/>
      <c r="P415" s="37"/>
      <c r="Q415" s="37"/>
      <c r="R415" s="37"/>
      <c r="S415" s="37"/>
      <c r="T415" s="37"/>
      <c r="U415" s="3"/>
    </row>
    <row r="416" spans="1:21" ht="14.25" customHeight="1" x14ac:dyDescent="0.3">
      <c r="A416" s="3"/>
      <c r="B416" s="3"/>
      <c r="C416" s="37"/>
      <c r="D416" s="37"/>
      <c r="E416" s="37"/>
      <c r="F416" s="37"/>
      <c r="G416" s="98"/>
      <c r="H416" s="98"/>
      <c r="I416" s="99"/>
      <c r="J416" s="98"/>
      <c r="K416" s="37"/>
      <c r="L416" s="37"/>
      <c r="M416" s="37"/>
      <c r="N416" s="37"/>
      <c r="O416" s="37"/>
      <c r="P416" s="37"/>
      <c r="Q416" s="37"/>
      <c r="R416" s="37"/>
      <c r="S416" s="37"/>
      <c r="T416" s="37"/>
      <c r="U416" s="3"/>
    </row>
    <row r="417" spans="1:21" ht="14.25" customHeight="1" x14ac:dyDescent="0.3">
      <c r="A417" s="3"/>
      <c r="B417" s="3"/>
      <c r="C417" s="37"/>
      <c r="D417" s="37"/>
      <c r="E417" s="37"/>
      <c r="F417" s="37"/>
      <c r="G417" s="98"/>
      <c r="H417" s="98"/>
      <c r="I417" s="99"/>
      <c r="J417" s="98"/>
      <c r="K417" s="37"/>
      <c r="L417" s="37"/>
      <c r="M417" s="37"/>
      <c r="N417" s="37"/>
      <c r="O417" s="37"/>
      <c r="P417" s="37"/>
      <c r="Q417" s="37"/>
      <c r="R417" s="37"/>
      <c r="S417" s="37"/>
      <c r="T417" s="37"/>
      <c r="U417" s="3"/>
    </row>
    <row r="418" spans="1:21" ht="14.25" customHeight="1" x14ac:dyDescent="0.3">
      <c r="A418" s="3"/>
      <c r="B418" s="3"/>
      <c r="C418" s="37"/>
      <c r="D418" s="37"/>
      <c r="E418" s="37"/>
      <c r="F418" s="37"/>
      <c r="G418" s="98"/>
      <c r="H418" s="98"/>
      <c r="I418" s="99"/>
      <c r="J418" s="98"/>
      <c r="K418" s="37"/>
      <c r="L418" s="37"/>
      <c r="M418" s="37"/>
      <c r="N418" s="37"/>
      <c r="O418" s="37"/>
      <c r="P418" s="37"/>
      <c r="Q418" s="37"/>
      <c r="R418" s="37"/>
      <c r="S418" s="37"/>
      <c r="T418" s="37"/>
      <c r="U418" s="3"/>
    </row>
    <row r="419" spans="1:21" ht="14.25" customHeight="1" x14ac:dyDescent="0.3">
      <c r="A419" s="3"/>
      <c r="B419" s="3"/>
      <c r="C419" s="37"/>
      <c r="D419" s="37"/>
      <c r="E419" s="37"/>
      <c r="F419" s="37"/>
      <c r="G419" s="98"/>
      <c r="H419" s="98"/>
      <c r="I419" s="99"/>
      <c r="J419" s="98"/>
      <c r="K419" s="37"/>
      <c r="L419" s="37"/>
      <c r="M419" s="37"/>
      <c r="N419" s="37"/>
      <c r="O419" s="37"/>
      <c r="P419" s="37"/>
      <c r="Q419" s="37"/>
      <c r="R419" s="37"/>
      <c r="S419" s="37"/>
      <c r="T419" s="37"/>
      <c r="U419" s="3"/>
    </row>
    <row r="420" spans="1:21" ht="14.25" customHeight="1" x14ac:dyDescent="0.3">
      <c r="A420" s="3"/>
      <c r="B420" s="3"/>
      <c r="C420" s="37"/>
      <c r="D420" s="37"/>
      <c r="E420" s="37"/>
      <c r="F420" s="37"/>
      <c r="G420" s="98"/>
      <c r="H420" s="98"/>
      <c r="I420" s="99"/>
      <c r="J420" s="98"/>
      <c r="K420" s="37"/>
      <c r="L420" s="37"/>
      <c r="M420" s="37"/>
      <c r="N420" s="37"/>
      <c r="O420" s="37"/>
      <c r="P420" s="37"/>
      <c r="Q420" s="37"/>
      <c r="R420" s="37"/>
      <c r="S420" s="37"/>
      <c r="T420" s="37"/>
      <c r="U420" s="3"/>
    </row>
    <row r="421" spans="1:21" ht="14.25" customHeight="1" x14ac:dyDescent="0.3">
      <c r="A421" s="3"/>
      <c r="B421" s="3"/>
      <c r="C421" s="37"/>
      <c r="D421" s="37"/>
      <c r="E421" s="37"/>
      <c r="F421" s="37"/>
      <c r="G421" s="98"/>
      <c r="H421" s="98"/>
      <c r="I421" s="99"/>
      <c r="J421" s="98"/>
      <c r="K421" s="37"/>
      <c r="L421" s="37"/>
      <c r="M421" s="37"/>
      <c r="N421" s="37"/>
      <c r="O421" s="37"/>
      <c r="P421" s="37"/>
      <c r="Q421" s="37"/>
      <c r="R421" s="37"/>
      <c r="S421" s="37"/>
      <c r="T421" s="37"/>
      <c r="U421" s="3"/>
    </row>
    <row r="422" spans="1:21" ht="14.25" customHeight="1" x14ac:dyDescent="0.3">
      <c r="A422" s="3"/>
      <c r="B422" s="3"/>
      <c r="C422" s="37"/>
      <c r="D422" s="37"/>
      <c r="E422" s="37"/>
      <c r="F422" s="37"/>
      <c r="G422" s="98"/>
      <c r="H422" s="98"/>
      <c r="I422" s="99"/>
      <c r="J422" s="98"/>
      <c r="K422" s="37"/>
      <c r="L422" s="37"/>
      <c r="M422" s="37"/>
      <c r="N422" s="37"/>
      <c r="O422" s="37"/>
      <c r="P422" s="37"/>
      <c r="Q422" s="37"/>
      <c r="R422" s="37"/>
      <c r="S422" s="37"/>
      <c r="T422" s="37"/>
      <c r="U422" s="3"/>
    </row>
    <row r="423" spans="1:21" ht="14.25" customHeight="1" x14ac:dyDescent="0.3">
      <c r="A423" s="3"/>
      <c r="B423" s="3"/>
      <c r="C423" s="37"/>
      <c r="D423" s="37"/>
      <c r="E423" s="37"/>
      <c r="F423" s="37"/>
      <c r="G423" s="98"/>
      <c r="H423" s="98"/>
      <c r="I423" s="99"/>
      <c r="J423" s="98"/>
      <c r="K423" s="37"/>
      <c r="L423" s="37"/>
      <c r="M423" s="37"/>
      <c r="N423" s="37"/>
      <c r="O423" s="37"/>
      <c r="P423" s="37"/>
      <c r="Q423" s="37"/>
      <c r="R423" s="37"/>
      <c r="S423" s="37"/>
      <c r="T423" s="37"/>
      <c r="U423" s="3"/>
    </row>
    <row r="424" spans="1:21" ht="14.25" customHeight="1" x14ac:dyDescent="0.3">
      <c r="A424" s="3"/>
      <c r="B424" s="3"/>
      <c r="C424" s="37"/>
      <c r="D424" s="37"/>
      <c r="E424" s="37"/>
      <c r="F424" s="37"/>
      <c r="G424" s="98"/>
      <c r="H424" s="98"/>
      <c r="I424" s="99"/>
      <c r="J424" s="98"/>
      <c r="K424" s="37"/>
      <c r="L424" s="37"/>
      <c r="M424" s="37"/>
      <c r="N424" s="37"/>
      <c r="O424" s="37"/>
      <c r="P424" s="37"/>
      <c r="Q424" s="37"/>
      <c r="R424" s="37"/>
      <c r="S424" s="37"/>
      <c r="T424" s="37"/>
      <c r="U424" s="3"/>
    </row>
    <row r="425" spans="1:21" ht="14.25" customHeight="1" x14ac:dyDescent="0.3">
      <c r="A425" s="3"/>
      <c r="B425" s="3"/>
      <c r="C425" s="37"/>
      <c r="D425" s="37"/>
      <c r="E425" s="37"/>
      <c r="F425" s="37"/>
      <c r="G425" s="98"/>
      <c r="H425" s="98"/>
      <c r="I425" s="99"/>
      <c r="J425" s="98"/>
      <c r="K425" s="37"/>
      <c r="L425" s="37"/>
      <c r="M425" s="37"/>
      <c r="N425" s="37"/>
      <c r="O425" s="37"/>
      <c r="P425" s="37"/>
      <c r="Q425" s="37"/>
      <c r="R425" s="37"/>
      <c r="S425" s="37"/>
      <c r="T425" s="37"/>
      <c r="U425" s="3"/>
    </row>
    <row r="426" spans="1:21" ht="14.25" customHeight="1" x14ac:dyDescent="0.3">
      <c r="A426" s="3"/>
      <c r="B426" s="3"/>
      <c r="C426" s="37"/>
      <c r="D426" s="37"/>
      <c r="E426" s="37"/>
      <c r="F426" s="37"/>
      <c r="G426" s="98"/>
      <c r="H426" s="98"/>
      <c r="I426" s="99"/>
      <c r="J426" s="98"/>
      <c r="K426" s="37"/>
      <c r="L426" s="37"/>
      <c r="M426" s="37"/>
      <c r="N426" s="37"/>
      <c r="O426" s="37"/>
      <c r="P426" s="37"/>
      <c r="Q426" s="37"/>
      <c r="R426" s="37"/>
      <c r="S426" s="37"/>
      <c r="T426" s="37"/>
      <c r="U426" s="3"/>
    </row>
    <row r="427" spans="1:21" ht="14.25" customHeight="1" x14ac:dyDescent="0.3">
      <c r="A427" s="3"/>
      <c r="B427" s="3"/>
      <c r="C427" s="37"/>
      <c r="D427" s="37"/>
      <c r="E427" s="37"/>
      <c r="F427" s="37"/>
      <c r="G427" s="98"/>
      <c r="H427" s="98"/>
      <c r="I427" s="99"/>
      <c r="J427" s="98"/>
      <c r="K427" s="37"/>
      <c r="L427" s="37"/>
      <c r="M427" s="37"/>
      <c r="N427" s="37"/>
      <c r="O427" s="37"/>
      <c r="P427" s="37"/>
      <c r="Q427" s="37"/>
      <c r="R427" s="37"/>
      <c r="S427" s="37"/>
      <c r="T427" s="37"/>
      <c r="U427" s="3"/>
    </row>
    <row r="428" spans="1:21" ht="14.25" customHeight="1" x14ac:dyDescent="0.3">
      <c r="A428" s="3"/>
      <c r="B428" s="3"/>
      <c r="C428" s="37"/>
      <c r="D428" s="37"/>
      <c r="E428" s="37"/>
      <c r="F428" s="37"/>
      <c r="G428" s="98"/>
      <c r="H428" s="98"/>
      <c r="I428" s="99"/>
      <c r="J428" s="98"/>
      <c r="K428" s="37"/>
      <c r="L428" s="37"/>
      <c r="M428" s="37"/>
      <c r="N428" s="37"/>
      <c r="O428" s="37"/>
      <c r="P428" s="37"/>
      <c r="Q428" s="37"/>
      <c r="R428" s="37"/>
      <c r="S428" s="37"/>
      <c r="T428" s="37"/>
      <c r="U428" s="3"/>
    </row>
    <row r="429" spans="1:21" ht="14.25" customHeight="1" x14ac:dyDescent="0.3">
      <c r="A429" s="3"/>
      <c r="B429" s="3"/>
      <c r="C429" s="37"/>
      <c r="D429" s="37"/>
      <c r="E429" s="37"/>
      <c r="F429" s="37"/>
      <c r="G429" s="98"/>
      <c r="H429" s="98"/>
      <c r="I429" s="99"/>
      <c r="J429" s="98"/>
      <c r="K429" s="37"/>
      <c r="L429" s="37"/>
      <c r="M429" s="37"/>
      <c r="N429" s="37"/>
      <c r="O429" s="37"/>
      <c r="P429" s="37"/>
      <c r="Q429" s="37"/>
      <c r="R429" s="37"/>
      <c r="S429" s="37"/>
      <c r="T429" s="37"/>
      <c r="U429" s="3"/>
    </row>
    <row r="430" spans="1:21" ht="14.25" customHeight="1" x14ac:dyDescent="0.3">
      <c r="A430" s="3"/>
      <c r="B430" s="3"/>
      <c r="C430" s="37"/>
      <c r="D430" s="37"/>
      <c r="E430" s="37"/>
      <c r="F430" s="37"/>
      <c r="G430" s="98"/>
      <c r="H430" s="98"/>
      <c r="I430" s="99"/>
      <c r="J430" s="98"/>
      <c r="K430" s="37"/>
      <c r="L430" s="37"/>
      <c r="M430" s="37"/>
      <c r="N430" s="37"/>
      <c r="O430" s="37"/>
      <c r="P430" s="37"/>
      <c r="Q430" s="37"/>
      <c r="R430" s="37"/>
      <c r="S430" s="37"/>
      <c r="T430" s="37"/>
      <c r="U430" s="3"/>
    </row>
    <row r="431" spans="1:21" ht="14.25" customHeight="1" x14ac:dyDescent="0.3">
      <c r="A431" s="3"/>
      <c r="B431" s="3"/>
      <c r="C431" s="37"/>
      <c r="D431" s="37"/>
      <c r="E431" s="37"/>
      <c r="F431" s="37"/>
      <c r="G431" s="98"/>
      <c r="H431" s="98"/>
      <c r="I431" s="99"/>
      <c r="J431" s="98"/>
      <c r="K431" s="37"/>
      <c r="L431" s="37"/>
      <c r="M431" s="37"/>
      <c r="N431" s="37"/>
      <c r="O431" s="37"/>
      <c r="P431" s="37"/>
      <c r="Q431" s="37"/>
      <c r="R431" s="37"/>
      <c r="S431" s="37"/>
      <c r="T431" s="37"/>
      <c r="U431" s="3"/>
    </row>
    <row r="432" spans="1:21" ht="14.25" customHeight="1" x14ac:dyDescent="0.3">
      <c r="A432" s="3"/>
      <c r="B432" s="3"/>
      <c r="C432" s="37"/>
      <c r="D432" s="37"/>
      <c r="E432" s="37"/>
      <c r="F432" s="37"/>
      <c r="G432" s="98"/>
      <c r="H432" s="98"/>
      <c r="I432" s="99"/>
      <c r="J432" s="98"/>
      <c r="K432" s="37"/>
      <c r="L432" s="37"/>
      <c r="M432" s="37"/>
      <c r="N432" s="37"/>
      <c r="O432" s="37"/>
      <c r="P432" s="37"/>
      <c r="Q432" s="37"/>
      <c r="R432" s="37"/>
      <c r="S432" s="37"/>
      <c r="T432" s="37"/>
      <c r="U432" s="3"/>
    </row>
    <row r="433" spans="1:21" ht="14.25" customHeight="1" x14ac:dyDescent="0.3">
      <c r="A433" s="3"/>
      <c r="B433" s="3"/>
      <c r="C433" s="37"/>
      <c r="D433" s="37"/>
      <c r="E433" s="37"/>
      <c r="F433" s="37"/>
      <c r="G433" s="98"/>
      <c r="H433" s="98"/>
      <c r="I433" s="99"/>
      <c r="J433" s="98"/>
      <c r="K433" s="37"/>
      <c r="L433" s="37"/>
      <c r="M433" s="37"/>
      <c r="N433" s="37"/>
      <c r="O433" s="37"/>
      <c r="P433" s="37"/>
      <c r="Q433" s="37"/>
      <c r="R433" s="37"/>
      <c r="S433" s="37"/>
      <c r="T433" s="37"/>
      <c r="U433" s="3"/>
    </row>
    <row r="434" spans="1:21" ht="14.25" customHeight="1" x14ac:dyDescent="0.3">
      <c r="A434" s="3"/>
      <c r="B434" s="3"/>
      <c r="C434" s="37"/>
      <c r="D434" s="37"/>
      <c r="E434" s="37"/>
      <c r="F434" s="37"/>
      <c r="G434" s="98"/>
      <c r="H434" s="98"/>
      <c r="I434" s="99"/>
      <c r="J434" s="98"/>
      <c r="K434" s="37"/>
      <c r="L434" s="37"/>
      <c r="M434" s="37"/>
      <c r="N434" s="37"/>
      <c r="O434" s="37"/>
      <c r="P434" s="37"/>
      <c r="Q434" s="37"/>
      <c r="R434" s="37"/>
      <c r="S434" s="37"/>
      <c r="T434" s="37"/>
      <c r="U434" s="3"/>
    </row>
    <row r="435" spans="1:21" ht="14.25" customHeight="1" x14ac:dyDescent="0.3">
      <c r="A435" s="3"/>
      <c r="B435" s="3"/>
      <c r="C435" s="37"/>
      <c r="D435" s="37"/>
      <c r="E435" s="37"/>
      <c r="F435" s="37"/>
      <c r="G435" s="98"/>
      <c r="H435" s="98"/>
      <c r="I435" s="99"/>
      <c r="J435" s="98"/>
      <c r="K435" s="37"/>
      <c r="L435" s="37"/>
      <c r="M435" s="37"/>
      <c r="N435" s="37"/>
      <c r="O435" s="37"/>
      <c r="P435" s="37"/>
      <c r="Q435" s="37"/>
      <c r="R435" s="37"/>
      <c r="S435" s="37"/>
      <c r="T435" s="37"/>
      <c r="U435" s="3"/>
    </row>
    <row r="436" spans="1:21" ht="14.25" customHeight="1" x14ac:dyDescent="0.3">
      <c r="A436" s="3"/>
      <c r="B436" s="3"/>
      <c r="C436" s="37"/>
      <c r="D436" s="37"/>
      <c r="E436" s="37"/>
      <c r="F436" s="37"/>
      <c r="G436" s="98"/>
      <c r="H436" s="98"/>
      <c r="I436" s="99"/>
      <c r="J436" s="98"/>
      <c r="K436" s="37"/>
      <c r="L436" s="37"/>
      <c r="M436" s="37"/>
      <c r="N436" s="37"/>
      <c r="O436" s="37"/>
      <c r="P436" s="37"/>
      <c r="Q436" s="37"/>
      <c r="R436" s="37"/>
      <c r="S436" s="37"/>
      <c r="T436" s="37"/>
      <c r="U436" s="3"/>
    </row>
    <row r="437" spans="1:21" ht="14.25" customHeight="1" x14ac:dyDescent="0.3">
      <c r="A437" s="3"/>
      <c r="B437" s="3"/>
      <c r="C437" s="37"/>
      <c r="D437" s="37"/>
      <c r="E437" s="37"/>
      <c r="F437" s="37"/>
      <c r="G437" s="98"/>
      <c r="H437" s="98"/>
      <c r="I437" s="99"/>
      <c r="J437" s="98"/>
      <c r="K437" s="37"/>
      <c r="L437" s="37"/>
      <c r="M437" s="37"/>
      <c r="N437" s="37"/>
      <c r="O437" s="37"/>
      <c r="P437" s="37"/>
      <c r="Q437" s="37"/>
      <c r="R437" s="37"/>
      <c r="S437" s="37"/>
      <c r="T437" s="37"/>
      <c r="U437" s="3"/>
    </row>
    <row r="438" spans="1:21" ht="14.25" customHeight="1" x14ac:dyDescent="0.3">
      <c r="A438" s="3"/>
      <c r="B438" s="3"/>
      <c r="C438" s="37"/>
      <c r="D438" s="37"/>
      <c r="E438" s="37"/>
      <c r="F438" s="37"/>
      <c r="G438" s="98"/>
      <c r="H438" s="98"/>
      <c r="I438" s="99"/>
      <c r="J438" s="98"/>
      <c r="K438" s="37"/>
      <c r="L438" s="37"/>
      <c r="M438" s="37"/>
      <c r="N438" s="37"/>
      <c r="O438" s="37"/>
      <c r="P438" s="37"/>
      <c r="Q438" s="37"/>
      <c r="R438" s="37"/>
      <c r="S438" s="37"/>
      <c r="T438" s="37"/>
      <c r="U438" s="3"/>
    </row>
    <row r="439" spans="1:21" ht="14.25" customHeight="1" x14ac:dyDescent="0.3">
      <c r="A439" s="3"/>
      <c r="B439" s="3"/>
      <c r="C439" s="37"/>
      <c r="D439" s="37"/>
      <c r="E439" s="37"/>
      <c r="F439" s="37"/>
      <c r="G439" s="98"/>
      <c r="H439" s="98"/>
      <c r="I439" s="99"/>
      <c r="J439" s="98"/>
      <c r="K439" s="37"/>
      <c r="L439" s="37"/>
      <c r="M439" s="37"/>
      <c r="N439" s="37"/>
      <c r="O439" s="37"/>
      <c r="P439" s="37"/>
      <c r="Q439" s="37"/>
      <c r="R439" s="37"/>
      <c r="S439" s="37"/>
      <c r="T439" s="37"/>
      <c r="U439" s="3"/>
    </row>
    <row r="440" spans="1:21" ht="14.25" customHeight="1" x14ac:dyDescent="0.3">
      <c r="A440" s="3"/>
      <c r="B440" s="3"/>
      <c r="C440" s="37"/>
      <c r="D440" s="37"/>
      <c r="E440" s="37"/>
      <c r="F440" s="37"/>
      <c r="G440" s="98"/>
      <c r="H440" s="98"/>
      <c r="I440" s="99"/>
      <c r="J440" s="98"/>
      <c r="K440" s="37"/>
      <c r="L440" s="37"/>
      <c r="M440" s="37"/>
      <c r="N440" s="37"/>
      <c r="O440" s="37"/>
      <c r="P440" s="37"/>
      <c r="Q440" s="37"/>
      <c r="R440" s="37"/>
      <c r="S440" s="37"/>
      <c r="T440" s="37"/>
      <c r="U440" s="3"/>
    </row>
    <row r="441" spans="1:21" ht="14.25" customHeight="1" x14ac:dyDescent="0.3">
      <c r="A441" s="3"/>
      <c r="B441" s="3"/>
      <c r="C441" s="37"/>
      <c r="D441" s="37"/>
      <c r="E441" s="37"/>
      <c r="F441" s="37"/>
      <c r="G441" s="98"/>
      <c r="H441" s="98"/>
      <c r="I441" s="99"/>
      <c r="J441" s="98"/>
      <c r="K441" s="37"/>
      <c r="L441" s="37"/>
      <c r="M441" s="37"/>
      <c r="N441" s="37"/>
      <c r="O441" s="37"/>
      <c r="P441" s="37"/>
      <c r="Q441" s="37"/>
      <c r="R441" s="37"/>
      <c r="S441" s="37"/>
      <c r="T441" s="37"/>
      <c r="U441" s="3"/>
    </row>
    <row r="442" spans="1:21" ht="14.25" customHeight="1" x14ac:dyDescent="0.3">
      <c r="A442" s="3"/>
      <c r="B442" s="3"/>
      <c r="C442" s="37"/>
      <c r="D442" s="37"/>
      <c r="E442" s="37"/>
      <c r="F442" s="37"/>
      <c r="G442" s="98"/>
      <c r="H442" s="98"/>
      <c r="I442" s="99"/>
      <c r="J442" s="98"/>
      <c r="K442" s="37"/>
      <c r="L442" s="37"/>
      <c r="M442" s="37"/>
      <c r="N442" s="37"/>
      <c r="O442" s="37"/>
      <c r="P442" s="37"/>
      <c r="Q442" s="37"/>
      <c r="R442" s="37"/>
      <c r="S442" s="37"/>
      <c r="T442" s="37"/>
      <c r="U442" s="3"/>
    </row>
    <row r="443" spans="1:21" ht="14.25" customHeight="1" x14ac:dyDescent="0.3">
      <c r="A443" s="3"/>
      <c r="B443" s="3"/>
      <c r="C443" s="37"/>
      <c r="D443" s="37"/>
      <c r="E443" s="37"/>
      <c r="F443" s="37"/>
      <c r="G443" s="98"/>
      <c r="H443" s="98"/>
      <c r="I443" s="99"/>
      <c r="J443" s="98"/>
      <c r="K443" s="37"/>
      <c r="L443" s="37"/>
      <c r="M443" s="37"/>
      <c r="N443" s="37"/>
      <c r="O443" s="37"/>
      <c r="P443" s="37"/>
      <c r="Q443" s="37"/>
      <c r="R443" s="37"/>
      <c r="S443" s="37"/>
      <c r="T443" s="37"/>
      <c r="U443" s="3"/>
    </row>
    <row r="444" spans="1:21" ht="14.25" customHeight="1" x14ac:dyDescent="0.3">
      <c r="A444" s="3"/>
      <c r="B444" s="3"/>
      <c r="C444" s="37"/>
      <c r="D444" s="37"/>
      <c r="E444" s="37"/>
      <c r="F444" s="37"/>
      <c r="G444" s="98"/>
      <c r="H444" s="98"/>
      <c r="I444" s="99"/>
      <c r="J444" s="98"/>
      <c r="K444" s="37"/>
      <c r="L444" s="37"/>
      <c r="M444" s="37"/>
      <c r="N444" s="37"/>
      <c r="O444" s="37"/>
      <c r="P444" s="37"/>
      <c r="Q444" s="37"/>
      <c r="R444" s="37"/>
      <c r="S444" s="37"/>
      <c r="T444" s="37"/>
      <c r="U444" s="3"/>
    </row>
    <row r="445" spans="1:21" ht="14.25" customHeight="1" x14ac:dyDescent="0.3">
      <c r="A445" s="3"/>
      <c r="B445" s="3"/>
      <c r="C445" s="37"/>
      <c r="D445" s="37"/>
      <c r="E445" s="37"/>
      <c r="F445" s="37"/>
      <c r="G445" s="98"/>
      <c r="H445" s="98"/>
      <c r="I445" s="99"/>
      <c r="J445" s="98"/>
      <c r="K445" s="37"/>
      <c r="L445" s="37"/>
      <c r="M445" s="37"/>
      <c r="N445" s="37"/>
      <c r="O445" s="37"/>
      <c r="P445" s="37"/>
      <c r="Q445" s="37"/>
      <c r="R445" s="37"/>
      <c r="S445" s="37"/>
      <c r="T445" s="37"/>
      <c r="U445" s="3"/>
    </row>
    <row r="446" spans="1:21" ht="14.25" customHeight="1" x14ac:dyDescent="0.3">
      <c r="A446" s="3"/>
      <c r="B446" s="3"/>
      <c r="C446" s="37"/>
      <c r="D446" s="37"/>
      <c r="E446" s="37"/>
      <c r="F446" s="37"/>
      <c r="G446" s="98"/>
      <c r="H446" s="98"/>
      <c r="I446" s="99"/>
      <c r="J446" s="98"/>
      <c r="K446" s="37"/>
      <c r="L446" s="37"/>
      <c r="M446" s="37"/>
      <c r="N446" s="37"/>
      <c r="O446" s="37"/>
      <c r="P446" s="37"/>
      <c r="Q446" s="37"/>
      <c r="R446" s="37"/>
      <c r="S446" s="37"/>
      <c r="T446" s="37"/>
      <c r="U446" s="3"/>
    </row>
    <row r="447" spans="1:21" ht="14.25" customHeight="1" x14ac:dyDescent="0.3">
      <c r="A447" s="3"/>
      <c r="B447" s="3"/>
      <c r="C447" s="37"/>
      <c r="D447" s="37"/>
      <c r="E447" s="37"/>
      <c r="F447" s="37"/>
      <c r="G447" s="98"/>
      <c r="H447" s="98"/>
      <c r="I447" s="99"/>
      <c r="J447" s="98"/>
      <c r="K447" s="37"/>
      <c r="L447" s="37"/>
      <c r="M447" s="37"/>
      <c r="N447" s="37"/>
      <c r="O447" s="37"/>
      <c r="P447" s="37"/>
      <c r="Q447" s="37"/>
      <c r="R447" s="37"/>
      <c r="S447" s="37"/>
      <c r="T447" s="37"/>
      <c r="U447" s="3"/>
    </row>
    <row r="448" spans="1:21" ht="14.25" customHeight="1" x14ac:dyDescent="0.3">
      <c r="A448" s="3"/>
      <c r="B448" s="3"/>
      <c r="C448" s="37"/>
      <c r="D448" s="37"/>
      <c r="E448" s="37"/>
      <c r="F448" s="37"/>
      <c r="G448" s="98"/>
      <c r="H448" s="98"/>
      <c r="I448" s="99"/>
      <c r="J448" s="98"/>
      <c r="K448" s="37"/>
      <c r="L448" s="37"/>
      <c r="M448" s="37"/>
      <c r="N448" s="37"/>
      <c r="O448" s="37"/>
      <c r="P448" s="37"/>
      <c r="Q448" s="37"/>
      <c r="R448" s="37"/>
      <c r="S448" s="37"/>
      <c r="T448" s="37"/>
      <c r="U448" s="3"/>
    </row>
    <row r="449" spans="1:21" ht="14.25" customHeight="1" x14ac:dyDescent="0.3">
      <c r="A449" s="3"/>
      <c r="B449" s="3"/>
      <c r="C449" s="37"/>
      <c r="D449" s="37"/>
      <c r="E449" s="37"/>
      <c r="F449" s="37"/>
      <c r="G449" s="98"/>
      <c r="H449" s="98"/>
      <c r="I449" s="99"/>
      <c r="J449" s="98"/>
      <c r="K449" s="37"/>
      <c r="L449" s="37"/>
      <c r="M449" s="37"/>
      <c r="N449" s="37"/>
      <c r="O449" s="37"/>
      <c r="P449" s="37"/>
      <c r="Q449" s="37"/>
      <c r="R449" s="37"/>
      <c r="S449" s="37"/>
      <c r="T449" s="37"/>
      <c r="U449" s="3"/>
    </row>
    <row r="450" spans="1:21" ht="14.25" customHeight="1" x14ac:dyDescent="0.3">
      <c r="A450" s="3"/>
      <c r="B450" s="3"/>
      <c r="C450" s="37"/>
      <c r="D450" s="37"/>
      <c r="E450" s="37"/>
      <c r="F450" s="37"/>
      <c r="G450" s="98"/>
      <c r="H450" s="98"/>
      <c r="I450" s="99"/>
      <c r="J450" s="98"/>
      <c r="K450" s="37"/>
      <c r="L450" s="37"/>
      <c r="M450" s="37"/>
      <c r="N450" s="37"/>
      <c r="O450" s="37"/>
      <c r="P450" s="37"/>
      <c r="Q450" s="37"/>
      <c r="R450" s="37"/>
      <c r="S450" s="37"/>
      <c r="T450" s="37"/>
      <c r="U450" s="3"/>
    </row>
    <row r="451" spans="1:21" ht="14.25" customHeight="1" x14ac:dyDescent="0.3">
      <c r="A451" s="3"/>
      <c r="B451" s="3"/>
      <c r="C451" s="37"/>
      <c r="D451" s="37"/>
      <c r="E451" s="37"/>
      <c r="F451" s="37"/>
      <c r="G451" s="98"/>
      <c r="H451" s="98"/>
      <c r="I451" s="99"/>
      <c r="J451" s="98"/>
      <c r="K451" s="37"/>
      <c r="L451" s="37"/>
      <c r="M451" s="37"/>
      <c r="N451" s="37"/>
      <c r="O451" s="37"/>
      <c r="P451" s="37"/>
      <c r="Q451" s="37"/>
      <c r="R451" s="37"/>
      <c r="S451" s="37"/>
      <c r="T451" s="37"/>
      <c r="U451" s="3"/>
    </row>
    <row r="452" spans="1:21" ht="14.25" customHeight="1" x14ac:dyDescent="0.3">
      <c r="A452" s="3"/>
      <c r="B452" s="3"/>
      <c r="C452" s="37"/>
      <c r="D452" s="37"/>
      <c r="E452" s="37"/>
      <c r="F452" s="37"/>
      <c r="G452" s="98"/>
      <c r="H452" s="98"/>
      <c r="I452" s="99"/>
      <c r="J452" s="98"/>
      <c r="K452" s="37"/>
      <c r="L452" s="37"/>
      <c r="M452" s="37"/>
      <c r="N452" s="37"/>
      <c r="O452" s="37"/>
      <c r="P452" s="37"/>
      <c r="Q452" s="37"/>
      <c r="R452" s="37"/>
      <c r="S452" s="37"/>
      <c r="T452" s="37"/>
      <c r="U452" s="3"/>
    </row>
    <row r="453" spans="1:21" ht="14.25" customHeight="1" x14ac:dyDescent="0.3">
      <c r="A453" s="3"/>
      <c r="B453" s="3"/>
      <c r="C453" s="37"/>
      <c r="D453" s="37"/>
      <c r="E453" s="37"/>
      <c r="F453" s="37"/>
      <c r="G453" s="98"/>
      <c r="H453" s="98"/>
      <c r="I453" s="99"/>
      <c r="J453" s="98"/>
      <c r="K453" s="37"/>
      <c r="L453" s="37"/>
      <c r="M453" s="37"/>
      <c r="N453" s="37"/>
      <c r="O453" s="37"/>
      <c r="P453" s="37"/>
      <c r="Q453" s="37"/>
      <c r="R453" s="37"/>
      <c r="S453" s="37"/>
      <c r="T453" s="37"/>
      <c r="U453" s="3"/>
    </row>
    <row r="454" spans="1:21" ht="14.25" customHeight="1" x14ac:dyDescent="0.3">
      <c r="A454" s="3"/>
      <c r="B454" s="3"/>
      <c r="C454" s="37"/>
      <c r="D454" s="37"/>
      <c r="E454" s="37"/>
      <c r="F454" s="37"/>
      <c r="G454" s="98"/>
      <c r="H454" s="98"/>
      <c r="I454" s="99"/>
      <c r="J454" s="98"/>
      <c r="K454" s="37"/>
      <c r="L454" s="37"/>
      <c r="M454" s="37"/>
      <c r="N454" s="37"/>
      <c r="O454" s="37"/>
      <c r="P454" s="37"/>
      <c r="Q454" s="37"/>
      <c r="R454" s="37"/>
      <c r="S454" s="37"/>
      <c r="T454" s="37"/>
      <c r="U454" s="3"/>
    </row>
    <row r="455" spans="1:21" ht="14.25" customHeight="1" x14ac:dyDescent="0.3">
      <c r="A455" s="3"/>
      <c r="B455" s="3"/>
      <c r="C455" s="37"/>
      <c r="D455" s="37"/>
      <c r="E455" s="37"/>
      <c r="F455" s="37"/>
      <c r="G455" s="98"/>
      <c r="H455" s="98"/>
      <c r="I455" s="99"/>
      <c r="J455" s="98"/>
      <c r="K455" s="37"/>
      <c r="L455" s="37"/>
      <c r="M455" s="37"/>
      <c r="N455" s="37"/>
      <c r="O455" s="37"/>
      <c r="P455" s="37"/>
      <c r="Q455" s="37"/>
      <c r="R455" s="37"/>
      <c r="S455" s="37"/>
      <c r="T455" s="37"/>
      <c r="U455" s="3"/>
    </row>
    <row r="456" spans="1:21" ht="14.25" customHeight="1" x14ac:dyDescent="0.3">
      <c r="A456" s="3"/>
      <c r="B456" s="3"/>
      <c r="C456" s="37"/>
      <c r="D456" s="37"/>
      <c r="E456" s="37"/>
      <c r="F456" s="37"/>
      <c r="G456" s="98"/>
      <c r="H456" s="98"/>
      <c r="I456" s="99"/>
      <c r="J456" s="98"/>
      <c r="K456" s="37"/>
      <c r="L456" s="37"/>
      <c r="M456" s="37"/>
      <c r="N456" s="37"/>
      <c r="O456" s="37"/>
      <c r="P456" s="37"/>
      <c r="Q456" s="37"/>
      <c r="R456" s="37"/>
      <c r="S456" s="37"/>
      <c r="T456" s="37"/>
      <c r="U456" s="3"/>
    </row>
    <row r="457" spans="1:21" ht="14.25" customHeight="1" x14ac:dyDescent="0.3">
      <c r="A457" s="3"/>
      <c r="B457" s="3"/>
      <c r="C457" s="37"/>
      <c r="D457" s="37"/>
      <c r="E457" s="37"/>
      <c r="F457" s="37"/>
      <c r="G457" s="98"/>
      <c r="H457" s="98"/>
      <c r="I457" s="99"/>
      <c r="J457" s="98"/>
      <c r="K457" s="37"/>
      <c r="L457" s="37"/>
      <c r="M457" s="37"/>
      <c r="N457" s="37"/>
      <c r="O457" s="37"/>
      <c r="P457" s="37"/>
      <c r="Q457" s="37"/>
      <c r="R457" s="37"/>
      <c r="S457" s="37"/>
      <c r="T457" s="37"/>
      <c r="U457" s="3"/>
    </row>
    <row r="458" spans="1:21" ht="14.25" customHeight="1" x14ac:dyDescent="0.3">
      <c r="A458" s="3"/>
      <c r="B458" s="3"/>
      <c r="C458" s="37"/>
      <c r="D458" s="37"/>
      <c r="E458" s="37"/>
      <c r="F458" s="37"/>
      <c r="G458" s="98"/>
      <c r="H458" s="98"/>
      <c r="I458" s="99"/>
      <c r="J458" s="98"/>
      <c r="K458" s="37"/>
      <c r="L458" s="37"/>
      <c r="M458" s="37"/>
      <c r="N458" s="37"/>
      <c r="O458" s="37"/>
      <c r="P458" s="37"/>
      <c r="Q458" s="37"/>
      <c r="R458" s="37"/>
      <c r="S458" s="37"/>
      <c r="T458" s="37"/>
      <c r="U458" s="3"/>
    </row>
    <row r="459" spans="1:21" ht="14.25" customHeight="1" x14ac:dyDescent="0.3">
      <c r="A459" s="3"/>
      <c r="B459" s="3"/>
      <c r="C459" s="37"/>
      <c r="D459" s="37"/>
      <c r="E459" s="37"/>
      <c r="F459" s="37"/>
      <c r="G459" s="98"/>
      <c r="H459" s="98"/>
      <c r="I459" s="99"/>
      <c r="J459" s="98"/>
      <c r="K459" s="37"/>
      <c r="L459" s="37"/>
      <c r="M459" s="37"/>
      <c r="N459" s="37"/>
      <c r="O459" s="37"/>
      <c r="P459" s="37"/>
      <c r="Q459" s="37"/>
      <c r="R459" s="37"/>
      <c r="S459" s="37"/>
      <c r="T459" s="37"/>
      <c r="U459" s="3"/>
    </row>
    <row r="460" spans="1:21" ht="14.25" customHeight="1" x14ac:dyDescent="0.3">
      <c r="A460" s="3"/>
      <c r="B460" s="3"/>
      <c r="C460" s="37"/>
      <c r="D460" s="37"/>
      <c r="E460" s="37"/>
      <c r="F460" s="37"/>
      <c r="G460" s="98"/>
      <c r="H460" s="98"/>
      <c r="I460" s="99"/>
      <c r="J460" s="98"/>
      <c r="K460" s="37"/>
      <c r="L460" s="37"/>
      <c r="M460" s="37"/>
      <c r="N460" s="37"/>
      <c r="O460" s="37"/>
      <c r="P460" s="37"/>
      <c r="Q460" s="37"/>
      <c r="R460" s="37"/>
      <c r="S460" s="37"/>
      <c r="T460" s="37"/>
      <c r="U460" s="3"/>
    </row>
    <row r="461" spans="1:21" ht="14.25" customHeight="1" x14ac:dyDescent="0.3">
      <c r="A461" s="3"/>
      <c r="B461" s="3"/>
      <c r="C461" s="37"/>
      <c r="D461" s="37"/>
      <c r="E461" s="37"/>
      <c r="F461" s="37"/>
      <c r="G461" s="98"/>
      <c r="H461" s="98"/>
      <c r="I461" s="99"/>
      <c r="J461" s="98"/>
      <c r="K461" s="37"/>
      <c r="L461" s="37"/>
      <c r="M461" s="37"/>
      <c r="N461" s="37"/>
      <c r="O461" s="37"/>
      <c r="P461" s="37"/>
      <c r="Q461" s="37"/>
      <c r="R461" s="37"/>
      <c r="S461" s="37"/>
      <c r="T461" s="37"/>
      <c r="U461" s="3"/>
    </row>
    <row r="462" spans="1:21" ht="14.25" customHeight="1" x14ac:dyDescent="0.3">
      <c r="A462" s="3"/>
      <c r="B462" s="3"/>
      <c r="C462" s="37"/>
      <c r="D462" s="37"/>
      <c r="E462" s="37"/>
      <c r="F462" s="37"/>
      <c r="G462" s="98"/>
      <c r="H462" s="98"/>
      <c r="I462" s="99"/>
      <c r="J462" s="98"/>
      <c r="K462" s="37"/>
      <c r="L462" s="37"/>
      <c r="M462" s="37"/>
      <c r="N462" s="37"/>
      <c r="O462" s="37"/>
      <c r="P462" s="37"/>
      <c r="Q462" s="37"/>
      <c r="R462" s="37"/>
      <c r="S462" s="37"/>
      <c r="T462" s="37"/>
      <c r="U462" s="3"/>
    </row>
    <row r="463" spans="1:21" ht="14.25" customHeight="1" x14ac:dyDescent="0.3">
      <c r="A463" s="3"/>
      <c r="B463" s="3"/>
      <c r="C463" s="37"/>
      <c r="D463" s="37"/>
      <c r="E463" s="37"/>
      <c r="F463" s="37"/>
      <c r="G463" s="98"/>
      <c r="H463" s="98"/>
      <c r="I463" s="99"/>
      <c r="J463" s="98"/>
      <c r="K463" s="37"/>
      <c r="L463" s="37"/>
      <c r="M463" s="37"/>
      <c r="N463" s="37"/>
      <c r="O463" s="37"/>
      <c r="P463" s="37"/>
      <c r="Q463" s="37"/>
      <c r="R463" s="37"/>
      <c r="S463" s="37"/>
      <c r="T463" s="37"/>
      <c r="U463" s="3"/>
    </row>
    <row r="464" spans="1:21" ht="14.25" customHeight="1" x14ac:dyDescent="0.3">
      <c r="A464" s="3"/>
      <c r="B464" s="3"/>
      <c r="C464" s="37"/>
      <c r="D464" s="37"/>
      <c r="E464" s="37"/>
      <c r="F464" s="37"/>
      <c r="G464" s="98"/>
      <c r="H464" s="98"/>
      <c r="I464" s="99"/>
      <c r="J464" s="98"/>
      <c r="K464" s="37"/>
      <c r="L464" s="37"/>
      <c r="M464" s="37"/>
      <c r="N464" s="37"/>
      <c r="O464" s="37"/>
      <c r="P464" s="37"/>
      <c r="Q464" s="37"/>
      <c r="R464" s="37"/>
      <c r="S464" s="37"/>
      <c r="T464" s="37"/>
      <c r="U464" s="3"/>
    </row>
    <row r="465" spans="1:21" ht="14.25" customHeight="1" x14ac:dyDescent="0.3">
      <c r="A465" s="3"/>
      <c r="B465" s="3"/>
      <c r="C465" s="37"/>
      <c r="D465" s="37"/>
      <c r="E465" s="37"/>
      <c r="F465" s="37"/>
      <c r="G465" s="98"/>
      <c r="H465" s="98"/>
      <c r="I465" s="99"/>
      <c r="J465" s="98"/>
      <c r="K465" s="37"/>
      <c r="L465" s="37"/>
      <c r="M465" s="37"/>
      <c r="N465" s="37"/>
      <c r="O465" s="37"/>
      <c r="P465" s="37"/>
      <c r="Q465" s="37"/>
      <c r="R465" s="37"/>
      <c r="S465" s="37"/>
      <c r="T465" s="37"/>
      <c r="U465" s="3"/>
    </row>
    <row r="466" spans="1:21" ht="14.25" customHeight="1" x14ac:dyDescent="0.3">
      <c r="A466" s="3"/>
      <c r="B466" s="3"/>
      <c r="C466" s="37"/>
      <c r="D466" s="37"/>
      <c r="E466" s="37"/>
      <c r="F466" s="37"/>
      <c r="G466" s="98"/>
      <c r="H466" s="98"/>
      <c r="I466" s="99"/>
      <c r="J466" s="98"/>
      <c r="K466" s="37"/>
      <c r="L466" s="37"/>
      <c r="M466" s="37"/>
      <c r="N466" s="37"/>
      <c r="O466" s="37"/>
      <c r="P466" s="37"/>
      <c r="Q466" s="37"/>
      <c r="R466" s="37"/>
      <c r="S466" s="37"/>
      <c r="T466" s="37"/>
      <c r="U466" s="3"/>
    </row>
    <row r="467" spans="1:21" ht="14.25" customHeight="1" x14ac:dyDescent="0.3">
      <c r="A467" s="3"/>
      <c r="B467" s="3"/>
      <c r="C467" s="37"/>
      <c r="D467" s="37"/>
      <c r="E467" s="37"/>
      <c r="F467" s="37"/>
      <c r="G467" s="98"/>
      <c r="H467" s="98"/>
      <c r="I467" s="99"/>
      <c r="J467" s="98"/>
      <c r="K467" s="37"/>
      <c r="L467" s="37"/>
      <c r="M467" s="37"/>
      <c r="N467" s="37"/>
      <c r="O467" s="37"/>
      <c r="P467" s="37"/>
      <c r="Q467" s="37"/>
      <c r="R467" s="37"/>
      <c r="S467" s="37"/>
      <c r="T467" s="37"/>
      <c r="U467" s="3"/>
    </row>
    <row r="468" spans="1:21" ht="14.25" customHeight="1" x14ac:dyDescent="0.3">
      <c r="A468" s="3"/>
      <c r="B468" s="3"/>
      <c r="C468" s="37"/>
      <c r="D468" s="37"/>
      <c r="E468" s="37"/>
      <c r="F468" s="37"/>
      <c r="G468" s="98"/>
      <c r="H468" s="98"/>
      <c r="I468" s="99"/>
      <c r="J468" s="98"/>
      <c r="K468" s="37"/>
      <c r="L468" s="37"/>
      <c r="M468" s="37"/>
      <c r="N468" s="37"/>
      <c r="O468" s="37"/>
      <c r="P468" s="37"/>
      <c r="Q468" s="37"/>
      <c r="R468" s="37"/>
      <c r="S468" s="37"/>
      <c r="T468" s="37"/>
      <c r="U468" s="3"/>
    </row>
    <row r="469" spans="1:21" ht="14.25" customHeight="1" x14ac:dyDescent="0.3">
      <c r="A469" s="3"/>
      <c r="B469" s="3"/>
      <c r="C469" s="37"/>
      <c r="D469" s="37"/>
      <c r="E469" s="37"/>
      <c r="F469" s="37"/>
      <c r="G469" s="98"/>
      <c r="H469" s="98"/>
      <c r="I469" s="99"/>
      <c r="J469" s="98"/>
      <c r="K469" s="37"/>
      <c r="L469" s="37"/>
      <c r="M469" s="37"/>
      <c r="N469" s="37"/>
      <c r="O469" s="37"/>
      <c r="P469" s="37"/>
      <c r="Q469" s="37"/>
      <c r="R469" s="37"/>
      <c r="S469" s="37"/>
      <c r="T469" s="37"/>
      <c r="U469" s="3"/>
    </row>
    <row r="470" spans="1:21" ht="14.25" customHeight="1" x14ac:dyDescent="0.3">
      <c r="A470" s="3"/>
      <c r="B470" s="3"/>
      <c r="C470" s="37"/>
      <c r="D470" s="37"/>
      <c r="E470" s="37"/>
      <c r="F470" s="37"/>
      <c r="G470" s="98"/>
      <c r="H470" s="98"/>
      <c r="I470" s="99"/>
      <c r="J470" s="98"/>
      <c r="K470" s="37"/>
      <c r="L470" s="37"/>
      <c r="M470" s="37"/>
      <c r="N470" s="37"/>
      <c r="O470" s="37"/>
      <c r="P470" s="37"/>
      <c r="Q470" s="37"/>
      <c r="R470" s="37"/>
      <c r="S470" s="37"/>
      <c r="T470" s="37"/>
      <c r="U470" s="3"/>
    </row>
    <row r="471" spans="1:21" ht="14.25" customHeight="1" x14ac:dyDescent="0.3">
      <c r="A471" s="3"/>
      <c r="B471" s="3"/>
      <c r="C471" s="37"/>
      <c r="D471" s="37"/>
      <c r="E471" s="37"/>
      <c r="F471" s="37"/>
      <c r="G471" s="98"/>
      <c r="H471" s="98"/>
      <c r="I471" s="99"/>
      <c r="J471" s="98"/>
      <c r="K471" s="37"/>
      <c r="L471" s="37"/>
      <c r="M471" s="37"/>
      <c r="N471" s="37"/>
      <c r="O471" s="37"/>
      <c r="P471" s="37"/>
      <c r="Q471" s="37"/>
      <c r="R471" s="37"/>
      <c r="S471" s="37"/>
      <c r="T471" s="37"/>
      <c r="U471" s="3"/>
    </row>
    <row r="472" spans="1:21" ht="14.25" customHeight="1" x14ac:dyDescent="0.3">
      <c r="A472" s="3"/>
      <c r="B472" s="3"/>
      <c r="C472" s="37"/>
      <c r="D472" s="37"/>
      <c r="E472" s="37"/>
      <c r="F472" s="37"/>
      <c r="G472" s="98"/>
      <c r="H472" s="98"/>
      <c r="I472" s="99"/>
      <c r="J472" s="98"/>
      <c r="K472" s="37"/>
      <c r="L472" s="37"/>
      <c r="M472" s="37"/>
      <c r="N472" s="37"/>
      <c r="O472" s="37"/>
      <c r="P472" s="37"/>
      <c r="Q472" s="37"/>
      <c r="R472" s="37"/>
      <c r="S472" s="37"/>
      <c r="T472" s="37"/>
      <c r="U472" s="3"/>
    </row>
    <row r="473" spans="1:21" ht="14.25" customHeight="1" x14ac:dyDescent="0.3">
      <c r="A473" s="3"/>
      <c r="B473" s="3"/>
      <c r="C473" s="37"/>
      <c r="D473" s="37"/>
      <c r="E473" s="37"/>
      <c r="F473" s="37"/>
      <c r="G473" s="98"/>
      <c r="H473" s="98"/>
      <c r="I473" s="99"/>
      <c r="J473" s="98"/>
      <c r="K473" s="37"/>
      <c r="L473" s="37"/>
      <c r="M473" s="37"/>
      <c r="N473" s="37"/>
      <c r="O473" s="37"/>
      <c r="P473" s="37"/>
      <c r="Q473" s="37"/>
      <c r="R473" s="37"/>
      <c r="S473" s="37"/>
      <c r="T473" s="37"/>
      <c r="U473" s="3"/>
    </row>
    <row r="474" spans="1:21" ht="14.25" customHeight="1" x14ac:dyDescent="0.3">
      <c r="A474" s="3"/>
      <c r="B474" s="3"/>
      <c r="C474" s="37"/>
      <c r="D474" s="37"/>
      <c r="E474" s="37"/>
      <c r="F474" s="37"/>
      <c r="G474" s="98"/>
      <c r="H474" s="98"/>
      <c r="I474" s="99"/>
      <c r="J474" s="98"/>
      <c r="K474" s="37"/>
      <c r="L474" s="37"/>
      <c r="M474" s="37"/>
      <c r="N474" s="37"/>
      <c r="O474" s="37"/>
      <c r="P474" s="37"/>
      <c r="Q474" s="37"/>
      <c r="R474" s="37"/>
      <c r="S474" s="37"/>
      <c r="T474" s="37"/>
      <c r="U474" s="3"/>
    </row>
    <row r="475" spans="1:21" ht="14.25" customHeight="1" x14ac:dyDescent="0.3">
      <c r="A475" s="3"/>
      <c r="B475" s="3"/>
      <c r="C475" s="37"/>
      <c r="D475" s="37"/>
      <c r="E475" s="37"/>
      <c r="F475" s="37"/>
      <c r="G475" s="98"/>
      <c r="H475" s="98"/>
      <c r="I475" s="99"/>
      <c r="J475" s="98"/>
      <c r="K475" s="37"/>
      <c r="L475" s="37"/>
      <c r="M475" s="37"/>
      <c r="N475" s="37"/>
      <c r="O475" s="37"/>
      <c r="P475" s="37"/>
      <c r="Q475" s="37"/>
      <c r="R475" s="37"/>
      <c r="S475" s="37"/>
      <c r="T475" s="37"/>
      <c r="U475" s="3"/>
    </row>
    <row r="476" spans="1:21" ht="14.25" customHeight="1" x14ac:dyDescent="0.3">
      <c r="A476" s="3"/>
      <c r="B476" s="3"/>
      <c r="C476" s="37"/>
      <c r="D476" s="37"/>
      <c r="E476" s="37"/>
      <c r="F476" s="37"/>
      <c r="G476" s="98"/>
      <c r="H476" s="98"/>
      <c r="I476" s="99"/>
      <c r="J476" s="98"/>
      <c r="K476" s="37"/>
      <c r="L476" s="37"/>
      <c r="M476" s="37"/>
      <c r="N476" s="37"/>
      <c r="O476" s="37"/>
      <c r="P476" s="37"/>
      <c r="Q476" s="37"/>
      <c r="R476" s="37"/>
      <c r="S476" s="37"/>
      <c r="T476" s="37"/>
      <c r="U476" s="3"/>
    </row>
    <row r="477" spans="1:21" ht="14.25" customHeight="1" x14ac:dyDescent="0.3">
      <c r="A477" s="3"/>
      <c r="B477" s="3"/>
      <c r="C477" s="37"/>
      <c r="D477" s="37"/>
      <c r="E477" s="37"/>
      <c r="F477" s="37"/>
      <c r="G477" s="98"/>
      <c r="H477" s="98"/>
      <c r="I477" s="99"/>
      <c r="J477" s="98"/>
      <c r="K477" s="37"/>
      <c r="L477" s="37"/>
      <c r="M477" s="37"/>
      <c r="N477" s="37"/>
      <c r="O477" s="37"/>
      <c r="P477" s="37"/>
      <c r="Q477" s="37"/>
      <c r="R477" s="37"/>
      <c r="S477" s="37"/>
      <c r="T477" s="37"/>
      <c r="U477" s="3"/>
    </row>
    <row r="478" spans="1:21" ht="14.25" customHeight="1" x14ac:dyDescent="0.3">
      <c r="A478" s="3"/>
      <c r="B478" s="3"/>
      <c r="C478" s="37"/>
      <c r="D478" s="37"/>
      <c r="E478" s="37"/>
      <c r="F478" s="37"/>
      <c r="G478" s="98"/>
      <c r="H478" s="98"/>
      <c r="I478" s="99"/>
      <c r="J478" s="98"/>
      <c r="K478" s="37"/>
      <c r="L478" s="37"/>
      <c r="M478" s="37"/>
      <c r="N478" s="37"/>
      <c r="O478" s="37"/>
      <c r="P478" s="37"/>
      <c r="Q478" s="37"/>
      <c r="R478" s="37"/>
      <c r="S478" s="37"/>
      <c r="T478" s="37"/>
      <c r="U478" s="3"/>
    </row>
    <row r="479" spans="1:21" ht="14.25" customHeight="1" x14ac:dyDescent="0.3">
      <c r="A479" s="3"/>
      <c r="B479" s="3"/>
      <c r="C479" s="37"/>
      <c r="D479" s="37"/>
      <c r="E479" s="37"/>
      <c r="F479" s="37"/>
      <c r="G479" s="98"/>
      <c r="H479" s="98"/>
      <c r="I479" s="99"/>
      <c r="J479" s="98"/>
      <c r="K479" s="37"/>
      <c r="L479" s="37"/>
      <c r="M479" s="37"/>
      <c r="N479" s="37"/>
      <c r="O479" s="37"/>
      <c r="P479" s="37"/>
      <c r="Q479" s="37"/>
      <c r="R479" s="37"/>
      <c r="S479" s="37"/>
      <c r="T479" s="37"/>
      <c r="U479" s="3"/>
    </row>
    <row r="480" spans="1:21" ht="14.25" customHeight="1" x14ac:dyDescent="0.3">
      <c r="A480" s="3"/>
      <c r="B480" s="3"/>
      <c r="C480" s="37"/>
      <c r="D480" s="37"/>
      <c r="E480" s="37"/>
      <c r="F480" s="37"/>
      <c r="G480" s="98"/>
      <c r="H480" s="98"/>
      <c r="I480" s="99"/>
      <c r="J480" s="98"/>
      <c r="K480" s="37"/>
      <c r="L480" s="37"/>
      <c r="M480" s="37"/>
      <c r="N480" s="37"/>
      <c r="O480" s="37"/>
      <c r="P480" s="37"/>
      <c r="Q480" s="37"/>
      <c r="R480" s="37"/>
      <c r="S480" s="37"/>
      <c r="T480" s="37"/>
      <c r="U480" s="3"/>
    </row>
    <row r="481" spans="1:21" ht="14.25" customHeight="1" x14ac:dyDescent="0.3">
      <c r="A481" s="3"/>
      <c r="B481" s="3"/>
      <c r="C481" s="37"/>
      <c r="D481" s="37"/>
      <c r="E481" s="37"/>
      <c r="F481" s="37"/>
      <c r="G481" s="98"/>
      <c r="H481" s="98"/>
      <c r="I481" s="99"/>
      <c r="J481" s="98"/>
      <c r="K481" s="37"/>
      <c r="L481" s="37"/>
      <c r="M481" s="37"/>
      <c r="N481" s="37"/>
      <c r="O481" s="37"/>
      <c r="P481" s="37"/>
      <c r="Q481" s="37"/>
      <c r="R481" s="37"/>
      <c r="S481" s="37"/>
      <c r="T481" s="37"/>
      <c r="U481" s="3"/>
    </row>
    <row r="482" spans="1:21" ht="14.25" customHeight="1" x14ac:dyDescent="0.3">
      <c r="A482" s="3"/>
      <c r="B482" s="3"/>
      <c r="C482" s="37"/>
      <c r="D482" s="37"/>
      <c r="E482" s="37"/>
      <c r="F482" s="37"/>
      <c r="G482" s="98"/>
      <c r="H482" s="98"/>
      <c r="I482" s="99"/>
      <c r="J482" s="98"/>
      <c r="K482" s="37"/>
      <c r="L482" s="37"/>
      <c r="M482" s="37"/>
      <c r="N482" s="37"/>
      <c r="O482" s="37"/>
      <c r="P482" s="37"/>
      <c r="Q482" s="37"/>
      <c r="R482" s="37"/>
      <c r="S482" s="37"/>
      <c r="T482" s="37"/>
      <c r="U482" s="3"/>
    </row>
    <row r="483" spans="1:21" ht="14.25" customHeight="1" x14ac:dyDescent="0.3">
      <c r="A483" s="3"/>
      <c r="B483" s="3"/>
      <c r="C483" s="37"/>
      <c r="D483" s="37"/>
      <c r="E483" s="37"/>
      <c r="F483" s="37"/>
      <c r="G483" s="98"/>
      <c r="H483" s="98"/>
      <c r="I483" s="99"/>
      <c r="J483" s="98"/>
      <c r="K483" s="37"/>
      <c r="L483" s="37"/>
      <c r="M483" s="37"/>
      <c r="N483" s="37"/>
      <c r="O483" s="37"/>
      <c r="P483" s="37"/>
      <c r="Q483" s="37"/>
      <c r="R483" s="37"/>
      <c r="S483" s="37"/>
      <c r="T483" s="37"/>
      <c r="U483" s="3"/>
    </row>
    <row r="484" spans="1:21" ht="14.25" customHeight="1" x14ac:dyDescent="0.3">
      <c r="A484" s="3"/>
      <c r="B484" s="3"/>
      <c r="C484" s="37"/>
      <c r="D484" s="37"/>
      <c r="E484" s="37"/>
      <c r="F484" s="37"/>
      <c r="G484" s="98"/>
      <c r="H484" s="98"/>
      <c r="I484" s="99"/>
      <c r="J484" s="98"/>
      <c r="K484" s="37"/>
      <c r="L484" s="37"/>
      <c r="M484" s="37"/>
      <c r="N484" s="37"/>
      <c r="O484" s="37"/>
      <c r="P484" s="37"/>
      <c r="Q484" s="37"/>
      <c r="R484" s="37"/>
      <c r="S484" s="37"/>
      <c r="T484" s="37"/>
      <c r="U484" s="3"/>
    </row>
    <row r="485" spans="1:21" ht="14.25" customHeight="1" x14ac:dyDescent="0.3">
      <c r="A485" s="3"/>
      <c r="B485" s="3"/>
      <c r="C485" s="37"/>
      <c r="D485" s="37"/>
      <c r="E485" s="37"/>
      <c r="F485" s="37"/>
      <c r="G485" s="98"/>
      <c r="H485" s="98"/>
      <c r="I485" s="99"/>
      <c r="J485" s="98"/>
      <c r="K485" s="37"/>
      <c r="L485" s="37"/>
      <c r="M485" s="37"/>
      <c r="N485" s="37"/>
      <c r="O485" s="37"/>
      <c r="P485" s="37"/>
      <c r="Q485" s="37"/>
      <c r="R485" s="37"/>
      <c r="S485" s="37"/>
      <c r="T485" s="37"/>
      <c r="U485" s="3"/>
    </row>
    <row r="486" spans="1:21" ht="14.25" customHeight="1" x14ac:dyDescent="0.3">
      <c r="A486" s="3"/>
      <c r="B486" s="3"/>
      <c r="C486" s="37"/>
      <c r="D486" s="37"/>
      <c r="E486" s="37"/>
      <c r="F486" s="37"/>
      <c r="G486" s="98"/>
      <c r="H486" s="98"/>
      <c r="I486" s="99"/>
      <c r="J486" s="98"/>
      <c r="K486" s="37"/>
      <c r="L486" s="37"/>
      <c r="M486" s="37"/>
      <c r="N486" s="37"/>
      <c r="O486" s="37"/>
      <c r="P486" s="37"/>
      <c r="Q486" s="37"/>
      <c r="R486" s="37"/>
      <c r="S486" s="37"/>
      <c r="T486" s="37"/>
      <c r="U486" s="3"/>
    </row>
    <row r="487" spans="1:21" ht="14.25" customHeight="1" x14ac:dyDescent="0.3">
      <c r="A487" s="3"/>
      <c r="B487" s="3"/>
      <c r="C487" s="37"/>
      <c r="D487" s="37"/>
      <c r="E487" s="37"/>
      <c r="F487" s="37"/>
      <c r="G487" s="98"/>
      <c r="H487" s="98"/>
      <c r="I487" s="99"/>
      <c r="J487" s="98"/>
      <c r="K487" s="37"/>
      <c r="L487" s="37"/>
      <c r="M487" s="37"/>
      <c r="N487" s="37"/>
      <c r="O487" s="37"/>
      <c r="P487" s="37"/>
      <c r="Q487" s="37"/>
      <c r="R487" s="37"/>
      <c r="S487" s="37"/>
      <c r="T487" s="37"/>
      <c r="U487" s="3"/>
    </row>
    <row r="488" spans="1:21" ht="14.25" customHeight="1" x14ac:dyDescent="0.3">
      <c r="A488" s="3"/>
      <c r="B488" s="3"/>
      <c r="C488" s="37"/>
      <c r="D488" s="37"/>
      <c r="E488" s="37"/>
      <c r="F488" s="37"/>
      <c r="G488" s="98"/>
      <c r="H488" s="98"/>
      <c r="I488" s="99"/>
      <c r="J488" s="98"/>
      <c r="K488" s="37"/>
      <c r="L488" s="37"/>
      <c r="M488" s="37"/>
      <c r="N488" s="37"/>
      <c r="O488" s="37"/>
      <c r="P488" s="37"/>
      <c r="Q488" s="37"/>
      <c r="R488" s="37"/>
      <c r="S488" s="37"/>
      <c r="T488" s="37"/>
      <c r="U488" s="3"/>
    </row>
    <row r="489" spans="1:21" ht="14.25" customHeight="1" x14ac:dyDescent="0.3">
      <c r="A489" s="3"/>
      <c r="B489" s="3"/>
      <c r="C489" s="37"/>
      <c r="D489" s="37"/>
      <c r="E489" s="37"/>
      <c r="F489" s="37"/>
      <c r="G489" s="98"/>
      <c r="H489" s="98"/>
      <c r="I489" s="99"/>
      <c r="J489" s="98"/>
      <c r="K489" s="37"/>
      <c r="L489" s="37"/>
      <c r="M489" s="37"/>
      <c r="N489" s="37"/>
      <c r="O489" s="37"/>
      <c r="P489" s="37"/>
      <c r="Q489" s="37"/>
      <c r="R489" s="37"/>
      <c r="S489" s="37"/>
      <c r="T489" s="37"/>
      <c r="U489" s="3"/>
    </row>
    <row r="490" spans="1:21" ht="14.25" customHeight="1" x14ac:dyDescent="0.3">
      <c r="A490" s="3"/>
      <c r="B490" s="3"/>
      <c r="C490" s="37"/>
      <c r="D490" s="37"/>
      <c r="E490" s="37"/>
      <c r="F490" s="37"/>
      <c r="G490" s="98"/>
      <c r="H490" s="98"/>
      <c r="I490" s="99"/>
      <c r="J490" s="98"/>
      <c r="K490" s="37"/>
      <c r="L490" s="37"/>
      <c r="M490" s="37"/>
      <c r="N490" s="37"/>
      <c r="O490" s="37"/>
      <c r="P490" s="37"/>
      <c r="Q490" s="37"/>
      <c r="R490" s="37"/>
      <c r="S490" s="37"/>
      <c r="T490" s="37"/>
      <c r="U490" s="3"/>
    </row>
    <row r="491" spans="1:21" ht="14.25" customHeight="1" x14ac:dyDescent="0.3">
      <c r="A491" s="3"/>
      <c r="B491" s="3"/>
      <c r="C491" s="37"/>
      <c r="D491" s="37"/>
      <c r="E491" s="37"/>
      <c r="F491" s="37"/>
      <c r="G491" s="98"/>
      <c r="H491" s="98"/>
      <c r="I491" s="99"/>
      <c r="J491" s="98"/>
      <c r="K491" s="37"/>
      <c r="L491" s="37"/>
      <c r="M491" s="37"/>
      <c r="N491" s="37"/>
      <c r="O491" s="37"/>
      <c r="P491" s="37"/>
      <c r="Q491" s="37"/>
      <c r="R491" s="37"/>
      <c r="S491" s="37"/>
      <c r="T491" s="37"/>
      <c r="U491" s="3"/>
    </row>
    <row r="492" spans="1:21" ht="14.25" customHeight="1" x14ac:dyDescent="0.3">
      <c r="A492" s="3"/>
      <c r="B492" s="3"/>
      <c r="C492" s="37"/>
      <c r="D492" s="37"/>
      <c r="E492" s="37"/>
      <c r="F492" s="37"/>
      <c r="G492" s="98"/>
      <c r="H492" s="98"/>
      <c r="I492" s="99"/>
      <c r="J492" s="98"/>
      <c r="K492" s="37"/>
      <c r="L492" s="37"/>
      <c r="M492" s="37"/>
      <c r="N492" s="37"/>
      <c r="O492" s="37"/>
      <c r="P492" s="37"/>
      <c r="Q492" s="37"/>
      <c r="R492" s="37"/>
      <c r="S492" s="37"/>
      <c r="T492" s="37"/>
      <c r="U492" s="3"/>
    </row>
    <row r="493" spans="1:21" ht="14.25" customHeight="1" x14ac:dyDescent="0.3">
      <c r="A493" s="3"/>
      <c r="B493" s="3"/>
      <c r="C493" s="37"/>
      <c r="D493" s="37"/>
      <c r="E493" s="37"/>
      <c r="F493" s="37"/>
      <c r="G493" s="98"/>
      <c r="H493" s="98"/>
      <c r="I493" s="99"/>
      <c r="J493" s="98"/>
      <c r="K493" s="37"/>
      <c r="L493" s="37"/>
      <c r="M493" s="37"/>
      <c r="N493" s="37"/>
      <c r="O493" s="37"/>
      <c r="P493" s="37"/>
      <c r="Q493" s="37"/>
      <c r="R493" s="37"/>
      <c r="S493" s="37"/>
      <c r="T493" s="37"/>
      <c r="U493" s="3"/>
    </row>
    <row r="494" spans="1:21" ht="14.25" customHeight="1" x14ac:dyDescent="0.3">
      <c r="A494" s="3"/>
      <c r="B494" s="3"/>
      <c r="C494" s="37"/>
      <c r="D494" s="37"/>
      <c r="E494" s="37"/>
      <c r="F494" s="37"/>
      <c r="G494" s="98"/>
      <c r="H494" s="98"/>
      <c r="I494" s="99"/>
      <c r="J494" s="98"/>
      <c r="K494" s="37"/>
      <c r="L494" s="37"/>
      <c r="M494" s="37"/>
      <c r="N494" s="37"/>
      <c r="O494" s="37"/>
      <c r="P494" s="37"/>
      <c r="Q494" s="37"/>
      <c r="R494" s="37"/>
      <c r="S494" s="37"/>
      <c r="T494" s="37"/>
      <c r="U494" s="3"/>
    </row>
    <row r="495" spans="1:21" ht="14.25" customHeight="1" x14ac:dyDescent="0.3">
      <c r="A495" s="3"/>
      <c r="B495" s="3"/>
      <c r="C495" s="37"/>
      <c r="D495" s="37"/>
      <c r="E495" s="37"/>
      <c r="F495" s="37"/>
      <c r="G495" s="98"/>
      <c r="H495" s="98"/>
      <c r="I495" s="99"/>
      <c r="J495" s="98"/>
      <c r="K495" s="37"/>
      <c r="L495" s="37"/>
      <c r="M495" s="37"/>
      <c r="N495" s="37"/>
      <c r="O495" s="37"/>
      <c r="P495" s="37"/>
      <c r="Q495" s="37"/>
      <c r="R495" s="37"/>
      <c r="S495" s="37"/>
      <c r="T495" s="37"/>
      <c r="U495" s="3"/>
    </row>
    <row r="496" spans="1:21" ht="14.25" customHeight="1" x14ac:dyDescent="0.3">
      <c r="A496" s="3"/>
      <c r="B496" s="3"/>
      <c r="C496" s="37"/>
      <c r="D496" s="37"/>
      <c r="E496" s="37"/>
      <c r="F496" s="37"/>
      <c r="G496" s="98"/>
      <c r="H496" s="98"/>
      <c r="I496" s="99"/>
      <c r="J496" s="98"/>
      <c r="K496" s="37"/>
      <c r="L496" s="37"/>
      <c r="M496" s="37"/>
      <c r="N496" s="37"/>
      <c r="O496" s="37"/>
      <c r="P496" s="37"/>
      <c r="Q496" s="37"/>
      <c r="R496" s="37"/>
      <c r="S496" s="37"/>
      <c r="T496" s="37"/>
      <c r="U496" s="3"/>
    </row>
    <row r="497" spans="1:21" ht="14.25" customHeight="1" x14ac:dyDescent="0.3">
      <c r="A497" s="3"/>
      <c r="B497" s="3"/>
      <c r="C497" s="37"/>
      <c r="D497" s="37"/>
      <c r="E497" s="37"/>
      <c r="F497" s="37"/>
      <c r="G497" s="98"/>
      <c r="H497" s="98"/>
      <c r="I497" s="99"/>
      <c r="J497" s="98"/>
      <c r="K497" s="37"/>
      <c r="L497" s="37"/>
      <c r="M497" s="37"/>
      <c r="N497" s="37"/>
      <c r="O497" s="37"/>
      <c r="P497" s="37"/>
      <c r="Q497" s="37"/>
      <c r="R497" s="37"/>
      <c r="S497" s="37"/>
      <c r="T497" s="37"/>
      <c r="U497" s="3"/>
    </row>
    <row r="498" spans="1:21" ht="14.25" customHeight="1" x14ac:dyDescent="0.3">
      <c r="A498" s="3"/>
      <c r="B498" s="3"/>
      <c r="C498" s="37"/>
      <c r="D498" s="37"/>
      <c r="E498" s="37"/>
      <c r="F498" s="37"/>
      <c r="G498" s="98"/>
      <c r="H498" s="98"/>
      <c r="I498" s="99"/>
      <c r="J498" s="98"/>
      <c r="K498" s="37"/>
      <c r="L498" s="37"/>
      <c r="M498" s="37"/>
      <c r="N498" s="37"/>
      <c r="O498" s="37"/>
      <c r="P498" s="37"/>
      <c r="Q498" s="37"/>
      <c r="R498" s="37"/>
      <c r="S498" s="37"/>
      <c r="T498" s="37"/>
      <c r="U498" s="3"/>
    </row>
    <row r="499" spans="1:21" ht="14.25" customHeight="1" x14ac:dyDescent="0.3">
      <c r="A499" s="3"/>
      <c r="B499" s="3"/>
      <c r="C499" s="37"/>
      <c r="D499" s="37"/>
      <c r="E499" s="37"/>
      <c r="F499" s="37"/>
      <c r="G499" s="98"/>
      <c r="H499" s="98"/>
      <c r="I499" s="99"/>
      <c r="J499" s="98"/>
      <c r="K499" s="37"/>
      <c r="L499" s="37"/>
      <c r="M499" s="37"/>
      <c r="N499" s="37"/>
      <c r="O499" s="37"/>
      <c r="P499" s="37"/>
      <c r="Q499" s="37"/>
      <c r="R499" s="37"/>
      <c r="S499" s="37"/>
      <c r="T499" s="37"/>
      <c r="U499" s="3"/>
    </row>
    <row r="500" spans="1:21" ht="14.25" customHeight="1" x14ac:dyDescent="0.3">
      <c r="A500" s="3"/>
      <c r="B500" s="3"/>
      <c r="C500" s="37"/>
      <c r="D500" s="37"/>
      <c r="E500" s="37"/>
      <c r="F500" s="37"/>
      <c r="G500" s="98"/>
      <c r="H500" s="98"/>
      <c r="I500" s="99"/>
      <c r="J500" s="98"/>
      <c r="K500" s="37"/>
      <c r="L500" s="37"/>
      <c r="M500" s="37"/>
      <c r="N500" s="37"/>
      <c r="O500" s="37"/>
      <c r="P500" s="37"/>
      <c r="Q500" s="37"/>
      <c r="R500" s="37"/>
      <c r="S500" s="37"/>
      <c r="T500" s="37"/>
      <c r="U500" s="3"/>
    </row>
    <row r="501" spans="1:21" ht="14.25" customHeight="1" x14ac:dyDescent="0.3">
      <c r="A501" s="3"/>
      <c r="B501" s="3"/>
      <c r="C501" s="37"/>
      <c r="D501" s="37"/>
      <c r="E501" s="37"/>
      <c r="F501" s="37"/>
      <c r="G501" s="98"/>
      <c r="H501" s="98"/>
      <c r="I501" s="99"/>
      <c r="J501" s="98"/>
      <c r="K501" s="37"/>
      <c r="L501" s="37"/>
      <c r="M501" s="37"/>
      <c r="N501" s="37"/>
      <c r="O501" s="37"/>
      <c r="P501" s="37"/>
      <c r="Q501" s="37"/>
      <c r="R501" s="37"/>
      <c r="S501" s="37"/>
      <c r="T501" s="37"/>
      <c r="U501" s="3"/>
    </row>
    <row r="502" spans="1:21" ht="14.25" customHeight="1" x14ac:dyDescent="0.3">
      <c r="A502" s="3"/>
      <c r="B502" s="3"/>
      <c r="C502" s="37"/>
      <c r="D502" s="37"/>
      <c r="E502" s="37"/>
      <c r="F502" s="37"/>
      <c r="G502" s="98"/>
      <c r="H502" s="98"/>
      <c r="I502" s="99"/>
      <c r="J502" s="98"/>
      <c r="K502" s="37"/>
      <c r="L502" s="37"/>
      <c r="M502" s="37"/>
      <c r="N502" s="37"/>
      <c r="O502" s="37"/>
      <c r="P502" s="37"/>
      <c r="Q502" s="37"/>
      <c r="R502" s="37"/>
      <c r="S502" s="37"/>
      <c r="T502" s="37"/>
      <c r="U502" s="3"/>
    </row>
    <row r="503" spans="1:21" ht="14.25" customHeight="1" x14ac:dyDescent="0.3">
      <c r="A503" s="3"/>
      <c r="B503" s="3"/>
      <c r="C503" s="37"/>
      <c r="D503" s="37"/>
      <c r="E503" s="37"/>
      <c r="F503" s="37"/>
      <c r="G503" s="98"/>
      <c r="H503" s="98"/>
      <c r="I503" s="99"/>
      <c r="J503" s="98"/>
      <c r="K503" s="37"/>
      <c r="L503" s="37"/>
      <c r="M503" s="37"/>
      <c r="N503" s="37"/>
      <c r="O503" s="37"/>
      <c r="P503" s="37"/>
      <c r="Q503" s="37"/>
      <c r="R503" s="37"/>
      <c r="S503" s="37"/>
      <c r="T503" s="37"/>
      <c r="U503" s="3"/>
    </row>
    <row r="504" spans="1:21" ht="14.25" customHeight="1" x14ac:dyDescent="0.3">
      <c r="A504" s="3"/>
      <c r="B504" s="3"/>
      <c r="C504" s="37"/>
      <c r="D504" s="37"/>
      <c r="E504" s="37"/>
      <c r="F504" s="37"/>
      <c r="G504" s="98"/>
      <c r="H504" s="98"/>
      <c r="I504" s="99"/>
      <c r="J504" s="98"/>
      <c r="K504" s="37"/>
      <c r="L504" s="37"/>
      <c r="M504" s="37"/>
      <c r="N504" s="37"/>
      <c r="O504" s="37"/>
      <c r="P504" s="37"/>
      <c r="Q504" s="37"/>
      <c r="R504" s="37"/>
      <c r="S504" s="37"/>
      <c r="T504" s="37"/>
      <c r="U504" s="3"/>
    </row>
    <row r="505" spans="1:21" ht="14.25" customHeight="1" x14ac:dyDescent="0.3">
      <c r="A505" s="3"/>
      <c r="B505" s="3"/>
      <c r="C505" s="37"/>
      <c r="D505" s="37"/>
      <c r="E505" s="37"/>
      <c r="F505" s="37"/>
      <c r="G505" s="98"/>
      <c r="H505" s="98"/>
      <c r="I505" s="99"/>
      <c r="J505" s="98"/>
      <c r="K505" s="37"/>
      <c r="L505" s="37"/>
      <c r="M505" s="37"/>
      <c r="N505" s="37"/>
      <c r="O505" s="37"/>
      <c r="P505" s="37"/>
      <c r="Q505" s="37"/>
      <c r="R505" s="37"/>
      <c r="S505" s="37"/>
      <c r="T505" s="37"/>
      <c r="U505" s="3"/>
    </row>
    <row r="506" spans="1:21" ht="14.25" customHeight="1" x14ac:dyDescent="0.3">
      <c r="A506" s="3"/>
      <c r="B506" s="3"/>
      <c r="C506" s="37"/>
      <c r="D506" s="37"/>
      <c r="E506" s="37"/>
      <c r="F506" s="37"/>
      <c r="G506" s="98"/>
      <c r="H506" s="98"/>
      <c r="I506" s="99"/>
      <c r="J506" s="98"/>
      <c r="K506" s="37"/>
      <c r="L506" s="37"/>
      <c r="M506" s="37"/>
      <c r="N506" s="37"/>
      <c r="O506" s="37"/>
      <c r="P506" s="37"/>
      <c r="Q506" s="37"/>
      <c r="R506" s="37"/>
      <c r="S506" s="37"/>
      <c r="T506" s="37"/>
      <c r="U506" s="3"/>
    </row>
    <row r="507" spans="1:21" ht="14.25" customHeight="1" x14ac:dyDescent="0.3">
      <c r="A507" s="3"/>
      <c r="B507" s="3"/>
      <c r="C507" s="37"/>
      <c r="D507" s="37"/>
      <c r="E507" s="37"/>
      <c r="F507" s="37"/>
      <c r="G507" s="98"/>
      <c r="H507" s="98"/>
      <c r="I507" s="99"/>
      <c r="J507" s="98"/>
      <c r="K507" s="37"/>
      <c r="L507" s="37"/>
      <c r="M507" s="37"/>
      <c r="N507" s="37"/>
      <c r="O507" s="37"/>
      <c r="P507" s="37"/>
      <c r="Q507" s="37"/>
      <c r="R507" s="37"/>
      <c r="S507" s="37"/>
      <c r="T507" s="37"/>
      <c r="U507" s="3"/>
    </row>
    <row r="508" spans="1:21" ht="14.25" customHeight="1" x14ac:dyDescent="0.3">
      <c r="A508" s="3"/>
      <c r="B508" s="3"/>
      <c r="C508" s="37"/>
      <c r="D508" s="37"/>
      <c r="E508" s="37"/>
      <c r="F508" s="37"/>
      <c r="G508" s="98"/>
      <c r="H508" s="98"/>
      <c r="I508" s="99"/>
      <c r="J508" s="98"/>
      <c r="K508" s="37"/>
      <c r="L508" s="37"/>
      <c r="M508" s="37"/>
      <c r="N508" s="37"/>
      <c r="O508" s="37"/>
      <c r="P508" s="37"/>
      <c r="Q508" s="37"/>
      <c r="R508" s="37"/>
      <c r="S508" s="37"/>
      <c r="T508" s="37"/>
      <c r="U508" s="3"/>
    </row>
    <row r="509" spans="1:21" ht="14.25" customHeight="1" x14ac:dyDescent="0.3">
      <c r="A509" s="3"/>
      <c r="B509" s="3"/>
      <c r="C509" s="37"/>
      <c r="D509" s="37"/>
      <c r="E509" s="37"/>
      <c r="F509" s="37"/>
      <c r="G509" s="98"/>
      <c r="H509" s="98"/>
      <c r="I509" s="99"/>
      <c r="J509" s="98"/>
      <c r="K509" s="37"/>
      <c r="L509" s="37"/>
      <c r="M509" s="37"/>
      <c r="N509" s="37"/>
      <c r="O509" s="37"/>
      <c r="P509" s="37"/>
      <c r="Q509" s="37"/>
      <c r="R509" s="37"/>
      <c r="S509" s="37"/>
      <c r="T509" s="37"/>
      <c r="U509" s="3"/>
    </row>
    <row r="510" spans="1:21" ht="14.25" customHeight="1" x14ac:dyDescent="0.3">
      <c r="A510" s="3"/>
      <c r="B510" s="3"/>
      <c r="C510" s="37"/>
      <c r="D510" s="37"/>
      <c r="E510" s="37"/>
      <c r="F510" s="37"/>
      <c r="G510" s="98"/>
      <c r="H510" s="98"/>
      <c r="I510" s="99"/>
      <c r="J510" s="98"/>
      <c r="K510" s="37"/>
      <c r="L510" s="37"/>
      <c r="M510" s="37"/>
      <c r="N510" s="37"/>
      <c r="O510" s="37"/>
      <c r="P510" s="37"/>
      <c r="Q510" s="37"/>
      <c r="R510" s="37"/>
      <c r="S510" s="37"/>
      <c r="T510" s="37"/>
      <c r="U510" s="3"/>
    </row>
    <row r="511" spans="1:21" ht="14.25" customHeight="1" x14ac:dyDescent="0.3">
      <c r="A511" s="3"/>
      <c r="B511" s="3"/>
      <c r="C511" s="37"/>
      <c r="D511" s="37"/>
      <c r="E511" s="37"/>
      <c r="F511" s="37"/>
      <c r="G511" s="98"/>
      <c r="H511" s="98"/>
      <c r="I511" s="99"/>
      <c r="J511" s="98"/>
      <c r="K511" s="37"/>
      <c r="L511" s="37"/>
      <c r="M511" s="37"/>
      <c r="N511" s="37"/>
      <c r="O511" s="37"/>
      <c r="P511" s="37"/>
      <c r="Q511" s="37"/>
      <c r="R511" s="37"/>
      <c r="S511" s="37"/>
      <c r="T511" s="37"/>
      <c r="U511" s="3"/>
    </row>
    <row r="512" spans="1:21" ht="14.25" customHeight="1" x14ac:dyDescent="0.3">
      <c r="A512" s="3"/>
      <c r="B512" s="3"/>
      <c r="C512" s="37"/>
      <c r="D512" s="37"/>
      <c r="E512" s="37"/>
      <c r="F512" s="37"/>
      <c r="G512" s="98"/>
      <c r="H512" s="98"/>
      <c r="I512" s="99"/>
      <c r="J512" s="98"/>
      <c r="K512" s="37"/>
      <c r="L512" s="37"/>
      <c r="M512" s="37"/>
      <c r="N512" s="37"/>
      <c r="O512" s="37"/>
      <c r="P512" s="37"/>
      <c r="Q512" s="37"/>
      <c r="R512" s="37"/>
      <c r="S512" s="37"/>
      <c r="T512" s="37"/>
      <c r="U512" s="3"/>
    </row>
    <row r="513" spans="1:21" ht="14.25" customHeight="1" x14ac:dyDescent="0.3">
      <c r="A513" s="3"/>
      <c r="B513" s="3"/>
      <c r="C513" s="37"/>
      <c r="D513" s="37"/>
      <c r="E513" s="37"/>
      <c r="F513" s="37"/>
      <c r="G513" s="98"/>
      <c r="H513" s="98"/>
      <c r="I513" s="99"/>
      <c r="J513" s="98"/>
      <c r="K513" s="37"/>
      <c r="L513" s="37"/>
      <c r="M513" s="37"/>
      <c r="N513" s="37"/>
      <c r="O513" s="37"/>
      <c r="P513" s="37"/>
      <c r="Q513" s="37"/>
      <c r="R513" s="37"/>
      <c r="S513" s="37"/>
      <c r="T513" s="37"/>
      <c r="U513" s="3"/>
    </row>
    <row r="514" spans="1:21" ht="14.25" customHeight="1" x14ac:dyDescent="0.3">
      <c r="A514" s="3"/>
      <c r="B514" s="3"/>
      <c r="C514" s="37"/>
      <c r="D514" s="37"/>
      <c r="E514" s="37"/>
      <c r="F514" s="37"/>
      <c r="G514" s="98"/>
      <c r="H514" s="98"/>
      <c r="I514" s="99"/>
      <c r="J514" s="98"/>
      <c r="K514" s="37"/>
      <c r="L514" s="37"/>
      <c r="M514" s="37"/>
      <c r="N514" s="37"/>
      <c r="O514" s="37"/>
      <c r="P514" s="37"/>
      <c r="Q514" s="37"/>
      <c r="R514" s="37"/>
      <c r="S514" s="37"/>
      <c r="T514" s="37"/>
      <c r="U514" s="3"/>
    </row>
    <row r="515" spans="1:21" ht="14.25" customHeight="1" x14ac:dyDescent="0.3">
      <c r="A515" s="3"/>
      <c r="B515" s="3"/>
      <c r="C515" s="37"/>
      <c r="D515" s="37"/>
      <c r="E515" s="37"/>
      <c r="F515" s="37"/>
      <c r="G515" s="98"/>
      <c r="H515" s="98"/>
      <c r="I515" s="99"/>
      <c r="J515" s="98"/>
      <c r="K515" s="37"/>
      <c r="L515" s="37"/>
      <c r="M515" s="37"/>
      <c r="N515" s="37"/>
      <c r="O515" s="37"/>
      <c r="P515" s="37"/>
      <c r="Q515" s="37"/>
      <c r="R515" s="37"/>
      <c r="S515" s="37"/>
      <c r="T515" s="37"/>
      <c r="U515" s="3"/>
    </row>
    <row r="516" spans="1:21" ht="14.25" customHeight="1" x14ac:dyDescent="0.3">
      <c r="A516" s="3"/>
      <c r="B516" s="3"/>
      <c r="C516" s="37"/>
      <c r="D516" s="37"/>
      <c r="E516" s="37"/>
      <c r="F516" s="37"/>
      <c r="G516" s="98"/>
      <c r="H516" s="98"/>
      <c r="I516" s="99"/>
      <c r="J516" s="98"/>
      <c r="K516" s="37"/>
      <c r="L516" s="37"/>
      <c r="M516" s="37"/>
      <c r="N516" s="37"/>
      <c r="O516" s="37"/>
      <c r="P516" s="37"/>
      <c r="Q516" s="37"/>
      <c r="R516" s="37"/>
      <c r="S516" s="37"/>
      <c r="T516" s="37"/>
      <c r="U516" s="3"/>
    </row>
    <row r="517" spans="1:21" ht="14.25" customHeight="1" x14ac:dyDescent="0.3">
      <c r="A517" s="3"/>
      <c r="B517" s="3"/>
      <c r="C517" s="37"/>
      <c r="D517" s="37"/>
      <c r="E517" s="37"/>
      <c r="F517" s="37"/>
      <c r="G517" s="98"/>
      <c r="H517" s="98"/>
      <c r="I517" s="99"/>
      <c r="J517" s="98"/>
      <c r="K517" s="37"/>
      <c r="L517" s="37"/>
      <c r="M517" s="37"/>
      <c r="N517" s="37"/>
      <c r="O517" s="37"/>
      <c r="P517" s="37"/>
      <c r="Q517" s="37"/>
      <c r="R517" s="37"/>
      <c r="S517" s="37"/>
      <c r="T517" s="37"/>
      <c r="U517" s="3"/>
    </row>
    <row r="518" spans="1:21" ht="14.25" customHeight="1" x14ac:dyDescent="0.3">
      <c r="A518" s="3"/>
      <c r="B518" s="3"/>
      <c r="C518" s="37"/>
      <c r="D518" s="37"/>
      <c r="E518" s="37"/>
      <c r="F518" s="37"/>
      <c r="G518" s="98"/>
      <c r="H518" s="98"/>
      <c r="I518" s="99"/>
      <c r="J518" s="98"/>
      <c r="K518" s="37"/>
      <c r="L518" s="37"/>
      <c r="M518" s="37"/>
      <c r="N518" s="37"/>
      <c r="O518" s="37"/>
      <c r="P518" s="37"/>
      <c r="Q518" s="37"/>
      <c r="R518" s="37"/>
      <c r="S518" s="37"/>
      <c r="T518" s="37"/>
      <c r="U518" s="3"/>
    </row>
    <row r="519" spans="1:21" ht="14.25" customHeight="1" x14ac:dyDescent="0.3">
      <c r="A519" s="3"/>
      <c r="B519" s="3"/>
      <c r="C519" s="37"/>
      <c r="D519" s="37"/>
      <c r="E519" s="37"/>
      <c r="F519" s="37"/>
      <c r="G519" s="98"/>
      <c r="H519" s="98"/>
      <c r="I519" s="99"/>
      <c r="J519" s="98"/>
      <c r="K519" s="37"/>
      <c r="L519" s="37"/>
      <c r="M519" s="37"/>
      <c r="N519" s="37"/>
      <c r="O519" s="37"/>
      <c r="P519" s="37"/>
      <c r="Q519" s="37"/>
      <c r="R519" s="37"/>
      <c r="S519" s="37"/>
      <c r="T519" s="37"/>
      <c r="U519" s="3"/>
    </row>
    <row r="520" spans="1:21" ht="14.25" customHeight="1" x14ac:dyDescent="0.3">
      <c r="A520" s="3"/>
      <c r="B520" s="3"/>
      <c r="C520" s="37"/>
      <c r="D520" s="37"/>
      <c r="E520" s="37"/>
      <c r="F520" s="37"/>
      <c r="G520" s="98"/>
      <c r="H520" s="98"/>
      <c r="I520" s="99"/>
      <c r="J520" s="98"/>
      <c r="K520" s="37"/>
      <c r="L520" s="37"/>
      <c r="M520" s="37"/>
      <c r="N520" s="37"/>
      <c r="O520" s="37"/>
      <c r="P520" s="37"/>
      <c r="Q520" s="37"/>
      <c r="R520" s="37"/>
      <c r="S520" s="37"/>
      <c r="T520" s="37"/>
      <c r="U520" s="3"/>
    </row>
    <row r="521" spans="1:21" ht="14.25" customHeight="1" x14ac:dyDescent="0.3">
      <c r="A521" s="3"/>
      <c r="B521" s="3"/>
      <c r="C521" s="37"/>
      <c r="D521" s="37"/>
      <c r="E521" s="37"/>
      <c r="F521" s="37"/>
      <c r="G521" s="98"/>
      <c r="H521" s="98"/>
      <c r="I521" s="99"/>
      <c r="J521" s="98"/>
      <c r="K521" s="37"/>
      <c r="L521" s="37"/>
      <c r="M521" s="37"/>
      <c r="N521" s="37"/>
      <c r="O521" s="37"/>
      <c r="P521" s="37"/>
      <c r="Q521" s="37"/>
      <c r="R521" s="37"/>
      <c r="S521" s="37"/>
      <c r="T521" s="37"/>
      <c r="U521" s="3"/>
    </row>
    <row r="522" spans="1:21" ht="14.25" customHeight="1" x14ac:dyDescent="0.3">
      <c r="A522" s="3"/>
      <c r="B522" s="3"/>
      <c r="C522" s="37"/>
      <c r="D522" s="37"/>
      <c r="E522" s="37"/>
      <c r="F522" s="37"/>
      <c r="G522" s="98"/>
      <c r="H522" s="98"/>
      <c r="I522" s="99"/>
      <c r="J522" s="98"/>
      <c r="K522" s="37"/>
      <c r="L522" s="37"/>
      <c r="M522" s="37"/>
      <c r="N522" s="37"/>
      <c r="O522" s="37"/>
      <c r="P522" s="37"/>
      <c r="Q522" s="37"/>
      <c r="R522" s="37"/>
      <c r="S522" s="37"/>
      <c r="T522" s="37"/>
      <c r="U522" s="3"/>
    </row>
    <row r="523" spans="1:21" ht="14.25" customHeight="1" x14ac:dyDescent="0.3">
      <c r="A523" s="3"/>
      <c r="B523" s="3"/>
      <c r="C523" s="37"/>
      <c r="D523" s="37"/>
      <c r="E523" s="37"/>
      <c r="F523" s="37"/>
      <c r="G523" s="98"/>
      <c r="H523" s="98"/>
      <c r="I523" s="99"/>
      <c r="J523" s="98"/>
      <c r="K523" s="37"/>
      <c r="L523" s="37"/>
      <c r="M523" s="37"/>
      <c r="N523" s="37"/>
      <c r="O523" s="37"/>
      <c r="P523" s="37"/>
      <c r="Q523" s="37"/>
      <c r="R523" s="37"/>
      <c r="S523" s="37"/>
      <c r="T523" s="37"/>
      <c r="U523" s="3"/>
    </row>
    <row r="524" spans="1:21" ht="14.25" customHeight="1" x14ac:dyDescent="0.3">
      <c r="A524" s="3"/>
      <c r="B524" s="3"/>
      <c r="C524" s="37"/>
      <c r="D524" s="37"/>
      <c r="E524" s="37"/>
      <c r="F524" s="37"/>
      <c r="G524" s="98"/>
      <c r="H524" s="98"/>
      <c r="I524" s="99"/>
      <c r="J524" s="98"/>
      <c r="K524" s="37"/>
      <c r="L524" s="37"/>
      <c r="M524" s="37"/>
      <c r="N524" s="37"/>
      <c r="O524" s="37"/>
      <c r="P524" s="37"/>
      <c r="Q524" s="37"/>
      <c r="R524" s="37"/>
      <c r="S524" s="37"/>
      <c r="T524" s="37"/>
      <c r="U524" s="3"/>
    </row>
    <row r="525" spans="1:21" ht="14.25" customHeight="1" x14ac:dyDescent="0.3">
      <c r="A525" s="3"/>
      <c r="B525" s="3"/>
      <c r="C525" s="37"/>
      <c r="D525" s="37"/>
      <c r="E525" s="37"/>
      <c r="F525" s="37"/>
      <c r="G525" s="98"/>
      <c r="H525" s="98"/>
      <c r="I525" s="99"/>
      <c r="J525" s="98"/>
      <c r="K525" s="37"/>
      <c r="L525" s="37"/>
      <c r="M525" s="37"/>
      <c r="N525" s="37"/>
      <c r="O525" s="37"/>
      <c r="P525" s="37"/>
      <c r="Q525" s="37"/>
      <c r="R525" s="37"/>
      <c r="S525" s="37"/>
      <c r="T525" s="37"/>
      <c r="U525" s="3"/>
    </row>
    <row r="526" spans="1:21" ht="14.25" customHeight="1" x14ac:dyDescent="0.3">
      <c r="A526" s="3"/>
      <c r="B526" s="3"/>
      <c r="C526" s="37"/>
      <c r="D526" s="37"/>
      <c r="E526" s="37"/>
      <c r="F526" s="37"/>
      <c r="G526" s="98"/>
      <c r="H526" s="98"/>
      <c r="I526" s="99"/>
      <c r="J526" s="98"/>
      <c r="K526" s="37"/>
      <c r="L526" s="37"/>
      <c r="M526" s="37"/>
      <c r="N526" s="37"/>
      <c r="O526" s="37"/>
      <c r="P526" s="37"/>
      <c r="Q526" s="37"/>
      <c r="R526" s="37"/>
      <c r="S526" s="37"/>
      <c r="T526" s="37"/>
      <c r="U526" s="3"/>
    </row>
    <row r="527" spans="1:21" ht="14.25" customHeight="1" x14ac:dyDescent="0.3">
      <c r="A527" s="3"/>
      <c r="B527" s="3"/>
      <c r="C527" s="37"/>
      <c r="D527" s="37"/>
      <c r="E527" s="37"/>
      <c r="F527" s="37"/>
      <c r="G527" s="98"/>
      <c r="H527" s="98"/>
      <c r="I527" s="99"/>
      <c r="J527" s="98"/>
      <c r="K527" s="37"/>
      <c r="L527" s="37"/>
      <c r="M527" s="37"/>
      <c r="N527" s="37"/>
      <c r="O527" s="37"/>
      <c r="P527" s="37"/>
      <c r="Q527" s="37"/>
      <c r="R527" s="37"/>
      <c r="S527" s="37"/>
      <c r="T527" s="37"/>
      <c r="U527" s="3"/>
    </row>
    <row r="528" spans="1:21" ht="14.25" customHeight="1" x14ac:dyDescent="0.3">
      <c r="A528" s="3"/>
      <c r="B528" s="3"/>
      <c r="C528" s="37"/>
      <c r="D528" s="37"/>
      <c r="E528" s="37"/>
      <c r="F528" s="37"/>
      <c r="G528" s="98"/>
      <c r="H528" s="98"/>
      <c r="I528" s="99"/>
      <c r="J528" s="98"/>
      <c r="K528" s="37"/>
      <c r="L528" s="37"/>
      <c r="M528" s="37"/>
      <c r="N528" s="37"/>
      <c r="O528" s="37"/>
      <c r="P528" s="37"/>
      <c r="Q528" s="37"/>
      <c r="R528" s="37"/>
      <c r="S528" s="37"/>
      <c r="T528" s="37"/>
      <c r="U528" s="3"/>
    </row>
    <row r="529" spans="1:21" ht="14.25" customHeight="1" x14ac:dyDescent="0.3">
      <c r="A529" s="3"/>
      <c r="B529" s="3"/>
      <c r="C529" s="37"/>
      <c r="D529" s="37"/>
      <c r="E529" s="37"/>
      <c r="F529" s="37"/>
      <c r="G529" s="98"/>
      <c r="H529" s="98"/>
      <c r="I529" s="99"/>
      <c r="J529" s="98"/>
      <c r="K529" s="37"/>
      <c r="L529" s="37"/>
      <c r="M529" s="37"/>
      <c r="N529" s="37"/>
      <c r="O529" s="37"/>
      <c r="P529" s="37"/>
      <c r="Q529" s="37"/>
      <c r="R529" s="37"/>
      <c r="S529" s="37"/>
      <c r="T529" s="37"/>
      <c r="U529" s="3"/>
    </row>
    <row r="530" spans="1:21" ht="14.25" customHeight="1" x14ac:dyDescent="0.3">
      <c r="A530" s="3"/>
      <c r="B530" s="3"/>
      <c r="C530" s="37"/>
      <c r="D530" s="37"/>
      <c r="E530" s="37"/>
      <c r="F530" s="37"/>
      <c r="G530" s="98"/>
      <c r="H530" s="98"/>
      <c r="I530" s="99"/>
      <c r="J530" s="98"/>
      <c r="K530" s="37"/>
      <c r="L530" s="37"/>
      <c r="M530" s="37"/>
      <c r="N530" s="37"/>
      <c r="O530" s="37"/>
      <c r="P530" s="37"/>
      <c r="Q530" s="37"/>
      <c r="R530" s="37"/>
      <c r="S530" s="37"/>
      <c r="T530" s="37"/>
      <c r="U530" s="3"/>
    </row>
    <row r="531" spans="1:21" ht="14.25" customHeight="1" x14ac:dyDescent="0.3">
      <c r="A531" s="3"/>
      <c r="B531" s="3"/>
      <c r="C531" s="37"/>
      <c r="D531" s="37"/>
      <c r="E531" s="37"/>
      <c r="F531" s="37"/>
      <c r="G531" s="98"/>
      <c r="H531" s="98"/>
      <c r="I531" s="99"/>
      <c r="J531" s="98"/>
      <c r="K531" s="37"/>
      <c r="L531" s="37"/>
      <c r="M531" s="37"/>
      <c r="N531" s="37"/>
      <c r="O531" s="37"/>
      <c r="P531" s="37"/>
      <c r="Q531" s="37"/>
      <c r="R531" s="37"/>
      <c r="S531" s="37"/>
      <c r="T531" s="37"/>
      <c r="U531" s="3"/>
    </row>
    <row r="532" spans="1:21" ht="14.25" customHeight="1" x14ac:dyDescent="0.3">
      <c r="A532" s="3"/>
      <c r="B532" s="3"/>
      <c r="C532" s="37"/>
      <c r="D532" s="37"/>
      <c r="E532" s="37"/>
      <c r="F532" s="37"/>
      <c r="G532" s="98"/>
      <c r="H532" s="98"/>
      <c r="I532" s="99"/>
      <c r="J532" s="98"/>
      <c r="K532" s="37"/>
      <c r="L532" s="37"/>
      <c r="M532" s="37"/>
      <c r="N532" s="37"/>
      <c r="O532" s="37"/>
      <c r="P532" s="37"/>
      <c r="Q532" s="37"/>
      <c r="R532" s="37"/>
      <c r="S532" s="37"/>
      <c r="T532" s="37"/>
      <c r="U532" s="3"/>
    </row>
    <row r="533" spans="1:21" ht="14.25" customHeight="1" x14ac:dyDescent="0.3">
      <c r="A533" s="3"/>
      <c r="B533" s="3"/>
      <c r="C533" s="37"/>
      <c r="D533" s="37"/>
      <c r="E533" s="37"/>
      <c r="F533" s="37"/>
      <c r="G533" s="98"/>
      <c r="H533" s="98"/>
      <c r="I533" s="99"/>
      <c r="J533" s="98"/>
      <c r="K533" s="37"/>
      <c r="L533" s="37"/>
      <c r="M533" s="37"/>
      <c r="N533" s="37"/>
      <c r="O533" s="37"/>
      <c r="P533" s="37"/>
      <c r="Q533" s="37"/>
      <c r="R533" s="37"/>
      <c r="S533" s="37"/>
      <c r="T533" s="37"/>
      <c r="U533" s="3"/>
    </row>
    <row r="534" spans="1:21" ht="14.25" customHeight="1" x14ac:dyDescent="0.3">
      <c r="A534" s="3"/>
      <c r="B534" s="3"/>
      <c r="C534" s="37"/>
      <c r="D534" s="37"/>
      <c r="E534" s="37"/>
      <c r="F534" s="37"/>
      <c r="G534" s="98"/>
      <c r="H534" s="98"/>
      <c r="I534" s="99"/>
      <c r="J534" s="98"/>
      <c r="K534" s="37"/>
      <c r="L534" s="37"/>
      <c r="M534" s="37"/>
      <c r="N534" s="37"/>
      <c r="O534" s="37"/>
      <c r="P534" s="37"/>
      <c r="Q534" s="37"/>
      <c r="R534" s="37"/>
      <c r="S534" s="37"/>
      <c r="T534" s="37"/>
      <c r="U534" s="3"/>
    </row>
    <row r="535" spans="1:21" ht="14.25" customHeight="1" x14ac:dyDescent="0.3">
      <c r="A535" s="3"/>
      <c r="B535" s="3"/>
      <c r="C535" s="37"/>
      <c r="D535" s="37"/>
      <c r="E535" s="37"/>
      <c r="F535" s="37"/>
      <c r="G535" s="98"/>
      <c r="H535" s="98"/>
      <c r="I535" s="99"/>
      <c r="J535" s="98"/>
      <c r="K535" s="37"/>
      <c r="L535" s="37"/>
      <c r="M535" s="37"/>
      <c r="N535" s="37"/>
      <c r="O535" s="37"/>
      <c r="P535" s="37"/>
      <c r="Q535" s="37"/>
      <c r="R535" s="37"/>
      <c r="S535" s="37"/>
      <c r="T535" s="37"/>
      <c r="U535" s="3"/>
    </row>
    <row r="536" spans="1:21" ht="14.25" customHeight="1" x14ac:dyDescent="0.3">
      <c r="A536" s="3"/>
      <c r="B536" s="3"/>
      <c r="C536" s="37"/>
      <c r="D536" s="37"/>
      <c r="E536" s="37"/>
      <c r="F536" s="37"/>
      <c r="G536" s="98"/>
      <c r="H536" s="98"/>
      <c r="I536" s="99"/>
      <c r="J536" s="98"/>
      <c r="K536" s="37"/>
      <c r="L536" s="37"/>
      <c r="M536" s="37"/>
      <c r="N536" s="37"/>
      <c r="O536" s="37"/>
      <c r="P536" s="37"/>
      <c r="Q536" s="37"/>
      <c r="R536" s="37"/>
      <c r="S536" s="37"/>
      <c r="T536" s="37"/>
      <c r="U536" s="3"/>
    </row>
    <row r="537" spans="1:21" ht="14.25" customHeight="1" x14ac:dyDescent="0.3">
      <c r="A537" s="3"/>
      <c r="B537" s="3"/>
      <c r="C537" s="37"/>
      <c r="D537" s="37"/>
      <c r="E537" s="37"/>
      <c r="F537" s="37"/>
      <c r="G537" s="98"/>
      <c r="H537" s="98"/>
      <c r="I537" s="99"/>
      <c r="J537" s="98"/>
      <c r="K537" s="37"/>
      <c r="L537" s="37"/>
      <c r="M537" s="37"/>
      <c r="N537" s="37"/>
      <c r="O537" s="37"/>
      <c r="P537" s="37"/>
      <c r="Q537" s="37"/>
      <c r="R537" s="37"/>
      <c r="S537" s="37"/>
      <c r="T537" s="37"/>
      <c r="U537" s="3"/>
    </row>
    <row r="538" spans="1:21" ht="14.25" customHeight="1" x14ac:dyDescent="0.3">
      <c r="A538" s="3"/>
      <c r="B538" s="3"/>
      <c r="C538" s="37"/>
      <c r="D538" s="37"/>
      <c r="E538" s="37"/>
      <c r="F538" s="37"/>
      <c r="G538" s="98"/>
      <c r="H538" s="98"/>
      <c r="I538" s="99"/>
      <c r="J538" s="98"/>
      <c r="K538" s="37"/>
      <c r="L538" s="37"/>
      <c r="M538" s="37"/>
      <c r="N538" s="37"/>
      <c r="O538" s="37"/>
      <c r="P538" s="37"/>
      <c r="Q538" s="37"/>
      <c r="R538" s="37"/>
      <c r="S538" s="37"/>
      <c r="T538" s="37"/>
      <c r="U538" s="3"/>
    </row>
    <row r="539" spans="1:21" ht="14.25" customHeight="1" x14ac:dyDescent="0.3">
      <c r="A539" s="3"/>
      <c r="B539" s="3"/>
      <c r="C539" s="37"/>
      <c r="D539" s="37"/>
      <c r="E539" s="37"/>
      <c r="F539" s="37"/>
      <c r="G539" s="98"/>
      <c r="H539" s="98"/>
      <c r="I539" s="99"/>
      <c r="J539" s="98"/>
      <c r="K539" s="37"/>
      <c r="L539" s="37"/>
      <c r="M539" s="37"/>
      <c r="N539" s="37"/>
      <c r="O539" s="37"/>
      <c r="P539" s="37"/>
      <c r="Q539" s="37"/>
      <c r="R539" s="37"/>
      <c r="S539" s="37"/>
      <c r="T539" s="37"/>
      <c r="U539" s="3"/>
    </row>
    <row r="540" spans="1:21" ht="14.25" customHeight="1" x14ac:dyDescent="0.3">
      <c r="A540" s="3"/>
      <c r="B540" s="3"/>
      <c r="C540" s="37"/>
      <c r="D540" s="37"/>
      <c r="E540" s="37"/>
      <c r="F540" s="37"/>
      <c r="G540" s="98"/>
      <c r="H540" s="98"/>
      <c r="I540" s="99"/>
      <c r="J540" s="98"/>
      <c r="K540" s="37"/>
      <c r="L540" s="37"/>
      <c r="M540" s="37"/>
      <c r="N540" s="37"/>
      <c r="O540" s="37"/>
      <c r="P540" s="37"/>
      <c r="Q540" s="37"/>
      <c r="R540" s="37"/>
      <c r="S540" s="37"/>
      <c r="T540" s="37"/>
      <c r="U540" s="3"/>
    </row>
    <row r="541" spans="1:21" ht="14.25" customHeight="1" x14ac:dyDescent="0.3">
      <c r="A541" s="3"/>
      <c r="B541" s="3"/>
      <c r="C541" s="37"/>
      <c r="D541" s="37"/>
      <c r="E541" s="37"/>
      <c r="F541" s="37"/>
      <c r="G541" s="98"/>
      <c r="H541" s="98"/>
      <c r="I541" s="99"/>
      <c r="J541" s="98"/>
      <c r="K541" s="37"/>
      <c r="L541" s="37"/>
      <c r="M541" s="37"/>
      <c r="N541" s="37"/>
      <c r="O541" s="37"/>
      <c r="P541" s="37"/>
      <c r="Q541" s="37"/>
      <c r="R541" s="37"/>
      <c r="S541" s="37"/>
      <c r="T541" s="37"/>
      <c r="U541" s="3"/>
    </row>
    <row r="542" spans="1:21" ht="14.25" customHeight="1" x14ac:dyDescent="0.3">
      <c r="A542" s="3"/>
      <c r="B542" s="3"/>
      <c r="C542" s="37"/>
      <c r="D542" s="37"/>
      <c r="E542" s="37"/>
      <c r="F542" s="37"/>
      <c r="G542" s="98"/>
      <c r="H542" s="98"/>
      <c r="I542" s="99"/>
      <c r="J542" s="98"/>
      <c r="K542" s="37"/>
      <c r="L542" s="37"/>
      <c r="M542" s="37"/>
      <c r="N542" s="37"/>
      <c r="O542" s="37"/>
      <c r="P542" s="37"/>
      <c r="Q542" s="37"/>
      <c r="R542" s="37"/>
      <c r="S542" s="37"/>
      <c r="T542" s="37"/>
      <c r="U542" s="3"/>
    </row>
    <row r="543" spans="1:21" ht="14.25" customHeight="1" x14ac:dyDescent="0.3">
      <c r="A543" s="3"/>
      <c r="B543" s="3"/>
      <c r="C543" s="37"/>
      <c r="D543" s="37"/>
      <c r="E543" s="37"/>
      <c r="F543" s="37"/>
      <c r="G543" s="98"/>
      <c r="H543" s="98"/>
      <c r="I543" s="99"/>
      <c r="J543" s="98"/>
      <c r="K543" s="37"/>
      <c r="L543" s="37"/>
      <c r="M543" s="37"/>
      <c r="N543" s="37"/>
      <c r="O543" s="37"/>
      <c r="P543" s="37"/>
      <c r="Q543" s="37"/>
      <c r="R543" s="37"/>
      <c r="S543" s="37"/>
      <c r="T543" s="37"/>
      <c r="U543" s="3"/>
    </row>
    <row r="544" spans="1:21" ht="14.25" customHeight="1" x14ac:dyDescent="0.3">
      <c r="A544" s="3"/>
      <c r="B544" s="3"/>
      <c r="C544" s="37"/>
      <c r="D544" s="37"/>
      <c r="E544" s="37"/>
      <c r="F544" s="37"/>
      <c r="G544" s="98"/>
      <c r="H544" s="98"/>
      <c r="I544" s="99"/>
      <c r="J544" s="98"/>
      <c r="K544" s="37"/>
      <c r="L544" s="37"/>
      <c r="M544" s="37"/>
      <c r="N544" s="37"/>
      <c r="O544" s="37"/>
      <c r="P544" s="37"/>
      <c r="Q544" s="37"/>
      <c r="R544" s="37"/>
      <c r="S544" s="37"/>
      <c r="T544" s="37"/>
      <c r="U544" s="3"/>
    </row>
    <row r="545" spans="1:21" ht="14.25" customHeight="1" x14ac:dyDescent="0.3">
      <c r="A545" s="3"/>
      <c r="B545" s="3"/>
      <c r="C545" s="37"/>
      <c r="D545" s="37"/>
      <c r="E545" s="37"/>
      <c r="F545" s="37"/>
      <c r="G545" s="98"/>
      <c r="H545" s="98"/>
      <c r="I545" s="99"/>
      <c r="J545" s="98"/>
      <c r="K545" s="37"/>
      <c r="L545" s="37"/>
      <c r="M545" s="37"/>
      <c r="N545" s="37"/>
      <c r="O545" s="37"/>
      <c r="P545" s="37"/>
      <c r="Q545" s="37"/>
      <c r="R545" s="37"/>
      <c r="S545" s="37"/>
      <c r="T545" s="37"/>
      <c r="U545" s="3"/>
    </row>
    <row r="546" spans="1:21" ht="14.25" customHeight="1" x14ac:dyDescent="0.3">
      <c r="A546" s="3"/>
      <c r="B546" s="3"/>
      <c r="C546" s="37"/>
      <c r="D546" s="37"/>
      <c r="E546" s="37"/>
      <c r="F546" s="37"/>
      <c r="G546" s="98"/>
      <c r="H546" s="98"/>
      <c r="I546" s="99"/>
      <c r="J546" s="98"/>
      <c r="K546" s="37"/>
      <c r="L546" s="37"/>
      <c r="M546" s="37"/>
      <c r="N546" s="37"/>
      <c r="O546" s="37"/>
      <c r="P546" s="37"/>
      <c r="Q546" s="37"/>
      <c r="R546" s="37"/>
      <c r="S546" s="37"/>
      <c r="T546" s="37"/>
      <c r="U546" s="3"/>
    </row>
    <row r="547" spans="1:21" ht="14.25" customHeight="1" x14ac:dyDescent="0.3">
      <c r="A547" s="3"/>
      <c r="B547" s="3"/>
      <c r="C547" s="37"/>
      <c r="D547" s="37"/>
      <c r="E547" s="37"/>
      <c r="F547" s="37"/>
      <c r="G547" s="98"/>
      <c r="H547" s="98"/>
      <c r="I547" s="99"/>
      <c r="J547" s="98"/>
      <c r="K547" s="37"/>
      <c r="L547" s="37"/>
      <c r="M547" s="37"/>
      <c r="N547" s="37"/>
      <c r="O547" s="37"/>
      <c r="P547" s="37"/>
      <c r="Q547" s="37"/>
      <c r="R547" s="37"/>
      <c r="S547" s="37"/>
      <c r="T547" s="37"/>
      <c r="U547" s="3"/>
    </row>
    <row r="548" spans="1:21" ht="14.25" customHeight="1" x14ac:dyDescent="0.3">
      <c r="A548" s="3"/>
      <c r="B548" s="3"/>
      <c r="C548" s="37"/>
      <c r="D548" s="37"/>
      <c r="E548" s="37"/>
      <c r="F548" s="37"/>
      <c r="G548" s="98"/>
      <c r="H548" s="98"/>
      <c r="I548" s="99"/>
      <c r="J548" s="98"/>
      <c r="K548" s="37"/>
      <c r="L548" s="37"/>
      <c r="M548" s="37"/>
      <c r="N548" s="37"/>
      <c r="O548" s="37"/>
      <c r="P548" s="37"/>
      <c r="Q548" s="37"/>
      <c r="R548" s="37"/>
      <c r="S548" s="37"/>
      <c r="T548" s="37"/>
      <c r="U548" s="3"/>
    </row>
    <row r="549" spans="1:21" ht="14.25" customHeight="1" x14ac:dyDescent="0.3">
      <c r="A549" s="3"/>
      <c r="B549" s="3"/>
      <c r="C549" s="37"/>
      <c r="D549" s="37"/>
      <c r="E549" s="37"/>
      <c r="F549" s="37"/>
      <c r="G549" s="98"/>
      <c r="H549" s="98"/>
      <c r="I549" s="99"/>
      <c r="J549" s="98"/>
      <c r="K549" s="37"/>
      <c r="L549" s="37"/>
      <c r="M549" s="37"/>
      <c r="N549" s="37"/>
      <c r="O549" s="37"/>
      <c r="P549" s="37"/>
      <c r="Q549" s="37"/>
      <c r="R549" s="37"/>
      <c r="S549" s="37"/>
      <c r="T549" s="37"/>
      <c r="U549" s="3"/>
    </row>
    <row r="550" spans="1:21" ht="14.25" customHeight="1" x14ac:dyDescent="0.3"/>
    <row r="551" spans="1:21" ht="14.25" customHeight="1" x14ac:dyDescent="0.3"/>
    <row r="552" spans="1:21" ht="14.25" customHeight="1" x14ac:dyDescent="0.3"/>
    <row r="553" spans="1:21" ht="15.7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349" xr:uid="{00000000-0009-0000-0000-00001F000000}"/>
  <mergeCells count="11">
    <mergeCell ref="J4:J5"/>
    <mergeCell ref="I17:I21"/>
    <mergeCell ref="G17:G21"/>
    <mergeCell ref="G22:G28"/>
    <mergeCell ref="I22:I28"/>
    <mergeCell ref="B352:I352"/>
    <mergeCell ref="B2:B3"/>
    <mergeCell ref="C2:F3"/>
    <mergeCell ref="B4:B5"/>
    <mergeCell ref="H4:H5"/>
    <mergeCell ref="I4:I5"/>
  </mergeCells>
  <dataValidations count="1">
    <dataValidation type="list" allowBlank="1" showErrorMessage="1" sqref="D7:D37 D39:D62 D64:D143 D145:D153 D156:D160 D162:D166 D168:D172 D174:D178 D180:D184 D186:D263 D266:D274 D276:D284 D286:D294 D296:D316 D318:D326 D328:D349" xr:uid="{00000000-0002-0000-1F00-000001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F00-000000000000}">
          <x14:formula1>
            <xm:f>Caixa!$B$5:$B$8</xm:f>
          </x14:formula1>
          <xm:sqref>H7:H15 H17:H33 H35:H37 H39:H62 H64:H89 H92:H106 H108:H111 H113:H115 H118:H124 H126:H143 H145:H153 H156:H160 H162:H166 H168:H172 H174:H178 H180:H184 H186:H213 H215:H223 H225:H233 H235:H243 H245:H253 H255:H263 H266:H274 H276:H284 H286:H294 H296:H316 H318:H326 H328:H349</xm:sqref>
        </x14:dataValidation>
        <x14:dataValidation type="list" allowBlank="1" showErrorMessage="1" xr:uid="{00000000-0002-0000-1F00-000002000000}">
          <x14:formula1>
            <xm:f>'Plano de contas DG'!$C$43:$C$145</xm:f>
          </x14:formula1>
          <xm:sqref>J246</xm:sqref>
        </x14:dataValidation>
        <x14:dataValidation type="list" allowBlank="1" showErrorMessage="1" xr:uid="{00000000-0002-0000-1F00-000003000000}">
          <x14:formula1>
            <xm:f>'Plano de contas DG'!$C$5:$C$145</xm:f>
          </x14:formula1>
          <xm:sqref>J6:J245 J247:J349</xm:sqref>
        </x14:dataValidation>
        <x14:dataValidation type="list" allowBlank="1" showErrorMessage="1" xr:uid="{00000000-0002-0000-1F00-000004000000}">
          <x14:formula1>
            <xm:f>Caixa!$B$5:$B$7</xm:f>
          </x14:formula1>
          <xm:sqref>H16 H34 H90:H91 H107 H112 H116:H117 H125 H214 H224 H234 H244 H254</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4"/>
  </sheetPr>
  <dimension ref="A1:Z990"/>
  <sheetViews>
    <sheetView showGridLines="0" workbookViewId="0">
      <pane xSplit="2" topLeftCell="C1" activePane="topRight" state="frozen"/>
      <selection pane="topRight" activeCell="D2" sqref="D2"/>
    </sheetView>
  </sheetViews>
  <sheetFormatPr defaultColWidth="14.44140625" defaultRowHeight="15" customHeight="1" outlineLevelRow="1" x14ac:dyDescent="0.3"/>
  <cols>
    <col min="1" max="1" width="0.44140625" customWidth="1"/>
    <col min="2" max="2" width="36.33203125" customWidth="1"/>
    <col min="3" max="3" width="15.5546875" customWidth="1"/>
    <col min="4" max="15" width="14.109375" customWidth="1"/>
    <col min="16" max="16" width="2.5546875" customWidth="1"/>
    <col min="17" max="17" width="12.6640625" customWidth="1"/>
    <col min="18" max="26" width="8.6640625" customWidth="1"/>
  </cols>
  <sheetData>
    <row r="1" spans="1:26" ht="2.25" customHeight="1" x14ac:dyDescent="0.3">
      <c r="A1" s="38"/>
      <c r="B1" s="38"/>
      <c r="C1" s="39"/>
      <c r="D1" s="39"/>
      <c r="E1" s="39"/>
      <c r="F1" s="162"/>
      <c r="G1" s="163"/>
      <c r="H1" s="163"/>
      <c r="I1" s="38"/>
      <c r="J1" s="38"/>
      <c r="K1" s="38"/>
      <c r="L1" s="38"/>
      <c r="M1" s="38"/>
      <c r="N1" s="38"/>
      <c r="O1" s="38"/>
      <c r="P1" s="38"/>
      <c r="Q1" s="38"/>
      <c r="R1" s="38"/>
      <c r="S1" s="38"/>
      <c r="T1" s="38"/>
      <c r="U1" s="38"/>
      <c r="V1" s="38"/>
      <c r="W1" s="38"/>
      <c r="X1" s="38"/>
      <c r="Y1" s="38"/>
      <c r="Z1" s="38"/>
    </row>
    <row r="2" spans="1:26" ht="14.4" x14ac:dyDescent="0.3">
      <c r="A2" s="38"/>
      <c r="B2" s="260" t="s">
        <v>1268</v>
      </c>
      <c r="C2" s="262">
        <v>2025</v>
      </c>
      <c r="D2" s="263"/>
      <c r="E2" s="263"/>
      <c r="F2" s="264"/>
      <c r="G2" s="163"/>
      <c r="H2" s="163"/>
      <c r="I2" s="132"/>
      <c r="J2" s="38"/>
      <c r="K2" s="38"/>
      <c r="L2" s="38"/>
      <c r="M2" s="38"/>
      <c r="N2" s="38"/>
      <c r="O2" s="38"/>
      <c r="P2" s="38"/>
      <c r="Q2" s="38"/>
      <c r="R2" s="38"/>
      <c r="S2" s="38"/>
      <c r="T2" s="38"/>
      <c r="U2" s="38"/>
      <c r="V2" s="38"/>
      <c r="W2" s="38"/>
      <c r="X2" s="38"/>
      <c r="Y2" s="38"/>
      <c r="Z2" s="38"/>
    </row>
    <row r="3" spans="1:26" ht="28.8" x14ac:dyDescent="0.3">
      <c r="A3" s="38"/>
      <c r="B3" s="261"/>
      <c r="C3" s="133" t="s">
        <v>1269</v>
      </c>
      <c r="D3" s="133" t="s">
        <v>1270</v>
      </c>
      <c r="E3" s="133" t="s">
        <v>1271</v>
      </c>
      <c r="F3" s="164" t="s">
        <v>1272</v>
      </c>
      <c r="G3" s="163"/>
      <c r="H3" s="163"/>
      <c r="I3" s="38"/>
      <c r="J3" s="38"/>
      <c r="K3" s="38"/>
      <c r="L3" s="38"/>
      <c r="M3" s="38"/>
      <c r="N3" s="38"/>
      <c r="O3" s="38"/>
      <c r="P3" s="38"/>
      <c r="Q3" s="38"/>
      <c r="R3" s="38"/>
      <c r="S3" s="38"/>
      <c r="T3" s="38"/>
      <c r="U3" s="38"/>
      <c r="V3" s="38"/>
      <c r="W3" s="38"/>
      <c r="X3" s="38"/>
      <c r="Y3" s="38"/>
      <c r="Z3" s="38"/>
    </row>
    <row r="4" spans="1:26" ht="14.4" x14ac:dyDescent="0.3">
      <c r="A4" s="38"/>
      <c r="B4" s="134" t="s">
        <v>1273</v>
      </c>
      <c r="C4" s="265">
        <v>14670.54</v>
      </c>
      <c r="D4" s="266"/>
      <c r="E4" s="266"/>
      <c r="F4" s="267"/>
      <c r="G4" s="163"/>
      <c r="H4" s="163"/>
      <c r="I4" s="38"/>
      <c r="J4" s="38"/>
      <c r="K4" s="38"/>
      <c r="L4" s="38"/>
      <c r="M4" s="38"/>
      <c r="N4" s="38"/>
      <c r="O4" s="38"/>
      <c r="P4" s="38"/>
      <c r="Q4" s="38"/>
      <c r="R4" s="38"/>
      <c r="S4" s="38"/>
      <c r="T4" s="38"/>
      <c r="U4" s="38"/>
      <c r="V4" s="38"/>
      <c r="W4" s="38"/>
      <c r="X4" s="38"/>
      <c r="Y4" s="38"/>
      <c r="Z4" s="38"/>
    </row>
    <row r="5" spans="1:26" ht="14.4" x14ac:dyDescent="0.3">
      <c r="A5" s="38"/>
      <c r="B5" s="135" t="s">
        <v>1274</v>
      </c>
      <c r="C5" s="136">
        <f>D46</f>
        <v>57344.600000000006</v>
      </c>
      <c r="D5" s="136">
        <f>D22</f>
        <v>49292.990000000005</v>
      </c>
      <c r="E5" s="136">
        <f t="shared" ref="E5:E16" si="0">D5-C5</f>
        <v>-8051.6100000000006</v>
      </c>
      <c r="F5" s="136">
        <f>C4+E5</f>
        <v>6618.93</v>
      </c>
      <c r="G5" s="163"/>
      <c r="H5" s="163"/>
      <c r="I5" s="138"/>
      <c r="J5" s="38"/>
      <c r="K5" s="38"/>
      <c r="L5" s="38"/>
      <c r="M5" s="38"/>
      <c r="N5" s="38"/>
      <c r="O5" s="38"/>
      <c r="P5" s="38"/>
      <c r="Q5" s="38"/>
      <c r="R5" s="38"/>
      <c r="S5" s="38"/>
      <c r="T5" s="38"/>
      <c r="U5" s="38"/>
      <c r="V5" s="38"/>
      <c r="W5" s="38"/>
      <c r="X5" s="38"/>
      <c r="Y5" s="38"/>
      <c r="Z5" s="38"/>
    </row>
    <row r="6" spans="1:26" ht="14.4" x14ac:dyDescent="0.3">
      <c r="A6" s="38"/>
      <c r="B6" s="135" t="s">
        <v>1275</v>
      </c>
      <c r="C6" s="139">
        <f>E46</f>
        <v>22588.870000000003</v>
      </c>
      <c r="D6" s="139">
        <f>E22</f>
        <v>22658.55</v>
      </c>
      <c r="E6" s="139">
        <f t="shared" si="0"/>
        <v>69.679999999996653</v>
      </c>
      <c r="F6" s="139">
        <f t="shared" ref="F6:F16" si="1">IF(E6=0,"",F5+E6)</f>
        <v>6688.6099999999969</v>
      </c>
      <c r="G6" s="163"/>
      <c r="H6" s="163"/>
      <c r="I6" s="138"/>
      <c r="J6" s="38"/>
      <c r="K6" s="38"/>
      <c r="L6" s="38"/>
      <c r="M6" s="38"/>
      <c r="N6" s="38"/>
      <c r="O6" s="38"/>
      <c r="P6" s="38"/>
      <c r="Q6" s="38"/>
      <c r="R6" s="38"/>
      <c r="S6" s="38"/>
      <c r="T6" s="38"/>
      <c r="U6" s="38"/>
      <c r="V6" s="38"/>
      <c r="W6" s="38"/>
      <c r="X6" s="38"/>
      <c r="Y6" s="38"/>
      <c r="Z6" s="38"/>
    </row>
    <row r="7" spans="1:26" ht="14.4" x14ac:dyDescent="0.3">
      <c r="A7" s="38"/>
      <c r="B7" s="135" t="s">
        <v>1276</v>
      </c>
      <c r="C7" s="139">
        <f>F46</f>
        <v>26571.440000000002</v>
      </c>
      <c r="D7" s="139">
        <f>F22</f>
        <v>25745.350000000002</v>
      </c>
      <c r="E7" s="139">
        <f t="shared" si="0"/>
        <v>-826.09000000000015</v>
      </c>
      <c r="F7" s="139">
        <f t="shared" si="1"/>
        <v>5862.5199999999968</v>
      </c>
      <c r="G7" s="163"/>
      <c r="H7" s="163"/>
      <c r="I7" s="138"/>
      <c r="J7" s="38"/>
      <c r="K7" s="38"/>
      <c r="L7" s="38"/>
      <c r="M7" s="38"/>
      <c r="N7" s="38"/>
      <c r="O7" s="38"/>
      <c r="P7" s="38"/>
      <c r="Q7" s="38"/>
      <c r="R7" s="38"/>
      <c r="S7" s="38"/>
      <c r="T7" s="38"/>
      <c r="U7" s="38"/>
      <c r="V7" s="38"/>
      <c r="W7" s="38"/>
      <c r="X7" s="38"/>
      <c r="Y7" s="38"/>
      <c r="Z7" s="38"/>
    </row>
    <row r="8" spans="1:26" ht="14.4" x14ac:dyDescent="0.3">
      <c r="A8" s="38"/>
      <c r="B8" s="135" t="s">
        <v>1277</v>
      </c>
      <c r="C8" s="139">
        <f>G46</f>
        <v>46447.599999999991</v>
      </c>
      <c r="D8" s="139">
        <f>G22</f>
        <v>19044.449999999997</v>
      </c>
      <c r="E8" s="139">
        <f t="shared" si="0"/>
        <v>-27403.149999999994</v>
      </c>
      <c r="F8" s="139">
        <f t="shared" si="1"/>
        <v>-21540.629999999997</v>
      </c>
      <c r="G8" s="163"/>
      <c r="H8" s="163"/>
      <c r="I8" s="138"/>
      <c r="J8" s="38"/>
      <c r="K8" s="38"/>
      <c r="L8" s="38"/>
      <c r="M8" s="38"/>
      <c r="N8" s="38"/>
      <c r="O8" s="38"/>
      <c r="P8" s="38"/>
      <c r="Q8" s="38"/>
      <c r="R8" s="38"/>
      <c r="S8" s="38"/>
      <c r="T8" s="38"/>
      <c r="U8" s="38"/>
      <c r="V8" s="38"/>
      <c r="W8" s="38"/>
      <c r="X8" s="38"/>
      <c r="Y8" s="38"/>
      <c r="Z8" s="38"/>
    </row>
    <row r="9" spans="1:26" ht="14.4" x14ac:dyDescent="0.3">
      <c r="A9" s="38"/>
      <c r="B9" s="135" t="s">
        <v>1278</v>
      </c>
      <c r="C9" s="139">
        <f>H46</f>
        <v>19129.049999999996</v>
      </c>
      <c r="D9" s="139">
        <f>H22</f>
        <v>22836.63</v>
      </c>
      <c r="E9" s="139">
        <f t="shared" si="0"/>
        <v>3707.5800000000054</v>
      </c>
      <c r="F9" s="139">
        <f t="shared" si="1"/>
        <v>-17833.049999999992</v>
      </c>
      <c r="G9" s="163"/>
      <c r="H9" s="163"/>
      <c r="I9" s="138"/>
      <c r="J9" s="38"/>
      <c r="K9" s="38"/>
      <c r="L9" s="38"/>
      <c r="M9" s="38"/>
      <c r="N9" s="38"/>
      <c r="O9" s="38"/>
      <c r="P9" s="38"/>
      <c r="Q9" s="38"/>
      <c r="R9" s="38"/>
      <c r="S9" s="38"/>
      <c r="T9" s="38"/>
      <c r="U9" s="38"/>
      <c r="V9" s="38"/>
      <c r="W9" s="38"/>
      <c r="X9" s="38"/>
      <c r="Y9" s="38"/>
      <c r="Z9" s="38"/>
    </row>
    <row r="10" spans="1:26" ht="14.4" x14ac:dyDescent="0.3">
      <c r="A10" s="38"/>
      <c r="B10" s="135" t="s">
        <v>1279</v>
      </c>
      <c r="C10" s="139">
        <f>I46</f>
        <v>120.1</v>
      </c>
      <c r="D10" s="139">
        <f>I22</f>
        <v>0</v>
      </c>
      <c r="E10" s="139">
        <f t="shared" si="0"/>
        <v>-120.1</v>
      </c>
      <c r="F10" s="139">
        <f t="shared" si="1"/>
        <v>-17953.149999999991</v>
      </c>
      <c r="G10" s="163"/>
      <c r="H10" s="163"/>
      <c r="I10" s="138"/>
      <c r="J10" s="138"/>
      <c r="K10" s="138"/>
      <c r="L10" s="141"/>
      <c r="M10" s="141"/>
      <c r="N10" s="141"/>
      <c r="O10" s="38"/>
      <c r="P10" s="38"/>
      <c r="Q10" s="38"/>
      <c r="R10" s="38"/>
      <c r="S10" s="38"/>
      <c r="T10" s="38"/>
      <c r="U10" s="38"/>
      <c r="V10" s="38"/>
      <c r="W10" s="38"/>
      <c r="X10" s="38"/>
      <c r="Y10" s="38"/>
      <c r="Z10" s="38"/>
    </row>
    <row r="11" spans="1:26" ht="14.4" x14ac:dyDescent="0.3">
      <c r="A11" s="38"/>
      <c r="B11" s="135" t="s">
        <v>1280</v>
      </c>
      <c r="C11" s="139" t="e">
        <f>J46</f>
        <v>#REF!</v>
      </c>
      <c r="D11" s="139">
        <f>J22</f>
        <v>0</v>
      </c>
      <c r="E11" s="139" t="e">
        <f t="shared" si="0"/>
        <v>#REF!</v>
      </c>
      <c r="F11" s="139" t="e">
        <f t="shared" si="1"/>
        <v>#REF!</v>
      </c>
      <c r="G11" s="163"/>
      <c r="H11" s="163"/>
      <c r="I11" s="138"/>
      <c r="J11" s="38"/>
      <c r="K11" s="38"/>
      <c r="L11" s="141"/>
      <c r="M11" s="141"/>
      <c r="N11" s="141"/>
      <c r="O11" s="38"/>
      <c r="P11" s="38"/>
      <c r="Q11" s="38"/>
      <c r="R11" s="38"/>
      <c r="S11" s="38"/>
      <c r="T11" s="38"/>
      <c r="U11" s="38"/>
      <c r="V11" s="38"/>
      <c r="W11" s="38"/>
      <c r="X11" s="38"/>
      <c r="Y11" s="38"/>
      <c r="Z11" s="38"/>
    </row>
    <row r="12" spans="1:26" ht="14.4" x14ac:dyDescent="0.3">
      <c r="A12" s="38"/>
      <c r="B12" s="135" t="s">
        <v>1281</v>
      </c>
      <c r="C12" s="139">
        <f>K46</f>
        <v>0</v>
      </c>
      <c r="D12" s="139">
        <f>K22</f>
        <v>0</v>
      </c>
      <c r="E12" s="139">
        <f t="shared" si="0"/>
        <v>0</v>
      </c>
      <c r="F12" s="139" t="str">
        <f t="shared" si="1"/>
        <v/>
      </c>
      <c r="G12" s="163"/>
      <c r="H12" s="163"/>
      <c r="I12" s="138"/>
      <c r="J12" s="138"/>
      <c r="K12" s="138"/>
      <c r="L12" s="141"/>
      <c r="M12" s="141"/>
      <c r="N12" s="141"/>
      <c r="O12" s="38"/>
      <c r="P12" s="38"/>
      <c r="Q12" s="38"/>
      <c r="R12" s="38"/>
      <c r="S12" s="38"/>
      <c r="T12" s="38"/>
      <c r="U12" s="38"/>
      <c r="V12" s="38"/>
      <c r="W12" s="38"/>
      <c r="X12" s="38"/>
      <c r="Y12" s="38"/>
      <c r="Z12" s="38"/>
    </row>
    <row r="13" spans="1:26" ht="14.4" x14ac:dyDescent="0.3">
      <c r="A13" s="38"/>
      <c r="B13" s="135" t="s">
        <v>1282</v>
      </c>
      <c r="C13" s="139">
        <f>L46</f>
        <v>0</v>
      </c>
      <c r="D13" s="139">
        <f>L22</f>
        <v>0</v>
      </c>
      <c r="E13" s="139">
        <f t="shared" si="0"/>
        <v>0</v>
      </c>
      <c r="F13" s="139" t="str">
        <f t="shared" si="1"/>
        <v/>
      </c>
      <c r="G13" s="163"/>
      <c r="H13" s="163"/>
      <c r="I13" s="138"/>
      <c r="J13" s="38"/>
      <c r="K13" s="38"/>
      <c r="L13" s="141"/>
      <c r="M13" s="141"/>
      <c r="N13" s="141"/>
      <c r="O13" s="38"/>
      <c r="P13" s="38"/>
      <c r="Q13" s="38"/>
      <c r="R13" s="38"/>
      <c r="S13" s="38"/>
      <c r="T13" s="38"/>
      <c r="U13" s="38"/>
      <c r="V13" s="38"/>
      <c r="W13" s="38"/>
      <c r="X13" s="38"/>
      <c r="Y13" s="38"/>
      <c r="Z13" s="38"/>
    </row>
    <row r="14" spans="1:26" ht="14.4" x14ac:dyDescent="0.3">
      <c r="A14" s="38"/>
      <c r="B14" s="135" t="s">
        <v>1283</v>
      </c>
      <c r="C14" s="139">
        <f>M46</f>
        <v>0</v>
      </c>
      <c r="D14" s="139">
        <f>M22</f>
        <v>0</v>
      </c>
      <c r="E14" s="139">
        <f t="shared" si="0"/>
        <v>0</v>
      </c>
      <c r="F14" s="139" t="str">
        <f t="shared" si="1"/>
        <v/>
      </c>
      <c r="G14" s="163"/>
      <c r="H14" s="163"/>
      <c r="I14" s="138"/>
      <c r="J14" s="38"/>
      <c r="K14" s="38"/>
      <c r="L14" s="141"/>
      <c r="M14" s="141"/>
      <c r="N14" s="141"/>
      <c r="O14" s="38"/>
      <c r="P14" s="38"/>
      <c r="Q14" s="38"/>
      <c r="R14" s="38"/>
      <c r="S14" s="38"/>
      <c r="T14" s="38"/>
      <c r="U14" s="38"/>
      <c r="V14" s="38"/>
      <c r="W14" s="38"/>
      <c r="X14" s="38"/>
      <c r="Y14" s="38"/>
      <c r="Z14" s="38"/>
    </row>
    <row r="15" spans="1:26" ht="14.4" x14ac:dyDescent="0.3">
      <c r="A15" s="38"/>
      <c r="B15" s="135" t="s">
        <v>1284</v>
      </c>
      <c r="C15" s="139">
        <f>N46</f>
        <v>0</v>
      </c>
      <c r="D15" s="139">
        <f>N22</f>
        <v>0</v>
      </c>
      <c r="E15" s="139">
        <f t="shared" si="0"/>
        <v>0</v>
      </c>
      <c r="F15" s="139" t="str">
        <f t="shared" si="1"/>
        <v/>
      </c>
      <c r="G15" s="163"/>
      <c r="H15" s="163"/>
      <c r="I15" s="138"/>
      <c r="J15" s="138"/>
      <c r="K15" s="138"/>
      <c r="L15" s="38"/>
      <c r="M15" s="38"/>
      <c r="N15" s="38"/>
      <c r="O15" s="38"/>
      <c r="P15" s="38"/>
      <c r="Q15" s="38"/>
      <c r="R15" s="38"/>
      <c r="S15" s="38"/>
      <c r="T15" s="38"/>
      <c r="U15" s="38"/>
      <c r="V15" s="38"/>
      <c r="W15" s="38"/>
      <c r="X15" s="38"/>
      <c r="Y15" s="38"/>
      <c r="Z15" s="38"/>
    </row>
    <row r="16" spans="1:26" ht="14.4" x14ac:dyDescent="0.3">
      <c r="A16" s="38"/>
      <c r="B16" s="135" t="s">
        <v>1285</v>
      </c>
      <c r="C16" s="139">
        <f>O46</f>
        <v>0</v>
      </c>
      <c r="D16" s="139">
        <f>O22</f>
        <v>0</v>
      </c>
      <c r="E16" s="139">
        <f t="shared" si="0"/>
        <v>0</v>
      </c>
      <c r="F16" s="139" t="str">
        <f t="shared" si="1"/>
        <v/>
      </c>
      <c r="G16" s="163"/>
      <c r="H16" s="163"/>
      <c r="I16" s="138"/>
      <c r="J16" s="38"/>
      <c r="K16" s="38"/>
      <c r="L16" s="38"/>
      <c r="M16" s="38"/>
      <c r="N16" s="38"/>
      <c r="O16" s="38"/>
      <c r="P16" s="38"/>
      <c r="Q16" s="38"/>
      <c r="R16" s="38"/>
      <c r="S16" s="38"/>
      <c r="T16" s="38"/>
      <c r="U16" s="38"/>
      <c r="V16" s="38"/>
      <c r="W16" s="38"/>
      <c r="X16" s="38"/>
      <c r="Y16" s="38"/>
      <c r="Z16" s="38"/>
    </row>
    <row r="17" spans="1:26" ht="5.25" customHeight="1" x14ac:dyDescent="0.3">
      <c r="A17" s="38"/>
      <c r="B17" s="38"/>
      <c r="C17" s="39"/>
      <c r="D17" s="39"/>
      <c r="E17" s="39"/>
      <c r="F17" s="162"/>
      <c r="G17" s="163"/>
      <c r="H17" s="163"/>
      <c r="I17" s="38"/>
      <c r="J17" s="38"/>
      <c r="K17" s="38"/>
      <c r="L17" s="38"/>
      <c r="M17" s="38"/>
      <c r="N17" s="38"/>
      <c r="O17" s="38"/>
      <c r="P17" s="38"/>
      <c r="Q17" s="38"/>
      <c r="R17" s="38"/>
      <c r="S17" s="38"/>
      <c r="T17" s="38"/>
      <c r="U17" s="38"/>
      <c r="V17" s="38"/>
      <c r="W17" s="38"/>
      <c r="X17" s="38"/>
      <c r="Y17" s="38"/>
      <c r="Z17" s="38"/>
    </row>
    <row r="18" spans="1:26" ht="14.4" x14ac:dyDescent="0.3">
      <c r="A18" s="142"/>
      <c r="B18" s="143" t="s">
        <v>73</v>
      </c>
      <c r="C18" s="144" t="e">
        <f t="shared" ref="C18:D18" si="2">SUM(C5:C16)</f>
        <v>#REF!</v>
      </c>
      <c r="D18" s="144">
        <f t="shared" si="2"/>
        <v>139577.97</v>
      </c>
      <c r="E18" s="145"/>
      <c r="F18" s="165"/>
      <c r="G18" s="166"/>
      <c r="H18" s="166"/>
      <c r="I18" s="142"/>
      <c r="J18" s="142"/>
      <c r="K18" s="142"/>
      <c r="L18" s="142"/>
      <c r="M18" s="142"/>
      <c r="N18" s="142"/>
      <c r="O18" s="142"/>
      <c r="P18" s="142"/>
      <c r="Q18" s="142"/>
      <c r="R18" s="142"/>
      <c r="S18" s="142"/>
      <c r="T18" s="142"/>
      <c r="U18" s="142"/>
      <c r="V18" s="142"/>
      <c r="W18" s="142"/>
      <c r="X18" s="142"/>
      <c r="Y18" s="142"/>
      <c r="Z18" s="142"/>
    </row>
    <row r="19" spans="1:26" ht="15.75" customHeight="1" x14ac:dyDescent="0.3">
      <c r="A19" s="3"/>
      <c r="B19" s="3"/>
      <c r="C19" s="37"/>
      <c r="D19" s="37"/>
      <c r="E19" s="37"/>
      <c r="F19" s="111"/>
      <c r="G19" s="111"/>
      <c r="H19" s="111"/>
      <c r="I19" s="37"/>
      <c r="J19" s="37"/>
      <c r="K19" s="37"/>
      <c r="L19" s="37"/>
      <c r="M19" s="37"/>
      <c r="N19" s="37"/>
      <c r="O19" s="111"/>
      <c r="P19" s="3"/>
      <c r="Q19" s="3"/>
      <c r="R19" s="3"/>
      <c r="S19" s="3"/>
      <c r="T19" s="3"/>
      <c r="U19" s="3"/>
      <c r="V19" s="3"/>
      <c r="W19" s="3"/>
      <c r="X19" s="3"/>
      <c r="Y19" s="3"/>
      <c r="Z19" s="3"/>
    </row>
    <row r="20" spans="1:26" ht="15" customHeight="1" x14ac:dyDescent="0.3">
      <c r="A20" s="3"/>
      <c r="B20" s="226" t="s">
        <v>72</v>
      </c>
      <c r="C20" s="255" t="s">
        <v>1630</v>
      </c>
      <c r="D20" s="268">
        <v>2025</v>
      </c>
      <c r="E20" s="269"/>
      <c r="F20" s="269"/>
      <c r="G20" s="269"/>
      <c r="H20" s="269"/>
      <c r="I20" s="269"/>
      <c r="J20" s="269"/>
      <c r="K20" s="269"/>
      <c r="L20" s="269"/>
      <c r="M20" s="269"/>
      <c r="N20" s="269"/>
      <c r="O20" s="270"/>
      <c r="P20" s="3"/>
      <c r="Q20" s="3"/>
      <c r="R20" s="3"/>
      <c r="S20" s="3"/>
      <c r="T20" s="3"/>
      <c r="U20" s="3"/>
      <c r="V20" s="3"/>
      <c r="W20" s="3"/>
      <c r="X20" s="3"/>
      <c r="Y20" s="3"/>
      <c r="Z20" s="3"/>
    </row>
    <row r="21" spans="1:26" ht="15" customHeight="1" x14ac:dyDescent="0.3">
      <c r="A21" s="3"/>
      <c r="B21" s="206"/>
      <c r="C21" s="256"/>
      <c r="D21" s="6" t="s">
        <v>23</v>
      </c>
      <c r="E21" s="4" t="s">
        <v>24</v>
      </c>
      <c r="F21" s="167" t="s">
        <v>25</v>
      </c>
      <c r="G21" s="168" t="s">
        <v>26</v>
      </c>
      <c r="H21" s="168" t="s">
        <v>27</v>
      </c>
      <c r="I21" s="6" t="s">
        <v>28</v>
      </c>
      <c r="J21" s="6" t="s">
        <v>29</v>
      </c>
      <c r="K21" s="6" t="s">
        <v>30</v>
      </c>
      <c r="L21" s="6" t="s">
        <v>31</v>
      </c>
      <c r="M21" s="5" t="s">
        <v>32</v>
      </c>
      <c r="N21" s="5" t="s">
        <v>32</v>
      </c>
      <c r="O21" s="36" t="s">
        <v>34</v>
      </c>
      <c r="P21" s="3"/>
      <c r="Q21" s="3"/>
      <c r="R21" s="3"/>
      <c r="S21" s="3"/>
      <c r="T21" s="3"/>
      <c r="U21" s="3"/>
      <c r="V21" s="3"/>
      <c r="W21" s="3"/>
      <c r="X21" s="3"/>
      <c r="Y21" s="3"/>
      <c r="Z21" s="3"/>
    </row>
    <row r="22" spans="1:26" ht="15.75" customHeight="1" x14ac:dyDescent="0.3">
      <c r="A22" s="3"/>
      <c r="B22" s="146" t="s">
        <v>73</v>
      </c>
      <c r="C22" s="147">
        <f t="shared" ref="C22:O22" si="3">SUM(C23,C30,C36,C41,C42)</f>
        <v>139577.97</v>
      </c>
      <c r="D22" s="147">
        <f t="shared" si="3"/>
        <v>49292.990000000005</v>
      </c>
      <c r="E22" s="147">
        <f t="shared" si="3"/>
        <v>22658.55</v>
      </c>
      <c r="F22" s="147">
        <f t="shared" si="3"/>
        <v>25745.350000000002</v>
      </c>
      <c r="G22" s="147">
        <f t="shared" si="3"/>
        <v>19044.449999999997</v>
      </c>
      <c r="H22" s="147">
        <f t="shared" si="3"/>
        <v>22836.63</v>
      </c>
      <c r="I22" s="147">
        <f t="shared" si="3"/>
        <v>0</v>
      </c>
      <c r="J22" s="147">
        <f t="shared" si="3"/>
        <v>0</v>
      </c>
      <c r="K22" s="147">
        <f t="shared" si="3"/>
        <v>0</v>
      </c>
      <c r="L22" s="147">
        <f t="shared" si="3"/>
        <v>0</v>
      </c>
      <c r="M22" s="147">
        <f t="shared" si="3"/>
        <v>0</v>
      </c>
      <c r="N22" s="147">
        <f t="shared" si="3"/>
        <v>0</v>
      </c>
      <c r="O22" s="147">
        <f t="shared" si="3"/>
        <v>0</v>
      </c>
      <c r="P22" s="3"/>
    </row>
    <row r="23" spans="1:26" ht="15.75" customHeight="1" x14ac:dyDescent="0.3">
      <c r="A23" s="3"/>
      <c r="B23" s="73" t="s">
        <v>92</v>
      </c>
      <c r="C23" s="57">
        <f t="shared" ref="C23:O23" si="4">SUM(C24:C29)</f>
        <v>81485.72</v>
      </c>
      <c r="D23" s="57">
        <f t="shared" si="4"/>
        <v>13383.98</v>
      </c>
      <c r="E23" s="57">
        <f t="shared" si="4"/>
        <v>15875.15</v>
      </c>
      <c r="F23" s="57">
        <f t="shared" si="4"/>
        <v>17374.560000000001</v>
      </c>
      <c r="G23" s="57">
        <f t="shared" si="4"/>
        <v>19044.449999999997</v>
      </c>
      <c r="H23" s="57">
        <f t="shared" si="4"/>
        <v>15807.580000000002</v>
      </c>
      <c r="I23" s="57">
        <f t="shared" si="4"/>
        <v>0</v>
      </c>
      <c r="J23" s="57">
        <f t="shared" si="4"/>
        <v>0</v>
      </c>
      <c r="K23" s="57">
        <f t="shared" si="4"/>
        <v>0</v>
      </c>
      <c r="L23" s="57">
        <f t="shared" si="4"/>
        <v>0</v>
      </c>
      <c r="M23" s="57">
        <f t="shared" si="4"/>
        <v>0</v>
      </c>
      <c r="N23" s="57">
        <f t="shared" si="4"/>
        <v>0</v>
      </c>
      <c r="O23" s="57">
        <f t="shared" si="4"/>
        <v>0</v>
      </c>
      <c r="P23" s="3"/>
    </row>
    <row r="24" spans="1:26" ht="15.75" hidden="1" customHeight="1" outlineLevel="1" x14ac:dyDescent="0.3">
      <c r="A24" s="3"/>
      <c r="B24" s="10" t="s">
        <v>44</v>
      </c>
      <c r="C24" s="11">
        <f t="shared" ref="C24:C29" si="5">SUM(D24:O24)</f>
        <v>74486.42</v>
      </c>
      <c r="D24" s="12">
        <f>IFERROR(('[1]JAN-Receitas'!$M6+'[1]JAN-Receitas'!$N6+'[1]JAN-Receitas'!$O6+'[1]JAN-Receitas'!$U6),"")</f>
        <v>12094.619999999999</v>
      </c>
      <c r="E24" s="12">
        <f>IFERROR(('[1]FEV-Receitas'!$M6+'[1]FEV-Receitas'!$N6+'[1]FEV-Receitas'!$O6+'[1]FEV-Receitas'!$U6),"")</f>
        <v>14269.89</v>
      </c>
      <c r="F24" s="12">
        <f>IFERROR(('[1]MAR-Receitas'!$M6+'[1]MAR-Receitas'!$N6+'[1]MAR-Receitas'!$O6+'[1]MAR-Receitas'!$U6),"")</f>
        <v>15958.62</v>
      </c>
      <c r="G24" s="12">
        <f>IFERROR(('[1]ABR-Receitas'!$M6+'[1]ABR-Receitas'!$N6+'[1]ABR-Receitas'!$O6+'[1]ABR-Receitas'!$U6),"")</f>
        <v>17606.449999999997</v>
      </c>
      <c r="H24" s="12">
        <f>IFERROR(('MAI-Receitas'!M6+'MAI-Receitas'!N6+'MAI-Receitas'!O6+'MAI-Receitas'!U6),"")</f>
        <v>14556.840000000002</v>
      </c>
      <c r="I24" s="12">
        <f>IFERROR(('[1]JUN-Receitas'!$M6+'[1]JUN-Receitas'!$N6+'[1]JUN-Receitas'!$O6+'[1]JUN-Receitas'!$U6),"")</f>
        <v>0</v>
      </c>
      <c r="J24" s="12">
        <f>IFERROR(('[1]JUL-Receitas'!$M6+'[1]JUL-Receitas'!$N6+'[1]JUL-Receitas'!$O6+'[1]JUL-Receitas'!$U6),"")</f>
        <v>0</v>
      </c>
      <c r="K24" s="12">
        <f>IFERROR(('[1]AGO-Receitas'!$M6+'[1]AGO-Receitas'!$N6+'[1]AGO-Receitas'!$O6+'[1]AGO-Receitas'!$U6),"")</f>
        <v>0</v>
      </c>
      <c r="L24" s="12">
        <f>IFERROR(('[1]SET-Receitas'!$M6+'[1]SET-Receitas'!$N6+'[1]SET-Receitas'!$O6+'[1]SET-Receitas'!$U6),"")</f>
        <v>0</v>
      </c>
      <c r="M24" s="12">
        <f>IFERROR(('[1]OUT-Receitas'!$M6+'[1]OUT-Receitas'!$N6+'[1]OUT-Receitas'!$O6+'[1]OUT-Receitas'!$U6),"")</f>
        <v>0</v>
      </c>
      <c r="N24" s="12">
        <f>IFERROR(('[1]NOV-Receitas'!$M6+'[1]NOV-Receitas'!$N6+'[1]NOV-Receitas'!$O6+'[1]NOV-Receitas'!$U6),"")</f>
        <v>0</v>
      </c>
      <c r="O24" s="12">
        <v>0</v>
      </c>
      <c r="P24" s="3"/>
      <c r="Q24" s="3"/>
      <c r="R24" s="3"/>
      <c r="S24" s="3"/>
      <c r="T24" s="3"/>
      <c r="U24" s="3"/>
      <c r="V24" s="3"/>
      <c r="W24" s="3"/>
      <c r="X24" s="3"/>
      <c r="Y24" s="3"/>
      <c r="Z24" s="3"/>
    </row>
    <row r="25" spans="1:26" ht="15.75" hidden="1" customHeight="1" outlineLevel="1" x14ac:dyDescent="0.3">
      <c r="A25" s="3"/>
      <c r="B25" s="10" t="s">
        <v>45</v>
      </c>
      <c r="C25" s="11">
        <f t="shared" si="5"/>
        <v>919.3</v>
      </c>
      <c r="D25" s="12">
        <f>IFERROR('[1]JAN-Receitas'!$P$6,"")</f>
        <v>152.36000000000001</v>
      </c>
      <c r="E25" s="12">
        <f>IFERROR('[1]FEV-Receitas'!$P6,"")</f>
        <v>223.26</v>
      </c>
      <c r="F25" s="12">
        <f>IFERROR('[1]MAR-Receitas'!$P6,"")</f>
        <v>178.94</v>
      </c>
      <c r="G25" s="12">
        <f>IFERROR('[1]ABR-Receitas'!$P6,"")</f>
        <v>185.99999999999997</v>
      </c>
      <c r="H25" s="12">
        <f>IFERROR('MAI-Receitas'!P6,"")</f>
        <v>178.73999999999995</v>
      </c>
      <c r="I25" s="12">
        <f>IFERROR('[1]JUN-Receitas'!$P6,"")</f>
        <v>0</v>
      </c>
      <c r="J25" s="12">
        <f>IFERROR('[1]JUL-Receitas'!$P6,"")</f>
        <v>0</v>
      </c>
      <c r="K25" s="12">
        <f>IFERROR('[1]AGO-Receitas'!$P6,"")</f>
        <v>0</v>
      </c>
      <c r="L25" s="12">
        <f>IFERROR('[1]SET-Receitas'!$P6,"")</f>
        <v>0</v>
      </c>
      <c r="M25" s="12">
        <f>IFERROR('[1]OUT-Receitas'!$P6,"")</f>
        <v>0</v>
      </c>
      <c r="N25" s="12">
        <f>IFERROR('[1]NOV-Receitas'!$P6,"")</f>
        <v>0</v>
      </c>
      <c r="O25" s="12">
        <v>0</v>
      </c>
      <c r="P25" s="3"/>
      <c r="Q25" s="3"/>
      <c r="R25" s="3"/>
      <c r="S25" s="3"/>
      <c r="T25" s="3"/>
      <c r="U25" s="3"/>
      <c r="V25" s="3"/>
      <c r="W25" s="3"/>
      <c r="X25" s="3"/>
      <c r="Y25" s="3"/>
      <c r="Z25" s="3"/>
    </row>
    <row r="26" spans="1:26" ht="15.75" hidden="1" customHeight="1" outlineLevel="1" x14ac:dyDescent="0.3">
      <c r="A26" s="3"/>
      <c r="B26" s="10" t="s">
        <v>46</v>
      </c>
      <c r="C26" s="11">
        <f t="shared" si="5"/>
        <v>865</v>
      </c>
      <c r="D26" s="12">
        <f>IFERROR('[1]JAN-Receitas'!$Q$6,"")</f>
        <v>155</v>
      </c>
      <c r="E26" s="12">
        <f>IFERROR('[1]FEV-Receitas'!$Q6,"")</f>
        <v>215</v>
      </c>
      <c r="F26" s="12">
        <f>IFERROR('[1]MAR-Receitas'!$Q6,"")</f>
        <v>170</v>
      </c>
      <c r="G26" s="12">
        <f>IFERROR('[1]ABR-Receitas'!$Q6,"")</f>
        <v>175</v>
      </c>
      <c r="H26" s="12">
        <f>IFERROR('MAI-Receitas'!Q6,"")</f>
        <v>150</v>
      </c>
      <c r="I26" s="12">
        <f>IFERROR('[1]JUN-Receitas'!$Q6,"")</f>
        <v>0</v>
      </c>
      <c r="J26" s="12">
        <f>IFERROR('[1]JUL-Receitas'!$Q6,"")</f>
        <v>0</v>
      </c>
      <c r="K26" s="12">
        <f>IFERROR('[1]AGO-Receitas'!$Q6,"")</f>
        <v>0</v>
      </c>
      <c r="L26" s="12">
        <f>IFERROR('[1]SET-Receitas'!$Q6,"")</f>
        <v>0</v>
      </c>
      <c r="M26" s="12">
        <f>IFERROR('[1]OUT-Receitas'!$Q6,"")</f>
        <v>0</v>
      </c>
      <c r="N26" s="12">
        <f>IFERROR('[1]NOV-Receitas'!$Q6,"")</f>
        <v>0</v>
      </c>
      <c r="O26" s="12">
        <v>0</v>
      </c>
      <c r="P26" s="3"/>
      <c r="Q26" s="3"/>
      <c r="R26" s="3"/>
      <c r="S26" s="3"/>
      <c r="T26" s="3"/>
      <c r="U26" s="3"/>
      <c r="V26" s="3"/>
      <c r="W26" s="3"/>
      <c r="X26" s="3"/>
      <c r="Y26" s="3"/>
      <c r="Z26" s="3"/>
    </row>
    <row r="27" spans="1:26" ht="15.75" hidden="1" customHeight="1" outlineLevel="1" x14ac:dyDescent="0.3">
      <c r="A27" s="3"/>
      <c r="B27" s="10" t="s">
        <v>47</v>
      </c>
      <c r="C27" s="11">
        <f t="shared" si="5"/>
        <v>1020</v>
      </c>
      <c r="D27" s="12">
        <f>IFERROR('[1]JAN-Receitas'!$R$6,"")</f>
        <v>185</v>
      </c>
      <c r="E27" s="12">
        <f>IFERROR('[1]FEV-Receitas'!$R6,"")</f>
        <v>260</v>
      </c>
      <c r="F27" s="12">
        <f>IFERROR('[1]MAR-Receitas'!$R6,"")</f>
        <v>205</v>
      </c>
      <c r="G27" s="12">
        <f>IFERROR('[1]ABR-Receitas'!$R6,"")</f>
        <v>195</v>
      </c>
      <c r="H27" s="12">
        <f>IFERROR('MAI-Receitas'!R6,"")</f>
        <v>175</v>
      </c>
      <c r="I27" s="12">
        <f>IFERROR('[1]JUN-Receitas'!$R6,"")</f>
        <v>0</v>
      </c>
      <c r="J27" s="12">
        <f>IFERROR('[1]JUL-Receitas'!$R6,"")</f>
        <v>0</v>
      </c>
      <c r="K27" s="12">
        <f>IFERROR('[1]AGO-Receitas'!$R6,"")</f>
        <v>0</v>
      </c>
      <c r="L27" s="12">
        <f>IFERROR('[1]SET-Receitas'!$R6,"")</f>
        <v>0</v>
      </c>
      <c r="M27" s="12">
        <f>IFERROR('[1]OUT-Receitas'!$R6,"")</f>
        <v>0</v>
      </c>
      <c r="N27" s="12">
        <f>IFERROR('[1]NOV-Receitas'!$R6,"")</f>
        <v>0</v>
      </c>
      <c r="O27" s="12">
        <v>0</v>
      </c>
      <c r="P27" s="3"/>
      <c r="Q27" s="3"/>
      <c r="R27" s="3"/>
      <c r="S27" s="3"/>
      <c r="T27" s="3"/>
      <c r="U27" s="3"/>
      <c r="V27" s="3"/>
      <c r="W27" s="3"/>
      <c r="X27" s="3"/>
      <c r="Y27" s="3"/>
      <c r="Z27" s="3"/>
    </row>
    <row r="28" spans="1:26" ht="15.75" hidden="1" customHeight="1" outlineLevel="1" x14ac:dyDescent="0.3">
      <c r="A28" s="3"/>
      <c r="B28" s="10" t="s">
        <v>48</v>
      </c>
      <c r="C28" s="11">
        <f t="shared" si="5"/>
        <v>1285</v>
      </c>
      <c r="D28" s="12">
        <f>IFERROR('[1]JAN-Receitas'!$S$6,"")</f>
        <v>217</v>
      </c>
      <c r="E28" s="12">
        <f>IFERROR('[1]FEV-Receitas'!$S6,"")</f>
        <v>297</v>
      </c>
      <c r="F28" s="12">
        <f>IFERROR('[1]MAR-Receitas'!$S6,"")</f>
        <v>262</v>
      </c>
      <c r="G28" s="12">
        <f>IFERROR('[1]ABR-Receitas'!$S6,"")</f>
        <v>282</v>
      </c>
      <c r="H28" s="12">
        <f>IFERROR('MAI-Receitas'!S6,"")</f>
        <v>227</v>
      </c>
      <c r="I28" s="12">
        <f>IFERROR('[1]JUN-Receitas'!$S6,"")</f>
        <v>0</v>
      </c>
      <c r="J28" s="12">
        <f>IFERROR('[1]JUL-Receitas'!$S6,"")</f>
        <v>0</v>
      </c>
      <c r="K28" s="12">
        <f>IFERROR('[1]AGO-Receitas'!$S6,"")</f>
        <v>0</v>
      </c>
      <c r="L28" s="12">
        <f>IFERROR('[1]SET-Receitas'!$S6,"")</f>
        <v>0</v>
      </c>
      <c r="M28" s="12">
        <f>IFERROR('[1]OUT-Receitas'!$S6,"")</f>
        <v>0</v>
      </c>
      <c r="N28" s="12">
        <f>IFERROR('[1]NOV-Receitas'!$S6,"")</f>
        <v>0</v>
      </c>
      <c r="O28" s="12">
        <v>0</v>
      </c>
      <c r="P28" s="3"/>
      <c r="Q28" s="3"/>
      <c r="R28" s="3"/>
      <c r="S28" s="3"/>
      <c r="T28" s="3"/>
      <c r="U28" s="3"/>
      <c r="V28" s="3"/>
      <c r="W28" s="3"/>
      <c r="X28" s="3"/>
      <c r="Y28" s="3"/>
      <c r="Z28" s="3"/>
    </row>
    <row r="29" spans="1:26" ht="15.75" hidden="1" customHeight="1" outlineLevel="1" x14ac:dyDescent="0.3">
      <c r="A29" s="3"/>
      <c r="B29" s="10" t="s">
        <v>49</v>
      </c>
      <c r="C29" s="11">
        <f t="shared" si="5"/>
        <v>2910</v>
      </c>
      <c r="D29" s="12">
        <f>IFERROR('[1]JAN-Receitas'!$T$6,"")</f>
        <v>580</v>
      </c>
      <c r="E29" s="12">
        <f>IFERROR('[1]FEV-Receitas'!$T6,"")</f>
        <v>610</v>
      </c>
      <c r="F29" s="12">
        <f>IFERROR('[1]MAR-Receitas'!$T6,"")</f>
        <v>600</v>
      </c>
      <c r="G29" s="12">
        <f>IFERROR('[1]ABR-Receitas'!$T6,"")</f>
        <v>600</v>
      </c>
      <c r="H29" s="12">
        <f>IFERROR('MAI-Receitas'!T6,"")</f>
        <v>520</v>
      </c>
      <c r="I29" s="12">
        <f>IFERROR('[1]JUN-Receitas'!$T6,"")</f>
        <v>0</v>
      </c>
      <c r="J29" s="12">
        <f>IFERROR('[1]JUL-Receitas'!$T6,"")</f>
        <v>0</v>
      </c>
      <c r="K29" s="12">
        <f>IFERROR('[1]AGO-Receitas'!$T6,"")</f>
        <v>0</v>
      </c>
      <c r="L29" s="12">
        <f>IFERROR('[1]SET-Receitas'!$T6,"")</f>
        <v>0</v>
      </c>
      <c r="M29" s="12">
        <f>IFERROR('[1]OUT-Receitas'!$T6,"")</f>
        <v>0</v>
      </c>
      <c r="N29" s="12">
        <f>IFERROR('[1]NOV-Receitas'!$T6,"")</f>
        <v>0</v>
      </c>
      <c r="O29" s="12">
        <v>0</v>
      </c>
      <c r="P29" s="3"/>
      <c r="Q29" s="3"/>
      <c r="R29" s="3"/>
      <c r="S29" s="3"/>
      <c r="T29" s="3"/>
      <c r="U29" s="3"/>
      <c r="V29" s="3"/>
      <c r="W29" s="3"/>
      <c r="X29" s="3"/>
      <c r="Y29" s="3"/>
      <c r="Z29" s="3"/>
    </row>
    <row r="30" spans="1:26" ht="15.75" customHeight="1" collapsed="1" x14ac:dyDescent="0.3">
      <c r="A30" s="3"/>
      <c r="B30" s="73" t="s">
        <v>62</v>
      </c>
      <c r="C30" s="57">
        <f t="shared" ref="C30:D30" si="6">SUM(C31,C32,,C33,C34,C35)</f>
        <v>37974.36</v>
      </c>
      <c r="D30" s="57">
        <f t="shared" si="6"/>
        <v>25606.37</v>
      </c>
      <c r="E30" s="57">
        <f t="shared" ref="E30:G30" si="7">SUM(E31,E32,E33,E34,E35)</f>
        <v>4018.3199999999997</v>
      </c>
      <c r="F30" s="57">
        <f t="shared" si="7"/>
        <v>4931.63</v>
      </c>
      <c r="G30" s="57">
        <f t="shared" si="7"/>
        <v>0</v>
      </c>
      <c r="H30" s="57">
        <f t="shared" ref="H30:O30" si="8">SUM(H31,H32,,H33,H34,H35)</f>
        <v>3418.04</v>
      </c>
      <c r="I30" s="57">
        <f t="shared" si="8"/>
        <v>0</v>
      </c>
      <c r="J30" s="57">
        <f t="shared" si="8"/>
        <v>0</v>
      </c>
      <c r="K30" s="57">
        <f t="shared" si="8"/>
        <v>0</v>
      </c>
      <c r="L30" s="57">
        <f t="shared" si="8"/>
        <v>0</v>
      </c>
      <c r="M30" s="57">
        <f t="shared" si="8"/>
        <v>0</v>
      </c>
      <c r="N30" s="57">
        <f t="shared" si="8"/>
        <v>0</v>
      </c>
      <c r="O30" s="57">
        <f t="shared" si="8"/>
        <v>0</v>
      </c>
      <c r="P30" s="3"/>
    </row>
    <row r="31" spans="1:26" ht="15.75" hidden="1" customHeight="1" outlineLevel="1" x14ac:dyDescent="0.3">
      <c r="A31" s="3"/>
      <c r="B31" s="75" t="s">
        <v>230</v>
      </c>
      <c r="C31" s="77">
        <f t="shared" ref="C31:C35" si="9">SUM(D31:O31)</f>
        <v>1123.33</v>
      </c>
      <c r="D31" s="77">
        <f>IFERROR('[1]JAN-Receitas'!$F$128,"")</f>
        <v>381.51</v>
      </c>
      <c r="E31" s="77">
        <f>IFERROR('[1]FEV-Receitas'!$F128,"")</f>
        <v>0</v>
      </c>
      <c r="F31" s="77">
        <f>IFERROR('[1]MAR-Receitas'!$F128,"")</f>
        <v>382.24</v>
      </c>
      <c r="G31" s="77">
        <f>IFERROR('[1]ABR-Receitas'!$F127,"")</f>
        <v>0</v>
      </c>
      <c r="H31" s="77">
        <f>IFERROR('MAI-Receitas'!$F125,"")</f>
        <v>359.58</v>
      </c>
      <c r="I31" s="77">
        <f>IFERROR('[1]JUN-Receitas'!$F127,"")</f>
        <v>0</v>
      </c>
      <c r="J31" s="77">
        <f>IFERROR('[1]JUL-Receitas'!$F127,"")</f>
        <v>0</v>
      </c>
      <c r="K31" s="77">
        <f>IFERROR('[1]AGO-Receitas'!$F127,"")</f>
        <v>0</v>
      </c>
      <c r="L31" s="77">
        <f>IFERROR('[1]SET-Receitas'!$F127,"")</f>
        <v>0</v>
      </c>
      <c r="M31" s="77">
        <f>IFERROR('[1]OUT-Receitas'!$F127,"")</f>
        <v>0</v>
      </c>
      <c r="N31" s="77">
        <f>IFERROR('[1]NOV-Receitas'!$F127,"")</f>
        <v>0</v>
      </c>
      <c r="O31" s="77">
        <v>0</v>
      </c>
      <c r="P31" s="3"/>
    </row>
    <row r="32" spans="1:26" ht="15.75" hidden="1" customHeight="1" outlineLevel="1" x14ac:dyDescent="0.3">
      <c r="A32" s="3"/>
      <c r="B32" s="75" t="s">
        <v>1631</v>
      </c>
      <c r="C32" s="77">
        <f t="shared" si="9"/>
        <v>4602.9399999999996</v>
      </c>
      <c r="D32" s="77">
        <f>IFERROR('[1]JAN-Receitas'!$F$131,"")</f>
        <v>143</v>
      </c>
      <c r="E32" s="77">
        <f>IFERROR('[1]FEV-Receitas'!$F131,"")</f>
        <v>1297.32</v>
      </c>
      <c r="F32" s="77">
        <f>IFERROR('[1]MAR-Receitas'!$F131,"")</f>
        <v>1083.6199999999999</v>
      </c>
      <c r="G32" s="77">
        <f>IFERROR('[1]ABR-Receitas'!$F130,"")</f>
        <v>0</v>
      </c>
      <c r="H32" s="77">
        <f>IFERROR('MAI-Receitas'!F128,"")</f>
        <v>2079</v>
      </c>
      <c r="I32" s="77">
        <f>IFERROR('[1]JUN-Receitas'!$F130,"")</f>
        <v>0</v>
      </c>
      <c r="J32" s="77">
        <f>IFERROR('[1]JUL-Receitas'!$F130,"")</f>
        <v>0</v>
      </c>
      <c r="K32" s="77">
        <f>IFERROR('[1]AGO-Receitas'!$F130,"")</f>
        <v>0</v>
      </c>
      <c r="L32" s="77">
        <f>IFERROR('[1]SET-Receitas'!$F130,"")</f>
        <v>0</v>
      </c>
      <c r="M32" s="77">
        <f>IFERROR('[1]OUT-Receitas'!$F130,"")</f>
        <v>0</v>
      </c>
      <c r="N32" s="77">
        <f>IFERROR('[1]NOV-Receitas'!$F130,"")</f>
        <v>0</v>
      </c>
      <c r="O32" s="77">
        <v>0</v>
      </c>
      <c r="P32" s="3"/>
    </row>
    <row r="33" spans="1:16" ht="15.75" hidden="1" customHeight="1" outlineLevel="1" x14ac:dyDescent="0.3">
      <c r="A33" s="3"/>
      <c r="B33" s="75" t="s">
        <v>1632</v>
      </c>
      <c r="C33" s="77">
        <f t="shared" si="9"/>
        <v>27242.63</v>
      </c>
      <c r="D33" s="77">
        <f>IFERROR('[1]JAN-Receitas'!$F$135,"")</f>
        <v>24756.86</v>
      </c>
      <c r="E33" s="77">
        <f>IFERROR('[1]FEV-Receitas'!$F135,"")</f>
        <v>0</v>
      </c>
      <c r="F33" s="77">
        <f>IFERROR('[1]MAR-Receitas'!$F135,"")</f>
        <v>2485.77</v>
      </c>
      <c r="G33" s="77">
        <f>IFERROR('[1]ABR-Receitas'!$F134,"")</f>
        <v>0</v>
      </c>
      <c r="H33" s="77">
        <f>IFERROR('MAI-Receitas'!F132,"")</f>
        <v>0</v>
      </c>
      <c r="I33" s="77">
        <f>IFERROR('[1]JUN-Receitas'!$F134,"")</f>
        <v>0</v>
      </c>
      <c r="J33" s="77">
        <f>IFERROR('[1]JUL-Receitas'!$F134,"")</f>
        <v>0</v>
      </c>
      <c r="K33" s="77">
        <f>IFERROR('[1]AGO-Receitas'!$F134,"")</f>
        <v>0</v>
      </c>
      <c r="L33" s="77">
        <f>IFERROR('[1]SET-Receitas'!$F134,"")</f>
        <v>0</v>
      </c>
      <c r="M33" s="77">
        <f>IFERROR('[1]OUT-Receitas'!$F134,"")</f>
        <v>0</v>
      </c>
      <c r="N33" s="77">
        <f>IFERROR('[1]NOV-Receitas'!$F134,"")</f>
        <v>0</v>
      </c>
      <c r="O33" s="77">
        <v>0</v>
      </c>
      <c r="P33" s="3"/>
    </row>
    <row r="34" spans="1:16" ht="15.75" hidden="1" customHeight="1" outlineLevel="1" x14ac:dyDescent="0.3">
      <c r="A34" s="3"/>
      <c r="B34" s="75" t="s">
        <v>1024</v>
      </c>
      <c r="C34" s="77">
        <f t="shared" si="9"/>
        <v>1221</v>
      </c>
      <c r="D34" s="77">
        <f>IFERROR('[1]JAN-Receitas'!$F$140,"")</f>
        <v>325</v>
      </c>
      <c r="E34" s="77">
        <f>IFERROR('[1]FEV-Receitas'!$F139,"")</f>
        <v>46</v>
      </c>
      <c r="F34" s="77">
        <f>IFERROR('[1]MAR-Receitas'!$F140,"")</f>
        <v>850</v>
      </c>
      <c r="G34" s="77">
        <f>IFERROR('[1]ABR-Receitas'!$F139,"")</f>
        <v>0</v>
      </c>
      <c r="H34" s="77">
        <f>IFERROR('MAI-Receitas'!F137,"")</f>
        <v>0</v>
      </c>
      <c r="I34" s="77">
        <f>IFERROR('[1]JUN-Receitas'!$F139,"")</f>
        <v>0</v>
      </c>
      <c r="J34" s="77">
        <f>IFERROR('[1]JUL-Receitas'!$F139,"")</f>
        <v>0</v>
      </c>
      <c r="K34" s="77">
        <f>IFERROR('[1]AGO-Receitas'!$F139,"")</f>
        <v>0</v>
      </c>
      <c r="L34" s="77">
        <f>IFERROR('[1]SET-Receitas'!$F139,"")</f>
        <v>0</v>
      </c>
      <c r="M34" s="77">
        <f>IFERROR('[1]OUT-Receitas'!$F139,"")</f>
        <v>0</v>
      </c>
      <c r="N34" s="77">
        <f>IFERROR('[1]NOV-Receitas'!$F139,"")</f>
        <v>0</v>
      </c>
      <c r="O34" s="77">
        <v>0</v>
      </c>
      <c r="P34" s="3"/>
    </row>
    <row r="35" spans="1:16" ht="15.75" hidden="1" customHeight="1" outlineLevel="1" x14ac:dyDescent="0.3">
      <c r="A35" s="3"/>
      <c r="B35" s="75" t="s">
        <v>689</v>
      </c>
      <c r="C35" s="77">
        <f t="shared" si="9"/>
        <v>3784.46</v>
      </c>
      <c r="D35" s="77">
        <f>IFERROR('[1]JAN-Receitas'!$F$144,"")</f>
        <v>0</v>
      </c>
      <c r="E35" s="77">
        <f>IFERROR('[1]FEV-Receitas'!$F143,"")</f>
        <v>2675</v>
      </c>
      <c r="F35" s="77">
        <f>IFERROR('[1]MAR-Receitas'!$F147,"")</f>
        <v>130</v>
      </c>
      <c r="G35" s="77">
        <f>IFERROR('[1]ABR-Receitas'!$F146,"")</f>
        <v>0</v>
      </c>
      <c r="H35" s="77">
        <f>IFERROR('MAI-Receitas'!$F144,"")</f>
        <v>979.46000000000015</v>
      </c>
      <c r="I35" s="77">
        <f>IFERROR('[1]JUN-Receitas'!$F146,"")</f>
        <v>0</v>
      </c>
      <c r="J35" s="77">
        <f>IFERROR('[1]JUL-Receitas'!$F146,"")</f>
        <v>0</v>
      </c>
      <c r="K35" s="77">
        <f>IFERROR('[1]AGO-Receitas'!$F146,"")</f>
        <v>0</v>
      </c>
      <c r="L35" s="77">
        <f>IFERROR('[1]SET-Receitas'!$F146,"")</f>
        <v>0</v>
      </c>
      <c r="M35" s="77">
        <f>IFERROR('[1]OUT-Receitas'!$F146,"")</f>
        <v>0</v>
      </c>
      <c r="N35" s="77">
        <f>IFERROR('[1]NOV-Receitas'!$F145,"")</f>
        <v>0</v>
      </c>
      <c r="O35" s="77">
        <v>0</v>
      </c>
      <c r="P35" s="3"/>
    </row>
    <row r="36" spans="1:16" ht="15.75" customHeight="1" collapsed="1" x14ac:dyDescent="0.3">
      <c r="A36" s="3"/>
      <c r="B36" s="73" t="s">
        <v>239</v>
      </c>
      <c r="C36" s="57">
        <f t="shared" ref="C36:O36" si="10">SUM(C37,C38,C39,C40)</f>
        <v>12832.689999999999</v>
      </c>
      <c r="D36" s="57">
        <f t="shared" si="10"/>
        <v>3429.29</v>
      </c>
      <c r="E36" s="57">
        <f t="shared" si="10"/>
        <v>2762.8</v>
      </c>
      <c r="F36" s="57">
        <f t="shared" si="10"/>
        <v>3434</v>
      </c>
      <c r="G36" s="57">
        <f t="shared" si="10"/>
        <v>0</v>
      </c>
      <c r="H36" s="57">
        <f t="shared" si="10"/>
        <v>3206.6</v>
      </c>
      <c r="I36" s="57">
        <f t="shared" si="10"/>
        <v>0</v>
      </c>
      <c r="J36" s="57">
        <f t="shared" si="10"/>
        <v>0</v>
      </c>
      <c r="K36" s="57">
        <f t="shared" si="10"/>
        <v>0</v>
      </c>
      <c r="L36" s="57">
        <f t="shared" si="10"/>
        <v>0</v>
      </c>
      <c r="M36" s="57">
        <f t="shared" si="10"/>
        <v>0</v>
      </c>
      <c r="N36" s="57">
        <f t="shared" si="10"/>
        <v>0</v>
      </c>
      <c r="O36" s="57">
        <f t="shared" si="10"/>
        <v>0</v>
      </c>
      <c r="P36" s="3"/>
    </row>
    <row r="37" spans="1:16" ht="15.75" hidden="1" customHeight="1" outlineLevel="1" x14ac:dyDescent="0.3">
      <c r="A37" s="3"/>
      <c r="B37" s="75" t="s">
        <v>240</v>
      </c>
      <c r="C37" s="77">
        <f t="shared" ref="C37:C42" si="11">SUM(D37:O37)</f>
        <v>3070.29</v>
      </c>
      <c r="D37" s="77">
        <f>IFERROR('[1]JAN-Receitas'!$F$149,"")</f>
        <v>1132.29</v>
      </c>
      <c r="E37" s="77">
        <f>IFERROR('[1]FEV-Receitas'!$F148,"")</f>
        <v>633</v>
      </c>
      <c r="F37" s="77">
        <f>IFERROR('[1]MAR-Receitas'!$F152,"")</f>
        <v>668</v>
      </c>
      <c r="G37" s="77">
        <f>IFERROR('[1]ABR-Receitas'!$F151,"")</f>
        <v>0</v>
      </c>
      <c r="H37" s="77">
        <f>IFERROR('MAI-Receitas'!$F150,"")</f>
        <v>637</v>
      </c>
      <c r="I37" s="77">
        <f>IFERROR('[1]JUN-Receitas'!$F153,"")</f>
        <v>0</v>
      </c>
      <c r="J37" s="77">
        <f>IFERROR('[1]JUL-Receitas'!$F155,"")</f>
        <v>0</v>
      </c>
      <c r="K37" s="77">
        <f>IFERROR('[1]AGO-Receitas'!$F155,"")</f>
        <v>0</v>
      </c>
      <c r="L37" s="77">
        <f>IFERROR('[1]SET-Receitas'!$F155,"")</f>
        <v>0</v>
      </c>
      <c r="M37" s="77">
        <f>IFERROR('[1]OUT-Receitas'!$F155,"")</f>
        <v>0</v>
      </c>
      <c r="N37" s="77">
        <f>IFERROR('[1]NOV-Receitas'!$F155,"")</f>
        <v>0</v>
      </c>
      <c r="O37" s="77">
        <v>0</v>
      </c>
      <c r="P37" s="3"/>
    </row>
    <row r="38" spans="1:16" ht="15.75" hidden="1" customHeight="1" outlineLevel="1" x14ac:dyDescent="0.3">
      <c r="A38" s="3"/>
      <c r="B38" s="75" t="s">
        <v>245</v>
      </c>
      <c r="C38" s="77">
        <f t="shared" si="11"/>
        <v>2861.01</v>
      </c>
      <c r="D38" s="77">
        <f>IFERROR('[1]JAN-Receitas'!$F$154,"")</f>
        <v>828</v>
      </c>
      <c r="E38" s="77">
        <f>IFERROR('[1]FEV-Receitas'!$F153,"")</f>
        <v>1104.01</v>
      </c>
      <c r="F38" s="77">
        <f>IFERROR('[1]MAR-Receitas'!$F157,"")</f>
        <v>440</v>
      </c>
      <c r="G38" s="77">
        <f>IFERROR('[1]ABR-Receitas'!$F156,"")</f>
        <v>0</v>
      </c>
      <c r="H38" s="77">
        <f>IFERROR('MAI-Receitas'!$F155,"")</f>
        <v>489</v>
      </c>
      <c r="I38" s="77">
        <f>IFERROR('[1]JUN-Receitas'!$F158,"")</f>
        <v>0</v>
      </c>
      <c r="J38" s="77">
        <f>IFERROR('[1]JUL-Receitas'!$F160,"")</f>
        <v>0</v>
      </c>
      <c r="K38" s="77">
        <f>IFERROR('[1]AGO-Receitas'!$F160,"")</f>
        <v>0</v>
      </c>
      <c r="L38" s="77">
        <f>IFERROR('[1]SET-Receitas'!$F160,"")</f>
        <v>0</v>
      </c>
      <c r="M38" s="77">
        <f>IFERROR('[1]OUT-Receitas'!$F160,"")</f>
        <v>0</v>
      </c>
      <c r="N38" s="77">
        <f>IFERROR('[1]NOV-Receitas'!$F160,"")</f>
        <v>0</v>
      </c>
      <c r="O38" s="77">
        <v>0</v>
      </c>
      <c r="P38" s="3"/>
    </row>
    <row r="39" spans="1:16" ht="15.75" hidden="1" customHeight="1" outlineLevel="1" x14ac:dyDescent="0.3">
      <c r="A39" s="3"/>
      <c r="B39" s="75" t="s">
        <v>246</v>
      </c>
      <c r="C39" s="77">
        <f t="shared" si="11"/>
        <v>2276</v>
      </c>
      <c r="D39" s="77">
        <f>IFERROR('[1]JAN-Receitas'!$F$159,"")</f>
        <v>0</v>
      </c>
      <c r="E39" s="77">
        <f>IFERROR('[1]FEV-Receitas'!$F158,"")</f>
        <v>0</v>
      </c>
      <c r="F39" s="77">
        <f>IFERROR('[1]MAR-Receitas'!$F162,"")</f>
        <v>2276</v>
      </c>
      <c r="G39" s="77">
        <f>IFERROR('[1]ABR-Receitas'!$F161,"")</f>
        <v>0</v>
      </c>
      <c r="H39" s="77">
        <f>IFERROR('MAI-Receitas'!$F160,"")</f>
        <v>0</v>
      </c>
      <c r="I39" s="77">
        <f>IFERROR('[1]JUN-Receitas'!$F163,"")</f>
        <v>0</v>
      </c>
      <c r="J39" s="77">
        <f>IFERROR('[1]JUL-Receitas'!$F165,"")</f>
        <v>0</v>
      </c>
      <c r="K39" s="77">
        <f>IFERROR('[1]AGO-Receitas'!$F165,"")</f>
        <v>0</v>
      </c>
      <c r="L39" s="77">
        <f>IFERROR('[1]SET-Receitas'!$F165,"")</f>
        <v>0</v>
      </c>
      <c r="M39" s="77">
        <f>IFERROR('[1]OUT-Receitas'!$F165,"")</f>
        <v>0</v>
      </c>
      <c r="N39" s="77">
        <f>IFERROR('[1]NOV-Receitas'!$F164,"")</f>
        <v>0</v>
      </c>
      <c r="O39" s="77">
        <v>0</v>
      </c>
      <c r="P39" s="3"/>
    </row>
    <row r="40" spans="1:16" ht="15.75" hidden="1" customHeight="1" outlineLevel="1" x14ac:dyDescent="0.3">
      <c r="A40" s="3"/>
      <c r="B40" s="75" t="s">
        <v>61</v>
      </c>
      <c r="C40" s="77">
        <f t="shared" si="11"/>
        <v>4625.3899999999994</v>
      </c>
      <c r="D40" s="77">
        <f>IFERROR('[1]JAN-Receitas'!$F$163,"")</f>
        <v>1469</v>
      </c>
      <c r="E40" s="77">
        <f>IFERROR('[1]FEV-Receitas'!$F162,"")</f>
        <v>1025.79</v>
      </c>
      <c r="F40" s="77">
        <f>IFERROR('[1]MAR-Receitas'!$F166,"")</f>
        <v>50</v>
      </c>
      <c r="G40" s="77">
        <f>IFERROR('[1]ABR-Receitas'!$F165,"")</f>
        <v>0</v>
      </c>
      <c r="H40" s="77">
        <f>IFERROR('MAI-Receitas'!$F164,"")</f>
        <v>2080.6</v>
      </c>
      <c r="I40" s="77">
        <f>IFERROR('[1]JUN-Receitas'!$F167,"")</f>
        <v>0</v>
      </c>
      <c r="J40" s="77">
        <f>IFERROR('[1]JUL-Receitas'!$F169,"")</f>
        <v>0</v>
      </c>
      <c r="K40" s="77">
        <f>IFERROR('[1]AGO-Receitas'!$F169,"")</f>
        <v>0</v>
      </c>
      <c r="L40" s="77">
        <f>IFERROR('[1]SET-Receitas'!$F169,"")</f>
        <v>0</v>
      </c>
      <c r="M40" s="77">
        <f>IFERROR('[1]OUT-Receitas'!$F169,"")</f>
        <v>0</v>
      </c>
      <c r="N40" s="77">
        <f>IFERROR('[1]NOV-Receitas'!$F169,"")</f>
        <v>0</v>
      </c>
      <c r="O40" s="77">
        <v>0</v>
      </c>
      <c r="P40" s="3"/>
    </row>
    <row r="41" spans="1:16" ht="15.75" customHeight="1" collapsed="1" x14ac:dyDescent="0.3">
      <c r="A41" s="3"/>
      <c r="B41" s="73" t="s">
        <v>63</v>
      </c>
      <c r="C41" s="57">
        <f t="shared" si="11"/>
        <v>7264.94</v>
      </c>
      <c r="D41" s="57">
        <f>IFERROR('[1]JAN-Receitas'!$F$168,"")</f>
        <v>6864.94</v>
      </c>
      <c r="E41" s="57">
        <f>IFERROR('[1]FEV-Receitas'!$F169,"")</f>
        <v>0</v>
      </c>
      <c r="F41" s="57">
        <f>IFERROR('[1]MAR-Receitas'!$F175,"")</f>
        <v>0</v>
      </c>
      <c r="G41" s="57">
        <f>IFERROR('[1]ABR-Receitas'!$F180,"")</f>
        <v>0</v>
      </c>
      <c r="H41" s="57">
        <f>IFERROR('MAI-Receitas'!$F179,"")</f>
        <v>400</v>
      </c>
      <c r="I41" s="57">
        <f>IFERROR('[1]JUN-Receitas'!$F182,"")</f>
        <v>0</v>
      </c>
      <c r="J41" s="57">
        <f>IFERROR('[1]JUL-Receitas'!$F184,"")</f>
        <v>0</v>
      </c>
      <c r="K41" s="57">
        <f>IFERROR('[1]AGO-Receitas'!$F184,"")</f>
        <v>0</v>
      </c>
      <c r="L41" s="57">
        <f>IFERROR('[1]SET-Receitas'!$F184,"")</f>
        <v>0</v>
      </c>
      <c r="M41" s="57">
        <f>IFERROR('[1]OUT-Receitas'!$F184,"")</f>
        <v>0</v>
      </c>
      <c r="N41" s="57">
        <f>IFERROR('[1]NOV-Receitas'!$F183,"")</f>
        <v>0</v>
      </c>
      <c r="O41" s="57">
        <v>0</v>
      </c>
      <c r="P41" s="3"/>
    </row>
    <row r="42" spans="1:16" ht="15.75" customHeight="1" x14ac:dyDescent="0.3">
      <c r="A42" s="3"/>
      <c r="B42" s="73" t="s">
        <v>259</v>
      </c>
      <c r="C42" s="57">
        <f t="shared" si="11"/>
        <v>20.259999999999998</v>
      </c>
      <c r="D42" s="57">
        <f>IFERROR('[1]JAN-Receitas'!$F$172,"")</f>
        <v>8.41</v>
      </c>
      <c r="E42" s="57">
        <f>IFERROR('[1]FEV-Receitas'!$F173,"")</f>
        <v>2.2799999999999998</v>
      </c>
      <c r="F42" s="57">
        <f>IFERROR('[1]MAR-Receitas'!$F179,"")</f>
        <v>5.16</v>
      </c>
      <c r="G42" s="57">
        <f>IFERROR('[1]ABR-Receitas'!$F184,"")</f>
        <v>0</v>
      </c>
      <c r="H42" s="57">
        <f>IFERROR('MAI-Receitas'!$F183,"")</f>
        <v>4.41</v>
      </c>
      <c r="I42" s="57">
        <f>IFERROR('[1]JUN-Receitas'!$F186,"")</f>
        <v>0</v>
      </c>
      <c r="J42" s="57">
        <f>IFERROR('[1]JUL-Receitas'!$F188,"")</f>
        <v>0</v>
      </c>
      <c r="K42" s="57">
        <f>IFERROR('[1]AGO-Receitas'!$F188,"")</f>
        <v>0</v>
      </c>
      <c r="L42" s="57">
        <f>IFERROR('[1]SET-Receitas'!$F188,"")</f>
        <v>0</v>
      </c>
      <c r="M42" s="57">
        <f>IFERROR('[1]OUT-Receitas'!$F188,"")</f>
        <v>0</v>
      </c>
      <c r="N42" s="57">
        <f>IFERROR('[1]NOV-Receitas'!$F187,"")</f>
        <v>0</v>
      </c>
      <c r="O42" s="57">
        <v>0</v>
      </c>
      <c r="P42" s="3"/>
    </row>
    <row r="43" spans="1:16" ht="15.75" customHeight="1" x14ac:dyDescent="0.3">
      <c r="A43" s="3"/>
      <c r="B43" s="3"/>
      <c r="C43" s="148"/>
      <c r="D43" s="37"/>
      <c r="E43" s="37"/>
      <c r="F43" s="111"/>
      <c r="G43" s="111"/>
      <c r="H43" s="111"/>
      <c r="I43" s="37"/>
      <c r="J43" s="37"/>
      <c r="K43" s="37"/>
      <c r="L43" s="111"/>
      <c r="M43" s="37"/>
      <c r="N43" s="37"/>
      <c r="O43" s="37"/>
      <c r="P43" s="3"/>
    </row>
    <row r="44" spans="1:16" ht="15.75" customHeight="1" x14ac:dyDescent="0.3">
      <c r="A44" s="3"/>
      <c r="B44" s="271" t="s">
        <v>269</v>
      </c>
      <c r="C44" s="255" t="s">
        <v>1630</v>
      </c>
      <c r="D44" s="257">
        <v>2025</v>
      </c>
      <c r="E44" s="258"/>
      <c r="F44" s="258"/>
      <c r="G44" s="258"/>
      <c r="H44" s="258"/>
      <c r="I44" s="258"/>
      <c r="J44" s="258"/>
      <c r="K44" s="258"/>
      <c r="L44" s="258"/>
      <c r="M44" s="258"/>
      <c r="N44" s="258"/>
      <c r="O44" s="259"/>
      <c r="P44" s="3"/>
    </row>
    <row r="45" spans="1:16" ht="15.75" customHeight="1" x14ac:dyDescent="0.3">
      <c r="A45" s="3"/>
      <c r="B45" s="206"/>
      <c r="C45" s="256"/>
      <c r="D45" s="6" t="s">
        <v>23</v>
      </c>
      <c r="E45" s="4" t="s">
        <v>24</v>
      </c>
      <c r="F45" s="167" t="s">
        <v>25</v>
      </c>
      <c r="G45" s="168" t="s">
        <v>26</v>
      </c>
      <c r="H45" s="168" t="s">
        <v>27</v>
      </c>
      <c r="I45" s="6" t="s">
        <v>28</v>
      </c>
      <c r="J45" s="6" t="s">
        <v>29</v>
      </c>
      <c r="K45" s="6" t="s">
        <v>30</v>
      </c>
      <c r="L45" s="6" t="s">
        <v>31</v>
      </c>
      <c r="M45" s="5" t="s">
        <v>32</v>
      </c>
      <c r="N45" s="5" t="s">
        <v>33</v>
      </c>
      <c r="O45" s="36" t="s">
        <v>34</v>
      </c>
      <c r="P45" s="3"/>
    </row>
    <row r="46" spans="1:16" ht="15.75" customHeight="1" x14ac:dyDescent="0.3">
      <c r="A46" s="3"/>
      <c r="B46" s="146" t="s">
        <v>73</v>
      </c>
      <c r="C46" s="147" t="e">
        <f t="shared" ref="C46:O46" si="12">SUM(C53,C89,C65,C103,C104,C109,C110,C96,C47,C61,C116,C121,C111,C112,C113,C114,C115,C100)</f>
        <v>#REF!</v>
      </c>
      <c r="D46" s="147">
        <f t="shared" si="12"/>
        <v>57344.600000000006</v>
      </c>
      <c r="E46" s="147">
        <f t="shared" si="12"/>
        <v>22588.870000000003</v>
      </c>
      <c r="F46" s="147">
        <f t="shared" si="12"/>
        <v>26571.440000000002</v>
      </c>
      <c r="G46" s="147">
        <f t="shared" si="12"/>
        <v>46447.599999999991</v>
      </c>
      <c r="H46" s="147">
        <f t="shared" si="12"/>
        <v>19129.049999999996</v>
      </c>
      <c r="I46" s="147">
        <f t="shared" si="12"/>
        <v>120.1</v>
      </c>
      <c r="J46" s="147" t="e">
        <f t="shared" si="12"/>
        <v>#REF!</v>
      </c>
      <c r="K46" s="147">
        <f t="shared" si="12"/>
        <v>0</v>
      </c>
      <c r="L46" s="147">
        <f t="shared" si="12"/>
        <v>0</v>
      </c>
      <c r="M46" s="147">
        <f t="shared" si="12"/>
        <v>0</v>
      </c>
      <c r="N46" s="147">
        <f t="shared" si="12"/>
        <v>0</v>
      </c>
      <c r="O46" s="147">
        <f t="shared" si="12"/>
        <v>0</v>
      </c>
      <c r="P46" s="3"/>
    </row>
    <row r="47" spans="1:16" ht="15.75" customHeight="1" x14ac:dyDescent="0.3">
      <c r="A47" s="3"/>
      <c r="B47" s="84" t="s">
        <v>272</v>
      </c>
      <c r="C47" s="86">
        <f t="shared" ref="C47:O47" si="13">SUM(C48:C52)</f>
        <v>15307.900000000001</v>
      </c>
      <c r="D47" s="86">
        <f t="shared" si="13"/>
        <v>2182.87</v>
      </c>
      <c r="E47" s="86">
        <f t="shared" si="13"/>
        <v>849.79</v>
      </c>
      <c r="F47" s="86">
        <f t="shared" si="13"/>
        <v>900.44</v>
      </c>
      <c r="G47" s="86">
        <f t="shared" si="13"/>
        <v>10108.159999999998</v>
      </c>
      <c r="H47" s="86">
        <f t="shared" si="13"/>
        <v>1266.6399999999999</v>
      </c>
      <c r="I47" s="86">
        <f t="shared" si="13"/>
        <v>0</v>
      </c>
      <c r="J47" s="86">
        <f t="shared" si="13"/>
        <v>0</v>
      </c>
      <c r="K47" s="86">
        <f t="shared" si="13"/>
        <v>0</v>
      </c>
      <c r="L47" s="86">
        <f t="shared" si="13"/>
        <v>0</v>
      </c>
      <c r="M47" s="86">
        <f t="shared" si="13"/>
        <v>0</v>
      </c>
      <c r="N47" s="86">
        <f t="shared" si="13"/>
        <v>0</v>
      </c>
      <c r="O47" s="86">
        <f t="shared" si="13"/>
        <v>0</v>
      </c>
      <c r="P47" s="3"/>
    </row>
    <row r="48" spans="1:16" ht="15.75" hidden="1" customHeight="1" outlineLevel="1" x14ac:dyDescent="0.3">
      <c r="A48" s="3"/>
      <c r="B48" s="149" t="s">
        <v>273</v>
      </c>
      <c r="C48" s="11">
        <f t="shared" ref="C48:C52" si="14">SUM(D48:O48)</f>
        <v>2386.15</v>
      </c>
      <c r="D48" s="12">
        <f>IFERROR('[1]JAN-Despesas'!$F$7,"")</f>
        <v>709.82</v>
      </c>
      <c r="E48" s="12">
        <f>IFERROR('[1]FEV-Despesas'!$F$7,"")</f>
        <v>286.63</v>
      </c>
      <c r="F48" s="12">
        <f>IFERROR('[1]MAR-Despesas'!$F$7,"")</f>
        <v>419.99</v>
      </c>
      <c r="G48" s="12">
        <f>IFERROR('[1]ABR-Despesas'!$F$7,"")</f>
        <v>407.4</v>
      </c>
      <c r="H48" s="12">
        <f>IFERROR('MAI-Despesas'!$F$7,"")</f>
        <v>562.30999999999995</v>
      </c>
      <c r="I48" s="12" t="s">
        <v>96</v>
      </c>
      <c r="J48" s="12" t="s">
        <v>96</v>
      </c>
      <c r="K48" s="12" t="s">
        <v>96</v>
      </c>
      <c r="L48" s="12" t="s">
        <v>96</v>
      </c>
      <c r="M48" s="12" t="s">
        <v>96</v>
      </c>
      <c r="N48" s="12" t="s">
        <v>96</v>
      </c>
      <c r="O48" s="12">
        <v>0</v>
      </c>
      <c r="P48" s="3"/>
    </row>
    <row r="49" spans="1:17" ht="15.75" hidden="1" customHeight="1" outlineLevel="1" x14ac:dyDescent="0.3">
      <c r="A49" s="3"/>
      <c r="B49" s="149" t="s">
        <v>277</v>
      </c>
      <c r="C49" s="11">
        <f t="shared" si="14"/>
        <v>69.39</v>
      </c>
      <c r="D49" s="12">
        <f>IFERROR('[1]JAN-Despesas'!$F$8,"")</f>
        <v>0</v>
      </c>
      <c r="E49" s="12">
        <f>IFERROR('[1]FEV-Despesas'!$F$8,"")</f>
        <v>0</v>
      </c>
      <c r="F49" s="12">
        <f>IFERROR('[1]MAR-Despesas'!$F$8,"")</f>
        <v>0</v>
      </c>
      <c r="G49" s="12">
        <f>IFERROR('[1]ABR-Despesas'!$F$8,"")</f>
        <v>69.39</v>
      </c>
      <c r="H49" s="12">
        <f>IFERROR('MAI-Despesas'!$F$8,"")</f>
        <v>0</v>
      </c>
      <c r="I49" s="12" t="s">
        <v>96</v>
      </c>
      <c r="J49" s="12" t="s">
        <v>96</v>
      </c>
      <c r="K49" s="12" t="s">
        <v>96</v>
      </c>
      <c r="L49" s="12" t="s">
        <v>96</v>
      </c>
      <c r="M49" s="12" t="s">
        <v>96</v>
      </c>
      <c r="N49" s="12" t="s">
        <v>96</v>
      </c>
      <c r="O49" s="12">
        <v>0</v>
      </c>
      <c r="P49" s="3"/>
    </row>
    <row r="50" spans="1:17" ht="15.75" hidden="1" customHeight="1" outlineLevel="1" x14ac:dyDescent="0.3">
      <c r="A50" s="3"/>
      <c r="B50" s="149" t="s">
        <v>280</v>
      </c>
      <c r="C50" s="11">
        <f t="shared" si="14"/>
        <v>1075.73</v>
      </c>
      <c r="D50" s="12">
        <f>IFERROR('[1]JAN-Despesas'!$F$9,"")</f>
        <v>1026.95</v>
      </c>
      <c r="E50" s="12">
        <f>IFERROR('[1]FEV-Despesas'!$F$9,"")</f>
        <v>0</v>
      </c>
      <c r="F50" s="12">
        <f>IFERROR('[1]MAR-Despesas'!$F$9,"")</f>
        <v>0</v>
      </c>
      <c r="G50" s="12">
        <f>IFERROR('[1]ABR-Despesas'!$F$9,"")</f>
        <v>48.78</v>
      </c>
      <c r="H50" s="12">
        <f>IFERROR('MAI-Despesas'!$F$9,"")</f>
        <v>0</v>
      </c>
      <c r="I50" s="12" t="s">
        <v>96</v>
      </c>
      <c r="J50" s="12" t="s">
        <v>96</v>
      </c>
      <c r="K50" s="12" t="s">
        <v>96</v>
      </c>
      <c r="L50" s="12" t="s">
        <v>96</v>
      </c>
      <c r="M50" s="12" t="s">
        <v>96</v>
      </c>
      <c r="N50" s="12" t="s">
        <v>96</v>
      </c>
      <c r="O50" s="12">
        <v>0</v>
      </c>
      <c r="P50" s="3"/>
    </row>
    <row r="51" spans="1:17" ht="15.75" hidden="1" customHeight="1" outlineLevel="1" x14ac:dyDescent="0.3">
      <c r="A51" s="3"/>
      <c r="B51" s="149" t="s">
        <v>281</v>
      </c>
      <c r="C51" s="11">
        <f t="shared" si="14"/>
        <v>10420.76</v>
      </c>
      <c r="D51" s="12">
        <f>IFERROR(SUM('[1]JAN-Despesas'!$F$10:$F$13),"")</f>
        <v>391.11</v>
      </c>
      <c r="E51" s="12">
        <f>IFERROR(SUM('[1]FEV-Despesas'!$F10:$F13),"")</f>
        <v>508.17</v>
      </c>
      <c r="F51" s="12">
        <f>IFERROR(SUM('[1]MAR-Despesas'!$F10:$F13),"")</f>
        <v>424.35</v>
      </c>
      <c r="G51" s="12">
        <f>IFERROR(SUM('[1]ABR-Despesas'!$F10:$F13),"")</f>
        <v>8672.7799999999988</v>
      </c>
      <c r="H51" s="12">
        <f>IFERROR(SUM('MAI-Despesas'!$F10:$F13),"")</f>
        <v>424.35</v>
      </c>
      <c r="I51" s="12">
        <f>IFERROR(SUM('[1]JUN-Despesas'!$F10:$F13),"")</f>
        <v>0</v>
      </c>
      <c r="J51" s="12">
        <f>IFERROR(SUM('[1]JUL-Despesas'!$F10:$F13),"")</f>
        <v>0</v>
      </c>
      <c r="K51" s="12">
        <f>IFERROR(SUM('[1]AGO-Despesas'!$F10:$F13),"")</f>
        <v>0</v>
      </c>
      <c r="L51" s="12">
        <f>IFERROR(SUM('[1]SET-Despesas'!$F10:$F13),"")</f>
        <v>0</v>
      </c>
      <c r="M51" s="12">
        <f>IFERROR(SUM('[1]OUT-Despesas'!$F10:$F13),"")</f>
        <v>0</v>
      </c>
      <c r="N51" s="12">
        <f>IFERROR(SUM('[1]NOV-Despesas'!$F10:$F13),"")</f>
        <v>0</v>
      </c>
      <c r="O51" s="12">
        <v>0</v>
      </c>
      <c r="P51" s="3"/>
    </row>
    <row r="52" spans="1:17" ht="15.75" hidden="1" customHeight="1" outlineLevel="1" x14ac:dyDescent="0.3">
      <c r="A52" s="3"/>
      <c r="B52" s="149" t="s">
        <v>65</v>
      </c>
      <c r="C52" s="11">
        <f t="shared" si="14"/>
        <v>1355.87</v>
      </c>
      <c r="D52" s="12">
        <f>IFERROR('[1]JAN-Despesas'!$F$14,"")</f>
        <v>54.99</v>
      </c>
      <c r="E52" s="12">
        <f>IFERROR(SUM('[1]FEV-Despesas'!$F14,'[1]FEV-Despesas'!$F15),"")</f>
        <v>54.99</v>
      </c>
      <c r="F52" s="12">
        <f>IFERROR(SUM('[1]MAR-Despesas'!$F14,'[1]MAR-Despesas'!$F15),"")</f>
        <v>56.1</v>
      </c>
      <c r="G52" s="12">
        <f>IFERROR(SUM('[1]ABR-Despesas'!$F14,'[1]ABR-Despesas'!$F15),"")</f>
        <v>909.81</v>
      </c>
      <c r="H52" s="12">
        <f>IFERROR(SUM('MAI-Despesas'!$F14,'MAI-Despesas'!$F15),"")</f>
        <v>279.98</v>
      </c>
      <c r="I52" s="12">
        <f>IFERROR(SUM('[1]JUN-Despesas'!$F14,'[1]JUN-Despesas'!$F15),"")</f>
        <v>0</v>
      </c>
      <c r="J52" s="12">
        <f>IFERROR(SUM('[1]JUL-Despesas'!$F14,'[1]JUL-Despesas'!$F15),"")</f>
        <v>0</v>
      </c>
      <c r="K52" s="12">
        <f>IFERROR(SUM('[1]AGO-Despesas'!$F14,'[1]AGO-Despesas'!$F15),"")</f>
        <v>0</v>
      </c>
      <c r="L52" s="12">
        <f>IFERROR(SUM('[1]SET-Despesas'!$F14,'[1]SET-Despesas'!$F15),"")</f>
        <v>0</v>
      </c>
      <c r="M52" s="12">
        <f>IFERROR(SUM('[1]OUT-Despesas'!$F14,'[1]OUT-Despesas'!$F15),"")</f>
        <v>0</v>
      </c>
      <c r="N52" s="12">
        <f>IFERROR(SUM('[1]NOV-Despesas'!$F14,'[1]NOV-Despesas'!$F15),"")</f>
        <v>0</v>
      </c>
      <c r="O52" s="12">
        <v>0</v>
      </c>
      <c r="P52" s="3"/>
    </row>
    <row r="53" spans="1:17" ht="15.75" customHeight="1" collapsed="1" x14ac:dyDescent="0.3">
      <c r="A53" s="3"/>
      <c r="B53" s="84" t="s">
        <v>287</v>
      </c>
      <c r="C53" s="86">
        <f t="shared" ref="C53:O53" si="15">SUM(C54:C60)</f>
        <v>36137.5</v>
      </c>
      <c r="D53" s="86">
        <f t="shared" si="15"/>
        <v>7731.6100000000006</v>
      </c>
      <c r="E53" s="86">
        <f t="shared" si="15"/>
        <v>3978.7200000000003</v>
      </c>
      <c r="F53" s="86">
        <f t="shared" si="15"/>
        <v>6140.8600000000006</v>
      </c>
      <c r="G53" s="86">
        <f t="shared" si="15"/>
        <v>11577.739999999998</v>
      </c>
      <c r="H53" s="86">
        <f t="shared" si="15"/>
        <v>6708.57</v>
      </c>
      <c r="I53" s="86">
        <f t="shared" si="15"/>
        <v>0</v>
      </c>
      <c r="J53" s="86">
        <f t="shared" si="15"/>
        <v>0</v>
      </c>
      <c r="K53" s="86">
        <f t="shared" si="15"/>
        <v>0</v>
      </c>
      <c r="L53" s="86">
        <f t="shared" si="15"/>
        <v>0</v>
      </c>
      <c r="M53" s="86">
        <f t="shared" si="15"/>
        <v>0</v>
      </c>
      <c r="N53" s="86">
        <f t="shared" si="15"/>
        <v>0</v>
      </c>
      <c r="O53" s="86">
        <f t="shared" si="15"/>
        <v>0</v>
      </c>
      <c r="P53" s="3"/>
    </row>
    <row r="54" spans="1:17" ht="15.75" hidden="1" customHeight="1" outlineLevel="1" x14ac:dyDescent="0.3">
      <c r="A54" s="3"/>
      <c r="B54" s="149" t="s">
        <v>288</v>
      </c>
      <c r="C54" s="11">
        <f t="shared" ref="C54:C60" si="16">SUM(D54:O54)</f>
        <v>12775.44</v>
      </c>
      <c r="D54" s="12">
        <f>IFERROR(SUM('[1]JAN-Despesas'!$F$17:$F$21),"")</f>
        <v>2791.86</v>
      </c>
      <c r="E54" s="12">
        <f>IFERROR(SUM('[1]FEV-Despesas'!$F17:$F21),"")</f>
        <v>2742.7200000000003</v>
      </c>
      <c r="F54" s="12">
        <f>IFERROR(SUM('[1]MAR-Despesas'!$F17:$F21),"")</f>
        <v>2799.86</v>
      </c>
      <c r="G54" s="12">
        <f>IFERROR(SUM('[1]ABR-Despesas'!$F17:$F21),"")</f>
        <v>1584</v>
      </c>
      <c r="H54" s="12">
        <f>IFERROR(SUM('MAI-Despesas'!$F17:$F21),"")</f>
        <v>2857</v>
      </c>
      <c r="I54" s="12">
        <f>IFERROR(SUM('[1]JUN-Despesas'!$F17:$F20),"")</f>
        <v>0</v>
      </c>
      <c r="J54" s="12">
        <f>IFERROR(SUM('[1]JUL-Despesas'!$F17:$F20),"")</f>
        <v>0</v>
      </c>
      <c r="K54" s="12">
        <f>IFERROR(SUM('[1]AGO-Despesas'!$F17:$F20),"")</f>
        <v>0</v>
      </c>
      <c r="L54" s="12">
        <f>IFERROR(SUM('[1]SET-Despesas'!$F17:$F20),"")</f>
        <v>0</v>
      </c>
      <c r="M54" s="12">
        <f>IFERROR(SUM('[1]OUT-Despesas'!$F17:$F20),"")</f>
        <v>0</v>
      </c>
      <c r="N54" s="12">
        <f>IFERROR(SUM('[1]NOV-Despesas'!$F17:$F20),"")</f>
        <v>0</v>
      </c>
      <c r="O54" s="12">
        <v>0</v>
      </c>
      <c r="P54" s="3"/>
    </row>
    <row r="55" spans="1:17" ht="15.75" hidden="1" customHeight="1" outlineLevel="1" x14ac:dyDescent="0.3">
      <c r="A55" s="3"/>
      <c r="B55" s="149" t="s">
        <v>290</v>
      </c>
      <c r="C55" s="11">
        <f t="shared" si="16"/>
        <v>12585.439999999999</v>
      </c>
      <c r="D55" s="12">
        <f>IFERROR(SUM('[1]JAN-Despesas'!$F$22:$F$28),"")</f>
        <v>1176</v>
      </c>
      <c r="E55" s="12">
        <f>IFERROR(SUM('[1]FEV-Despesas'!$F22:$F28),"")</f>
        <v>1152.0000000000002</v>
      </c>
      <c r="F55" s="12">
        <f>IFERROR(SUM('[1]MAR-Despesas'!$F22:$F28),"")</f>
        <v>1176</v>
      </c>
      <c r="G55" s="12">
        <f>IFERROR(SUM('[1]ABR-Despesas'!$F22:$F28),"")</f>
        <v>7781.44</v>
      </c>
      <c r="H55" s="12">
        <f>IFERROR(SUM('MAI-Despesas'!$F22:$F28),"")</f>
        <v>1300</v>
      </c>
      <c r="I55" s="12">
        <f>IFERROR(SUM('[1]JUN-Despesas'!$F21:$F27),"")</f>
        <v>0</v>
      </c>
      <c r="J55" s="12">
        <f>IFERROR(SUM('[1]JUL-Despesas'!$F21:$F27),"")</f>
        <v>0</v>
      </c>
      <c r="K55" s="12">
        <f>IFERROR(SUM('[1]AGO-Despesas'!$F21:$F27),"")</f>
        <v>0</v>
      </c>
      <c r="L55" s="12">
        <f>IFERROR(SUM('[1]SET-Despesas'!$F21:$F27),"")</f>
        <v>0</v>
      </c>
      <c r="M55" s="12">
        <f>IFERROR(SUM('[1]OUT-Despesas'!$F21:$F27),"")</f>
        <v>0</v>
      </c>
      <c r="N55" s="12">
        <f>IFERROR(SUM('[1]NOV-Despesas'!$F21:$F27),"")</f>
        <v>0</v>
      </c>
      <c r="O55" s="12">
        <v>0</v>
      </c>
      <c r="P55" s="3"/>
      <c r="Q55" s="18"/>
    </row>
    <row r="56" spans="1:17" ht="15.75" hidden="1" customHeight="1" outlineLevel="1" x14ac:dyDescent="0.3">
      <c r="A56" s="3"/>
      <c r="B56" s="149" t="s">
        <v>292</v>
      </c>
      <c r="C56" s="11">
        <f t="shared" si="16"/>
        <v>543</v>
      </c>
      <c r="D56" s="12">
        <f>IFERROR('[1]JAN-Despesas'!$F$29,"")</f>
        <v>117</v>
      </c>
      <c r="E56" s="12">
        <f>IFERROR('FEV-Despesas'!$F$29,"")</f>
        <v>84</v>
      </c>
      <c r="F56" s="12">
        <f>IFERROR('MAR-Despesas'!$F$29,"")</f>
        <v>117</v>
      </c>
      <c r="G56" s="12">
        <f>IFERROR('ABR-Despesas'!$F$29,"")</f>
        <v>117</v>
      </c>
      <c r="H56" s="12">
        <f>IFERROR('MAI-Despesas'!$F$29,"")</f>
        <v>108</v>
      </c>
      <c r="I56" s="12" t="s">
        <v>96</v>
      </c>
      <c r="J56" s="12" t="s">
        <v>96</v>
      </c>
      <c r="K56" s="12" t="s">
        <v>96</v>
      </c>
      <c r="L56" s="12" t="s">
        <v>96</v>
      </c>
      <c r="M56" s="12" t="s">
        <v>96</v>
      </c>
      <c r="N56" s="12" t="s">
        <v>96</v>
      </c>
      <c r="O56" s="12">
        <v>0</v>
      </c>
      <c r="P56" s="3"/>
      <c r="Q56" s="18"/>
    </row>
    <row r="57" spans="1:17" ht="15.75" hidden="1" customHeight="1" outlineLevel="1" x14ac:dyDescent="0.3">
      <c r="A57" s="3"/>
      <c r="B57" s="149" t="s">
        <v>294</v>
      </c>
      <c r="C57" s="11">
        <f t="shared" si="16"/>
        <v>8695.8900000000012</v>
      </c>
      <c r="D57" s="12">
        <f>IFERROR('JAN-Despesas'!$F$30,"")</f>
        <v>2263.27</v>
      </c>
      <c r="E57" s="12">
        <f>IFERROR('FEV-Despesas'!$F$30,"")</f>
        <v>0</v>
      </c>
      <c r="F57" s="12">
        <f>IFERROR('MAR-Despesas'!$F$30,"")</f>
        <v>2048</v>
      </c>
      <c r="G57" s="12">
        <f>IFERROR('ABR-Despesas'!$F$30,"")</f>
        <v>2095.3000000000002</v>
      </c>
      <c r="H57" s="12">
        <f>IFERROR('MAI-Despesas'!$F$30,"")</f>
        <v>2289.3200000000002</v>
      </c>
      <c r="I57" s="12" t="s">
        <v>96</v>
      </c>
      <c r="J57" s="12" t="s">
        <v>96</v>
      </c>
      <c r="K57" s="12" t="s">
        <v>96</v>
      </c>
      <c r="L57" s="12" t="s">
        <v>96</v>
      </c>
      <c r="M57" s="12" t="s">
        <v>96</v>
      </c>
      <c r="N57" s="12" t="s">
        <v>96</v>
      </c>
      <c r="O57" s="12">
        <v>0</v>
      </c>
      <c r="P57" s="3"/>
    </row>
    <row r="58" spans="1:17" ht="15.75" hidden="1" customHeight="1" outlineLevel="1" x14ac:dyDescent="0.3">
      <c r="A58" s="3"/>
      <c r="B58" s="149" t="s">
        <v>297</v>
      </c>
      <c r="C58" s="11">
        <f t="shared" si="16"/>
        <v>0</v>
      </c>
      <c r="D58" s="12">
        <f>IFERROR('[1]JAN-Despesas'!$F$31,"")</f>
        <v>0</v>
      </c>
      <c r="E58" s="12" t="s">
        <v>96</v>
      </c>
      <c r="F58" s="12" t="s">
        <v>96</v>
      </c>
      <c r="G58" s="12" t="s">
        <v>96</v>
      </c>
      <c r="H58" s="12">
        <f>IFERROR('MAI-Despesas'!$F$31,"")</f>
        <v>0</v>
      </c>
      <c r="I58" s="12" t="s">
        <v>96</v>
      </c>
      <c r="J58" s="12" t="s">
        <v>96</v>
      </c>
      <c r="K58" s="12" t="s">
        <v>96</v>
      </c>
      <c r="L58" s="12" t="s">
        <v>96</v>
      </c>
      <c r="M58" s="12" t="s">
        <v>96</v>
      </c>
      <c r="N58" s="12" t="s">
        <v>96</v>
      </c>
      <c r="O58" s="12">
        <v>0</v>
      </c>
      <c r="P58" s="3"/>
    </row>
    <row r="59" spans="1:17" ht="15.75" hidden="1" customHeight="1" outlineLevel="1" x14ac:dyDescent="0.3">
      <c r="A59" s="3"/>
      <c r="B59" s="149" t="s">
        <v>298</v>
      </c>
      <c r="C59" s="11">
        <f t="shared" si="16"/>
        <v>1537.73</v>
      </c>
      <c r="D59" s="12">
        <f>IFERROR('[1]JAN-Despesas'!$F$32,"")</f>
        <v>1383.48</v>
      </c>
      <c r="E59" s="12" t="s">
        <v>96</v>
      </c>
      <c r="F59" s="12" t="s">
        <v>96</v>
      </c>
      <c r="G59" s="12" t="s">
        <v>96</v>
      </c>
      <c r="H59" s="12">
        <f>IFERROR('MAI-Despesas'!$F$32,"")</f>
        <v>154.25</v>
      </c>
      <c r="I59" s="12" t="s">
        <v>96</v>
      </c>
      <c r="J59" s="12" t="s">
        <v>96</v>
      </c>
      <c r="K59" s="12" t="s">
        <v>96</v>
      </c>
      <c r="L59" s="12" t="s">
        <v>96</v>
      </c>
      <c r="M59" s="12" t="s">
        <v>96</v>
      </c>
      <c r="N59" s="12" t="s">
        <v>96</v>
      </c>
      <c r="O59" s="12">
        <v>0</v>
      </c>
      <c r="P59" s="3"/>
    </row>
    <row r="60" spans="1:17" ht="15.75" hidden="1" customHeight="1" outlineLevel="1" x14ac:dyDescent="0.3">
      <c r="A60" s="3"/>
      <c r="B60" s="149" t="s">
        <v>299</v>
      </c>
      <c r="C60" s="11">
        <f t="shared" si="16"/>
        <v>0</v>
      </c>
      <c r="D60" s="12">
        <f>IFERROR('[1]JAN-Despesas'!$F$33,"")</f>
        <v>0</v>
      </c>
      <c r="E60" s="12" t="s">
        <v>96</v>
      </c>
      <c r="F60" s="12" t="s">
        <v>96</v>
      </c>
      <c r="G60" s="12" t="s">
        <v>96</v>
      </c>
      <c r="H60" s="12">
        <f>IFERROR('MAI-Despesas'!$F$33,"")</f>
        <v>0</v>
      </c>
      <c r="I60" s="12" t="s">
        <v>96</v>
      </c>
      <c r="J60" s="12" t="s">
        <v>96</v>
      </c>
      <c r="K60" s="12" t="s">
        <v>96</v>
      </c>
      <c r="L60" s="12" t="s">
        <v>96</v>
      </c>
      <c r="M60" s="12" t="s">
        <v>96</v>
      </c>
      <c r="N60" s="12" t="s">
        <v>96</v>
      </c>
      <c r="O60" s="12">
        <v>0</v>
      </c>
      <c r="P60" s="3"/>
    </row>
    <row r="61" spans="1:17" ht="15.75" customHeight="1" collapsed="1" x14ac:dyDescent="0.3">
      <c r="A61" s="3"/>
      <c r="B61" s="84" t="s">
        <v>300</v>
      </c>
      <c r="C61" s="86">
        <f t="shared" ref="C61:O61" si="17">SUM(C62:C64)</f>
        <v>5.78</v>
      </c>
      <c r="D61" s="86">
        <f t="shared" si="17"/>
        <v>1.89</v>
      </c>
      <c r="E61" s="86">
        <f t="shared" si="17"/>
        <v>0.51</v>
      </c>
      <c r="F61" s="86">
        <f t="shared" si="17"/>
        <v>1.46</v>
      </c>
      <c r="G61" s="86">
        <f t="shared" si="17"/>
        <v>0.92999999999999994</v>
      </c>
      <c r="H61" s="86">
        <f t="shared" si="17"/>
        <v>0.99</v>
      </c>
      <c r="I61" s="86">
        <f t="shared" si="17"/>
        <v>0</v>
      </c>
      <c r="J61" s="86">
        <f t="shared" si="17"/>
        <v>0</v>
      </c>
      <c r="K61" s="86">
        <f t="shared" si="17"/>
        <v>0</v>
      </c>
      <c r="L61" s="86">
        <f t="shared" si="17"/>
        <v>0</v>
      </c>
      <c r="M61" s="86">
        <f t="shared" si="17"/>
        <v>0</v>
      </c>
      <c r="N61" s="86">
        <f t="shared" si="17"/>
        <v>0</v>
      </c>
      <c r="O61" s="86">
        <f t="shared" si="17"/>
        <v>0</v>
      </c>
      <c r="P61" s="3"/>
    </row>
    <row r="62" spans="1:17" ht="15.75" hidden="1" customHeight="1" outlineLevel="1" x14ac:dyDescent="0.3">
      <c r="A62" s="3"/>
      <c r="B62" s="149" t="s">
        <v>1633</v>
      </c>
      <c r="C62" s="11">
        <f t="shared" ref="C62:C64" si="18">SUM(D62:O62)</f>
        <v>5.78</v>
      </c>
      <c r="D62" s="12">
        <f>IFERROR('JAN-Despesas'!$F$35,"")</f>
        <v>1.89</v>
      </c>
      <c r="E62" s="12">
        <f>IFERROR('FEV-Despesas'!$F$35,"")</f>
        <v>0.51</v>
      </c>
      <c r="F62" s="12">
        <f>IFERROR('MAR-Despesas'!$F$35,"")</f>
        <v>1.46</v>
      </c>
      <c r="G62" s="12">
        <f>IFERROR('ABR-Despesas'!$F$35,"")</f>
        <v>0.92999999999999994</v>
      </c>
      <c r="H62" s="12">
        <f>IFERROR('MAI-Despesas'!$F$35,"")</f>
        <v>0.99</v>
      </c>
      <c r="I62" s="12" t="s">
        <v>96</v>
      </c>
      <c r="J62" s="12" t="s">
        <v>96</v>
      </c>
      <c r="K62" s="12" t="s">
        <v>96</v>
      </c>
      <c r="L62" s="12" t="s">
        <v>96</v>
      </c>
      <c r="M62" s="12" t="s">
        <v>96</v>
      </c>
      <c r="N62" s="12" t="s">
        <v>96</v>
      </c>
      <c r="O62" s="12">
        <v>0</v>
      </c>
      <c r="P62" s="3"/>
    </row>
    <row r="63" spans="1:17" ht="15.75" hidden="1" customHeight="1" outlineLevel="1" x14ac:dyDescent="0.3">
      <c r="A63" s="3"/>
      <c r="B63" s="149" t="s">
        <v>1634</v>
      </c>
      <c r="C63" s="11">
        <f t="shared" si="18"/>
        <v>0</v>
      </c>
      <c r="D63" s="12">
        <f>IFERROR('JAN-Despesas'!$F$36,"")</f>
        <v>0</v>
      </c>
      <c r="E63" s="12">
        <f>IFERROR('FEV-Despesas'!$F$36,"")</f>
        <v>0</v>
      </c>
      <c r="F63" s="12">
        <f>IFERROR('MAR-Despesas'!$F$36,"")</f>
        <v>0</v>
      </c>
      <c r="G63" s="12">
        <f>IFERROR('ABR-Despesas'!$F$36,"")</f>
        <v>0</v>
      </c>
      <c r="H63" s="12">
        <f>IFERROR('MAI-Despesas'!$F$36,"")</f>
        <v>0</v>
      </c>
      <c r="I63" s="12" t="s">
        <v>96</v>
      </c>
      <c r="J63" s="12" t="s">
        <v>96</v>
      </c>
      <c r="K63" s="12" t="s">
        <v>96</v>
      </c>
      <c r="L63" s="12" t="s">
        <v>96</v>
      </c>
      <c r="M63" s="12" t="s">
        <v>96</v>
      </c>
      <c r="N63" s="12" t="s">
        <v>96</v>
      </c>
      <c r="O63" s="12">
        <v>0</v>
      </c>
      <c r="P63" s="3"/>
    </row>
    <row r="64" spans="1:17" ht="15.75" hidden="1" customHeight="1" outlineLevel="1" x14ac:dyDescent="0.3">
      <c r="A64" s="3"/>
      <c r="B64" s="149" t="s">
        <v>1634</v>
      </c>
      <c r="C64" s="11">
        <f t="shared" si="18"/>
        <v>0</v>
      </c>
      <c r="D64" s="12">
        <f>IFERROR('JAN-Despesas'!$F$37,"")</f>
        <v>0</v>
      </c>
      <c r="E64" s="12">
        <f>IFERROR('FEV-Despesas'!$F$37,"")</f>
        <v>0</v>
      </c>
      <c r="F64" s="12">
        <f>IFERROR('MAR-Despesas'!$F$37,"")</f>
        <v>0</v>
      </c>
      <c r="G64" s="12">
        <f>IFERROR('ABR-Despesas'!$F$37,"")</f>
        <v>0</v>
      </c>
      <c r="H64" s="12">
        <f>IFERROR('MAI-Despesas'!$F$37,"")</f>
        <v>0</v>
      </c>
      <c r="I64" s="12" t="s">
        <v>96</v>
      </c>
      <c r="J64" s="12" t="s">
        <v>96</v>
      </c>
      <c r="K64" s="12" t="s">
        <v>96</v>
      </c>
      <c r="L64" s="12" t="s">
        <v>96</v>
      </c>
      <c r="M64" s="12" t="s">
        <v>96</v>
      </c>
      <c r="N64" s="12" t="s">
        <v>96</v>
      </c>
      <c r="O64" s="12">
        <v>0</v>
      </c>
      <c r="P64" s="3"/>
    </row>
    <row r="65" spans="1:16" ht="15.75" customHeight="1" collapsed="1" x14ac:dyDescent="0.3">
      <c r="A65" s="3"/>
      <c r="B65" s="84" t="s">
        <v>306</v>
      </c>
      <c r="C65" s="86">
        <f t="shared" ref="C65:O65" si="19">SUM(C66:C88)</f>
        <v>18294.91</v>
      </c>
      <c r="D65" s="86">
        <f t="shared" si="19"/>
        <v>4886.5</v>
      </c>
      <c r="E65" s="86">
        <f t="shared" si="19"/>
        <v>4379.87</v>
      </c>
      <c r="F65" s="86">
        <f t="shared" si="19"/>
        <v>2315.36</v>
      </c>
      <c r="G65" s="86">
        <f t="shared" si="19"/>
        <v>5053.0300000000007</v>
      </c>
      <c r="H65" s="86">
        <f t="shared" si="19"/>
        <v>1660.1499999999999</v>
      </c>
      <c r="I65" s="86">
        <f t="shared" si="19"/>
        <v>0</v>
      </c>
      <c r="J65" s="86">
        <f t="shared" si="19"/>
        <v>0</v>
      </c>
      <c r="K65" s="86">
        <f t="shared" si="19"/>
        <v>0</v>
      </c>
      <c r="L65" s="86">
        <f t="shared" si="19"/>
        <v>0</v>
      </c>
      <c r="M65" s="86">
        <f t="shared" si="19"/>
        <v>0</v>
      </c>
      <c r="N65" s="86">
        <f t="shared" si="19"/>
        <v>0</v>
      </c>
      <c r="O65" s="86">
        <f t="shared" si="19"/>
        <v>0</v>
      </c>
      <c r="P65" s="3"/>
    </row>
    <row r="66" spans="1:16" ht="15.75" hidden="1" customHeight="1" outlineLevel="1" x14ac:dyDescent="0.3">
      <c r="A66" s="3"/>
      <c r="B66" s="10" t="s">
        <v>307</v>
      </c>
      <c r="C66" s="11">
        <f t="shared" ref="C66:C88" si="20">SUM(D66:O66)</f>
        <v>5280.14</v>
      </c>
      <c r="D66" s="12">
        <f>IFERROR('JAN-Despesas'!$F$39,"")</f>
        <v>795.7</v>
      </c>
      <c r="E66" s="12">
        <f>IFERROR('FEV-Despesas'!$F$39,"")</f>
        <v>1366.01</v>
      </c>
      <c r="F66" s="12">
        <f>IFERROR('MAR-Despesas'!$F$39,"")</f>
        <v>782.61</v>
      </c>
      <c r="G66" s="12">
        <f>IFERROR('ABR-Despesas'!$F$39,"")</f>
        <v>2335.8200000000002</v>
      </c>
      <c r="H66" s="12">
        <f>IFERROR('MAI-Despesas'!$F$39,"")</f>
        <v>0</v>
      </c>
      <c r="I66" s="12" t="s">
        <v>96</v>
      </c>
      <c r="J66" s="12" t="s">
        <v>96</v>
      </c>
      <c r="K66" s="12" t="s">
        <v>96</v>
      </c>
      <c r="L66" s="12" t="s">
        <v>96</v>
      </c>
      <c r="M66" s="12" t="s">
        <v>96</v>
      </c>
      <c r="N66" s="12" t="s">
        <v>96</v>
      </c>
      <c r="O66" s="12">
        <v>0</v>
      </c>
      <c r="P66" s="3"/>
    </row>
    <row r="67" spans="1:16" ht="15.75" hidden="1" customHeight="1" outlineLevel="1" x14ac:dyDescent="0.3">
      <c r="A67" s="3"/>
      <c r="B67" s="10" t="s">
        <v>589</v>
      </c>
      <c r="C67" s="11">
        <f t="shared" si="20"/>
        <v>3250</v>
      </c>
      <c r="D67" s="12">
        <f>IFERROR('JAN-Despesas'!$F$40,"")</f>
        <v>650</v>
      </c>
      <c r="E67" s="12">
        <f>IFERROR('FEV-Despesas'!$F$40,"")</f>
        <v>650</v>
      </c>
      <c r="F67" s="12">
        <f>IFERROR('MAR-Despesas'!$F$40,"")</f>
        <v>650</v>
      </c>
      <c r="G67" s="12">
        <f>IFERROR('ABR-Despesas'!$F$40,"")</f>
        <v>650</v>
      </c>
      <c r="H67" s="12">
        <f>IFERROR('MAI-Despesas'!$F$40,"")</f>
        <v>650</v>
      </c>
      <c r="I67" s="12" t="s">
        <v>96</v>
      </c>
      <c r="J67" s="12" t="s">
        <v>96</v>
      </c>
      <c r="K67" s="12" t="s">
        <v>96</v>
      </c>
      <c r="L67" s="12" t="s">
        <v>96</v>
      </c>
      <c r="M67" s="12" t="s">
        <v>96</v>
      </c>
      <c r="N67" s="12" t="s">
        <v>96</v>
      </c>
      <c r="O67" s="12">
        <v>0</v>
      </c>
      <c r="P67" s="3"/>
    </row>
    <row r="68" spans="1:16" ht="15.75" hidden="1" customHeight="1" outlineLevel="1" x14ac:dyDescent="0.3">
      <c r="A68" s="3"/>
      <c r="B68" s="10" t="s">
        <v>756</v>
      </c>
      <c r="C68" s="11">
        <f t="shared" si="20"/>
        <v>650</v>
      </c>
      <c r="D68" s="12">
        <f>IFERROR('JAN-Despesas'!$F$41,"")</f>
        <v>650</v>
      </c>
      <c r="E68" s="12">
        <f>IFERROR('FEV-Despesas'!$F$41,"")</f>
        <v>0</v>
      </c>
      <c r="F68" s="12">
        <f>IFERROR('MAR-Despesas'!$F$41,"")</f>
        <v>0</v>
      </c>
      <c r="G68" s="12">
        <f>IFERROR('ABR-Despesas'!$F$41,"")</f>
        <v>0</v>
      </c>
      <c r="H68" s="12">
        <f>IFERROR('MAI-Despesas'!$F$41,"")</f>
        <v>0</v>
      </c>
      <c r="I68" s="12" t="s">
        <v>96</v>
      </c>
      <c r="J68" s="12" t="s">
        <v>96</v>
      </c>
      <c r="K68" s="12" t="s">
        <v>96</v>
      </c>
      <c r="L68" s="12" t="s">
        <v>96</v>
      </c>
      <c r="M68" s="12" t="s">
        <v>96</v>
      </c>
      <c r="N68" s="12" t="s">
        <v>96</v>
      </c>
      <c r="O68" s="12">
        <v>0</v>
      </c>
      <c r="P68" s="3"/>
    </row>
    <row r="69" spans="1:16" ht="15.75" hidden="1" customHeight="1" outlineLevel="1" x14ac:dyDescent="0.3">
      <c r="A69" s="3"/>
      <c r="B69" s="10" t="s">
        <v>312</v>
      </c>
      <c r="C69" s="11">
        <f t="shared" si="20"/>
        <v>84.9</v>
      </c>
      <c r="D69" s="12">
        <f>IFERROR('JAN-Despesas'!$F$42,"")</f>
        <v>0</v>
      </c>
      <c r="E69" s="12">
        <f>IFERROR('FEV-Despesas'!$F$42,"")</f>
        <v>0</v>
      </c>
      <c r="F69" s="12">
        <f>IFERROR('MAR-Despesas'!$F$42,"")</f>
        <v>0</v>
      </c>
      <c r="G69" s="12">
        <f>IFERROR('ABR-Despesas'!$F$42,"")</f>
        <v>84.9</v>
      </c>
      <c r="H69" s="12">
        <f>IFERROR('MAI-Despesas'!$F$42,"")</f>
        <v>0</v>
      </c>
      <c r="I69" s="12" t="s">
        <v>96</v>
      </c>
      <c r="J69" s="12" t="s">
        <v>96</v>
      </c>
      <c r="K69" s="12" t="s">
        <v>96</v>
      </c>
      <c r="L69" s="12" t="s">
        <v>96</v>
      </c>
      <c r="M69" s="12" t="s">
        <v>96</v>
      </c>
      <c r="N69" s="12" t="s">
        <v>96</v>
      </c>
      <c r="O69" s="12">
        <v>0</v>
      </c>
      <c r="P69" s="3"/>
    </row>
    <row r="70" spans="1:16" ht="15.75" hidden="1" customHeight="1" outlineLevel="1" x14ac:dyDescent="0.3">
      <c r="A70" s="3"/>
      <c r="B70" s="10" t="s">
        <v>314</v>
      </c>
      <c r="C70" s="11">
        <f t="shared" si="20"/>
        <v>857.6</v>
      </c>
      <c r="D70" s="12">
        <f>IFERROR('JAN-Despesas'!$F$43,"")</f>
        <v>84.9</v>
      </c>
      <c r="E70" s="12">
        <f>IFERROR('FEV-Despesas'!$F$43,"")</f>
        <v>84.9</v>
      </c>
      <c r="F70" s="12">
        <f>IFERROR('MAR-Despesas'!$F$43,"")</f>
        <v>84.9</v>
      </c>
      <c r="G70" s="12">
        <f>IFERROR('ABR-Despesas'!$F$43,"")</f>
        <v>518</v>
      </c>
      <c r="H70" s="12">
        <f>IFERROR('MAI-Despesas'!$F$43,"")</f>
        <v>84.9</v>
      </c>
      <c r="I70" s="12" t="s">
        <v>96</v>
      </c>
      <c r="J70" s="12" t="s">
        <v>96</v>
      </c>
      <c r="K70" s="12" t="s">
        <v>96</v>
      </c>
      <c r="L70" s="12" t="s">
        <v>96</v>
      </c>
      <c r="M70" s="12" t="s">
        <v>96</v>
      </c>
      <c r="N70" s="12" t="s">
        <v>96</v>
      </c>
      <c r="O70" s="12">
        <v>0</v>
      </c>
      <c r="P70" s="3"/>
    </row>
    <row r="71" spans="1:16" ht="15.75" hidden="1" customHeight="1" outlineLevel="1" x14ac:dyDescent="0.3">
      <c r="A71" s="3"/>
      <c r="B71" s="10" t="s">
        <v>316</v>
      </c>
      <c r="C71" s="11">
        <f t="shared" si="20"/>
        <v>2932.52</v>
      </c>
      <c r="D71" s="12">
        <f>IFERROR(SUM('JAN-Despesas'!$F$44,'JAN-Despesas'!$F$45),"")</f>
        <v>730.9</v>
      </c>
      <c r="E71" s="12">
        <f>IFERROR(SUM('FEV-Despesas'!$F$44,'FEV-Despesas'!$F$45),"")</f>
        <v>730.9</v>
      </c>
      <c r="F71" s="12">
        <f>IFERROR(SUM('MAR-Despesas'!$F$44,'MAR-Despesas'!$F$45),"")</f>
        <v>730.9</v>
      </c>
      <c r="G71" s="12">
        <f>IFERROR(SUM('ABR-Despesas'!$F$44,'ABR-Despesas'!$F$45),"")</f>
        <v>262.89999999999998</v>
      </c>
      <c r="H71" s="12">
        <f>IFERROR(SUM('MAI-Despesas'!$F$44,'MAI-Despesas'!$F$45),"")</f>
        <v>476.91999999999996</v>
      </c>
      <c r="I71" s="12">
        <f>IFERROR(SUM('[1]JUN-Despesas'!$F43,'[1]JUN-Despesas'!$F44),"")</f>
        <v>0</v>
      </c>
      <c r="J71" s="12">
        <f>IFERROR(SUM('[1]JUL-Despesas'!$F43,'[1]JUL-Despesas'!$F44),"")</f>
        <v>0</v>
      </c>
      <c r="K71" s="12">
        <f>IFERROR(SUM('[1]AGO-Despesas'!$F43,'[1]AGO-Despesas'!$F44),"")</f>
        <v>0</v>
      </c>
      <c r="L71" s="12">
        <f>IFERROR(SUM('[1]SET-Despesas'!$F43,'[1]SET-Despesas'!$F44),"")</f>
        <v>0</v>
      </c>
      <c r="M71" s="12">
        <f>IFERROR(SUM('[1]OUT-Despesas'!$F43,'[1]OUT-Despesas'!$F44),"")</f>
        <v>0</v>
      </c>
      <c r="N71" s="12">
        <f>IFERROR(SUM('[1]NOV-Despesas'!$F44,'[1]NOV-Despesas'!$F45),"")</f>
        <v>0</v>
      </c>
      <c r="O71" s="12">
        <v>0</v>
      </c>
      <c r="P71" s="3"/>
    </row>
    <row r="72" spans="1:16" ht="15.75" hidden="1" customHeight="1" outlineLevel="1" x14ac:dyDescent="0.3">
      <c r="A72" s="3"/>
      <c r="B72" s="10" t="s">
        <v>317</v>
      </c>
      <c r="C72" s="11">
        <f t="shared" si="20"/>
        <v>2430.1800000000003</v>
      </c>
      <c r="D72" s="12">
        <f>IFERROR('JAN-Despesas'!$F$46,"")</f>
        <v>1625</v>
      </c>
      <c r="E72" s="12">
        <f>IFERROR('FEV-Despesas'!$F$46,"")</f>
        <v>89.9</v>
      </c>
      <c r="F72" s="12">
        <f>IFERROR('MAR-Despesas'!$F$46,"")</f>
        <v>66.95</v>
      </c>
      <c r="G72" s="12">
        <f>IFERROR('ABR-Despesas'!$F$46,"")</f>
        <v>200</v>
      </c>
      <c r="H72" s="12">
        <f>IFERROR('MAI-Despesas'!$F$46,"")</f>
        <v>448.33</v>
      </c>
      <c r="I72" s="12" t="s">
        <v>96</v>
      </c>
      <c r="J72" s="12" t="s">
        <v>96</v>
      </c>
      <c r="K72" s="12" t="s">
        <v>96</v>
      </c>
      <c r="L72" s="12" t="s">
        <v>96</v>
      </c>
      <c r="M72" s="12" t="s">
        <v>96</v>
      </c>
      <c r="N72" s="12" t="s">
        <v>96</v>
      </c>
      <c r="O72" s="12">
        <v>0</v>
      </c>
      <c r="P72" s="3"/>
    </row>
    <row r="73" spans="1:16" ht="15.75" hidden="1" customHeight="1" outlineLevel="1" x14ac:dyDescent="0.3">
      <c r="A73" s="3"/>
      <c r="B73" s="10" t="s">
        <v>631</v>
      </c>
      <c r="C73" s="11">
        <f t="shared" si="20"/>
        <v>780.29</v>
      </c>
      <c r="D73" s="12">
        <f>IFERROR('JAN-Despesas'!$F$47,"")</f>
        <v>350</v>
      </c>
      <c r="E73" s="12">
        <f>IFERROR('FEV-Despesas'!$F$47,"")</f>
        <v>340</v>
      </c>
      <c r="F73" s="12">
        <f>IFERROR('MAR-Despesas'!$F$47,"")</f>
        <v>0</v>
      </c>
      <c r="G73" s="12">
        <f>IFERROR('ABR-Despesas'!$F$47,"")</f>
        <v>90.29</v>
      </c>
      <c r="H73" s="12">
        <f>IFERROR('MAI-Despesas'!$F$47,"")</f>
        <v>0</v>
      </c>
      <c r="I73" s="12" t="s">
        <v>96</v>
      </c>
      <c r="J73" s="12" t="s">
        <v>96</v>
      </c>
      <c r="K73" s="12" t="s">
        <v>96</v>
      </c>
      <c r="L73" s="12" t="s">
        <v>96</v>
      </c>
      <c r="M73" s="12" t="s">
        <v>96</v>
      </c>
      <c r="N73" s="12" t="s">
        <v>96</v>
      </c>
      <c r="O73" s="12">
        <v>0</v>
      </c>
      <c r="P73" s="3"/>
    </row>
    <row r="74" spans="1:16" ht="15.75" hidden="1" customHeight="1" outlineLevel="1" x14ac:dyDescent="0.3">
      <c r="A74" s="3"/>
      <c r="B74" s="10" t="s">
        <v>631</v>
      </c>
      <c r="C74" s="11">
        <f t="shared" si="20"/>
        <v>955.16</v>
      </c>
      <c r="D74" s="12">
        <f>IFERROR('JAN-Despesas'!$F$48,"")</f>
        <v>0</v>
      </c>
      <c r="E74" s="12">
        <f>IFERROR('FEV-Despesas'!$F$48,"")</f>
        <v>155.16</v>
      </c>
      <c r="F74" s="12">
        <f>IFERROR('MAR-Despesas'!$F$48,"")</f>
        <v>0</v>
      </c>
      <c r="G74" s="12">
        <f>IFERROR('ABR-Despesas'!$F$48,"")</f>
        <v>800</v>
      </c>
      <c r="H74" s="12">
        <f>IFERROR('MAI-Despesas'!$F$48,"")</f>
        <v>0</v>
      </c>
      <c r="I74" s="12" t="s">
        <v>96</v>
      </c>
      <c r="J74" s="12" t="s">
        <v>96</v>
      </c>
      <c r="K74" s="12" t="s">
        <v>96</v>
      </c>
      <c r="L74" s="12" t="s">
        <v>96</v>
      </c>
      <c r="M74" s="12" t="s">
        <v>96</v>
      </c>
      <c r="N74" s="12" t="s">
        <v>96</v>
      </c>
      <c r="O74" s="12">
        <v>0</v>
      </c>
      <c r="P74" s="3"/>
    </row>
    <row r="75" spans="1:16" ht="15.75" hidden="1" customHeight="1" outlineLevel="1" x14ac:dyDescent="0.3">
      <c r="A75" s="3"/>
      <c r="B75" s="10" t="s">
        <v>631</v>
      </c>
      <c r="C75" s="11">
        <f t="shared" si="20"/>
        <v>286.12</v>
      </c>
      <c r="D75" s="12">
        <f>IFERROR('JAN-Despesas'!$F$49,"")</f>
        <v>0</v>
      </c>
      <c r="E75" s="12">
        <f>IFERROR('FEV-Despesas'!$F$49,"")</f>
        <v>175</v>
      </c>
      <c r="F75" s="12">
        <f>IFERROR('MAR-Despesas'!$F$49,"")</f>
        <v>0</v>
      </c>
      <c r="G75" s="12">
        <f>IFERROR('ABR-Despesas'!$F$49,"")</f>
        <v>111.12</v>
      </c>
      <c r="H75" s="12">
        <f>IFERROR('MAI-Despesas'!$F$49,"")</f>
        <v>0</v>
      </c>
      <c r="I75" s="12" t="s">
        <v>96</v>
      </c>
      <c r="J75" s="12" t="s">
        <v>96</v>
      </c>
      <c r="K75" s="12" t="s">
        <v>96</v>
      </c>
      <c r="L75" s="12" t="s">
        <v>96</v>
      </c>
      <c r="M75" s="12" t="s">
        <v>96</v>
      </c>
      <c r="N75" s="12" t="s">
        <v>96</v>
      </c>
      <c r="O75" s="12">
        <v>0</v>
      </c>
      <c r="P75" s="3"/>
    </row>
    <row r="76" spans="1:16" ht="15.75" hidden="1" customHeight="1" outlineLevel="1" x14ac:dyDescent="0.3">
      <c r="A76" s="3"/>
      <c r="B76" s="10" t="s">
        <v>631</v>
      </c>
      <c r="C76" s="11">
        <f t="shared" si="20"/>
        <v>499</v>
      </c>
      <c r="D76" s="12">
        <f>IFERROR('JAN-Despesas'!$F$50,"")</f>
        <v>0</v>
      </c>
      <c r="E76" s="12">
        <f>IFERROR('FEV-Despesas'!$F$50,"")</f>
        <v>499</v>
      </c>
      <c r="F76" s="12">
        <f>IFERROR('MAR-Despesas'!$F$50,"")</f>
        <v>0</v>
      </c>
      <c r="G76" s="12">
        <f>IFERROR('ABR-Despesas'!$F$50,"")</f>
        <v>0</v>
      </c>
      <c r="H76" s="12">
        <f>IFERROR('MAI-Despesas'!$F$50,"")</f>
        <v>0</v>
      </c>
      <c r="I76" s="12" t="s">
        <v>96</v>
      </c>
      <c r="J76" s="12" t="s">
        <v>96</v>
      </c>
      <c r="K76" s="12" t="s">
        <v>96</v>
      </c>
      <c r="L76" s="12" t="s">
        <v>96</v>
      </c>
      <c r="M76" s="12" t="s">
        <v>96</v>
      </c>
      <c r="N76" s="12" t="s">
        <v>96</v>
      </c>
      <c r="O76" s="12">
        <v>0</v>
      </c>
      <c r="P76" s="3"/>
    </row>
    <row r="77" spans="1:16" ht="15.75" hidden="1" customHeight="1" outlineLevel="1" x14ac:dyDescent="0.3">
      <c r="A77" s="3"/>
      <c r="B77" s="10" t="s">
        <v>631</v>
      </c>
      <c r="C77" s="11">
        <f t="shared" si="20"/>
        <v>189</v>
      </c>
      <c r="D77" s="12">
        <f>IFERROR('JAN-Despesas'!$F$51,"")</f>
        <v>0</v>
      </c>
      <c r="E77" s="12">
        <f>IFERROR('FEV-Despesas'!$F$51,"")</f>
        <v>189</v>
      </c>
      <c r="F77" s="12">
        <f>IFERROR('MAR-Despesas'!$F$51,"")</f>
        <v>0</v>
      </c>
      <c r="G77" s="12">
        <f>IFERROR('ABR-Despesas'!$F$51,"")</f>
        <v>0</v>
      </c>
      <c r="H77" s="12">
        <f>IFERROR('MAI-Despesas'!$F$51,"")</f>
        <v>0</v>
      </c>
      <c r="I77" s="12" t="s">
        <v>96</v>
      </c>
      <c r="J77" s="12" t="s">
        <v>96</v>
      </c>
      <c r="K77" s="12" t="s">
        <v>96</v>
      </c>
      <c r="L77" s="12" t="s">
        <v>96</v>
      </c>
      <c r="M77" s="12" t="s">
        <v>96</v>
      </c>
      <c r="N77" s="12" t="s">
        <v>96</v>
      </c>
      <c r="O77" s="12">
        <v>0</v>
      </c>
      <c r="P77" s="3"/>
    </row>
    <row r="78" spans="1:16" ht="15.75" hidden="1" customHeight="1" outlineLevel="1" x14ac:dyDescent="0.3">
      <c r="A78" s="3"/>
      <c r="B78" s="10" t="s">
        <v>631</v>
      </c>
      <c r="C78" s="11">
        <f t="shared" si="20"/>
        <v>100</v>
      </c>
      <c r="D78" s="12">
        <f>IFERROR('JAN-Despesas'!$F$52,"")</f>
        <v>0</v>
      </c>
      <c r="E78" s="12">
        <f>IFERROR('FEV-Despesas'!$F$52,"")</f>
        <v>100</v>
      </c>
      <c r="F78" s="12">
        <f>IFERROR('MAR-Despesas'!$F$52,"")</f>
        <v>0</v>
      </c>
      <c r="G78" s="12">
        <f>IFERROR('ABR-Despesas'!$F$52,"")</f>
        <v>0</v>
      </c>
      <c r="H78" s="12">
        <f>IFERROR('MAI-Despesas'!$F$52,"")</f>
        <v>0</v>
      </c>
      <c r="I78" s="12" t="s">
        <v>96</v>
      </c>
      <c r="J78" s="12" t="s">
        <v>96</v>
      </c>
      <c r="K78" s="12" t="s">
        <v>96</v>
      </c>
      <c r="L78" s="12" t="s">
        <v>96</v>
      </c>
      <c r="M78" s="12" t="s">
        <v>96</v>
      </c>
      <c r="N78" s="12" t="s">
        <v>96</v>
      </c>
      <c r="O78" s="12">
        <v>0</v>
      </c>
      <c r="P78" s="3"/>
    </row>
    <row r="79" spans="1:16" ht="15.75" hidden="1" customHeight="1" outlineLevel="1" x14ac:dyDescent="0.3">
      <c r="A79" s="3"/>
      <c r="B79" s="10" t="s">
        <v>631</v>
      </c>
      <c r="C79" s="11">
        <f t="shared" si="20"/>
        <v>0</v>
      </c>
      <c r="D79" s="12" t="s">
        <v>96</v>
      </c>
      <c r="E79" s="12" t="s">
        <v>96</v>
      </c>
      <c r="F79" s="12" t="s">
        <v>96</v>
      </c>
      <c r="G79" s="12" t="s">
        <v>96</v>
      </c>
      <c r="H79" s="12" t="s">
        <v>96</v>
      </c>
      <c r="I79" s="12" t="s">
        <v>96</v>
      </c>
      <c r="J79" s="12" t="s">
        <v>96</v>
      </c>
      <c r="K79" s="12" t="s">
        <v>96</v>
      </c>
      <c r="L79" s="12" t="s">
        <v>96</v>
      </c>
      <c r="M79" s="12" t="s">
        <v>96</v>
      </c>
      <c r="N79" s="12" t="s">
        <v>96</v>
      </c>
      <c r="O79" s="12">
        <v>0</v>
      </c>
      <c r="P79" s="3"/>
    </row>
    <row r="80" spans="1:16" ht="15.75" hidden="1" customHeight="1" outlineLevel="1" x14ac:dyDescent="0.3">
      <c r="A80" s="3"/>
      <c r="B80" s="10" t="s">
        <v>631</v>
      </c>
      <c r="C80" s="11">
        <f t="shared" si="20"/>
        <v>0</v>
      </c>
      <c r="D80" s="12">
        <f>IFERROR('JAN-Despesas'!$F$54,"")</f>
        <v>0</v>
      </c>
      <c r="E80" s="12">
        <f>IFERROR('FEV-Despesas'!$F$54,"")</f>
        <v>0</v>
      </c>
      <c r="F80" s="12">
        <f>IFERROR('MAR-Despesas'!$F$54,"")</f>
        <v>0</v>
      </c>
      <c r="G80" s="12">
        <f>IFERROR('ABR-Despesas'!$F$54,"")</f>
        <v>0</v>
      </c>
      <c r="H80" s="12">
        <f>IFERROR('MAI-Despesas'!$F$54,"")</f>
        <v>0</v>
      </c>
      <c r="I80" s="12" t="s">
        <v>96</v>
      </c>
      <c r="J80" s="12" t="s">
        <v>96</v>
      </c>
      <c r="K80" s="12" t="s">
        <v>96</v>
      </c>
      <c r="L80" s="12" t="s">
        <v>96</v>
      </c>
      <c r="M80" s="12" t="s">
        <v>96</v>
      </c>
      <c r="N80" s="12" t="s">
        <v>96</v>
      </c>
      <c r="O80" s="12">
        <v>0</v>
      </c>
      <c r="P80" s="3"/>
    </row>
    <row r="81" spans="1:17" ht="15.75" hidden="1" customHeight="1" outlineLevel="1" x14ac:dyDescent="0.3">
      <c r="A81" s="3"/>
      <c r="B81" s="10" t="s">
        <v>631</v>
      </c>
      <c r="C81" s="11">
        <f t="shared" si="20"/>
        <v>0</v>
      </c>
      <c r="D81" s="12">
        <f>IFERROR('JAN-Despesas'!$F$55,"")</f>
        <v>0</v>
      </c>
      <c r="E81" s="12">
        <f>IFERROR('FEV-Despesas'!$F$55,"")</f>
        <v>0</v>
      </c>
      <c r="F81" s="12">
        <f>IFERROR('MAR-Despesas'!$F$55,"")</f>
        <v>0</v>
      </c>
      <c r="G81" s="12">
        <f>IFERROR('ABR-Despesas'!$F$55,"")</f>
        <v>0</v>
      </c>
      <c r="H81" s="12">
        <f>IFERROR('MAI-Despesas'!$F$55,"")</f>
        <v>0</v>
      </c>
      <c r="I81" s="12" t="s">
        <v>96</v>
      </c>
      <c r="J81" s="12" t="s">
        <v>96</v>
      </c>
      <c r="K81" s="12" t="s">
        <v>96</v>
      </c>
      <c r="L81" s="12" t="s">
        <v>96</v>
      </c>
      <c r="M81" s="12" t="s">
        <v>96</v>
      </c>
      <c r="N81" s="12" t="s">
        <v>96</v>
      </c>
      <c r="O81" s="12">
        <v>0</v>
      </c>
      <c r="P81" s="3"/>
    </row>
    <row r="82" spans="1:17" ht="15.75" hidden="1" customHeight="1" outlineLevel="1" x14ac:dyDescent="0.3">
      <c r="A82" s="3"/>
      <c r="B82" s="10" t="s">
        <v>631</v>
      </c>
      <c r="C82" s="11">
        <f t="shared" si="20"/>
        <v>0</v>
      </c>
      <c r="D82" s="12">
        <f>IFERROR('JAN-Despesas'!$F$56,"")</f>
        <v>0</v>
      </c>
      <c r="E82" s="12">
        <f>IFERROR('FEV-Despesas'!$F$56,"")</f>
        <v>0</v>
      </c>
      <c r="F82" s="12">
        <f>IFERROR('MAR-Despesas'!$F$56,"")</f>
        <v>0</v>
      </c>
      <c r="G82" s="12">
        <f>IFERROR('ABR-Despesas'!$F$56,"")</f>
        <v>0</v>
      </c>
      <c r="H82" s="12">
        <f>IFERROR('MAI-Despesas'!$F$56,"")</f>
        <v>0</v>
      </c>
      <c r="I82" s="12" t="s">
        <v>96</v>
      </c>
      <c r="J82" s="12" t="s">
        <v>96</v>
      </c>
      <c r="K82" s="12" t="s">
        <v>96</v>
      </c>
      <c r="L82" s="12" t="s">
        <v>96</v>
      </c>
      <c r="M82" s="12" t="s">
        <v>96</v>
      </c>
      <c r="N82" s="12" t="s">
        <v>96</v>
      </c>
      <c r="O82" s="12">
        <v>0</v>
      </c>
      <c r="P82" s="3"/>
    </row>
    <row r="83" spans="1:17" ht="15.75" hidden="1" customHeight="1" outlineLevel="1" x14ac:dyDescent="0.3">
      <c r="A83" s="3"/>
      <c r="B83" s="10" t="s">
        <v>631</v>
      </c>
      <c r="C83" s="11">
        <f t="shared" si="20"/>
        <v>0</v>
      </c>
      <c r="D83" s="12">
        <f>IFERROR('JAN-Despesas'!$F$57,"")</f>
        <v>0</v>
      </c>
      <c r="E83" s="12">
        <f>IFERROR('FEV-Despesas'!$F$57,"")</f>
        <v>0</v>
      </c>
      <c r="F83" s="12">
        <f>IFERROR('MAR-Despesas'!$F$57,"")</f>
        <v>0</v>
      </c>
      <c r="G83" s="12">
        <f>IFERROR('ABR-Despesas'!$F$57,"")</f>
        <v>0</v>
      </c>
      <c r="H83" s="12">
        <f>IFERROR('MAI-Despesas'!$F$57,"")</f>
        <v>0</v>
      </c>
      <c r="I83" s="12" t="s">
        <v>96</v>
      </c>
      <c r="J83" s="12" t="s">
        <v>96</v>
      </c>
      <c r="K83" s="12" t="s">
        <v>96</v>
      </c>
      <c r="L83" s="12" t="s">
        <v>96</v>
      </c>
      <c r="M83" s="12" t="s">
        <v>96</v>
      </c>
      <c r="N83" s="12" t="s">
        <v>96</v>
      </c>
      <c r="O83" s="12">
        <v>0</v>
      </c>
      <c r="P83" s="3"/>
    </row>
    <row r="84" spans="1:17" ht="15.75" hidden="1" customHeight="1" outlineLevel="1" x14ac:dyDescent="0.3">
      <c r="A84" s="3"/>
      <c r="B84" s="10" t="s">
        <v>631</v>
      </c>
      <c r="C84" s="11">
        <f t="shared" si="20"/>
        <v>0</v>
      </c>
      <c r="D84" s="12">
        <f>IFERROR('JAN-Despesas'!$F$58,"")</f>
        <v>0</v>
      </c>
      <c r="E84" s="12">
        <f>IFERROR('FEV-Despesas'!$F$58,"")</f>
        <v>0</v>
      </c>
      <c r="F84" s="12">
        <f>IFERROR('MAR-Despesas'!$F$58,"")</f>
        <v>0</v>
      </c>
      <c r="G84" s="12">
        <f>IFERROR('ABR-Despesas'!$F$58,"")</f>
        <v>0</v>
      </c>
      <c r="H84" s="12">
        <f>IFERROR('MAI-Despesas'!$F$58,"")</f>
        <v>0</v>
      </c>
      <c r="I84" s="12" t="s">
        <v>96</v>
      </c>
      <c r="J84" s="12" t="s">
        <v>96</v>
      </c>
      <c r="K84" s="12" t="s">
        <v>96</v>
      </c>
      <c r="L84" s="12" t="s">
        <v>96</v>
      </c>
      <c r="M84" s="12" t="s">
        <v>96</v>
      </c>
      <c r="N84" s="12" t="s">
        <v>96</v>
      </c>
      <c r="O84" s="12">
        <v>0</v>
      </c>
      <c r="P84" s="3"/>
    </row>
    <row r="85" spans="1:17" ht="15.75" hidden="1" customHeight="1" outlineLevel="1" x14ac:dyDescent="0.3">
      <c r="A85" s="3"/>
      <c r="B85" s="10" t="s">
        <v>631</v>
      </c>
      <c r="C85" s="11">
        <f t="shared" si="20"/>
        <v>0</v>
      </c>
      <c r="D85" s="12">
        <f>IFERROR('JAN-Despesas'!$F$59,"")</f>
        <v>0</v>
      </c>
      <c r="E85" s="12">
        <f>IFERROR('FEV-Despesas'!$F$59,"")</f>
        <v>0</v>
      </c>
      <c r="F85" s="12">
        <f>IFERROR('MAR-Despesas'!$F$59,"")</f>
        <v>0</v>
      </c>
      <c r="G85" s="12">
        <f>IFERROR('ABR-Despesas'!$F$59,"")</f>
        <v>0</v>
      </c>
      <c r="H85" s="12">
        <f>IFERROR('MAI-Despesas'!$F$59,"")</f>
        <v>0</v>
      </c>
      <c r="I85" s="12" t="s">
        <v>96</v>
      </c>
      <c r="J85" s="12" t="s">
        <v>96</v>
      </c>
      <c r="K85" s="12" t="s">
        <v>96</v>
      </c>
      <c r="L85" s="12" t="s">
        <v>96</v>
      </c>
      <c r="M85" s="12" t="s">
        <v>96</v>
      </c>
      <c r="N85" s="12" t="s">
        <v>96</v>
      </c>
      <c r="O85" s="12">
        <v>0</v>
      </c>
      <c r="P85" s="3"/>
    </row>
    <row r="86" spans="1:17" ht="15.75" hidden="1" customHeight="1" outlineLevel="1" x14ac:dyDescent="0.3">
      <c r="A86" s="3"/>
      <c r="B86" s="10" t="s">
        <v>631</v>
      </c>
      <c r="C86" s="11">
        <f t="shared" si="20"/>
        <v>0</v>
      </c>
      <c r="D86" s="12">
        <f>IFERROR('JAN-Despesas'!$F$60,"")</f>
        <v>0</v>
      </c>
      <c r="E86" s="12">
        <f>IFERROR('FEV-Despesas'!$F$60,"")</f>
        <v>0</v>
      </c>
      <c r="F86" s="12">
        <f>IFERROR('MAR-Despesas'!$F$60,"")</f>
        <v>0</v>
      </c>
      <c r="G86" s="12">
        <f>IFERROR('ABR-Despesas'!$F$60,"")</f>
        <v>0</v>
      </c>
      <c r="H86" s="12">
        <f>IFERROR('MAI-Despesas'!$F$60,"")</f>
        <v>0</v>
      </c>
      <c r="I86" s="12" t="s">
        <v>96</v>
      </c>
      <c r="J86" s="12" t="s">
        <v>96</v>
      </c>
      <c r="K86" s="12" t="s">
        <v>96</v>
      </c>
      <c r="L86" s="12" t="s">
        <v>96</v>
      </c>
      <c r="M86" s="12" t="s">
        <v>96</v>
      </c>
      <c r="N86" s="12" t="s">
        <v>96</v>
      </c>
      <c r="O86" s="12">
        <v>0</v>
      </c>
      <c r="P86" s="3"/>
    </row>
    <row r="87" spans="1:17" ht="15.75" hidden="1" customHeight="1" outlineLevel="1" x14ac:dyDescent="0.3">
      <c r="A87" s="3"/>
      <c r="B87" s="10" t="s">
        <v>631</v>
      </c>
      <c r="C87" s="11">
        <f t="shared" si="20"/>
        <v>0</v>
      </c>
      <c r="D87" s="12">
        <f>IFERROR('JAN-Despesas'!$F$61,"")</f>
        <v>0</v>
      </c>
      <c r="E87" s="12">
        <f>IFERROR('FEV-Despesas'!$F$61,"")</f>
        <v>0</v>
      </c>
      <c r="F87" s="12">
        <f>IFERROR('MAR-Despesas'!$F$61,"")</f>
        <v>0</v>
      </c>
      <c r="G87" s="12">
        <f>IFERROR('ABR-Despesas'!$F$61,"")</f>
        <v>0</v>
      </c>
      <c r="H87" s="12">
        <f>IFERROR('MAI-Despesas'!$F$61,"")</f>
        <v>0</v>
      </c>
      <c r="I87" s="12" t="s">
        <v>96</v>
      </c>
      <c r="J87" s="12" t="s">
        <v>96</v>
      </c>
      <c r="K87" s="12" t="s">
        <v>96</v>
      </c>
      <c r="L87" s="12" t="s">
        <v>96</v>
      </c>
      <c r="M87" s="12" t="s">
        <v>96</v>
      </c>
      <c r="N87" s="12" t="s">
        <v>96</v>
      </c>
      <c r="O87" s="12">
        <v>0</v>
      </c>
      <c r="P87" s="3"/>
    </row>
    <row r="88" spans="1:17" ht="15.75" hidden="1" customHeight="1" outlineLevel="1" x14ac:dyDescent="0.3">
      <c r="A88" s="3"/>
      <c r="B88" s="10" t="s">
        <v>631</v>
      </c>
      <c r="C88" s="11">
        <f t="shared" si="20"/>
        <v>0</v>
      </c>
      <c r="D88" s="12">
        <f>IFERROR('JAN-Despesas'!$F$62,"")</f>
        <v>0</v>
      </c>
      <c r="E88" s="12">
        <f>IFERROR('FEV-Despesas'!$F$62,"")</f>
        <v>0</v>
      </c>
      <c r="F88" s="12">
        <f>IFERROR('MAR-Despesas'!$F$62,"")</f>
        <v>0</v>
      </c>
      <c r="G88" s="12">
        <f>IFERROR('ABR-Despesas'!$F$62,"")</f>
        <v>0</v>
      </c>
      <c r="H88" s="12">
        <f>IFERROR('MAI-Despesas'!$F$62,"")</f>
        <v>0</v>
      </c>
      <c r="I88" s="12" t="s">
        <v>96</v>
      </c>
      <c r="J88" s="12" t="s">
        <v>96</v>
      </c>
      <c r="K88" s="12" t="s">
        <v>96</v>
      </c>
      <c r="L88" s="12" t="s">
        <v>96</v>
      </c>
      <c r="M88" s="12" t="s">
        <v>96</v>
      </c>
      <c r="N88" s="12" t="s">
        <v>96</v>
      </c>
      <c r="O88" s="12">
        <v>0</v>
      </c>
      <c r="P88" s="3"/>
    </row>
    <row r="89" spans="1:17" ht="15.75" customHeight="1" collapsed="1" x14ac:dyDescent="0.3">
      <c r="A89" s="3"/>
      <c r="B89" s="84" t="s">
        <v>329</v>
      </c>
      <c r="C89" s="86">
        <f t="shared" ref="C89:O89" si="21">SUM(C90:C95)</f>
        <v>28029.3</v>
      </c>
      <c r="D89" s="86">
        <f t="shared" si="21"/>
        <v>2783.74</v>
      </c>
      <c r="E89" s="86">
        <f t="shared" si="21"/>
        <v>3437.61</v>
      </c>
      <c r="F89" s="86">
        <f t="shared" si="21"/>
        <v>1504.16</v>
      </c>
      <c r="G89" s="86">
        <f t="shared" si="21"/>
        <v>19280.239999999998</v>
      </c>
      <c r="H89" s="86">
        <f t="shared" si="21"/>
        <v>1023.5500000000001</v>
      </c>
      <c r="I89" s="86">
        <f t="shared" si="21"/>
        <v>0</v>
      </c>
      <c r="J89" s="86">
        <f t="shared" si="21"/>
        <v>0</v>
      </c>
      <c r="K89" s="86">
        <f t="shared" si="21"/>
        <v>0</v>
      </c>
      <c r="L89" s="86">
        <f t="shared" si="21"/>
        <v>0</v>
      </c>
      <c r="M89" s="86">
        <f t="shared" si="21"/>
        <v>0</v>
      </c>
      <c r="N89" s="86">
        <f t="shared" si="21"/>
        <v>0</v>
      </c>
      <c r="O89" s="86">
        <f t="shared" si="21"/>
        <v>0</v>
      </c>
      <c r="P89" s="3"/>
    </row>
    <row r="90" spans="1:17" ht="15.75" hidden="1" customHeight="1" outlineLevel="1" x14ac:dyDescent="0.3">
      <c r="A90" s="3"/>
      <c r="B90" s="149" t="s">
        <v>330</v>
      </c>
      <c r="C90" s="11">
        <f t="shared" ref="C90:C95" si="22">SUM(D90:O90)</f>
        <v>4536.51</v>
      </c>
      <c r="D90" s="12">
        <f>IFERROR(SUM('[1]JAN-Despesas'!F80:F84),"")</f>
        <v>421.79999999999995</v>
      </c>
      <c r="E90" s="12">
        <f>IFERROR(SUM('[1]FEV-Despesas'!$F80:$F84),"")</f>
        <v>677.12</v>
      </c>
      <c r="F90" s="12">
        <f>IFERROR(SUM('[1]MAR-Despesas'!F80:F84),"")</f>
        <v>44.1</v>
      </c>
      <c r="G90" s="12">
        <f>IFERROR(SUM('[1]ABR-Despesas'!$F73,'[1]ABR-Despesas'!$F74,'[1]ABR-Despesas'!$F75,'[1]ABR-Despesas'!$F76,'[1]ABR-Despesas'!$F82,'[1]ABR-Despesas'!$F83,'[1]ABR-Despesas'!$F84),"")</f>
        <v>3393.49</v>
      </c>
      <c r="H90" s="12">
        <f>IFERROR(SUM('MAI-Despesas'!F73:F76,'MAI-Despesas'!F84:F86),"")</f>
        <v>0</v>
      </c>
      <c r="I90" s="12">
        <f>IFERROR(SUM('[1]JUN-Despesas'!$F72,'[1]JUN-Despesas'!$F73,'[1]JUN-Despesas'!$F74,'[1]JUN-Despesas'!$F75),"")</f>
        <v>0</v>
      </c>
      <c r="J90" s="12">
        <f>IFERROR(SUM('[1]JUL-Despesas'!$F72,'[1]JUL-Despesas'!$F73,'[1]JUL-Despesas'!$F74,'[1]JUL-Despesas'!$F75),"")</f>
        <v>0</v>
      </c>
      <c r="K90" s="12">
        <f>IFERROR(SUM('[1]AGO-Despesas'!$F76:$F78),"")</f>
        <v>0</v>
      </c>
      <c r="L90" s="12">
        <f>IFERROR(SUM('[1]SET-Despesas'!$F76:$F78),"")</f>
        <v>0</v>
      </c>
      <c r="M90" s="12">
        <f>IFERROR(SUM('[1]OUT-Despesas'!$F76:$F78,'[1]OUT-Despesas'!F87),"")</f>
        <v>0</v>
      </c>
      <c r="N90" s="12">
        <f>IFERROR(SUM('[1]NOV-Despesas'!$F77:$F79,'[1]NOV-Despesas'!G88),"")</f>
        <v>0</v>
      </c>
      <c r="O90" s="12">
        <v>0</v>
      </c>
      <c r="P90" s="3"/>
      <c r="Q90" s="18"/>
    </row>
    <row r="91" spans="1:17" ht="15.75" hidden="1" customHeight="1" outlineLevel="1" x14ac:dyDescent="0.3">
      <c r="A91" s="3"/>
      <c r="B91" s="149" t="s">
        <v>1635</v>
      </c>
      <c r="C91" s="11">
        <f t="shared" si="22"/>
        <v>19693.489999999998</v>
      </c>
      <c r="D91" s="12">
        <f>IFERROR(SUM('[1]JAN-Despesas'!F64:F79),"")</f>
        <v>1886.52</v>
      </c>
      <c r="E91" s="12">
        <f>IFERROR(SUM('[1]FEV-Despesas'!F64:F79),"")</f>
        <v>1387.67</v>
      </c>
      <c r="F91" s="12">
        <f>IFERROR(SUM('[1]MAR-Despesas'!F64:F79),"")</f>
        <v>837.36000000000013</v>
      </c>
      <c r="G91" s="12">
        <f>IFERROR(SUM('[1]ABR-Despesas'!$F64,'[1]ABR-Despesas'!$F65,'[1]ABR-Despesas'!$F66,'[1]ABR-Despesas'!$F67,'[1]ABR-Despesas'!$F68,'[1]ABR-Despesas'!$F69,'[1]ABR-Despesas'!$F70,'[1]ABR-Despesas'!$F71,'[1]ABR-Despesas'!$F72),"")</f>
        <v>15004.749999999998</v>
      </c>
      <c r="H91" s="12">
        <f>IFERROR(SUM('MAI-Despesas'!F64:F72),"")</f>
        <v>577.19000000000005</v>
      </c>
      <c r="I91" s="12">
        <f>IFERROR(SUM('[1]JUN-Despesas'!$F63:$F71),"")</f>
        <v>0</v>
      </c>
      <c r="J91" s="12">
        <f>IFERROR(SUM('[1]JUL-Despesas'!$F63:$F71),"")</f>
        <v>0</v>
      </c>
      <c r="K91" s="12">
        <f>IFERROR(SUM('[1]AGO-Despesas'!$F63:$F75),"")</f>
        <v>0</v>
      </c>
      <c r="L91" s="12">
        <f>IFERROR(SUM('[1]SET-Despesas'!$F63:$F75),"")</f>
        <v>0</v>
      </c>
      <c r="M91" s="12">
        <f>IFERROR(SUM('[1]OUT-Despesas'!$F63:$F75),"")</f>
        <v>0</v>
      </c>
      <c r="N91" s="12">
        <f>IFERROR(SUM('[1]NOV-Despesas'!$F64:$F76),"")</f>
        <v>0</v>
      </c>
      <c r="O91" s="12"/>
      <c r="P91" s="3"/>
      <c r="Q91" s="18"/>
    </row>
    <row r="92" spans="1:17" ht="15.75" hidden="1" customHeight="1" outlineLevel="1" x14ac:dyDescent="0.3">
      <c r="A92" s="3"/>
      <c r="B92" s="149" t="s">
        <v>334</v>
      </c>
      <c r="C92" s="11">
        <f t="shared" si="22"/>
        <v>1144</v>
      </c>
      <c r="D92" s="12">
        <f>IFERROR(SUM('[1]JAN-Despesas'!$F$85,'[1]JAN-Despesas'!$F$86),"")</f>
        <v>176</v>
      </c>
      <c r="E92" s="12">
        <f>IFERROR(SUM('[1]FEV-Despesas'!$F85,'[1]FEV-Despesas'!$F86),"")</f>
        <v>184</v>
      </c>
      <c r="F92" s="12">
        <f>IFERROR(SUM('[1]MAR-Despesas'!$F86,'[1]MAR-Despesas'!$F87),"")</f>
        <v>0</v>
      </c>
      <c r="G92" s="12">
        <f>IFERROR(SUM('[1]ABR-Despesas'!$F77,'[1]ABR-Despesas'!$F78),"")</f>
        <v>632</v>
      </c>
      <c r="H92" s="12">
        <f>IFERROR(SUM('MAI-Despesas'!$F77,'MAI-Despesas'!$F78),"")</f>
        <v>152</v>
      </c>
      <c r="I92" s="12">
        <f>IFERROR(SUM('[1]JUN-Despesas'!$F76,'[1]JUN-Despesas'!$F77),"")</f>
        <v>0</v>
      </c>
      <c r="J92" s="12">
        <f>IFERROR(SUM('[1]JUL-Despesas'!$F76,'[1]JUL-Despesas'!$F77),"")</f>
        <v>0</v>
      </c>
      <c r="K92" s="12">
        <f>IFERROR(SUM('[1]AGO-Despesas'!$F79:$F80),"")</f>
        <v>0</v>
      </c>
      <c r="L92" s="12">
        <f>IFERROR(SUM('[1]SET-Despesas'!$F79:$F80),"")</f>
        <v>0</v>
      </c>
      <c r="M92" s="12">
        <f>IFERROR(SUM('[1]OUT-Despesas'!$F79:$F80),"")</f>
        <v>0</v>
      </c>
      <c r="N92" s="12">
        <f>IFERROR(SUM('[1]NOV-Despesas'!$F80:$F81),"")</f>
        <v>0</v>
      </c>
      <c r="O92" s="12">
        <v>0</v>
      </c>
      <c r="P92" s="3"/>
    </row>
    <row r="93" spans="1:17" ht="15.75" hidden="1" customHeight="1" outlineLevel="1" x14ac:dyDescent="0.3">
      <c r="A93" s="3"/>
      <c r="B93" s="149" t="s">
        <v>337</v>
      </c>
      <c r="C93" s="11">
        <f t="shared" si="22"/>
        <v>2277.36</v>
      </c>
      <c r="D93" s="12">
        <f>IFERROR(SUM('[1]JAN-Despesas'!$F$87:$F$90),"")</f>
        <v>299.42</v>
      </c>
      <c r="E93" s="12">
        <f>IFERROR(SUM('[1]FEV-Despesas'!$F87:$F90),"")</f>
        <v>1010.88</v>
      </c>
      <c r="F93" s="12">
        <f>IFERROR(SUM('[1]MAR-Despesas'!$F88:$F89),"")</f>
        <v>422.7</v>
      </c>
      <c r="G93" s="12">
        <f>IFERROR(SUM('[1]ABR-Despesas'!$F79:$F81),"")</f>
        <v>250</v>
      </c>
      <c r="H93" s="12">
        <f>IFERROR(SUM('MAI-Despesas'!F79:F83),"")</f>
        <v>294.36</v>
      </c>
      <c r="I93" s="12">
        <f>IFERROR(SUM('[1]JUN-Despesas'!$F78:$F82),"")</f>
        <v>0</v>
      </c>
      <c r="J93" s="12">
        <f>IFERROR(SUM('[1]JUL-Despesas'!$F78:$F82),"")</f>
        <v>0</v>
      </c>
      <c r="K93" s="12">
        <f>IFERROR(SUM('[1]AGO-Despesas'!$F81:$F85),"")</f>
        <v>0</v>
      </c>
      <c r="L93" s="12">
        <f>IFERROR(SUM('[1]SET-Despesas'!$F81:$F85),"")</f>
        <v>0</v>
      </c>
      <c r="M93" s="12">
        <f>IFERROR(SUM('[1]OUT-Despesas'!$F81:$F85),"")</f>
        <v>0</v>
      </c>
      <c r="N93" s="12">
        <f>IFERROR(SUM('[1]NOV-Despesas'!$F82:$F86),"")</f>
        <v>0</v>
      </c>
      <c r="O93" s="12">
        <v>0</v>
      </c>
      <c r="P93" s="3"/>
    </row>
    <row r="94" spans="1:17" ht="15.75" hidden="1" customHeight="1" outlineLevel="1" x14ac:dyDescent="0.3">
      <c r="A94" s="3"/>
      <c r="B94" s="149" t="s">
        <v>341</v>
      </c>
      <c r="C94" s="11">
        <f t="shared" si="22"/>
        <v>0</v>
      </c>
      <c r="D94" s="12">
        <f>IFERROR('[1]JAN-Despesas'!$F$91,"")</f>
        <v>0</v>
      </c>
      <c r="E94" s="12">
        <v>0</v>
      </c>
      <c r="F94" s="12">
        <f>IFERROR('[1]MAR-Despesas'!$F90,"")</f>
        <v>0</v>
      </c>
      <c r="G94" s="12">
        <v>0</v>
      </c>
      <c r="H94" s="12">
        <v>0</v>
      </c>
      <c r="I94" s="12">
        <v>0</v>
      </c>
      <c r="J94" s="12">
        <v>0</v>
      </c>
      <c r="K94" s="12">
        <v>0</v>
      </c>
      <c r="L94" s="12">
        <v>0</v>
      </c>
      <c r="M94" s="12">
        <v>0</v>
      </c>
      <c r="N94" s="12">
        <v>0</v>
      </c>
      <c r="O94" s="12">
        <v>0</v>
      </c>
      <c r="P94" s="3"/>
    </row>
    <row r="95" spans="1:17" ht="15.75" hidden="1" customHeight="1" outlineLevel="1" x14ac:dyDescent="0.3">
      <c r="A95" s="3"/>
      <c r="B95" s="149" t="s">
        <v>631</v>
      </c>
      <c r="C95" s="11">
        <f t="shared" si="22"/>
        <v>377.94</v>
      </c>
      <c r="D95" s="12">
        <f>IFERROR('[1]JAN-Despesas'!$F$92,"")</f>
        <v>0</v>
      </c>
      <c r="E95" s="12">
        <f>IFERROR(SUM('[1]FEV-Despesas'!$F91,'[1]FEV-Despesas'!F92),"")</f>
        <v>177.94</v>
      </c>
      <c r="F95" s="12">
        <f>IFERROR(SUM('[1]MAR-Despesas'!$F83,'[1]MAR-Despesas'!$F84,'[1]MAR-Despesas'!$F85,'[1]MAR-Despesas'!$F91,'[1]MAR-Despesas'!$F92),"")</f>
        <v>200</v>
      </c>
      <c r="G95" s="12">
        <v>0</v>
      </c>
      <c r="H95" s="12">
        <v>0</v>
      </c>
      <c r="I95" s="12">
        <f>IFERROR(SUM('[1]JUN-Despesas'!$F83:$F85),"")</f>
        <v>0</v>
      </c>
      <c r="J95" s="12">
        <f>IFERROR(SUM('[1]JUL-Despesas'!$F83:$F85),"")</f>
        <v>0</v>
      </c>
      <c r="K95" s="12">
        <f>IFERROR(SUM('[1]AGO-Despesas'!$F86:$F88),"")</f>
        <v>0</v>
      </c>
      <c r="L95" s="12">
        <f>IFERROR(SUM('[1]SET-Despesas'!$F86:$F88),"")</f>
        <v>0</v>
      </c>
      <c r="M95" s="12">
        <f>IFERROR(SUM('[1]OUT-Despesas'!$F86,'[1]OUT-Despesas'!$F88),"")</f>
        <v>0</v>
      </c>
      <c r="N95" s="12">
        <f>IFERROR(SUM('[1]NOV-Despesas'!$F87,'[1]NOV-Despesas'!$F89),"")</f>
        <v>0</v>
      </c>
      <c r="O95" s="12">
        <v>0</v>
      </c>
      <c r="P95" s="3"/>
    </row>
    <row r="96" spans="1:17" ht="15.75" customHeight="1" collapsed="1" x14ac:dyDescent="0.3">
      <c r="A96" s="3"/>
      <c r="B96" s="84" t="s">
        <v>348</v>
      </c>
      <c r="C96" s="86">
        <f t="shared" ref="C96:O96" si="23">SUM(C97,C98,C99)</f>
        <v>5372.17</v>
      </c>
      <c r="D96" s="86">
        <f t="shared" si="23"/>
        <v>0</v>
      </c>
      <c r="E96" s="86">
        <f t="shared" si="23"/>
        <v>0</v>
      </c>
      <c r="F96" s="86">
        <f t="shared" si="23"/>
        <v>5172.17</v>
      </c>
      <c r="G96" s="86">
        <f t="shared" si="23"/>
        <v>200</v>
      </c>
      <c r="H96" s="86">
        <f t="shared" si="23"/>
        <v>0</v>
      </c>
      <c r="I96" s="86">
        <f t="shared" si="23"/>
        <v>0</v>
      </c>
      <c r="J96" s="86">
        <f t="shared" si="23"/>
        <v>0</v>
      </c>
      <c r="K96" s="86">
        <f t="shared" si="23"/>
        <v>0</v>
      </c>
      <c r="L96" s="86">
        <f t="shared" si="23"/>
        <v>0</v>
      </c>
      <c r="M96" s="86">
        <f t="shared" si="23"/>
        <v>0</v>
      </c>
      <c r="N96" s="86">
        <f t="shared" si="23"/>
        <v>0</v>
      </c>
      <c r="O96" s="86">
        <f t="shared" si="23"/>
        <v>0</v>
      </c>
      <c r="P96" s="3"/>
    </row>
    <row r="97" spans="1:16" ht="15.75" hidden="1" customHeight="1" outlineLevel="1" x14ac:dyDescent="0.3">
      <c r="A97" s="3"/>
      <c r="B97" s="91" t="s">
        <v>349</v>
      </c>
      <c r="C97" s="93">
        <f t="shared" ref="C97:C99" si="24">SUM(D97:O97)</f>
        <v>4896.1899999999996</v>
      </c>
      <c r="D97" s="93">
        <v>0</v>
      </c>
      <c r="E97" s="93">
        <f>'[1]FEV-Despesas'!F94</f>
        <v>0</v>
      </c>
      <c r="F97" s="93">
        <f>'[1]MAR-Despesas'!F94</f>
        <v>4696.1899999999996</v>
      </c>
      <c r="G97" s="93">
        <f>'[1]ABR-Despesas'!$F86</f>
        <v>200</v>
      </c>
      <c r="H97" s="93">
        <f>'MAI-Despesas'!$F88</f>
        <v>0</v>
      </c>
      <c r="I97" s="93">
        <f>IFERROR('[1]JUN-Despesas'!$F87,"")</f>
        <v>0</v>
      </c>
      <c r="J97" s="93">
        <f>IFERROR('[1]JUL-Despesas'!$F87,"")</f>
        <v>0</v>
      </c>
      <c r="K97" s="93">
        <v>0</v>
      </c>
      <c r="L97" s="93">
        <v>0</v>
      </c>
      <c r="M97" s="93">
        <f>'[1]OUT-Despesas'!$F90</f>
        <v>0</v>
      </c>
      <c r="N97" s="93">
        <f>'[1]NOV-Despesas'!$F91</f>
        <v>0</v>
      </c>
      <c r="O97" s="93">
        <v>0</v>
      </c>
      <c r="P97" s="3"/>
    </row>
    <row r="98" spans="1:16" ht="15.75" hidden="1" customHeight="1" outlineLevel="1" x14ac:dyDescent="0.3">
      <c r="A98" s="3"/>
      <c r="B98" s="91" t="s">
        <v>352</v>
      </c>
      <c r="C98" s="93">
        <f t="shared" si="24"/>
        <v>475.98</v>
      </c>
      <c r="D98" s="93">
        <v>0</v>
      </c>
      <c r="E98" s="93">
        <f>'[1]FEV-Despesas'!F110</f>
        <v>0</v>
      </c>
      <c r="F98" s="93">
        <f>'[1]MAR-Despesas'!F110</f>
        <v>475.98</v>
      </c>
      <c r="G98" s="93">
        <f>'[1]ABR-Despesas'!$F102</f>
        <v>0</v>
      </c>
      <c r="H98" s="93">
        <f>'MAI-Despesas'!$F104</f>
        <v>0</v>
      </c>
      <c r="I98" s="93">
        <f>IFERROR('[1]JUN-Despesas'!$F103,"")</f>
        <v>0</v>
      </c>
      <c r="J98" s="93">
        <f>IFERROR('[1]JUL-Despesas'!$F103,"")</f>
        <v>0</v>
      </c>
      <c r="K98" s="93">
        <v>0</v>
      </c>
      <c r="L98" s="93">
        <v>0</v>
      </c>
      <c r="M98" s="93">
        <f>'[1]OUT-Despesas'!$F106</f>
        <v>0</v>
      </c>
      <c r="N98" s="93">
        <f>'[1]NOV-Despesas'!$F107</f>
        <v>0</v>
      </c>
      <c r="O98" s="93">
        <v>0</v>
      </c>
      <c r="P98" s="3"/>
    </row>
    <row r="99" spans="1:16" ht="15.75" hidden="1" customHeight="1" outlineLevel="1" x14ac:dyDescent="0.3">
      <c r="A99" s="3"/>
      <c r="B99" s="91" t="s">
        <v>356</v>
      </c>
      <c r="C99" s="93">
        <f t="shared" si="24"/>
        <v>0</v>
      </c>
      <c r="D99" s="93">
        <v>0</v>
      </c>
      <c r="E99" s="93">
        <f>'[1]FEV-Despesas'!F115</f>
        <v>0</v>
      </c>
      <c r="F99" s="93">
        <f>'[1]MAR-Despesas'!F115</f>
        <v>0</v>
      </c>
      <c r="G99" s="93">
        <f>'[1]ABR-Despesas'!$F107</f>
        <v>0</v>
      </c>
      <c r="H99" s="93">
        <f>'MAI-Despesas'!$F109</f>
        <v>0</v>
      </c>
      <c r="I99" s="93">
        <f>IFERROR('[1]JUN-Despesas'!$F108,"")</f>
        <v>0</v>
      </c>
      <c r="J99" s="93">
        <f>IFERROR('[1]JUL-Despesas'!$F108,"")</f>
        <v>0</v>
      </c>
      <c r="K99" s="93">
        <v>0</v>
      </c>
      <c r="L99" s="93">
        <v>0</v>
      </c>
      <c r="M99" s="93">
        <f>'[1]OUT-Despesas'!$F111</f>
        <v>0</v>
      </c>
      <c r="N99" s="93">
        <f>'[1]NOV-Despesas'!$F112</f>
        <v>0</v>
      </c>
      <c r="O99" s="93">
        <v>0</v>
      </c>
      <c r="P99" s="3"/>
    </row>
    <row r="100" spans="1:16" ht="15.75" customHeight="1" collapsed="1" x14ac:dyDescent="0.3">
      <c r="A100" s="3"/>
      <c r="B100" s="84" t="s">
        <v>357</v>
      </c>
      <c r="C100" s="86">
        <f t="shared" ref="C100:O100" si="25">SUM(C101,C102)</f>
        <v>12291.880000000001</v>
      </c>
      <c r="D100" s="86">
        <f t="shared" si="25"/>
        <v>1203.73</v>
      </c>
      <c r="E100" s="86">
        <f t="shared" si="25"/>
        <v>1795.81</v>
      </c>
      <c r="F100" s="86">
        <f t="shared" si="25"/>
        <v>3046.49</v>
      </c>
      <c r="G100" s="86">
        <f t="shared" si="25"/>
        <v>0</v>
      </c>
      <c r="H100" s="86">
        <f t="shared" si="25"/>
        <v>6245.8499999999985</v>
      </c>
      <c r="I100" s="86">
        <f t="shared" si="25"/>
        <v>0</v>
      </c>
      <c r="J100" s="86">
        <f t="shared" si="25"/>
        <v>0</v>
      </c>
      <c r="K100" s="86">
        <f t="shared" si="25"/>
        <v>0</v>
      </c>
      <c r="L100" s="86">
        <f t="shared" si="25"/>
        <v>0</v>
      </c>
      <c r="M100" s="86">
        <f t="shared" si="25"/>
        <v>0</v>
      </c>
      <c r="N100" s="86">
        <f t="shared" si="25"/>
        <v>0</v>
      </c>
      <c r="O100" s="86">
        <f t="shared" si="25"/>
        <v>0</v>
      </c>
      <c r="P100" s="3"/>
    </row>
    <row r="101" spans="1:16" ht="15.75" hidden="1" customHeight="1" outlineLevel="1" x14ac:dyDescent="0.3">
      <c r="A101" s="3"/>
      <c r="B101" s="91" t="s">
        <v>358</v>
      </c>
      <c r="C101" s="93">
        <f t="shared" ref="C101:C103" si="26">SUM(D101:O101)</f>
        <v>1651.79</v>
      </c>
      <c r="D101" s="93">
        <f>'[1]JAN-Despesas'!$F109</f>
        <v>0</v>
      </c>
      <c r="E101" s="93">
        <f>'[1]FEV-Despesas'!$F120</f>
        <v>0</v>
      </c>
      <c r="F101" s="93">
        <f>'[1]MAR-Despesas'!$F120</f>
        <v>796.6</v>
      </c>
      <c r="G101" s="93">
        <f>'[1]ABR-Despesas'!$F112</f>
        <v>0</v>
      </c>
      <c r="H101" s="93">
        <f>'MAI-Despesas'!$F114</f>
        <v>855.18999999999994</v>
      </c>
      <c r="I101" s="93">
        <f>'[1]JUN-Despesas'!$F113</f>
        <v>0</v>
      </c>
      <c r="J101" s="93">
        <f>'[1]JUL-Despesas'!$F113</f>
        <v>0</v>
      </c>
      <c r="K101" s="93">
        <f>'[1]AGO-Despesas'!$F113</f>
        <v>0</v>
      </c>
      <c r="L101" s="93">
        <f>'[1]SET-Despesas'!$F116</f>
        <v>0</v>
      </c>
      <c r="M101" s="93">
        <f>'[1]OUT-Despesas'!$F116</f>
        <v>0</v>
      </c>
      <c r="N101" s="93">
        <f>'[1]NOV-Despesas'!$F117</f>
        <v>0</v>
      </c>
      <c r="O101" s="93">
        <v>0</v>
      </c>
      <c r="P101" s="3"/>
    </row>
    <row r="102" spans="1:16" ht="15.75" hidden="1" customHeight="1" outlineLevel="1" x14ac:dyDescent="0.3">
      <c r="A102" s="3"/>
      <c r="B102" s="91" t="s">
        <v>632</v>
      </c>
      <c r="C102" s="93">
        <f t="shared" si="26"/>
        <v>10640.09</v>
      </c>
      <c r="D102" s="93">
        <f>'[1]JAN-Despesas'!$F115</f>
        <v>1203.73</v>
      </c>
      <c r="E102" s="93">
        <f>'[1]FEV-Despesas'!$F126</f>
        <v>1795.81</v>
      </c>
      <c r="F102" s="93">
        <f>'[1]MAR-Despesas'!$F126</f>
        <v>2249.89</v>
      </c>
      <c r="G102" s="93">
        <f>'[1]ABR-Despesas'!$F118</f>
        <v>0</v>
      </c>
      <c r="H102" s="93">
        <f>'MAI-Despesas'!$F121</f>
        <v>5390.6599999999989</v>
      </c>
      <c r="I102" s="93">
        <f>'[1]JUN-Despesas'!$F119</f>
        <v>0</v>
      </c>
      <c r="J102" s="93">
        <f>'[1]JUL-Despesas'!$F119</f>
        <v>0</v>
      </c>
      <c r="K102" s="93">
        <f>'[1]AGO-Despesas'!$F119</f>
        <v>0</v>
      </c>
      <c r="L102" s="93">
        <f>'[1]SET-Despesas'!$F122</f>
        <v>0</v>
      </c>
      <c r="M102" s="93">
        <f>'[1]OUT-Despesas'!$F122</f>
        <v>0</v>
      </c>
      <c r="N102" s="93">
        <f>'[1]NOV-Despesas'!$F125</f>
        <v>0</v>
      </c>
      <c r="O102" s="93">
        <v>0</v>
      </c>
      <c r="P102" s="3"/>
    </row>
    <row r="103" spans="1:16" ht="15.75" customHeight="1" collapsed="1" x14ac:dyDescent="0.3">
      <c r="A103" s="3"/>
      <c r="B103" s="84" t="s">
        <v>87</v>
      </c>
      <c r="C103" s="86">
        <f t="shared" si="26"/>
        <v>1539.63</v>
      </c>
      <c r="D103" s="86">
        <f>'[1]JAN-Despesas'!$F125</f>
        <v>0</v>
      </c>
      <c r="E103" s="86">
        <f>'[1]FEV-Despesas'!$F137</f>
        <v>513.21</v>
      </c>
      <c r="F103" s="86">
        <f>'[1]MAR-Despesas'!$F136</f>
        <v>513.21</v>
      </c>
      <c r="G103" s="86">
        <f>'[1]ABR-Despesas'!$F134</f>
        <v>0</v>
      </c>
      <c r="H103" s="86">
        <f>'MAI-Despesas'!$F148</f>
        <v>513.21</v>
      </c>
      <c r="I103" s="86">
        <f>'[1]JUN-Despesas'!$F138</f>
        <v>0</v>
      </c>
      <c r="J103" s="86">
        <f>'[1]JUL-Despesas'!$F138</f>
        <v>0</v>
      </c>
      <c r="K103" s="86">
        <f>'[1]AGO-Despesas'!$F138</f>
        <v>0</v>
      </c>
      <c r="L103" s="86">
        <f>'[1]SET-Despesas'!$F138</f>
        <v>0</v>
      </c>
      <c r="M103" s="86">
        <f>'[1]OUT-Despesas'!$F138</f>
        <v>0</v>
      </c>
      <c r="N103" s="86">
        <f>'[1]NOV-Despesas'!$F144</f>
        <v>0</v>
      </c>
      <c r="O103" s="86">
        <v>0</v>
      </c>
      <c r="P103" s="3"/>
    </row>
    <row r="104" spans="1:16" ht="15.75" customHeight="1" x14ac:dyDescent="0.3">
      <c r="A104" s="3"/>
      <c r="B104" s="84" t="s">
        <v>88</v>
      </c>
      <c r="C104" s="86">
        <f t="shared" ref="C104:I104" si="27">SUM(C105,C106,C107,C108)</f>
        <v>31565.39</v>
      </c>
      <c r="D104" s="86">
        <f t="shared" si="27"/>
        <v>18774.73</v>
      </c>
      <c r="E104" s="86">
        <f t="shared" si="27"/>
        <v>5921.85</v>
      </c>
      <c r="F104" s="86">
        <f t="shared" si="27"/>
        <v>5666.73</v>
      </c>
      <c r="G104" s="86">
        <f t="shared" si="27"/>
        <v>0</v>
      </c>
      <c r="H104" s="86">
        <f t="shared" si="27"/>
        <v>1202.08</v>
      </c>
      <c r="I104" s="86">
        <f t="shared" si="27"/>
        <v>0</v>
      </c>
      <c r="J104" s="86">
        <v>0</v>
      </c>
      <c r="K104" s="86">
        <f t="shared" ref="K104:O104" si="28">SUM(K105,K106,K107,K108)</f>
        <v>0</v>
      </c>
      <c r="L104" s="86">
        <f t="shared" si="28"/>
        <v>0</v>
      </c>
      <c r="M104" s="86">
        <f t="shared" si="28"/>
        <v>0</v>
      </c>
      <c r="N104" s="86">
        <f t="shared" si="28"/>
        <v>0</v>
      </c>
      <c r="O104" s="86">
        <f t="shared" si="28"/>
        <v>0</v>
      </c>
      <c r="P104" s="3"/>
    </row>
    <row r="105" spans="1:16" ht="15.75" hidden="1" customHeight="1" outlineLevel="1" x14ac:dyDescent="0.3">
      <c r="A105" s="3"/>
      <c r="B105" s="91" t="s">
        <v>380</v>
      </c>
      <c r="C105" s="93">
        <f t="shared" ref="C105:C115" si="29">SUM(D105:O105)</f>
        <v>31565.39</v>
      </c>
      <c r="D105" s="93">
        <f>'[1]JAN-Despesas'!F136</f>
        <v>18774.73</v>
      </c>
      <c r="E105" s="93">
        <f>'[1]FEV-Despesas'!F148</f>
        <v>5921.85</v>
      </c>
      <c r="F105" s="93">
        <f>'[1]MAR-Despesas'!F146</f>
        <v>5666.73</v>
      </c>
      <c r="G105" s="93">
        <f>'[1]ABR-Despesas'!F145</f>
        <v>0</v>
      </c>
      <c r="H105" s="93">
        <f>'MAI-Despesas'!$F159</f>
        <v>1202.08</v>
      </c>
      <c r="I105" s="93">
        <f>'[1]JUN-Despesas'!$H149</f>
        <v>0</v>
      </c>
      <c r="J105" s="93">
        <f>'[1]JUL-Despesas'!$H149</f>
        <v>0</v>
      </c>
      <c r="K105" s="93">
        <f>'[1]AGO-Despesas'!F152</f>
        <v>0</v>
      </c>
      <c r="L105" s="93">
        <f>'[1]SET-Despesas'!$F152</f>
        <v>0</v>
      </c>
      <c r="M105" s="93">
        <f>'[1]OUT-Despesas'!$F152</f>
        <v>0</v>
      </c>
      <c r="N105" s="93">
        <f>'[1]NOV-Despesas'!$F155</f>
        <v>0</v>
      </c>
      <c r="O105" s="93">
        <v>0</v>
      </c>
      <c r="P105" s="3"/>
    </row>
    <row r="106" spans="1:16" ht="15.75" hidden="1" customHeight="1" outlineLevel="1" x14ac:dyDescent="0.3">
      <c r="A106" s="3"/>
      <c r="B106" s="91" t="s">
        <v>643</v>
      </c>
      <c r="C106" s="93">
        <f t="shared" si="29"/>
        <v>0</v>
      </c>
      <c r="D106" s="93">
        <f>'[1]JAN-Despesas'!F142</f>
        <v>0</v>
      </c>
      <c r="E106" s="93">
        <f>'[1]FEV-Despesas'!F156</f>
        <v>0</v>
      </c>
      <c r="F106" s="93">
        <f>'[1]MAR-Despesas'!G155</f>
        <v>0</v>
      </c>
      <c r="G106" s="93">
        <f>'[1]ABR-Despesas'!$H151</f>
        <v>0</v>
      </c>
      <c r="H106" s="93">
        <f>'MAI-Despesas'!$F165</f>
        <v>0</v>
      </c>
      <c r="I106" s="93">
        <f>'[1]JUN-Despesas'!$H155</f>
        <v>0</v>
      </c>
      <c r="J106" s="93">
        <f>'[1]JUL-Despesas'!$H155</f>
        <v>0</v>
      </c>
      <c r="K106" s="93">
        <f>'[1]AGO-Despesas'!F158</f>
        <v>0</v>
      </c>
      <c r="L106" s="93">
        <f>'[1]SET-Despesas'!G158</f>
        <v>0</v>
      </c>
      <c r="M106" s="93">
        <f>'[1]OUT-Despesas'!H158</f>
        <v>0</v>
      </c>
      <c r="N106" s="93">
        <f>'[1]NOV-Despesas'!I161</f>
        <v>0</v>
      </c>
      <c r="O106" s="93">
        <v>0</v>
      </c>
      <c r="P106" s="3"/>
    </row>
    <row r="107" spans="1:16" ht="15.75" hidden="1" customHeight="1" outlineLevel="1" x14ac:dyDescent="0.3">
      <c r="A107" s="3"/>
      <c r="B107" s="91" t="s">
        <v>381</v>
      </c>
      <c r="C107" s="93">
        <f t="shared" si="29"/>
        <v>0</v>
      </c>
      <c r="D107" s="93">
        <f>'[1]JAN-Despesas'!F148</f>
        <v>0</v>
      </c>
      <c r="E107" s="93">
        <f>'[1]FEV-Despesas'!F162</f>
        <v>0</v>
      </c>
      <c r="F107" s="93">
        <f>'[1]MAR-Despesas'!G161</f>
        <v>0</v>
      </c>
      <c r="G107" s="93">
        <f>'[1]ABR-Despesas'!$H157</f>
        <v>0</v>
      </c>
      <c r="H107" s="93">
        <f>'MAI-Despesas'!$F171</f>
        <v>0</v>
      </c>
      <c r="I107" s="93">
        <f>'[1]JUN-Despesas'!$H161</f>
        <v>0</v>
      </c>
      <c r="J107" s="93">
        <f>'[1]JUL-Despesas'!$H161</f>
        <v>0</v>
      </c>
      <c r="K107" s="93">
        <f>'[1]AGO-Despesas'!F164</f>
        <v>0</v>
      </c>
      <c r="L107" s="93">
        <f>'[1]SET-Despesas'!G164</f>
        <v>0</v>
      </c>
      <c r="M107" s="93">
        <f>'[1]OUT-Despesas'!H164</f>
        <v>0</v>
      </c>
      <c r="N107" s="93">
        <f>'[1]NOV-Despesas'!I167</f>
        <v>0</v>
      </c>
      <c r="O107" s="93">
        <v>0</v>
      </c>
      <c r="P107" s="3"/>
    </row>
    <row r="108" spans="1:16" ht="15.75" hidden="1" customHeight="1" outlineLevel="1" x14ac:dyDescent="0.3">
      <c r="A108" s="3"/>
      <c r="B108" s="91" t="s">
        <v>382</v>
      </c>
      <c r="C108" s="93">
        <f t="shared" si="29"/>
        <v>0</v>
      </c>
      <c r="D108" s="93">
        <f>'[1]JAN-Despesas'!F154</f>
        <v>0</v>
      </c>
      <c r="E108" s="93">
        <f>'[1]FEV-Despesas'!F168</f>
        <v>0</v>
      </c>
      <c r="F108" s="93">
        <f>'[1]MAR-Despesas'!G167</f>
        <v>0</v>
      </c>
      <c r="G108" s="93">
        <f>'[1]ABR-Despesas'!$H163</f>
        <v>0</v>
      </c>
      <c r="H108" s="93">
        <f>'MAI-Despesas'!$F177</f>
        <v>0</v>
      </c>
      <c r="I108" s="93">
        <f>'[1]JUN-Despesas'!$H167</f>
        <v>0</v>
      </c>
      <c r="J108" s="93">
        <f>'[1]JUL-Despesas'!$H167</f>
        <v>0</v>
      </c>
      <c r="K108" s="93">
        <f>'[1]AGO-Despesas'!F170</f>
        <v>0</v>
      </c>
      <c r="L108" s="93">
        <f>'[1]SET-Despesas'!G170</f>
        <v>0</v>
      </c>
      <c r="M108" s="93">
        <f>'[1]OUT-Despesas'!H170</f>
        <v>0</v>
      </c>
      <c r="N108" s="93">
        <f>'[1]NOV-Despesas'!I173</f>
        <v>0</v>
      </c>
      <c r="O108" s="93">
        <v>0</v>
      </c>
      <c r="P108" s="3"/>
    </row>
    <row r="109" spans="1:16" ht="15.75" customHeight="1" collapsed="1" x14ac:dyDescent="0.3">
      <c r="A109" s="3"/>
      <c r="B109" s="84" t="s">
        <v>383</v>
      </c>
      <c r="C109" s="86">
        <f t="shared" si="29"/>
        <v>0</v>
      </c>
      <c r="D109" s="86">
        <f>'[1]JAN-Despesas'!$F160</f>
        <v>0</v>
      </c>
      <c r="E109" s="86">
        <f>'[1]FEV-Despesas'!$F174</f>
        <v>0</v>
      </c>
      <c r="F109" s="86">
        <f>'[1]MAR-Despesas'!$F173</f>
        <v>0</v>
      </c>
      <c r="G109" s="86">
        <f>'[1]ABR-Despesas'!$F169</f>
        <v>0</v>
      </c>
      <c r="H109" s="86">
        <f>'MAI-Despesas'!$F183</f>
        <v>0</v>
      </c>
      <c r="I109" s="86">
        <f>'[1]JUN-Despesas'!$F173</f>
        <v>0</v>
      </c>
      <c r="J109" s="86">
        <f>'[1]JUL-Despesas'!$F173</f>
        <v>0</v>
      </c>
      <c r="K109" s="86">
        <f>'[1]AGO-Despesas'!$F173</f>
        <v>0</v>
      </c>
      <c r="L109" s="86">
        <f>'[1]SET-Despesas'!$F173</f>
        <v>0</v>
      </c>
      <c r="M109" s="86">
        <f>'[1]OUT-Despesas'!$F173</f>
        <v>0</v>
      </c>
      <c r="N109" s="86">
        <f>'[1]NOV-Despesas'!$F179</f>
        <v>0</v>
      </c>
      <c r="O109" s="86">
        <v>0</v>
      </c>
      <c r="P109" s="3"/>
    </row>
    <row r="110" spans="1:16" ht="15.75" customHeight="1" x14ac:dyDescent="0.3">
      <c r="A110" s="3"/>
      <c r="B110" s="84" t="s">
        <v>384</v>
      </c>
      <c r="C110" s="86">
        <f t="shared" si="29"/>
        <v>633.70000000000005</v>
      </c>
      <c r="D110" s="86">
        <f>'[1]JAN-Despesas'!$F166</f>
        <v>0</v>
      </c>
      <c r="E110" s="86">
        <f>'[1]FEV-Despesas'!$F180</f>
        <v>94</v>
      </c>
      <c r="F110" s="86">
        <f>'[1]MAR-Despesas'!$F179</f>
        <v>410.56</v>
      </c>
      <c r="G110" s="86">
        <f>'[1]ABR-Despesas'!$F175</f>
        <v>0</v>
      </c>
      <c r="H110" s="86">
        <f>'MAI-Despesas'!$F189</f>
        <v>129.13999999999999</v>
      </c>
      <c r="I110" s="86">
        <f>'[1]JUN-Despesas'!$F179</f>
        <v>0</v>
      </c>
      <c r="J110" s="86">
        <f>'[1]JUL-Despesas'!$F179</f>
        <v>0</v>
      </c>
      <c r="K110" s="86">
        <f>'[1]AGO-Despesas'!F182</f>
        <v>0</v>
      </c>
      <c r="L110" s="86">
        <f>'[1]SET-Despesas'!$F182</f>
        <v>0</v>
      </c>
      <c r="M110" s="86">
        <f>'[1]OUT-Despesas'!$F182</f>
        <v>0</v>
      </c>
      <c r="N110" s="86">
        <f>'[1]NOV-Despesas'!$F185</f>
        <v>0</v>
      </c>
      <c r="O110" s="86">
        <v>0</v>
      </c>
      <c r="P110" s="3"/>
    </row>
    <row r="111" spans="1:16" ht="15.75" customHeight="1" x14ac:dyDescent="0.3">
      <c r="A111" s="3"/>
      <c r="B111" s="84" t="s">
        <v>394</v>
      </c>
      <c r="C111" s="86">
        <f t="shared" si="29"/>
        <v>300</v>
      </c>
      <c r="D111" s="86">
        <f>'[1]JAN-Despesas'!$F172</f>
        <v>0</v>
      </c>
      <c r="E111" s="86">
        <f>'[1]FEV-Despesas'!$F186</f>
        <v>100</v>
      </c>
      <c r="F111" s="86">
        <f>'[1]MAR-Despesas'!$F185</f>
        <v>100</v>
      </c>
      <c r="G111" s="86">
        <f>'[1]ABR-Despesas'!$F204</f>
        <v>0</v>
      </c>
      <c r="H111" s="86">
        <f>'MAI-Despesas'!$F218</f>
        <v>100</v>
      </c>
      <c r="I111" s="86">
        <f>'[1]JUN-Despesas'!$F208</f>
        <v>0</v>
      </c>
      <c r="J111" s="86">
        <f>'[1]JUL-Despesas'!$F208</f>
        <v>0</v>
      </c>
      <c r="K111" s="86">
        <f>'[1]AGO-Despesas'!F211</f>
        <v>0</v>
      </c>
      <c r="L111" s="86">
        <f>'[1]SET-Despesas'!$F211</f>
        <v>0</v>
      </c>
      <c r="M111" s="86">
        <f>'[1]OUT-Despesas'!$F211</f>
        <v>0</v>
      </c>
      <c r="N111" s="86">
        <f>'[1]NOV-Despesas'!$F214</f>
        <v>0</v>
      </c>
      <c r="O111" s="86">
        <v>0</v>
      </c>
      <c r="P111" s="3"/>
    </row>
    <row r="112" spans="1:16" ht="15.75" customHeight="1" x14ac:dyDescent="0.3">
      <c r="A112" s="3"/>
      <c r="B112" s="84" t="s">
        <v>401</v>
      </c>
      <c r="C112" s="86">
        <f t="shared" si="29"/>
        <v>0</v>
      </c>
      <c r="D112" s="86">
        <f>'[1]JAN-Despesas'!$F182</f>
        <v>0</v>
      </c>
      <c r="E112" s="86">
        <f>'[1]FEV-Despesas'!$F196</f>
        <v>0</v>
      </c>
      <c r="F112" s="86">
        <f>'[1]MAR-Despesas'!$F195</f>
        <v>0</v>
      </c>
      <c r="G112" s="86">
        <f>'[1]ABR-Despesas'!$F214</f>
        <v>0</v>
      </c>
      <c r="H112" s="86">
        <f>'MAI-Despesas'!$F228</f>
        <v>0</v>
      </c>
      <c r="I112" s="86">
        <f>'[1]JUN-Despesas'!$F218</f>
        <v>0</v>
      </c>
      <c r="J112" s="86">
        <f>'[1]JUL-Despesas'!$F218</f>
        <v>0</v>
      </c>
      <c r="K112" s="86">
        <f>'[1]AGO-Despesas'!$F218</f>
        <v>0</v>
      </c>
      <c r="L112" s="86">
        <f>'[1]SET-Despesas'!$F221</f>
        <v>0</v>
      </c>
      <c r="M112" s="86">
        <f>'[1]OUT-Despesas'!$F221</f>
        <v>0</v>
      </c>
      <c r="N112" s="86">
        <f>'[1]NOV-Despesas'!$F224</f>
        <v>0</v>
      </c>
      <c r="O112" s="86">
        <v>0</v>
      </c>
      <c r="P112" s="3"/>
    </row>
    <row r="113" spans="1:16" ht="15.75" customHeight="1" x14ac:dyDescent="0.3">
      <c r="A113" s="3"/>
      <c r="B113" s="84" t="s">
        <v>402</v>
      </c>
      <c r="C113" s="86">
        <f t="shared" si="29"/>
        <v>357</v>
      </c>
      <c r="D113" s="86">
        <f>'[1]JAN-Despesas'!$F192</f>
        <v>357</v>
      </c>
      <c r="E113" s="86">
        <f>'[1]FEV-Despesas'!$F206</f>
        <v>0</v>
      </c>
      <c r="F113" s="86">
        <f>'[1]MAR-Despesas'!$F205</f>
        <v>0</v>
      </c>
      <c r="G113" s="86">
        <f>'[1]ABR-Despesas'!$F224</f>
        <v>0</v>
      </c>
      <c r="H113" s="86">
        <f>'MAI-Despesas'!$F238</f>
        <v>0</v>
      </c>
      <c r="I113" s="86">
        <f>'[1]JUN-Despesas'!$F228</f>
        <v>0</v>
      </c>
      <c r="J113" s="86">
        <f>'[1]JUL-Despesas'!$F228</f>
        <v>0</v>
      </c>
      <c r="K113" s="86">
        <f>'[1]AGO-Despesas'!$F228</f>
        <v>0</v>
      </c>
      <c r="L113" s="86">
        <f>'[1]SET-Despesas'!$F231</f>
        <v>0</v>
      </c>
      <c r="M113" s="86">
        <f>'[1]OUT-Despesas'!$F231</f>
        <v>0</v>
      </c>
      <c r="N113" s="86">
        <f>'[1]NOV-Despesas'!$F234</f>
        <v>0</v>
      </c>
      <c r="O113" s="86">
        <v>0</v>
      </c>
      <c r="P113" s="3"/>
    </row>
    <row r="114" spans="1:16" ht="15.75" customHeight="1" x14ac:dyDescent="0.3">
      <c r="A114" s="3"/>
      <c r="B114" s="84" t="s">
        <v>403</v>
      </c>
      <c r="C114" s="86">
        <f t="shared" si="29"/>
        <v>1040</v>
      </c>
      <c r="D114" s="86">
        <f>'[1]JAN-Despesas'!$F202</f>
        <v>160</v>
      </c>
      <c r="E114" s="86">
        <f>'[1]FEV-Despesas'!$F216</f>
        <v>0</v>
      </c>
      <c r="F114" s="86">
        <f>'[1]MAR-Despesas'!$F215</f>
        <v>800</v>
      </c>
      <c r="G114" s="86">
        <f>'[1]ABR-Despesas'!$F234</f>
        <v>0</v>
      </c>
      <c r="H114" s="86">
        <f>'MAI-Despesas'!$F248</f>
        <v>80</v>
      </c>
      <c r="I114" s="86">
        <f>'[1]JUN-Despesas'!$F238</f>
        <v>0</v>
      </c>
      <c r="J114" s="86">
        <f>'[1]JUL-Despesas'!$F238</f>
        <v>0</v>
      </c>
      <c r="K114" s="86">
        <f>'[1]AGO-Despesas'!F241</f>
        <v>0</v>
      </c>
      <c r="L114" s="86">
        <f>'[1]SET-Despesas'!$F241</f>
        <v>0</v>
      </c>
      <c r="M114" s="86">
        <f>'[1]OUT-Despesas'!$F241</f>
        <v>0</v>
      </c>
      <c r="N114" s="86">
        <f>'[1]NOV-Despesas'!$F244</f>
        <v>0</v>
      </c>
      <c r="O114" s="86">
        <v>0</v>
      </c>
      <c r="P114" s="3"/>
    </row>
    <row r="115" spans="1:16" ht="15.75" customHeight="1" x14ac:dyDescent="0.3">
      <c r="A115" s="3"/>
      <c r="B115" s="84" t="s">
        <v>405</v>
      </c>
      <c r="C115" s="86">
        <f t="shared" si="29"/>
        <v>0</v>
      </c>
      <c r="D115" s="86">
        <f>'[1]JAN-Despesas'!$F212</f>
        <v>0</v>
      </c>
      <c r="E115" s="86">
        <f>'[1]FEV-Despesas'!$F226</f>
        <v>0</v>
      </c>
      <c r="F115" s="86">
        <f>'[1]MAR-Despesas'!$F225</f>
        <v>0</v>
      </c>
      <c r="G115" s="86">
        <f>'[1]ABR-Despesas'!$F244</f>
        <v>0</v>
      </c>
      <c r="H115" s="86">
        <f>'MAI-Despesas'!$F258</f>
        <v>0</v>
      </c>
      <c r="I115" s="86">
        <f>'[1]JUN-Despesas'!$F248</f>
        <v>0</v>
      </c>
      <c r="J115" s="86">
        <f>'[1]JUL-Despesas'!$F248</f>
        <v>0</v>
      </c>
      <c r="K115" s="86">
        <f>'[1]AGO-Despesas'!$F248</f>
        <v>0</v>
      </c>
      <c r="L115" s="86">
        <f>'[1]SET-Despesas'!$F251</f>
        <v>0</v>
      </c>
      <c r="M115" s="86">
        <f>'[1]OUT-Despesas'!$F251</f>
        <v>0</v>
      </c>
      <c r="N115" s="86">
        <f>'[1]NOV-Despesas'!$F254</f>
        <v>0</v>
      </c>
      <c r="O115" s="86">
        <v>0</v>
      </c>
      <c r="P115" s="3"/>
    </row>
    <row r="116" spans="1:16" ht="15.75" customHeight="1" x14ac:dyDescent="0.3">
      <c r="A116" s="3"/>
      <c r="B116" s="84" t="s">
        <v>408</v>
      </c>
      <c r="C116" s="86">
        <f t="shared" ref="C116:O116" si="30">SUM(C117,C118,C119,C120)</f>
        <v>20464.39</v>
      </c>
      <c r="D116" s="86">
        <f t="shared" si="30"/>
        <v>18906.02</v>
      </c>
      <c r="E116" s="86">
        <f t="shared" si="30"/>
        <v>1463.5</v>
      </c>
      <c r="F116" s="86">
        <f t="shared" si="30"/>
        <v>0</v>
      </c>
      <c r="G116" s="86">
        <f t="shared" si="30"/>
        <v>0</v>
      </c>
      <c r="H116" s="86">
        <f t="shared" si="30"/>
        <v>94.87</v>
      </c>
      <c r="I116" s="86">
        <f t="shared" si="30"/>
        <v>0</v>
      </c>
      <c r="J116" s="86">
        <f t="shared" si="30"/>
        <v>0</v>
      </c>
      <c r="K116" s="86">
        <f t="shared" si="30"/>
        <v>0</v>
      </c>
      <c r="L116" s="86">
        <f t="shared" si="30"/>
        <v>0</v>
      </c>
      <c r="M116" s="86">
        <f t="shared" si="30"/>
        <v>0</v>
      </c>
      <c r="N116" s="86">
        <f t="shared" si="30"/>
        <v>0</v>
      </c>
      <c r="O116" s="86">
        <f t="shared" si="30"/>
        <v>0</v>
      </c>
      <c r="P116" s="3"/>
    </row>
    <row r="117" spans="1:16" ht="15.75" hidden="1" customHeight="1" outlineLevel="1" x14ac:dyDescent="0.3">
      <c r="A117" s="3"/>
      <c r="B117" s="91" t="s">
        <v>1631</v>
      </c>
      <c r="C117" s="93">
        <f t="shared" ref="C117:C121" si="31">SUM(D117:O117)</f>
        <v>974.87</v>
      </c>
      <c r="D117" s="93">
        <f>'[1]JAN-Despesas'!$F223</f>
        <v>880</v>
      </c>
      <c r="E117" s="93">
        <f>'[1]FEV-Despesas'!$F237</f>
        <v>0</v>
      </c>
      <c r="F117" s="93">
        <f>'[1]MAR-Despesas'!$F236</f>
        <v>0</v>
      </c>
      <c r="G117" s="93">
        <f>'[1]ABR-Despesas'!$F255</f>
        <v>0</v>
      </c>
      <c r="H117" s="93">
        <f>'MAI-Despesas'!$F269</f>
        <v>94.87</v>
      </c>
      <c r="I117" s="93">
        <f>'[1]JUN-Despesas'!$F259</f>
        <v>0</v>
      </c>
      <c r="J117" s="93">
        <f>'[1]JUL-Despesas'!$F259</f>
        <v>0</v>
      </c>
      <c r="K117" s="93">
        <f>'[1]AGO-Despesas'!$F259</f>
        <v>0</v>
      </c>
      <c r="L117" s="93">
        <f>'[1]SET-Despesas'!$F259</f>
        <v>0</v>
      </c>
      <c r="M117" s="93">
        <f>'[1]OUT-Despesas'!$F259</f>
        <v>0</v>
      </c>
      <c r="N117" s="93">
        <f>'[1]NOV-Despesas'!$F265</f>
        <v>0</v>
      </c>
      <c r="O117" s="93">
        <v>0</v>
      </c>
      <c r="P117" s="3"/>
    </row>
    <row r="118" spans="1:16" ht="15.75" hidden="1" customHeight="1" outlineLevel="1" x14ac:dyDescent="0.3">
      <c r="A118" s="3"/>
      <c r="B118" s="91" t="s">
        <v>1632</v>
      </c>
      <c r="C118" s="93">
        <f t="shared" si="31"/>
        <v>1463.5</v>
      </c>
      <c r="D118" s="93">
        <f>'[1]JAN-Despesas'!$F233</f>
        <v>0</v>
      </c>
      <c r="E118" s="93">
        <f>'[1]FEV-Despesas'!$F247</f>
        <v>1463.5</v>
      </c>
      <c r="F118" s="93">
        <f>'[1]MAR-Despesas'!$F246</f>
        <v>0</v>
      </c>
      <c r="G118" s="93">
        <f>'[1]ABR-Despesas'!$F265</f>
        <v>0</v>
      </c>
      <c r="H118" s="93">
        <f>'MAI-Despesas'!$F279</f>
        <v>0</v>
      </c>
      <c r="I118" s="93">
        <f>'[1]JUN-Despesas'!$F269</f>
        <v>0</v>
      </c>
      <c r="J118" s="93">
        <f>'[1]JUL-Despesas'!$F269</f>
        <v>0</v>
      </c>
      <c r="K118" s="93">
        <f>'[1]AGO-Despesas'!$F269</f>
        <v>0</v>
      </c>
      <c r="L118" s="93">
        <f>'[1]SET-Despesas'!$F269</f>
        <v>0</v>
      </c>
      <c r="M118" s="93">
        <f>'[1]OUT-Despesas'!$F269</f>
        <v>0</v>
      </c>
      <c r="N118" s="93">
        <f>'[1]NOV-Despesas'!$F275</f>
        <v>0</v>
      </c>
      <c r="O118" s="93">
        <v>0</v>
      </c>
      <c r="P118" s="3"/>
    </row>
    <row r="119" spans="1:16" ht="15.75" hidden="1" customHeight="1" outlineLevel="1" x14ac:dyDescent="0.3">
      <c r="A119" s="3"/>
      <c r="B119" s="91" t="s">
        <v>1024</v>
      </c>
      <c r="C119" s="93">
        <f t="shared" si="31"/>
        <v>17931.53</v>
      </c>
      <c r="D119" s="93">
        <f>'[1]JAN-Despesas'!$F243</f>
        <v>17931.53</v>
      </c>
      <c r="E119" s="93">
        <f>'[1]FEV-Despesas'!$F257</f>
        <v>0</v>
      </c>
      <c r="F119" s="93">
        <f>'[1]MAR-Despesas'!$F256</f>
        <v>0</v>
      </c>
      <c r="G119" s="93">
        <f>'[1]ABR-Despesas'!$F275</f>
        <v>0</v>
      </c>
      <c r="H119" s="93">
        <f>'MAI-Despesas'!$F289</f>
        <v>0</v>
      </c>
      <c r="I119" s="93">
        <f>'[1]JUN-Despesas'!$F279</f>
        <v>0</v>
      </c>
      <c r="J119" s="93">
        <f>'[1]JUL-Despesas'!$F279</f>
        <v>0</v>
      </c>
      <c r="K119" s="93">
        <f>'[1]AGO-Despesas'!$F279</f>
        <v>0</v>
      </c>
      <c r="L119" s="93">
        <f>'[1]SET-Despesas'!$F279</f>
        <v>0</v>
      </c>
      <c r="M119" s="93">
        <f>'[1]OUT-Despesas'!$F279</f>
        <v>0</v>
      </c>
      <c r="N119" s="93">
        <f>'[1]NOV-Despesas'!$F285</f>
        <v>0</v>
      </c>
      <c r="O119" s="93">
        <v>0</v>
      </c>
      <c r="P119" s="3"/>
    </row>
    <row r="120" spans="1:16" ht="15.75" hidden="1" customHeight="1" outlineLevel="1" x14ac:dyDescent="0.3">
      <c r="A120" s="3"/>
      <c r="B120" s="91" t="s">
        <v>689</v>
      </c>
      <c r="C120" s="93">
        <f t="shared" si="31"/>
        <v>94.49</v>
      </c>
      <c r="D120" s="93">
        <f>'[1]JAN-Despesas'!$F261</f>
        <v>94.49</v>
      </c>
      <c r="E120" s="93">
        <f>'[1]FEV-Despesas'!$F267</f>
        <v>0</v>
      </c>
      <c r="F120" s="93">
        <f>'[1]MAR-Despesas'!$F266</f>
        <v>0</v>
      </c>
      <c r="G120" s="93">
        <f>'[1]ABR-Despesas'!$F285+'[1]ABR-Despesas'!$F295</f>
        <v>0</v>
      </c>
      <c r="H120" s="93">
        <f>'MAI-Despesas'!$F299+'MAI-Despesas'!$F309</f>
        <v>0</v>
      </c>
      <c r="I120" s="93">
        <f>'[1]JUN-Despesas'!$F289+'[1]JUN-Despesas'!$F299</f>
        <v>0</v>
      </c>
      <c r="J120" s="93">
        <f>'[1]JUL-Despesas'!$F289+'[1]JUL-Despesas'!$F311</f>
        <v>0</v>
      </c>
      <c r="K120" s="93">
        <f>'[1]AGO-Despesas'!$F289+'[1]AGO-Despesas'!$F311</f>
        <v>0</v>
      </c>
      <c r="L120" s="93">
        <f>'[1]SET-Despesas'!$F289+'[1]SET-Despesas'!$F311</f>
        <v>0</v>
      </c>
      <c r="M120" s="93">
        <f>'[1]OUT-Despesas'!$F289+'[1]OUT-Despesas'!$F311</f>
        <v>0</v>
      </c>
      <c r="N120" s="93">
        <f>'[1]NOV-Despesas'!$F295+'[1]NOV-Despesas'!$F317</f>
        <v>0</v>
      </c>
      <c r="O120" s="93">
        <v>0</v>
      </c>
      <c r="P120" s="3"/>
    </row>
    <row r="121" spans="1:16" ht="15.75" customHeight="1" collapsed="1" x14ac:dyDescent="0.3">
      <c r="A121" s="3"/>
      <c r="B121" s="84" t="s">
        <v>411</v>
      </c>
      <c r="C121" s="86" t="e">
        <f t="shared" si="31"/>
        <v>#REF!</v>
      </c>
      <c r="D121" s="86">
        <f>'JAN-Despesas'!$F271</f>
        <v>356.51</v>
      </c>
      <c r="E121" s="86">
        <f>'FEV-Despesas'!$F277</f>
        <v>54</v>
      </c>
      <c r="F121" s="86">
        <f>'MAR-Despesas'!$F276</f>
        <v>0</v>
      </c>
      <c r="G121" s="86">
        <f>'ABR-Despesas'!$F305</f>
        <v>227.5</v>
      </c>
      <c r="H121" s="86">
        <f>'MAI-Despesas'!$F319</f>
        <v>104</v>
      </c>
      <c r="I121" s="86">
        <f>'JUN-Despesas'!$F310</f>
        <v>120.1</v>
      </c>
      <c r="J121" s="86" t="e">
        <f>'JUL-Despesas'!#REF!</f>
        <v>#REF!</v>
      </c>
      <c r="K121" s="86">
        <f>'AGO-Despesas'!$F319</f>
        <v>0</v>
      </c>
      <c r="L121" s="86">
        <f>'SET-Despesas'!$F319</f>
        <v>0</v>
      </c>
      <c r="M121" s="86">
        <f>'OUT-Despesas'!$F319</f>
        <v>0</v>
      </c>
      <c r="N121" s="86">
        <f>'NOV-Despesas'!$F319</f>
        <v>0</v>
      </c>
      <c r="O121" s="86">
        <f>'DEZ-Despesas'!$F319</f>
        <v>0</v>
      </c>
      <c r="P121" s="3"/>
    </row>
    <row r="122" spans="1:16" ht="15.75" customHeight="1" x14ac:dyDescent="0.3">
      <c r="A122" s="3"/>
      <c r="B122" s="3"/>
      <c r="C122" s="169"/>
      <c r="D122" s="148"/>
      <c r="E122" s="148"/>
      <c r="F122" s="169"/>
      <c r="G122" s="169"/>
      <c r="H122" s="111"/>
      <c r="I122" s="37"/>
      <c r="J122" s="37"/>
      <c r="K122" s="37"/>
      <c r="L122" s="37"/>
      <c r="M122" s="37"/>
      <c r="N122" s="37"/>
      <c r="O122" s="37"/>
      <c r="P122" s="3"/>
    </row>
    <row r="123" spans="1:16" ht="15.75" customHeight="1" x14ac:dyDescent="0.3">
      <c r="A123" s="3"/>
      <c r="B123" s="3"/>
      <c r="C123" s="169"/>
      <c r="D123" s="111"/>
      <c r="E123" s="111"/>
      <c r="F123" s="111"/>
      <c r="G123" s="111"/>
      <c r="H123" s="111"/>
      <c r="I123" s="37"/>
      <c r="J123" s="37"/>
      <c r="K123" s="37"/>
      <c r="L123" s="37"/>
      <c r="M123" s="37"/>
      <c r="N123" s="37"/>
      <c r="O123" s="37"/>
      <c r="P123" s="3"/>
    </row>
    <row r="124" spans="1:16" ht="15.75" customHeight="1" x14ac:dyDescent="0.3">
      <c r="A124" s="3"/>
      <c r="B124" s="3"/>
      <c r="C124" s="148"/>
      <c r="D124" s="111"/>
      <c r="E124" s="111"/>
      <c r="F124" s="111"/>
      <c r="G124" s="111"/>
      <c r="H124" s="111"/>
      <c r="I124" s="37"/>
      <c r="J124" s="37"/>
      <c r="K124" s="37"/>
      <c r="L124" s="37"/>
      <c r="M124" s="37"/>
      <c r="N124" s="37"/>
      <c r="O124" s="37"/>
      <c r="P124" s="3"/>
    </row>
    <row r="125" spans="1:16" ht="15.75" customHeight="1" x14ac:dyDescent="0.3">
      <c r="A125" s="3"/>
      <c r="B125" s="3"/>
      <c r="C125" s="148"/>
      <c r="D125" s="111"/>
      <c r="E125" s="111"/>
      <c r="F125" s="111"/>
      <c r="G125" s="111"/>
      <c r="H125" s="111"/>
      <c r="I125" s="37"/>
      <c r="J125" s="37"/>
      <c r="K125" s="37"/>
      <c r="L125" s="37"/>
      <c r="M125" s="37"/>
      <c r="N125" s="37"/>
      <c r="O125" s="37"/>
      <c r="P125" s="3"/>
    </row>
    <row r="126" spans="1:16" ht="15.75" customHeight="1" x14ac:dyDescent="0.3">
      <c r="A126" s="3"/>
      <c r="B126" s="3"/>
      <c r="C126" s="148"/>
      <c r="D126" s="111"/>
      <c r="E126" s="111"/>
      <c r="F126" s="111"/>
      <c r="G126" s="111"/>
      <c r="H126" s="111"/>
      <c r="I126" s="37"/>
      <c r="J126" s="37"/>
      <c r="K126" s="37"/>
      <c r="L126" s="37"/>
      <c r="M126" s="37"/>
      <c r="N126" s="37"/>
      <c r="O126" s="37"/>
      <c r="P126" s="3"/>
    </row>
    <row r="127" spans="1:16" ht="15.75" customHeight="1" x14ac:dyDescent="0.3">
      <c r="A127" s="3"/>
      <c r="B127" s="3"/>
      <c r="C127" s="148"/>
      <c r="D127" s="111"/>
      <c r="E127" s="111"/>
      <c r="F127" s="111"/>
      <c r="G127" s="111"/>
      <c r="H127" s="111"/>
      <c r="I127" s="37"/>
      <c r="J127" s="37"/>
      <c r="K127" s="37"/>
      <c r="L127" s="37"/>
      <c r="M127" s="37"/>
      <c r="N127" s="37"/>
      <c r="O127" s="37"/>
      <c r="P127" s="3"/>
    </row>
    <row r="128" spans="1:16" ht="15.75" customHeight="1" x14ac:dyDescent="0.3">
      <c r="A128" s="3"/>
      <c r="B128" s="3"/>
      <c r="C128" s="170"/>
      <c r="D128" s="111"/>
      <c r="E128" s="111"/>
      <c r="F128" s="111"/>
      <c r="G128" s="111"/>
      <c r="H128" s="111"/>
      <c r="I128" s="37"/>
      <c r="J128" s="37"/>
      <c r="K128" s="37"/>
      <c r="L128" s="37"/>
      <c r="M128" s="37"/>
      <c r="N128" s="37"/>
      <c r="O128" s="37"/>
      <c r="P128" s="3"/>
    </row>
    <row r="129" spans="1:16" ht="15.75" customHeight="1" x14ac:dyDescent="0.3">
      <c r="A129" s="3"/>
      <c r="B129" s="3"/>
      <c r="C129" s="148"/>
      <c r="D129" s="111"/>
      <c r="E129" s="111"/>
      <c r="F129" s="111"/>
      <c r="G129" s="111"/>
      <c r="H129" s="111"/>
      <c r="I129" s="37"/>
      <c r="J129" s="37"/>
      <c r="K129" s="37"/>
      <c r="L129" s="37"/>
      <c r="M129" s="37"/>
      <c r="N129" s="37"/>
      <c r="O129" s="37"/>
      <c r="P129" s="3"/>
    </row>
    <row r="130" spans="1:16" ht="15.75" customHeight="1" x14ac:dyDescent="0.3">
      <c r="A130" s="3"/>
      <c r="B130" s="3"/>
      <c r="C130" s="148"/>
      <c r="D130" s="37"/>
      <c r="E130" s="37"/>
      <c r="F130" s="111"/>
      <c r="G130" s="111"/>
      <c r="H130" s="111"/>
      <c r="I130" s="37"/>
      <c r="J130" s="37"/>
      <c r="K130" s="37"/>
      <c r="L130" s="37"/>
      <c r="M130" s="37"/>
      <c r="N130" s="37"/>
      <c r="O130" s="37"/>
      <c r="P130" s="3"/>
    </row>
    <row r="131" spans="1:16" ht="15.75" customHeight="1" x14ac:dyDescent="0.3">
      <c r="A131" s="3"/>
      <c r="B131" s="3"/>
      <c r="C131" s="148"/>
      <c r="D131" s="37"/>
      <c r="E131" s="37"/>
      <c r="F131" s="111"/>
      <c r="G131" s="111"/>
      <c r="H131" s="111"/>
      <c r="I131" s="37"/>
      <c r="J131" s="37"/>
      <c r="K131" s="37"/>
      <c r="L131" s="37"/>
      <c r="M131" s="37"/>
      <c r="N131" s="37"/>
      <c r="O131" s="37"/>
      <c r="P131" s="3"/>
    </row>
    <row r="132" spans="1:16" ht="15.75" customHeight="1" x14ac:dyDescent="0.3">
      <c r="A132" s="3"/>
      <c r="B132" s="3"/>
      <c r="C132" s="148"/>
      <c r="D132" s="37"/>
      <c r="E132" s="37"/>
      <c r="F132" s="111"/>
      <c r="G132" s="111"/>
      <c r="H132" s="111"/>
      <c r="I132" s="37"/>
      <c r="J132" s="37"/>
      <c r="K132" s="37"/>
      <c r="L132" s="37"/>
      <c r="M132" s="37"/>
      <c r="N132" s="37"/>
      <c r="O132" s="37"/>
      <c r="P132" s="3"/>
    </row>
    <row r="133" spans="1:16" ht="15.75" customHeight="1" x14ac:dyDescent="0.3">
      <c r="A133" s="3"/>
      <c r="B133" s="3"/>
      <c r="C133" s="148"/>
      <c r="D133" s="37"/>
      <c r="E133" s="37"/>
      <c r="F133" s="111"/>
      <c r="G133" s="111"/>
      <c r="H133" s="111"/>
      <c r="I133" s="37"/>
      <c r="J133" s="37"/>
      <c r="K133" s="37"/>
      <c r="L133" s="37"/>
      <c r="M133" s="37"/>
      <c r="N133" s="37"/>
      <c r="O133" s="37"/>
      <c r="P133" s="3"/>
    </row>
    <row r="134" spans="1:16" ht="15.75" customHeight="1" x14ac:dyDescent="0.3">
      <c r="A134" s="3"/>
      <c r="B134" s="3"/>
      <c r="C134" s="148"/>
      <c r="D134" s="37"/>
      <c r="E134" s="37"/>
      <c r="F134" s="111"/>
      <c r="G134" s="111"/>
      <c r="H134" s="111"/>
      <c r="I134" s="37"/>
      <c r="J134" s="37"/>
      <c r="K134" s="37"/>
      <c r="L134" s="37"/>
      <c r="M134" s="37"/>
      <c r="N134" s="37"/>
      <c r="O134" s="37"/>
      <c r="P134" s="3"/>
    </row>
    <row r="135" spans="1:16" ht="15.75" customHeight="1" x14ac:dyDescent="0.3">
      <c r="A135" s="3"/>
      <c r="B135" s="3"/>
      <c r="C135" s="148"/>
      <c r="D135" s="37"/>
      <c r="E135" s="37"/>
      <c r="F135" s="111"/>
      <c r="G135" s="111"/>
      <c r="H135" s="111"/>
      <c r="I135" s="37"/>
      <c r="J135" s="37"/>
      <c r="K135" s="37"/>
      <c r="L135" s="37"/>
      <c r="M135" s="37"/>
      <c r="N135" s="37"/>
      <c r="O135" s="37"/>
      <c r="P135" s="3"/>
    </row>
    <row r="136" spans="1:16" ht="15.75" customHeight="1" x14ac:dyDescent="0.3">
      <c r="A136" s="3"/>
      <c r="B136" s="3"/>
      <c r="C136" s="148"/>
      <c r="D136" s="37"/>
      <c r="E136" s="37"/>
      <c r="F136" s="111"/>
      <c r="G136" s="111"/>
      <c r="H136" s="111"/>
      <c r="I136" s="37"/>
      <c r="J136" s="37"/>
      <c r="K136" s="37"/>
      <c r="L136" s="37"/>
      <c r="M136" s="37"/>
      <c r="N136" s="37"/>
      <c r="O136" s="37"/>
      <c r="P136" s="3"/>
    </row>
    <row r="137" spans="1:16" ht="15.75" customHeight="1" x14ac:dyDescent="0.3">
      <c r="A137" s="3"/>
      <c r="B137" s="3"/>
      <c r="C137" s="148"/>
      <c r="D137" s="37"/>
      <c r="E137" s="37"/>
      <c r="F137" s="111"/>
      <c r="G137" s="111"/>
      <c r="H137" s="111"/>
      <c r="I137" s="37"/>
      <c r="J137" s="37"/>
      <c r="K137" s="37"/>
      <c r="L137" s="37"/>
      <c r="M137" s="37"/>
      <c r="N137" s="37"/>
      <c r="O137" s="37"/>
      <c r="P137" s="3"/>
    </row>
    <row r="138" spans="1:16" ht="15.75" customHeight="1" x14ac:dyDescent="0.3">
      <c r="A138" s="3"/>
      <c r="B138" s="3"/>
      <c r="C138" s="148"/>
      <c r="D138" s="37"/>
      <c r="E138" s="37"/>
      <c r="F138" s="111"/>
      <c r="G138" s="111"/>
      <c r="H138" s="111"/>
      <c r="I138" s="37"/>
      <c r="J138" s="37"/>
      <c r="K138" s="37"/>
      <c r="L138" s="37"/>
      <c r="M138" s="37"/>
      <c r="N138" s="37"/>
      <c r="O138" s="37"/>
      <c r="P138" s="3"/>
    </row>
    <row r="139" spans="1:16" ht="15.75" customHeight="1" x14ac:dyDescent="0.3">
      <c r="A139" s="3"/>
      <c r="B139" s="3"/>
      <c r="C139" s="148"/>
      <c r="D139" s="37"/>
      <c r="E139" s="37"/>
      <c r="F139" s="111"/>
      <c r="G139" s="111"/>
      <c r="H139" s="111"/>
      <c r="I139" s="37"/>
      <c r="J139" s="37"/>
      <c r="K139" s="37"/>
      <c r="L139" s="37"/>
      <c r="M139" s="37"/>
      <c r="N139" s="37"/>
      <c r="O139" s="37"/>
      <c r="P139" s="3"/>
    </row>
    <row r="140" spans="1:16" ht="15.75" customHeight="1" x14ac:dyDescent="0.3">
      <c r="A140" s="3"/>
      <c r="B140" s="3"/>
      <c r="C140" s="148"/>
      <c r="D140" s="37"/>
      <c r="E140" s="37"/>
      <c r="F140" s="111"/>
      <c r="G140" s="111"/>
      <c r="H140" s="111"/>
      <c r="I140" s="37"/>
      <c r="J140" s="37"/>
      <c r="K140" s="37"/>
      <c r="L140" s="37"/>
      <c r="M140" s="37"/>
      <c r="N140" s="37"/>
      <c r="O140" s="37"/>
      <c r="P140" s="3"/>
    </row>
    <row r="141" spans="1:16" ht="15.75" customHeight="1" x14ac:dyDescent="0.3">
      <c r="A141" s="3"/>
      <c r="B141" s="3"/>
      <c r="C141" s="148"/>
      <c r="D141" s="37"/>
      <c r="E141" s="37"/>
      <c r="F141" s="111"/>
      <c r="G141" s="111"/>
      <c r="H141" s="111"/>
      <c r="I141" s="37"/>
      <c r="J141" s="37"/>
      <c r="K141" s="37"/>
      <c r="L141" s="37"/>
      <c r="M141" s="37"/>
      <c r="N141" s="37"/>
      <c r="O141" s="37"/>
      <c r="P141" s="3"/>
    </row>
    <row r="142" spans="1:16" ht="15.75" customHeight="1" x14ac:dyDescent="0.3">
      <c r="A142" s="3"/>
      <c r="B142" s="3"/>
      <c r="C142" s="148"/>
      <c r="D142" s="37"/>
      <c r="E142" s="37"/>
      <c r="F142" s="111"/>
      <c r="G142" s="111"/>
      <c r="H142" s="111"/>
      <c r="I142" s="37"/>
      <c r="J142" s="37"/>
      <c r="K142" s="37"/>
      <c r="L142" s="37"/>
      <c r="M142" s="37"/>
      <c r="N142" s="37"/>
      <c r="O142" s="37"/>
      <c r="P142" s="3"/>
    </row>
    <row r="143" spans="1:16" ht="15.75" customHeight="1" x14ac:dyDescent="0.3">
      <c r="A143" s="3"/>
      <c r="B143" s="3"/>
      <c r="C143" s="148"/>
      <c r="D143" s="37"/>
      <c r="E143" s="37"/>
      <c r="F143" s="111"/>
      <c r="G143" s="111"/>
      <c r="H143" s="111"/>
      <c r="I143" s="37"/>
      <c r="J143" s="37"/>
      <c r="K143" s="37"/>
      <c r="L143" s="37"/>
      <c r="M143" s="37"/>
      <c r="N143" s="37"/>
      <c r="O143" s="37"/>
      <c r="P143" s="3"/>
    </row>
    <row r="144" spans="1:16" ht="15.75" customHeight="1" x14ac:dyDescent="0.3">
      <c r="A144" s="3"/>
      <c r="B144" s="3"/>
      <c r="C144" s="148"/>
      <c r="D144" s="37"/>
      <c r="E144" s="37"/>
      <c r="F144" s="111"/>
      <c r="G144" s="111"/>
      <c r="H144" s="111"/>
      <c r="I144" s="37"/>
      <c r="J144" s="37"/>
      <c r="K144" s="37"/>
      <c r="L144" s="37"/>
      <c r="M144" s="37"/>
      <c r="N144" s="37"/>
      <c r="O144" s="37"/>
      <c r="P144" s="3"/>
    </row>
    <row r="145" spans="1:16" ht="15.75" customHeight="1" x14ac:dyDescent="0.3">
      <c r="A145" s="3"/>
      <c r="B145" s="3"/>
      <c r="C145" s="148"/>
      <c r="D145" s="37"/>
      <c r="E145" s="37"/>
      <c r="F145" s="111"/>
      <c r="G145" s="111"/>
      <c r="H145" s="111"/>
      <c r="I145" s="37"/>
      <c r="J145" s="37"/>
      <c r="K145" s="37"/>
      <c r="L145" s="37"/>
      <c r="M145" s="37"/>
      <c r="N145" s="37"/>
      <c r="O145" s="37"/>
      <c r="P145" s="3"/>
    </row>
    <row r="146" spans="1:16" ht="15.75" customHeight="1" x14ac:dyDescent="0.3">
      <c r="A146" s="3"/>
      <c r="B146" s="3"/>
      <c r="C146" s="148"/>
      <c r="D146" s="37"/>
      <c r="E146" s="37"/>
      <c r="F146" s="111"/>
      <c r="G146" s="111"/>
      <c r="H146" s="111"/>
      <c r="I146" s="37"/>
      <c r="J146" s="37"/>
      <c r="K146" s="37"/>
      <c r="L146" s="37"/>
      <c r="M146" s="37"/>
      <c r="N146" s="37"/>
      <c r="O146" s="37"/>
      <c r="P146" s="3"/>
    </row>
    <row r="147" spans="1:16" ht="15.75" customHeight="1" x14ac:dyDescent="0.3">
      <c r="A147" s="3"/>
      <c r="B147" s="3"/>
      <c r="C147" s="148"/>
      <c r="D147" s="37"/>
      <c r="E147" s="37"/>
      <c r="F147" s="111"/>
      <c r="G147" s="111"/>
      <c r="H147" s="111"/>
      <c r="I147" s="37"/>
      <c r="J147" s="37"/>
      <c r="K147" s="37"/>
      <c r="L147" s="37"/>
      <c r="M147" s="37"/>
      <c r="N147" s="37"/>
      <c r="O147" s="37"/>
      <c r="P147" s="3"/>
    </row>
    <row r="148" spans="1:16" ht="15.75" customHeight="1" x14ac:dyDescent="0.3">
      <c r="A148" s="3"/>
      <c r="B148" s="3"/>
      <c r="C148" s="148"/>
      <c r="D148" s="37"/>
      <c r="E148" s="37"/>
      <c r="F148" s="111"/>
      <c r="G148" s="111"/>
      <c r="H148" s="111"/>
      <c r="I148" s="37"/>
      <c r="J148" s="37"/>
      <c r="K148" s="37"/>
      <c r="L148" s="37"/>
      <c r="M148" s="37"/>
      <c r="N148" s="37"/>
      <c r="O148" s="37"/>
      <c r="P148" s="3"/>
    </row>
    <row r="149" spans="1:16" ht="15.75" customHeight="1" x14ac:dyDescent="0.3">
      <c r="A149" s="3"/>
      <c r="B149" s="3"/>
      <c r="C149" s="148"/>
      <c r="D149" s="37"/>
      <c r="E149" s="37"/>
      <c r="F149" s="111"/>
      <c r="G149" s="111"/>
      <c r="H149" s="111"/>
      <c r="I149" s="37"/>
      <c r="J149" s="37"/>
      <c r="K149" s="37"/>
      <c r="L149" s="37"/>
      <c r="M149" s="37"/>
      <c r="N149" s="37"/>
      <c r="O149" s="37"/>
      <c r="P149" s="3"/>
    </row>
    <row r="150" spans="1:16" ht="15.75" customHeight="1" x14ac:dyDescent="0.3">
      <c r="A150" s="3"/>
      <c r="B150" s="3"/>
      <c r="C150" s="148"/>
      <c r="D150" s="37"/>
      <c r="E150" s="37"/>
      <c r="F150" s="111"/>
      <c r="G150" s="111"/>
      <c r="H150" s="111"/>
      <c r="I150" s="37"/>
      <c r="J150" s="37"/>
      <c r="K150" s="37"/>
      <c r="L150" s="37"/>
      <c r="M150" s="37"/>
      <c r="N150" s="37"/>
      <c r="O150" s="37"/>
      <c r="P150" s="3"/>
    </row>
    <row r="151" spans="1:16" ht="15.75" customHeight="1" x14ac:dyDescent="0.3">
      <c r="A151" s="3"/>
      <c r="B151" s="3"/>
      <c r="C151" s="148"/>
      <c r="D151" s="37"/>
      <c r="E151" s="37"/>
      <c r="F151" s="111"/>
      <c r="G151" s="111"/>
      <c r="H151" s="111"/>
      <c r="I151" s="37"/>
      <c r="J151" s="37"/>
      <c r="K151" s="37"/>
      <c r="L151" s="37"/>
      <c r="M151" s="37"/>
      <c r="N151" s="37"/>
      <c r="O151" s="37"/>
      <c r="P151" s="3"/>
    </row>
    <row r="152" spans="1:16" ht="15.75" customHeight="1" x14ac:dyDescent="0.3">
      <c r="A152" s="3"/>
      <c r="B152" s="3"/>
      <c r="C152" s="148"/>
      <c r="D152" s="37"/>
      <c r="E152" s="37"/>
      <c r="F152" s="111"/>
      <c r="G152" s="111"/>
      <c r="H152" s="111"/>
      <c r="I152" s="37"/>
      <c r="J152" s="37"/>
      <c r="K152" s="37"/>
      <c r="L152" s="37"/>
      <c r="M152" s="37"/>
      <c r="N152" s="37"/>
      <c r="O152" s="37"/>
      <c r="P152" s="3"/>
    </row>
    <row r="153" spans="1:16" ht="15.75" customHeight="1" x14ac:dyDescent="0.3">
      <c r="A153" s="3"/>
      <c r="B153" s="3"/>
      <c r="C153" s="148"/>
      <c r="D153" s="37"/>
      <c r="E153" s="37"/>
      <c r="F153" s="111"/>
      <c r="G153" s="111"/>
      <c r="H153" s="111"/>
      <c r="I153" s="37"/>
      <c r="J153" s="37"/>
      <c r="K153" s="37"/>
      <c r="L153" s="37"/>
      <c r="M153" s="37"/>
      <c r="N153" s="37"/>
      <c r="O153" s="37"/>
      <c r="P153" s="3"/>
    </row>
    <row r="154" spans="1:16" ht="15.75" customHeight="1" x14ac:dyDescent="0.3">
      <c r="A154" s="3"/>
      <c r="B154" s="3"/>
      <c r="C154" s="148"/>
      <c r="D154" s="37"/>
      <c r="E154" s="37"/>
      <c r="F154" s="111"/>
      <c r="G154" s="111"/>
      <c r="H154" s="111"/>
      <c r="I154" s="37"/>
      <c r="J154" s="37"/>
      <c r="K154" s="37"/>
      <c r="L154" s="37"/>
      <c r="M154" s="37"/>
      <c r="N154" s="37"/>
      <c r="O154" s="37"/>
      <c r="P154" s="3"/>
    </row>
    <row r="155" spans="1:16" ht="15.75" customHeight="1" x14ac:dyDescent="0.3">
      <c r="A155" s="3"/>
      <c r="B155" s="3"/>
      <c r="C155" s="148"/>
      <c r="D155" s="37"/>
      <c r="E155" s="37"/>
      <c r="F155" s="111"/>
      <c r="G155" s="111"/>
      <c r="H155" s="111"/>
      <c r="I155" s="37"/>
      <c r="J155" s="37"/>
      <c r="K155" s="37"/>
      <c r="L155" s="37"/>
      <c r="M155" s="37"/>
      <c r="N155" s="37"/>
      <c r="O155" s="37"/>
      <c r="P155" s="3"/>
    </row>
    <row r="156" spans="1:16" ht="15.75" customHeight="1" x14ac:dyDescent="0.3">
      <c r="A156" s="3"/>
      <c r="B156" s="3"/>
      <c r="C156" s="148"/>
      <c r="D156" s="37"/>
      <c r="E156" s="37"/>
      <c r="F156" s="111"/>
      <c r="G156" s="111"/>
      <c r="H156" s="111"/>
      <c r="I156" s="37"/>
      <c r="J156" s="37"/>
      <c r="K156" s="37"/>
      <c r="L156" s="37"/>
      <c r="M156" s="37"/>
      <c r="N156" s="37"/>
      <c r="O156" s="37"/>
      <c r="P156" s="3"/>
    </row>
    <row r="157" spans="1:16" ht="15.75" customHeight="1" x14ac:dyDescent="0.3">
      <c r="A157" s="3"/>
      <c r="B157" s="3"/>
      <c r="C157" s="148"/>
      <c r="D157" s="37"/>
      <c r="E157" s="37"/>
      <c r="F157" s="111"/>
      <c r="G157" s="111"/>
      <c r="H157" s="111"/>
      <c r="I157" s="37"/>
      <c r="J157" s="37"/>
      <c r="K157" s="37"/>
      <c r="L157" s="37"/>
      <c r="M157" s="37"/>
      <c r="N157" s="37"/>
      <c r="O157" s="37"/>
      <c r="P157" s="3"/>
    </row>
    <row r="158" spans="1:16" ht="15.75" customHeight="1" x14ac:dyDescent="0.3">
      <c r="A158" s="3"/>
      <c r="B158" s="3"/>
      <c r="C158" s="148"/>
      <c r="D158" s="37"/>
      <c r="E158" s="37"/>
      <c r="F158" s="111"/>
      <c r="G158" s="111"/>
      <c r="H158" s="111"/>
      <c r="I158" s="37"/>
      <c r="J158" s="37"/>
      <c r="K158" s="37"/>
      <c r="L158" s="37"/>
      <c r="M158" s="37"/>
      <c r="N158" s="37"/>
      <c r="O158" s="37"/>
      <c r="P158" s="3"/>
    </row>
    <row r="159" spans="1:16" ht="15.75" customHeight="1" x14ac:dyDescent="0.3">
      <c r="A159" s="3"/>
      <c r="B159" s="3"/>
      <c r="C159" s="148"/>
      <c r="D159" s="37"/>
      <c r="E159" s="37"/>
      <c r="F159" s="111"/>
      <c r="G159" s="111"/>
      <c r="H159" s="111"/>
      <c r="I159" s="37"/>
      <c r="J159" s="37"/>
      <c r="K159" s="37"/>
      <c r="L159" s="37"/>
      <c r="M159" s="37"/>
      <c r="N159" s="37"/>
      <c r="O159" s="37"/>
      <c r="P159" s="3"/>
    </row>
    <row r="160" spans="1:16" ht="15.75" customHeight="1" x14ac:dyDescent="0.3">
      <c r="A160" s="3"/>
      <c r="B160" s="3"/>
      <c r="C160" s="148"/>
      <c r="D160" s="37"/>
      <c r="E160" s="37"/>
      <c r="F160" s="111"/>
      <c r="G160" s="111"/>
      <c r="H160" s="111"/>
      <c r="I160" s="37"/>
      <c r="J160" s="37"/>
      <c r="K160" s="37"/>
      <c r="L160" s="37"/>
      <c r="M160" s="37"/>
      <c r="N160" s="37"/>
      <c r="O160" s="37"/>
      <c r="P160" s="3"/>
    </row>
    <row r="161" spans="1:16" ht="15.75" customHeight="1" x14ac:dyDescent="0.3">
      <c r="A161" s="3"/>
      <c r="B161" s="3"/>
      <c r="C161" s="148"/>
      <c r="D161" s="37"/>
      <c r="E161" s="37"/>
      <c r="F161" s="111"/>
      <c r="G161" s="111"/>
      <c r="H161" s="111"/>
      <c r="I161" s="37"/>
      <c r="J161" s="37"/>
      <c r="K161" s="37"/>
      <c r="L161" s="37"/>
      <c r="M161" s="37"/>
      <c r="N161" s="37"/>
      <c r="O161" s="37"/>
      <c r="P161" s="3"/>
    </row>
    <row r="162" spans="1:16" ht="15.75" customHeight="1" x14ac:dyDescent="0.3">
      <c r="A162" s="3"/>
      <c r="B162" s="3"/>
      <c r="C162" s="148"/>
      <c r="D162" s="37"/>
      <c r="E162" s="37"/>
      <c r="F162" s="111"/>
      <c r="G162" s="111"/>
      <c r="H162" s="111"/>
      <c r="I162" s="37"/>
      <c r="J162" s="37"/>
      <c r="K162" s="37"/>
      <c r="L162" s="37"/>
      <c r="M162" s="37"/>
      <c r="N162" s="37"/>
      <c r="O162" s="37"/>
      <c r="P162" s="3"/>
    </row>
    <row r="163" spans="1:16" ht="15.75" customHeight="1" x14ac:dyDescent="0.3">
      <c r="A163" s="3"/>
      <c r="B163" s="3"/>
      <c r="C163" s="148"/>
      <c r="D163" s="37"/>
      <c r="E163" s="37"/>
      <c r="F163" s="111"/>
      <c r="G163" s="111"/>
      <c r="H163" s="111"/>
      <c r="I163" s="37"/>
      <c r="J163" s="37"/>
      <c r="K163" s="37"/>
      <c r="L163" s="37"/>
      <c r="M163" s="37"/>
      <c r="N163" s="37"/>
      <c r="O163" s="37"/>
      <c r="P163" s="3"/>
    </row>
    <row r="164" spans="1:16" ht="15.75" customHeight="1" x14ac:dyDescent="0.3">
      <c r="A164" s="3"/>
      <c r="B164" s="3"/>
      <c r="C164" s="148"/>
      <c r="D164" s="37"/>
      <c r="E164" s="37"/>
      <c r="F164" s="111"/>
      <c r="G164" s="111"/>
      <c r="H164" s="111"/>
      <c r="I164" s="37"/>
      <c r="J164" s="37"/>
      <c r="K164" s="37"/>
      <c r="L164" s="37"/>
      <c r="M164" s="37"/>
      <c r="N164" s="37"/>
      <c r="O164" s="37"/>
      <c r="P164" s="3"/>
    </row>
    <row r="165" spans="1:16" ht="15.75" customHeight="1" x14ac:dyDescent="0.3">
      <c r="A165" s="3"/>
      <c r="B165" s="3"/>
      <c r="C165" s="148"/>
      <c r="D165" s="37"/>
      <c r="E165" s="37"/>
      <c r="F165" s="111"/>
      <c r="G165" s="111"/>
      <c r="H165" s="111"/>
      <c r="I165" s="37"/>
      <c r="J165" s="37"/>
      <c r="K165" s="37"/>
      <c r="L165" s="37"/>
      <c r="M165" s="37"/>
      <c r="N165" s="37"/>
      <c r="O165" s="37"/>
      <c r="P165" s="3"/>
    </row>
    <row r="166" spans="1:16" ht="15.75" customHeight="1" x14ac:dyDescent="0.3">
      <c r="A166" s="3"/>
      <c r="B166" s="3"/>
      <c r="C166" s="148"/>
      <c r="D166" s="37"/>
      <c r="E166" s="37"/>
      <c r="F166" s="111"/>
      <c r="G166" s="111"/>
      <c r="H166" s="111"/>
      <c r="I166" s="37"/>
      <c r="J166" s="37"/>
      <c r="K166" s="37"/>
      <c r="L166" s="37"/>
      <c r="M166" s="37"/>
      <c r="N166" s="37"/>
      <c r="O166" s="37"/>
      <c r="P166" s="3"/>
    </row>
    <row r="167" spans="1:16" ht="15.75" customHeight="1" x14ac:dyDescent="0.3">
      <c r="A167" s="3"/>
      <c r="B167" s="3"/>
      <c r="C167" s="148"/>
      <c r="D167" s="37"/>
      <c r="E167" s="37"/>
      <c r="F167" s="111"/>
      <c r="G167" s="111"/>
      <c r="H167" s="111"/>
      <c r="I167" s="37"/>
      <c r="J167" s="37"/>
      <c r="K167" s="37"/>
      <c r="L167" s="37"/>
      <c r="M167" s="37"/>
      <c r="N167" s="37"/>
      <c r="O167" s="37"/>
      <c r="P167" s="3"/>
    </row>
    <row r="168" spans="1:16" ht="15.75" customHeight="1" x14ac:dyDescent="0.3">
      <c r="A168" s="3"/>
      <c r="B168" s="3"/>
      <c r="C168" s="148"/>
      <c r="D168" s="37"/>
      <c r="E168" s="37"/>
      <c r="F168" s="111"/>
      <c r="G168" s="111"/>
      <c r="H168" s="111"/>
      <c r="I168" s="37"/>
      <c r="J168" s="37"/>
      <c r="K168" s="37"/>
      <c r="L168" s="37"/>
      <c r="M168" s="37"/>
      <c r="N168" s="37"/>
      <c r="O168" s="37"/>
      <c r="P168" s="3"/>
    </row>
    <row r="169" spans="1:16" ht="15.75" customHeight="1" x14ac:dyDescent="0.3">
      <c r="A169" s="3"/>
      <c r="B169" s="3"/>
      <c r="C169" s="148"/>
      <c r="D169" s="37"/>
      <c r="E169" s="37"/>
      <c r="F169" s="111"/>
      <c r="G169" s="111"/>
      <c r="H169" s="111"/>
      <c r="I169" s="37"/>
      <c r="J169" s="37"/>
      <c r="K169" s="37"/>
      <c r="L169" s="37"/>
      <c r="M169" s="37"/>
      <c r="N169" s="37"/>
      <c r="O169" s="37"/>
      <c r="P169" s="3"/>
    </row>
    <row r="170" spans="1:16" ht="15.75" customHeight="1" x14ac:dyDescent="0.3">
      <c r="A170" s="3"/>
      <c r="B170" s="3"/>
      <c r="C170" s="148"/>
      <c r="D170" s="37"/>
      <c r="E170" s="37"/>
      <c r="F170" s="111"/>
      <c r="G170" s="111"/>
      <c r="H170" s="111"/>
      <c r="I170" s="37"/>
      <c r="J170" s="37"/>
      <c r="K170" s="37"/>
      <c r="L170" s="37"/>
      <c r="M170" s="37"/>
      <c r="N170" s="37"/>
      <c r="O170" s="37"/>
      <c r="P170" s="3"/>
    </row>
    <row r="171" spans="1:16" ht="15.75" customHeight="1" x14ac:dyDescent="0.3">
      <c r="A171" s="3"/>
      <c r="B171" s="3"/>
      <c r="C171" s="148"/>
      <c r="D171" s="37"/>
      <c r="E171" s="37"/>
      <c r="F171" s="111"/>
      <c r="G171" s="111"/>
      <c r="H171" s="111"/>
      <c r="I171" s="37"/>
      <c r="J171" s="37"/>
      <c r="K171" s="37"/>
      <c r="L171" s="37"/>
      <c r="M171" s="37"/>
      <c r="N171" s="37"/>
      <c r="O171" s="37"/>
      <c r="P171" s="3"/>
    </row>
    <row r="172" spans="1:16" ht="15.75" customHeight="1" x14ac:dyDescent="0.3">
      <c r="A172" s="3"/>
      <c r="B172" s="3"/>
      <c r="C172" s="148"/>
      <c r="D172" s="37"/>
      <c r="E172" s="37"/>
      <c r="F172" s="111"/>
      <c r="G172" s="111"/>
      <c r="H172" s="111"/>
      <c r="I172" s="37"/>
      <c r="J172" s="37"/>
      <c r="K172" s="37"/>
      <c r="L172" s="37"/>
      <c r="M172" s="37"/>
      <c r="N172" s="37"/>
      <c r="O172" s="37"/>
      <c r="P172" s="3"/>
    </row>
    <row r="173" spans="1:16" ht="15.75" customHeight="1" x14ac:dyDescent="0.3">
      <c r="A173" s="3"/>
      <c r="B173" s="3"/>
      <c r="C173" s="148"/>
      <c r="D173" s="37"/>
      <c r="E173" s="37"/>
      <c r="F173" s="111"/>
      <c r="G173" s="111"/>
      <c r="H173" s="111"/>
      <c r="I173" s="37"/>
      <c r="J173" s="37"/>
      <c r="K173" s="37"/>
      <c r="L173" s="37"/>
      <c r="M173" s="37"/>
      <c r="N173" s="37"/>
      <c r="O173" s="37"/>
      <c r="P173" s="3"/>
    </row>
    <row r="174" spans="1:16" ht="15.75" customHeight="1" x14ac:dyDescent="0.3">
      <c r="A174" s="3"/>
      <c r="B174" s="3"/>
      <c r="C174" s="148"/>
      <c r="D174" s="37"/>
      <c r="E174" s="37"/>
      <c r="F174" s="111"/>
      <c r="G174" s="111"/>
      <c r="H174" s="111"/>
      <c r="I174" s="37"/>
      <c r="J174" s="37"/>
      <c r="K174" s="37"/>
      <c r="L174" s="37"/>
      <c r="M174" s="37"/>
      <c r="N174" s="37"/>
      <c r="O174" s="37"/>
      <c r="P174" s="3"/>
    </row>
    <row r="175" spans="1:16" ht="15.75" customHeight="1" x14ac:dyDescent="0.3">
      <c r="A175" s="3"/>
      <c r="B175" s="3"/>
      <c r="C175" s="148"/>
      <c r="D175" s="37"/>
      <c r="E175" s="37"/>
      <c r="F175" s="111"/>
      <c r="G175" s="111"/>
      <c r="H175" s="111"/>
      <c r="I175" s="37"/>
      <c r="J175" s="37"/>
      <c r="K175" s="37"/>
      <c r="L175" s="37"/>
      <c r="M175" s="37"/>
      <c r="N175" s="37"/>
      <c r="O175" s="37"/>
      <c r="P175" s="3"/>
    </row>
    <row r="176" spans="1:16" ht="15.75" customHeight="1" x14ac:dyDescent="0.3">
      <c r="A176" s="3"/>
      <c r="B176" s="3"/>
      <c r="C176" s="148"/>
      <c r="D176" s="37"/>
      <c r="E176" s="37"/>
      <c r="F176" s="111"/>
      <c r="G176" s="111"/>
      <c r="H176" s="111"/>
      <c r="I176" s="37"/>
      <c r="J176" s="37"/>
      <c r="K176" s="37"/>
      <c r="L176" s="37"/>
      <c r="M176" s="37"/>
      <c r="N176" s="37"/>
      <c r="O176" s="37"/>
      <c r="P176" s="3"/>
    </row>
    <row r="177" spans="1:16" ht="15.75" customHeight="1" x14ac:dyDescent="0.3">
      <c r="A177" s="3"/>
      <c r="B177" s="3"/>
      <c r="C177" s="148"/>
      <c r="D177" s="37"/>
      <c r="E177" s="37"/>
      <c r="F177" s="111"/>
      <c r="G177" s="111"/>
      <c r="H177" s="111"/>
      <c r="I177" s="37"/>
      <c r="J177" s="37"/>
      <c r="K177" s="37"/>
      <c r="L177" s="37"/>
      <c r="M177" s="37"/>
      <c r="N177" s="37"/>
      <c r="O177" s="37"/>
      <c r="P177" s="3"/>
    </row>
    <row r="178" spans="1:16" ht="15.75" customHeight="1" x14ac:dyDescent="0.3">
      <c r="A178" s="3"/>
      <c r="B178" s="3"/>
      <c r="C178" s="148"/>
      <c r="D178" s="37"/>
      <c r="E178" s="37"/>
      <c r="F178" s="111"/>
      <c r="G178" s="111"/>
      <c r="H178" s="111"/>
      <c r="I178" s="37"/>
      <c r="J178" s="37"/>
      <c r="K178" s="37"/>
      <c r="L178" s="37"/>
      <c r="M178" s="37"/>
      <c r="N178" s="37"/>
      <c r="O178" s="37"/>
      <c r="P178" s="3"/>
    </row>
    <row r="179" spans="1:16" ht="15.75" customHeight="1" x14ac:dyDescent="0.3">
      <c r="A179" s="3"/>
      <c r="B179" s="3"/>
      <c r="C179" s="148"/>
      <c r="D179" s="37"/>
      <c r="E179" s="37"/>
      <c r="F179" s="111"/>
      <c r="G179" s="111"/>
      <c r="H179" s="111"/>
      <c r="I179" s="37"/>
      <c r="J179" s="37"/>
      <c r="K179" s="37"/>
      <c r="L179" s="37"/>
      <c r="M179" s="37"/>
      <c r="N179" s="37"/>
      <c r="O179" s="37"/>
      <c r="P179" s="3"/>
    </row>
    <row r="180" spans="1:16" ht="15.75" customHeight="1" x14ac:dyDescent="0.3">
      <c r="A180" s="3"/>
      <c r="B180" s="3"/>
      <c r="C180" s="148"/>
      <c r="D180" s="37"/>
      <c r="E180" s="37"/>
      <c r="F180" s="111"/>
      <c r="G180" s="111"/>
      <c r="H180" s="111"/>
      <c r="I180" s="37"/>
      <c r="J180" s="37"/>
      <c r="K180" s="37"/>
      <c r="L180" s="37"/>
      <c r="M180" s="37"/>
      <c r="N180" s="37"/>
      <c r="O180" s="37"/>
      <c r="P180" s="3"/>
    </row>
    <row r="181" spans="1:16" ht="15.75" customHeight="1" x14ac:dyDescent="0.3">
      <c r="A181" s="3"/>
      <c r="B181" s="3"/>
      <c r="C181" s="148"/>
      <c r="D181" s="37"/>
      <c r="E181" s="37"/>
      <c r="F181" s="111"/>
      <c r="G181" s="111"/>
      <c r="H181" s="111"/>
      <c r="I181" s="37"/>
      <c r="J181" s="37"/>
      <c r="K181" s="37"/>
      <c r="L181" s="37"/>
      <c r="M181" s="37"/>
      <c r="N181" s="37"/>
      <c r="O181" s="37"/>
      <c r="P181" s="3"/>
    </row>
    <row r="182" spans="1:16" ht="15.75" customHeight="1" x14ac:dyDescent="0.3">
      <c r="A182" s="3"/>
      <c r="B182" s="3"/>
      <c r="C182" s="148"/>
      <c r="D182" s="37"/>
      <c r="E182" s="37"/>
      <c r="F182" s="111"/>
      <c r="G182" s="111"/>
      <c r="H182" s="111"/>
      <c r="I182" s="37"/>
      <c r="J182" s="37"/>
      <c r="K182" s="37"/>
      <c r="L182" s="37"/>
      <c r="M182" s="37"/>
      <c r="N182" s="37"/>
      <c r="O182" s="37"/>
      <c r="P182" s="3"/>
    </row>
    <row r="183" spans="1:16" ht="15.75" customHeight="1" x14ac:dyDescent="0.3">
      <c r="A183" s="3"/>
      <c r="B183" s="3"/>
      <c r="C183" s="148"/>
      <c r="D183" s="37"/>
      <c r="E183" s="37"/>
      <c r="F183" s="111"/>
      <c r="G183" s="111"/>
      <c r="H183" s="111"/>
      <c r="I183" s="37"/>
      <c r="J183" s="37"/>
      <c r="K183" s="37"/>
      <c r="L183" s="37"/>
      <c r="M183" s="37"/>
      <c r="N183" s="37"/>
      <c r="O183" s="37"/>
      <c r="P183" s="3"/>
    </row>
    <row r="184" spans="1:16" ht="15.75" customHeight="1" x14ac:dyDescent="0.3">
      <c r="A184" s="3"/>
      <c r="B184" s="3"/>
      <c r="C184" s="148"/>
      <c r="D184" s="37"/>
      <c r="E184" s="37"/>
      <c r="F184" s="111"/>
      <c r="G184" s="111"/>
      <c r="H184" s="111"/>
      <c r="I184" s="37"/>
      <c r="J184" s="37"/>
      <c r="K184" s="37"/>
      <c r="L184" s="37"/>
      <c r="M184" s="37"/>
      <c r="N184" s="37"/>
      <c r="O184" s="37"/>
      <c r="P184" s="3"/>
    </row>
    <row r="185" spans="1:16" ht="15.75" customHeight="1" x14ac:dyDescent="0.3">
      <c r="A185" s="3"/>
      <c r="B185" s="3"/>
      <c r="C185" s="148"/>
      <c r="D185" s="37"/>
      <c r="E185" s="37"/>
      <c r="F185" s="111"/>
      <c r="G185" s="111"/>
      <c r="H185" s="111"/>
      <c r="I185" s="37"/>
      <c r="J185" s="37"/>
      <c r="K185" s="37"/>
      <c r="L185" s="37"/>
      <c r="M185" s="37"/>
      <c r="N185" s="37"/>
      <c r="O185" s="37"/>
      <c r="P185" s="3"/>
    </row>
    <row r="186" spans="1:16" ht="15.75" customHeight="1" x14ac:dyDescent="0.3">
      <c r="A186" s="3"/>
      <c r="B186" s="3"/>
      <c r="C186" s="148"/>
      <c r="D186" s="37"/>
      <c r="E186" s="37"/>
      <c r="F186" s="111"/>
      <c r="G186" s="111"/>
      <c r="H186" s="111"/>
      <c r="I186" s="37"/>
      <c r="J186" s="37"/>
      <c r="K186" s="37"/>
      <c r="L186" s="37"/>
      <c r="M186" s="37"/>
      <c r="N186" s="37"/>
      <c r="O186" s="37"/>
      <c r="P186" s="3"/>
    </row>
    <row r="187" spans="1:16" ht="15.75" customHeight="1" x14ac:dyDescent="0.3">
      <c r="A187" s="3"/>
      <c r="B187" s="3"/>
      <c r="C187" s="148"/>
      <c r="D187" s="37"/>
      <c r="E187" s="37"/>
      <c r="F187" s="111"/>
      <c r="G187" s="111"/>
      <c r="H187" s="111"/>
      <c r="I187" s="37"/>
      <c r="J187" s="37"/>
      <c r="K187" s="37"/>
      <c r="L187" s="37"/>
      <c r="M187" s="37"/>
      <c r="N187" s="37"/>
      <c r="O187" s="37"/>
      <c r="P187" s="3"/>
    </row>
    <row r="188" spans="1:16" ht="15.75" customHeight="1" x14ac:dyDescent="0.3">
      <c r="A188" s="3"/>
      <c r="B188" s="3"/>
      <c r="C188" s="148"/>
      <c r="D188" s="37"/>
      <c r="E188" s="37"/>
      <c r="F188" s="111"/>
      <c r="G188" s="111"/>
      <c r="H188" s="111"/>
      <c r="I188" s="37"/>
      <c r="J188" s="37"/>
      <c r="K188" s="37"/>
      <c r="L188" s="37"/>
      <c r="M188" s="37"/>
      <c r="N188" s="37"/>
      <c r="O188" s="37"/>
      <c r="P188" s="3"/>
    </row>
    <row r="189" spans="1:16" ht="15.75" customHeight="1" x14ac:dyDescent="0.3">
      <c r="A189" s="3"/>
      <c r="B189" s="3"/>
      <c r="C189" s="148"/>
      <c r="D189" s="37"/>
      <c r="E189" s="37"/>
      <c r="F189" s="111"/>
      <c r="G189" s="111"/>
      <c r="H189" s="111"/>
      <c r="I189" s="37"/>
      <c r="J189" s="37"/>
      <c r="K189" s="37"/>
      <c r="L189" s="37"/>
      <c r="M189" s="37"/>
      <c r="N189" s="37"/>
      <c r="O189" s="37"/>
      <c r="P189" s="3"/>
    </row>
    <row r="190" spans="1:16" ht="15.75" customHeight="1" x14ac:dyDescent="0.3">
      <c r="A190" s="3"/>
      <c r="B190" s="3"/>
      <c r="C190" s="148"/>
      <c r="D190" s="37"/>
      <c r="E190" s="37"/>
      <c r="F190" s="111"/>
      <c r="G190" s="111"/>
      <c r="H190" s="111"/>
      <c r="I190" s="37"/>
      <c r="J190" s="37"/>
      <c r="K190" s="37"/>
      <c r="L190" s="37"/>
      <c r="M190" s="37"/>
      <c r="N190" s="37"/>
      <c r="O190" s="37"/>
      <c r="P190" s="3"/>
    </row>
    <row r="191" spans="1:16" ht="15.75" customHeight="1" x14ac:dyDescent="0.3">
      <c r="A191" s="3"/>
      <c r="B191" s="3"/>
      <c r="C191" s="148"/>
      <c r="D191" s="37"/>
      <c r="E191" s="37"/>
      <c r="F191" s="111"/>
      <c r="G191" s="111"/>
      <c r="H191" s="111"/>
      <c r="I191" s="37"/>
      <c r="J191" s="37"/>
      <c r="K191" s="37"/>
      <c r="L191" s="37"/>
      <c r="M191" s="37"/>
      <c r="N191" s="37"/>
      <c r="O191" s="37"/>
      <c r="P191" s="3"/>
    </row>
    <row r="192" spans="1:16" ht="15.75" customHeight="1" x14ac:dyDescent="0.3">
      <c r="A192" s="3"/>
      <c r="B192" s="3"/>
      <c r="C192" s="148"/>
      <c r="D192" s="37"/>
      <c r="E192" s="37"/>
      <c r="F192" s="111"/>
      <c r="G192" s="111"/>
      <c r="H192" s="111"/>
      <c r="I192" s="37"/>
      <c r="J192" s="37"/>
      <c r="K192" s="37"/>
      <c r="L192" s="37"/>
      <c r="M192" s="37"/>
      <c r="N192" s="37"/>
      <c r="O192" s="37"/>
      <c r="P192" s="3"/>
    </row>
    <row r="193" spans="1:16" ht="15.75" customHeight="1" x14ac:dyDescent="0.3">
      <c r="A193" s="3"/>
      <c r="B193" s="3"/>
      <c r="C193" s="148"/>
      <c r="D193" s="37"/>
      <c r="E193" s="37"/>
      <c r="F193" s="111"/>
      <c r="G193" s="111"/>
      <c r="H193" s="111"/>
      <c r="I193" s="37"/>
      <c r="J193" s="37"/>
      <c r="K193" s="37"/>
      <c r="L193" s="37"/>
      <c r="M193" s="37"/>
      <c r="N193" s="37"/>
      <c r="O193" s="37"/>
      <c r="P193" s="3"/>
    </row>
    <row r="194" spans="1:16" ht="15.75" customHeight="1" x14ac:dyDescent="0.3">
      <c r="A194" s="3"/>
      <c r="B194" s="3"/>
      <c r="C194" s="148"/>
      <c r="D194" s="37"/>
      <c r="E194" s="37"/>
      <c r="F194" s="111"/>
      <c r="G194" s="111"/>
      <c r="H194" s="111"/>
      <c r="I194" s="37"/>
      <c r="J194" s="37"/>
      <c r="K194" s="37"/>
      <c r="L194" s="37"/>
      <c r="M194" s="37"/>
      <c r="N194" s="37"/>
      <c r="O194" s="37"/>
      <c r="P194" s="3"/>
    </row>
    <row r="195" spans="1:16" ht="15.75" customHeight="1" x14ac:dyDescent="0.3">
      <c r="A195" s="3"/>
      <c r="B195" s="3"/>
      <c r="C195" s="148"/>
      <c r="D195" s="37"/>
      <c r="E195" s="37"/>
      <c r="F195" s="111"/>
      <c r="G195" s="111"/>
      <c r="H195" s="111"/>
      <c r="I195" s="37"/>
      <c r="J195" s="37"/>
      <c r="K195" s="37"/>
      <c r="L195" s="37"/>
      <c r="M195" s="37"/>
      <c r="N195" s="37"/>
      <c r="O195" s="37"/>
      <c r="P195" s="3"/>
    </row>
    <row r="196" spans="1:16" ht="15.75" customHeight="1" x14ac:dyDescent="0.3">
      <c r="A196" s="3"/>
      <c r="B196" s="3"/>
      <c r="C196" s="148"/>
      <c r="D196" s="37"/>
      <c r="E196" s="37"/>
      <c r="F196" s="111"/>
      <c r="G196" s="111"/>
      <c r="H196" s="111"/>
      <c r="I196" s="37"/>
      <c r="J196" s="37"/>
      <c r="K196" s="37"/>
      <c r="L196" s="37"/>
      <c r="M196" s="37"/>
      <c r="N196" s="37"/>
      <c r="O196" s="37"/>
      <c r="P196" s="3"/>
    </row>
    <row r="197" spans="1:16" ht="15.75" customHeight="1" x14ac:dyDescent="0.3">
      <c r="A197" s="3"/>
      <c r="B197" s="3"/>
      <c r="C197" s="148"/>
      <c r="D197" s="37"/>
      <c r="E197" s="37"/>
      <c r="F197" s="111"/>
      <c r="G197" s="111"/>
      <c r="H197" s="111"/>
      <c r="I197" s="37"/>
      <c r="J197" s="37"/>
      <c r="K197" s="37"/>
      <c r="L197" s="37"/>
      <c r="M197" s="37"/>
      <c r="N197" s="37"/>
      <c r="O197" s="37"/>
      <c r="P197" s="3"/>
    </row>
    <row r="198" spans="1:16" ht="15.75" customHeight="1" x14ac:dyDescent="0.3">
      <c r="A198" s="3"/>
      <c r="B198" s="3"/>
      <c r="C198" s="148"/>
      <c r="D198" s="37"/>
      <c r="E198" s="37"/>
      <c r="F198" s="111"/>
      <c r="G198" s="111"/>
      <c r="H198" s="111"/>
      <c r="I198" s="37"/>
      <c r="J198" s="37"/>
      <c r="K198" s="37"/>
      <c r="L198" s="37"/>
      <c r="M198" s="37"/>
      <c r="N198" s="37"/>
      <c r="O198" s="37"/>
      <c r="P198" s="3"/>
    </row>
    <row r="199" spans="1:16" ht="15.75" customHeight="1" x14ac:dyDescent="0.3">
      <c r="A199" s="3"/>
      <c r="B199" s="3"/>
      <c r="C199" s="148"/>
      <c r="D199" s="37"/>
      <c r="E199" s="37"/>
      <c r="F199" s="111"/>
      <c r="G199" s="111"/>
      <c r="H199" s="111"/>
      <c r="I199" s="37"/>
      <c r="J199" s="37"/>
      <c r="K199" s="37"/>
      <c r="L199" s="37"/>
      <c r="M199" s="37"/>
      <c r="N199" s="37"/>
      <c r="O199" s="37"/>
      <c r="P199" s="3"/>
    </row>
    <row r="200" spans="1:16" ht="15.75" customHeight="1" x14ac:dyDescent="0.3">
      <c r="A200" s="3"/>
      <c r="B200" s="3"/>
      <c r="C200" s="148"/>
      <c r="D200" s="37"/>
      <c r="E200" s="37"/>
      <c r="F200" s="111"/>
      <c r="G200" s="111"/>
      <c r="H200" s="111"/>
      <c r="I200" s="37"/>
      <c r="J200" s="37"/>
      <c r="K200" s="37"/>
      <c r="L200" s="37"/>
      <c r="M200" s="37"/>
      <c r="N200" s="37"/>
      <c r="O200" s="37"/>
      <c r="P200" s="3"/>
    </row>
    <row r="201" spans="1:16" ht="15.75" customHeight="1" x14ac:dyDescent="0.3">
      <c r="A201" s="3"/>
      <c r="B201" s="3"/>
      <c r="C201" s="148"/>
      <c r="D201" s="37"/>
      <c r="E201" s="37"/>
      <c r="F201" s="111"/>
      <c r="G201" s="111"/>
      <c r="H201" s="111"/>
      <c r="I201" s="37"/>
      <c r="J201" s="37"/>
      <c r="K201" s="37"/>
      <c r="L201" s="37"/>
      <c r="M201" s="37"/>
      <c r="N201" s="37"/>
      <c r="O201" s="37"/>
      <c r="P201" s="3"/>
    </row>
    <row r="202" spans="1:16" ht="15.75" customHeight="1" x14ac:dyDescent="0.3">
      <c r="A202" s="3"/>
      <c r="B202" s="3"/>
      <c r="C202" s="148"/>
      <c r="D202" s="37"/>
      <c r="E202" s="37"/>
      <c r="F202" s="111"/>
      <c r="G202" s="111"/>
      <c r="H202" s="111"/>
      <c r="I202" s="37"/>
      <c r="J202" s="37"/>
      <c r="K202" s="37"/>
      <c r="L202" s="37"/>
      <c r="M202" s="37"/>
      <c r="N202" s="37"/>
      <c r="O202" s="37"/>
      <c r="P202" s="3"/>
    </row>
    <row r="203" spans="1:16" ht="15.75" customHeight="1" x14ac:dyDescent="0.3">
      <c r="A203" s="3"/>
      <c r="B203" s="3"/>
      <c r="C203" s="148"/>
      <c r="D203" s="37"/>
      <c r="E203" s="37"/>
      <c r="F203" s="111"/>
      <c r="G203" s="111"/>
      <c r="H203" s="111"/>
      <c r="I203" s="37"/>
      <c r="J203" s="37"/>
      <c r="K203" s="37"/>
      <c r="L203" s="37"/>
      <c r="M203" s="37"/>
      <c r="N203" s="37"/>
      <c r="O203" s="37"/>
      <c r="P203" s="3"/>
    </row>
    <row r="204" spans="1:16" ht="15.75" customHeight="1" x14ac:dyDescent="0.3">
      <c r="A204" s="3"/>
      <c r="B204" s="3"/>
      <c r="C204" s="148"/>
      <c r="D204" s="37"/>
      <c r="E204" s="37"/>
      <c r="F204" s="111"/>
      <c r="G204" s="111"/>
      <c r="H204" s="111"/>
      <c r="I204" s="37"/>
      <c r="J204" s="37"/>
      <c r="K204" s="37"/>
      <c r="L204" s="37"/>
      <c r="M204" s="37"/>
      <c r="N204" s="37"/>
      <c r="O204" s="37"/>
      <c r="P204" s="3"/>
    </row>
    <row r="205" spans="1:16" ht="15.75" customHeight="1" x14ac:dyDescent="0.3">
      <c r="A205" s="3"/>
      <c r="B205" s="3"/>
      <c r="C205" s="148"/>
      <c r="D205" s="37"/>
      <c r="E205" s="37"/>
      <c r="F205" s="111"/>
      <c r="G205" s="111"/>
      <c r="H205" s="111"/>
      <c r="I205" s="37"/>
      <c r="J205" s="37"/>
      <c r="K205" s="37"/>
      <c r="L205" s="37"/>
      <c r="M205" s="37"/>
      <c r="N205" s="37"/>
      <c r="O205" s="37"/>
      <c r="P205" s="3"/>
    </row>
    <row r="206" spans="1:16" ht="15.75" customHeight="1" x14ac:dyDescent="0.3">
      <c r="A206" s="3"/>
      <c r="B206" s="3"/>
      <c r="C206" s="148"/>
      <c r="D206" s="37"/>
      <c r="E206" s="37"/>
      <c r="F206" s="111"/>
      <c r="G206" s="111"/>
      <c r="H206" s="111"/>
      <c r="I206" s="37"/>
      <c r="J206" s="37"/>
      <c r="K206" s="37"/>
      <c r="L206" s="37"/>
      <c r="M206" s="37"/>
      <c r="N206" s="37"/>
      <c r="O206" s="37"/>
      <c r="P206" s="3"/>
    </row>
    <row r="207" spans="1:16" ht="15.75" customHeight="1" x14ac:dyDescent="0.3">
      <c r="A207" s="3"/>
      <c r="B207" s="3"/>
      <c r="C207" s="148"/>
      <c r="D207" s="37"/>
      <c r="E207" s="37"/>
      <c r="F207" s="111"/>
      <c r="G207" s="111"/>
      <c r="H207" s="111"/>
      <c r="I207" s="37"/>
      <c r="J207" s="37"/>
      <c r="K207" s="37"/>
      <c r="L207" s="37"/>
      <c r="M207" s="37"/>
      <c r="N207" s="37"/>
      <c r="O207" s="37"/>
      <c r="P207" s="3"/>
    </row>
    <row r="208" spans="1:16" ht="15.75" customHeight="1" x14ac:dyDescent="0.3">
      <c r="A208" s="3"/>
      <c r="B208" s="3"/>
      <c r="C208" s="148"/>
      <c r="D208" s="37"/>
      <c r="E208" s="37"/>
      <c r="F208" s="111"/>
      <c r="G208" s="111"/>
      <c r="H208" s="111"/>
      <c r="I208" s="37"/>
      <c r="J208" s="37"/>
      <c r="K208" s="37"/>
      <c r="L208" s="37"/>
      <c r="M208" s="37"/>
      <c r="N208" s="37"/>
      <c r="O208" s="37"/>
      <c r="P208" s="3"/>
    </row>
    <row r="209" spans="1:16" ht="15.75" customHeight="1" x14ac:dyDescent="0.3">
      <c r="A209" s="3"/>
      <c r="B209" s="3"/>
      <c r="C209" s="148"/>
      <c r="D209" s="37"/>
      <c r="E209" s="37"/>
      <c r="F209" s="111"/>
      <c r="G209" s="111"/>
      <c r="H209" s="111"/>
      <c r="I209" s="37"/>
      <c r="J209" s="37"/>
      <c r="K209" s="37"/>
      <c r="L209" s="37"/>
      <c r="M209" s="37"/>
      <c r="N209" s="37"/>
      <c r="O209" s="37"/>
      <c r="P209" s="3"/>
    </row>
    <row r="210" spans="1:16" ht="15.75" customHeight="1" x14ac:dyDescent="0.3">
      <c r="A210" s="3"/>
      <c r="B210" s="3"/>
      <c r="C210" s="148"/>
      <c r="D210" s="37"/>
      <c r="E210" s="37"/>
      <c r="F210" s="111"/>
      <c r="G210" s="111"/>
      <c r="H210" s="111"/>
      <c r="I210" s="37"/>
      <c r="J210" s="37"/>
      <c r="K210" s="37"/>
      <c r="L210" s="37"/>
      <c r="M210" s="37"/>
      <c r="N210" s="37"/>
      <c r="O210" s="37"/>
      <c r="P210" s="3"/>
    </row>
    <row r="211" spans="1:16" ht="15.75" customHeight="1" x14ac:dyDescent="0.3">
      <c r="A211" s="3"/>
      <c r="B211" s="3"/>
      <c r="C211" s="148"/>
      <c r="D211" s="37"/>
      <c r="E211" s="37"/>
      <c r="F211" s="111"/>
      <c r="G211" s="111"/>
      <c r="H211" s="111"/>
      <c r="I211" s="37"/>
      <c r="J211" s="37"/>
      <c r="K211" s="37"/>
      <c r="L211" s="37"/>
      <c r="M211" s="37"/>
      <c r="N211" s="37"/>
      <c r="O211" s="37"/>
      <c r="P211" s="3"/>
    </row>
    <row r="212" spans="1:16" ht="15.75" customHeight="1" x14ac:dyDescent="0.3">
      <c r="A212" s="3"/>
      <c r="B212" s="3"/>
      <c r="C212" s="148"/>
      <c r="D212" s="37"/>
      <c r="E212" s="37"/>
      <c r="F212" s="111"/>
      <c r="G212" s="111"/>
      <c r="H212" s="111"/>
      <c r="I212" s="37"/>
      <c r="J212" s="37"/>
      <c r="K212" s="37"/>
      <c r="L212" s="37"/>
      <c r="M212" s="37"/>
      <c r="N212" s="37"/>
      <c r="O212" s="37"/>
      <c r="P212" s="3"/>
    </row>
    <row r="213" spans="1:16" ht="15.75" customHeight="1" x14ac:dyDescent="0.3">
      <c r="A213" s="3"/>
      <c r="B213" s="3"/>
      <c r="C213" s="148"/>
      <c r="D213" s="37"/>
      <c r="E213" s="37"/>
      <c r="F213" s="111"/>
      <c r="G213" s="111"/>
      <c r="H213" s="111"/>
      <c r="I213" s="37"/>
      <c r="J213" s="37"/>
      <c r="K213" s="37"/>
      <c r="L213" s="37"/>
      <c r="M213" s="37"/>
      <c r="N213" s="37"/>
      <c r="O213" s="37"/>
      <c r="P213" s="3"/>
    </row>
    <row r="214" spans="1:16" ht="15.75" customHeight="1" x14ac:dyDescent="0.3">
      <c r="A214" s="3"/>
      <c r="B214" s="3"/>
      <c r="C214" s="148"/>
      <c r="D214" s="37"/>
      <c r="E214" s="37"/>
      <c r="F214" s="111"/>
      <c r="G214" s="111"/>
      <c r="H214" s="111"/>
      <c r="I214" s="37"/>
      <c r="J214" s="37"/>
      <c r="K214" s="37"/>
      <c r="L214" s="37"/>
      <c r="M214" s="37"/>
      <c r="N214" s="37"/>
      <c r="O214" s="37"/>
      <c r="P214" s="3"/>
    </row>
    <row r="215" spans="1:16" ht="15.75" customHeight="1" x14ac:dyDescent="0.3">
      <c r="A215" s="3"/>
      <c r="B215" s="3"/>
      <c r="C215" s="148"/>
      <c r="D215" s="37"/>
      <c r="E215" s="37"/>
      <c r="F215" s="111"/>
      <c r="G215" s="111"/>
      <c r="H215" s="111"/>
      <c r="I215" s="37"/>
      <c r="J215" s="37"/>
      <c r="K215" s="37"/>
      <c r="L215" s="37"/>
      <c r="M215" s="37"/>
      <c r="N215" s="37"/>
      <c r="O215" s="37"/>
      <c r="P215" s="3"/>
    </row>
    <row r="216" spans="1:16" ht="15.75" customHeight="1" x14ac:dyDescent="0.3">
      <c r="A216" s="3"/>
      <c r="B216" s="3"/>
      <c r="C216" s="148"/>
      <c r="D216" s="37"/>
      <c r="E216" s="37"/>
      <c r="F216" s="111"/>
      <c r="G216" s="111"/>
      <c r="H216" s="111"/>
      <c r="I216" s="37"/>
      <c r="J216" s="37"/>
      <c r="K216" s="37"/>
      <c r="L216" s="37"/>
      <c r="M216" s="37"/>
      <c r="N216" s="37"/>
      <c r="O216" s="37"/>
      <c r="P216" s="3"/>
    </row>
    <row r="217" spans="1:16" ht="15.75" customHeight="1" x14ac:dyDescent="0.3">
      <c r="A217" s="3"/>
      <c r="B217" s="3"/>
      <c r="C217" s="148"/>
      <c r="D217" s="37"/>
      <c r="E217" s="37"/>
      <c r="F217" s="111"/>
      <c r="G217" s="111"/>
      <c r="H217" s="111"/>
      <c r="I217" s="37"/>
      <c r="J217" s="37"/>
      <c r="K217" s="37"/>
      <c r="L217" s="37"/>
      <c r="M217" s="37"/>
      <c r="N217" s="37"/>
      <c r="O217" s="37"/>
      <c r="P217" s="3"/>
    </row>
    <row r="218" spans="1:16" ht="15.75" customHeight="1" x14ac:dyDescent="0.3">
      <c r="A218" s="3"/>
      <c r="B218" s="3"/>
      <c r="C218" s="148"/>
      <c r="D218" s="37"/>
      <c r="E218" s="37"/>
      <c r="F218" s="111"/>
      <c r="G218" s="111"/>
      <c r="H218" s="111"/>
      <c r="I218" s="37"/>
      <c r="J218" s="37"/>
      <c r="K218" s="37"/>
      <c r="L218" s="37"/>
      <c r="M218" s="37"/>
      <c r="N218" s="37"/>
      <c r="O218" s="37"/>
      <c r="P218" s="3"/>
    </row>
    <row r="219" spans="1:16" ht="15.75" customHeight="1" x14ac:dyDescent="0.3">
      <c r="A219" s="3"/>
      <c r="B219" s="3"/>
      <c r="C219" s="148"/>
      <c r="D219" s="37"/>
      <c r="E219" s="37"/>
      <c r="F219" s="111"/>
      <c r="G219" s="111"/>
      <c r="H219" s="111"/>
      <c r="I219" s="37"/>
      <c r="J219" s="37"/>
      <c r="K219" s="37"/>
      <c r="L219" s="37"/>
      <c r="M219" s="37"/>
      <c r="N219" s="37"/>
      <c r="O219" s="37"/>
      <c r="P219" s="3"/>
    </row>
    <row r="220" spans="1:16" ht="15.75" customHeight="1" x14ac:dyDescent="0.3">
      <c r="A220" s="3"/>
      <c r="B220" s="3"/>
      <c r="C220" s="148"/>
      <c r="D220" s="37"/>
      <c r="E220" s="37"/>
      <c r="F220" s="111"/>
      <c r="G220" s="111"/>
      <c r="H220" s="111"/>
      <c r="I220" s="37"/>
      <c r="J220" s="37"/>
      <c r="K220" s="37"/>
      <c r="L220" s="37"/>
      <c r="M220" s="37"/>
      <c r="N220" s="37"/>
      <c r="O220" s="37"/>
      <c r="P220" s="3"/>
    </row>
    <row r="221" spans="1:16" ht="15.75" customHeight="1" x14ac:dyDescent="0.3">
      <c r="A221" s="3"/>
      <c r="B221" s="3"/>
      <c r="C221" s="148"/>
      <c r="D221" s="37"/>
      <c r="E221" s="37"/>
      <c r="F221" s="111"/>
      <c r="G221" s="111"/>
      <c r="H221" s="111"/>
      <c r="I221" s="37"/>
      <c r="J221" s="37"/>
      <c r="K221" s="37"/>
      <c r="L221" s="37"/>
      <c r="M221" s="37"/>
      <c r="N221" s="37"/>
      <c r="O221" s="37"/>
      <c r="P221" s="3"/>
    </row>
    <row r="222" spans="1:16" ht="15.75" customHeight="1" x14ac:dyDescent="0.3">
      <c r="A222" s="3"/>
      <c r="B222" s="3"/>
      <c r="C222" s="148"/>
      <c r="D222" s="37"/>
      <c r="E222" s="37"/>
      <c r="F222" s="111"/>
      <c r="G222" s="111"/>
      <c r="H222" s="111"/>
      <c r="I222" s="37"/>
      <c r="J222" s="37"/>
      <c r="K222" s="37"/>
      <c r="L222" s="37"/>
      <c r="M222" s="37"/>
      <c r="N222" s="37"/>
      <c r="O222" s="37"/>
      <c r="P222" s="3"/>
    </row>
    <row r="223" spans="1:16" ht="15.75" customHeight="1" x14ac:dyDescent="0.3">
      <c r="A223" s="3"/>
      <c r="B223" s="3"/>
      <c r="C223" s="148"/>
      <c r="D223" s="37"/>
      <c r="E223" s="37"/>
      <c r="F223" s="111"/>
      <c r="G223" s="111"/>
      <c r="H223" s="111"/>
      <c r="I223" s="37"/>
      <c r="J223" s="37"/>
      <c r="K223" s="37"/>
      <c r="L223" s="37"/>
      <c r="M223" s="37"/>
      <c r="N223" s="37"/>
      <c r="O223" s="37"/>
      <c r="P223" s="3"/>
    </row>
    <row r="224" spans="1:16" ht="15.75" customHeight="1" x14ac:dyDescent="0.3">
      <c r="A224" s="3"/>
      <c r="B224" s="3"/>
      <c r="C224" s="148"/>
      <c r="D224" s="37"/>
      <c r="E224" s="37"/>
      <c r="F224" s="111"/>
      <c r="G224" s="111"/>
      <c r="H224" s="111"/>
      <c r="I224" s="37"/>
      <c r="J224" s="37"/>
      <c r="K224" s="37"/>
      <c r="L224" s="37"/>
      <c r="M224" s="37"/>
      <c r="N224" s="37"/>
      <c r="O224" s="37"/>
      <c r="P224" s="3"/>
    </row>
    <row r="225" spans="1:16" ht="15.75" customHeight="1" x14ac:dyDescent="0.3">
      <c r="A225" s="3"/>
      <c r="B225" s="3"/>
      <c r="C225" s="148"/>
      <c r="D225" s="37"/>
      <c r="E225" s="37"/>
      <c r="F225" s="111"/>
      <c r="G225" s="111"/>
      <c r="H225" s="111"/>
      <c r="I225" s="37"/>
      <c r="J225" s="37"/>
      <c r="K225" s="37"/>
      <c r="L225" s="37"/>
      <c r="M225" s="37"/>
      <c r="N225" s="37"/>
      <c r="O225" s="37"/>
      <c r="P225" s="3"/>
    </row>
    <row r="226" spans="1:16" ht="15.75" customHeight="1" x14ac:dyDescent="0.3">
      <c r="A226" s="3"/>
      <c r="B226" s="3"/>
      <c r="C226" s="148"/>
      <c r="D226" s="37"/>
      <c r="E226" s="37"/>
      <c r="F226" s="111"/>
      <c r="G226" s="111"/>
      <c r="H226" s="111"/>
      <c r="I226" s="37"/>
      <c r="J226" s="37"/>
      <c r="K226" s="37"/>
      <c r="L226" s="37"/>
      <c r="M226" s="37"/>
      <c r="N226" s="37"/>
      <c r="O226" s="37"/>
      <c r="P226" s="3"/>
    </row>
    <row r="227" spans="1:16" ht="15.75" customHeight="1" x14ac:dyDescent="0.3">
      <c r="A227" s="3"/>
      <c r="B227" s="3"/>
      <c r="C227" s="148"/>
      <c r="D227" s="37"/>
      <c r="E227" s="37"/>
      <c r="F227" s="111"/>
      <c r="G227" s="111"/>
      <c r="H227" s="111"/>
      <c r="I227" s="37"/>
      <c r="J227" s="37"/>
      <c r="K227" s="37"/>
      <c r="L227" s="37"/>
      <c r="M227" s="37"/>
      <c r="N227" s="37"/>
      <c r="O227" s="37"/>
      <c r="P227" s="3"/>
    </row>
    <row r="228" spans="1:16" ht="15.75" customHeight="1" x14ac:dyDescent="0.3">
      <c r="A228" s="3"/>
      <c r="B228" s="3"/>
      <c r="C228" s="148"/>
      <c r="D228" s="37"/>
      <c r="E228" s="37"/>
      <c r="F228" s="111"/>
      <c r="G228" s="111"/>
      <c r="H228" s="111"/>
      <c r="I228" s="37"/>
      <c r="J228" s="37"/>
      <c r="K228" s="37"/>
      <c r="L228" s="37"/>
      <c r="M228" s="37"/>
      <c r="N228" s="37"/>
      <c r="O228" s="37"/>
      <c r="P228" s="3"/>
    </row>
    <row r="229" spans="1:16" ht="15.75" customHeight="1" x14ac:dyDescent="0.3">
      <c r="A229" s="3"/>
      <c r="B229" s="3"/>
      <c r="C229" s="148"/>
      <c r="D229" s="37"/>
      <c r="E229" s="37"/>
      <c r="F229" s="111"/>
      <c r="G229" s="111"/>
      <c r="H229" s="111"/>
      <c r="I229" s="37"/>
      <c r="J229" s="37"/>
      <c r="K229" s="37"/>
      <c r="L229" s="37"/>
      <c r="M229" s="37"/>
      <c r="N229" s="37"/>
      <c r="O229" s="37"/>
      <c r="P229" s="3"/>
    </row>
    <row r="230" spans="1:16" ht="15.75" customHeight="1" x14ac:dyDescent="0.3">
      <c r="A230" s="3"/>
      <c r="B230" s="3"/>
      <c r="C230" s="148"/>
      <c r="D230" s="37"/>
      <c r="E230" s="37"/>
      <c r="F230" s="111"/>
      <c r="G230" s="111"/>
      <c r="H230" s="111"/>
      <c r="I230" s="37"/>
      <c r="J230" s="37"/>
      <c r="K230" s="37"/>
      <c r="L230" s="37"/>
      <c r="M230" s="37"/>
      <c r="N230" s="37"/>
      <c r="O230" s="37"/>
      <c r="P230" s="3"/>
    </row>
    <row r="231" spans="1:16" ht="15.75" customHeight="1" x14ac:dyDescent="0.3">
      <c r="A231" s="3"/>
      <c r="B231" s="3"/>
      <c r="C231" s="148"/>
      <c r="D231" s="37"/>
      <c r="E231" s="37"/>
      <c r="F231" s="111"/>
      <c r="G231" s="111"/>
      <c r="H231" s="111"/>
      <c r="I231" s="37"/>
      <c r="J231" s="37"/>
      <c r="K231" s="37"/>
      <c r="L231" s="37"/>
      <c r="M231" s="37"/>
      <c r="N231" s="37"/>
      <c r="O231" s="37"/>
      <c r="P231" s="3"/>
    </row>
    <row r="232" spans="1:16" ht="15.75" customHeight="1" x14ac:dyDescent="0.3">
      <c r="A232" s="3"/>
      <c r="B232" s="3"/>
      <c r="C232" s="148"/>
      <c r="D232" s="37"/>
      <c r="E232" s="37"/>
      <c r="F232" s="111"/>
      <c r="G232" s="111"/>
      <c r="H232" s="111"/>
      <c r="I232" s="37"/>
      <c r="J232" s="37"/>
      <c r="K232" s="37"/>
      <c r="L232" s="37"/>
      <c r="M232" s="37"/>
      <c r="N232" s="37"/>
      <c r="O232" s="37"/>
      <c r="P232" s="3"/>
    </row>
    <row r="233" spans="1:16" ht="15.75" customHeight="1" x14ac:dyDescent="0.3">
      <c r="A233" s="3"/>
      <c r="B233" s="3"/>
      <c r="C233" s="148"/>
      <c r="D233" s="37"/>
      <c r="E233" s="37"/>
      <c r="F233" s="111"/>
      <c r="G233" s="111"/>
      <c r="H233" s="111"/>
      <c r="I233" s="37"/>
      <c r="J233" s="37"/>
      <c r="K233" s="37"/>
      <c r="L233" s="37"/>
      <c r="M233" s="37"/>
      <c r="N233" s="37"/>
      <c r="O233" s="37"/>
      <c r="P233" s="3"/>
    </row>
    <row r="234" spans="1:16" ht="15.75" customHeight="1" x14ac:dyDescent="0.3">
      <c r="A234" s="3"/>
      <c r="B234" s="3"/>
      <c r="C234" s="148"/>
      <c r="D234" s="37"/>
      <c r="E234" s="37"/>
      <c r="F234" s="111"/>
      <c r="G234" s="111"/>
      <c r="H234" s="111"/>
      <c r="I234" s="37"/>
      <c r="J234" s="37"/>
      <c r="K234" s="37"/>
      <c r="L234" s="37"/>
      <c r="M234" s="37"/>
      <c r="N234" s="37"/>
      <c r="O234" s="37"/>
      <c r="P234" s="3"/>
    </row>
    <row r="235" spans="1:16" ht="15.75" customHeight="1" x14ac:dyDescent="0.3">
      <c r="A235" s="3"/>
      <c r="B235" s="3"/>
      <c r="C235" s="148"/>
      <c r="D235" s="37"/>
      <c r="E235" s="37"/>
      <c r="F235" s="111"/>
      <c r="G235" s="111"/>
      <c r="H235" s="111"/>
      <c r="I235" s="37"/>
      <c r="J235" s="37"/>
      <c r="K235" s="37"/>
      <c r="L235" s="37"/>
      <c r="M235" s="37"/>
      <c r="N235" s="37"/>
      <c r="O235" s="37"/>
      <c r="P235" s="3"/>
    </row>
    <row r="236" spans="1:16" ht="15.75" customHeight="1" x14ac:dyDescent="0.3">
      <c r="A236" s="3"/>
      <c r="B236" s="3"/>
      <c r="C236" s="148"/>
      <c r="D236" s="37"/>
      <c r="E236" s="37"/>
      <c r="F236" s="111"/>
      <c r="G236" s="111"/>
      <c r="H236" s="111"/>
      <c r="I236" s="37"/>
      <c r="J236" s="37"/>
      <c r="K236" s="37"/>
      <c r="L236" s="37"/>
      <c r="M236" s="37"/>
      <c r="N236" s="37"/>
      <c r="O236" s="37"/>
      <c r="P236" s="3"/>
    </row>
    <row r="237" spans="1:16" ht="15.75" customHeight="1" x14ac:dyDescent="0.3">
      <c r="A237" s="3"/>
      <c r="B237" s="3"/>
      <c r="C237" s="148"/>
      <c r="D237" s="37"/>
      <c r="E237" s="37"/>
      <c r="F237" s="111"/>
      <c r="G237" s="111"/>
      <c r="H237" s="111"/>
      <c r="I237" s="37"/>
      <c r="J237" s="37"/>
      <c r="K237" s="37"/>
      <c r="L237" s="37"/>
      <c r="M237" s="37"/>
      <c r="N237" s="37"/>
      <c r="O237" s="37"/>
      <c r="P237" s="3"/>
    </row>
    <row r="238" spans="1:16" ht="15.75" customHeight="1" x14ac:dyDescent="0.3">
      <c r="A238" s="3"/>
      <c r="B238" s="3"/>
      <c r="C238" s="148"/>
      <c r="D238" s="37"/>
      <c r="E238" s="37"/>
      <c r="F238" s="111"/>
      <c r="G238" s="111"/>
      <c r="H238" s="111"/>
      <c r="I238" s="37"/>
      <c r="J238" s="37"/>
      <c r="K238" s="37"/>
      <c r="L238" s="37"/>
      <c r="M238" s="37"/>
      <c r="N238" s="37"/>
      <c r="O238" s="37"/>
      <c r="P238" s="3"/>
    </row>
    <row r="239" spans="1:16" ht="15.75" customHeight="1" x14ac:dyDescent="0.3">
      <c r="A239" s="3"/>
      <c r="B239" s="3"/>
      <c r="C239" s="148"/>
      <c r="D239" s="37"/>
      <c r="E239" s="37"/>
      <c r="F239" s="111"/>
      <c r="G239" s="111"/>
      <c r="H239" s="111"/>
      <c r="I239" s="37"/>
      <c r="J239" s="37"/>
      <c r="K239" s="37"/>
      <c r="L239" s="37"/>
      <c r="M239" s="37"/>
      <c r="N239" s="37"/>
      <c r="O239" s="37"/>
      <c r="P239" s="3"/>
    </row>
    <row r="240" spans="1:16" ht="15.75" customHeight="1" x14ac:dyDescent="0.3">
      <c r="A240" s="3"/>
      <c r="B240" s="3"/>
      <c r="C240" s="148"/>
      <c r="D240" s="37"/>
      <c r="E240" s="37"/>
      <c r="F240" s="111"/>
      <c r="G240" s="111"/>
      <c r="H240" s="111"/>
      <c r="I240" s="37"/>
      <c r="J240" s="37"/>
      <c r="K240" s="37"/>
      <c r="L240" s="37"/>
      <c r="M240" s="37"/>
      <c r="N240" s="37"/>
      <c r="O240" s="37"/>
      <c r="P240" s="3"/>
    </row>
    <row r="241" spans="1:16" ht="15.75" customHeight="1" x14ac:dyDescent="0.3">
      <c r="A241" s="3"/>
      <c r="B241" s="3"/>
      <c r="C241" s="148"/>
      <c r="D241" s="37"/>
      <c r="E241" s="37"/>
      <c r="F241" s="111"/>
      <c r="G241" s="111"/>
      <c r="H241" s="111"/>
      <c r="I241" s="37"/>
      <c r="J241" s="37"/>
      <c r="K241" s="37"/>
      <c r="L241" s="37"/>
      <c r="M241" s="37"/>
      <c r="N241" s="37"/>
      <c r="O241" s="37"/>
      <c r="P241" s="3"/>
    </row>
    <row r="242" spans="1:16" ht="15.75" customHeight="1" x14ac:dyDescent="0.3">
      <c r="A242" s="3"/>
      <c r="B242" s="3"/>
      <c r="C242" s="148"/>
      <c r="D242" s="37"/>
      <c r="E242" s="37"/>
      <c r="F242" s="111"/>
      <c r="G242" s="111"/>
      <c r="H242" s="111"/>
      <c r="I242" s="37"/>
      <c r="J242" s="37"/>
      <c r="K242" s="37"/>
      <c r="L242" s="37"/>
      <c r="M242" s="37"/>
      <c r="N242" s="37"/>
      <c r="O242" s="37"/>
      <c r="P242" s="3"/>
    </row>
    <row r="243" spans="1:16" ht="15.75" customHeight="1" x14ac:dyDescent="0.3">
      <c r="A243" s="3"/>
      <c r="B243" s="3"/>
      <c r="C243" s="148"/>
      <c r="D243" s="37"/>
      <c r="E243" s="37"/>
      <c r="F243" s="111"/>
      <c r="G243" s="111"/>
      <c r="H243" s="111"/>
      <c r="I243" s="37"/>
      <c r="J243" s="37"/>
      <c r="K243" s="37"/>
      <c r="L243" s="37"/>
      <c r="M243" s="37"/>
      <c r="N243" s="37"/>
      <c r="O243" s="37"/>
      <c r="P243" s="3"/>
    </row>
    <row r="244" spans="1:16" ht="15.75" customHeight="1" x14ac:dyDescent="0.3">
      <c r="A244" s="3"/>
      <c r="B244" s="3"/>
      <c r="C244" s="148"/>
      <c r="D244" s="37"/>
      <c r="E244" s="37"/>
      <c r="F244" s="111"/>
      <c r="G244" s="111"/>
      <c r="H244" s="111"/>
      <c r="I244" s="37"/>
      <c r="J244" s="37"/>
      <c r="K244" s="37"/>
      <c r="L244" s="37"/>
      <c r="M244" s="37"/>
      <c r="N244" s="37"/>
      <c r="O244" s="37"/>
      <c r="P244" s="3"/>
    </row>
    <row r="245" spans="1:16" ht="15.75" customHeight="1" x14ac:dyDescent="0.3">
      <c r="A245" s="3"/>
      <c r="B245" s="3"/>
      <c r="C245" s="148"/>
      <c r="D245" s="37"/>
      <c r="E245" s="37"/>
      <c r="F245" s="111"/>
      <c r="G245" s="111"/>
      <c r="H245" s="111"/>
      <c r="I245" s="37"/>
      <c r="J245" s="37"/>
      <c r="K245" s="37"/>
      <c r="L245" s="37"/>
      <c r="M245" s="37"/>
      <c r="N245" s="37"/>
      <c r="O245" s="37"/>
      <c r="P245" s="3"/>
    </row>
    <row r="246" spans="1:16" ht="15.75" customHeight="1" x14ac:dyDescent="0.3">
      <c r="A246" s="3"/>
      <c r="B246" s="3"/>
      <c r="C246" s="148"/>
      <c r="D246" s="37"/>
      <c r="E246" s="37"/>
      <c r="F246" s="111"/>
      <c r="G246" s="111"/>
      <c r="H246" s="111"/>
      <c r="I246" s="37"/>
      <c r="J246" s="37"/>
      <c r="K246" s="37"/>
      <c r="L246" s="37"/>
      <c r="M246" s="37"/>
      <c r="N246" s="37"/>
      <c r="O246" s="37"/>
      <c r="P246" s="3"/>
    </row>
    <row r="247" spans="1:16" ht="15.75" customHeight="1" x14ac:dyDescent="0.3">
      <c r="A247" s="3"/>
      <c r="B247" s="3"/>
      <c r="C247" s="148"/>
      <c r="D247" s="37"/>
      <c r="E247" s="37"/>
      <c r="F247" s="111"/>
      <c r="G247" s="111"/>
      <c r="H247" s="111"/>
      <c r="I247" s="37"/>
      <c r="J247" s="37"/>
      <c r="K247" s="37"/>
      <c r="L247" s="37"/>
      <c r="M247" s="37"/>
      <c r="N247" s="37"/>
      <c r="O247" s="37"/>
      <c r="P247" s="3"/>
    </row>
    <row r="248" spans="1:16" ht="15.75" customHeight="1" x14ac:dyDescent="0.3">
      <c r="A248" s="3"/>
      <c r="B248" s="3"/>
      <c r="C248" s="148"/>
      <c r="D248" s="37"/>
      <c r="E248" s="37"/>
      <c r="F248" s="111"/>
      <c r="G248" s="111"/>
      <c r="H248" s="111"/>
      <c r="I248" s="37"/>
      <c r="J248" s="37"/>
      <c r="K248" s="37"/>
      <c r="L248" s="37"/>
      <c r="M248" s="37"/>
      <c r="N248" s="37"/>
      <c r="O248" s="37"/>
      <c r="P248" s="3"/>
    </row>
    <row r="249" spans="1:16" ht="15.75" customHeight="1" x14ac:dyDescent="0.3">
      <c r="A249" s="3"/>
      <c r="B249" s="3"/>
      <c r="C249" s="148"/>
      <c r="D249" s="37"/>
      <c r="E249" s="37"/>
      <c r="F249" s="111"/>
      <c r="G249" s="111"/>
      <c r="H249" s="111"/>
      <c r="I249" s="37"/>
      <c r="J249" s="37"/>
      <c r="K249" s="37"/>
      <c r="L249" s="37"/>
      <c r="M249" s="37"/>
      <c r="N249" s="37"/>
      <c r="O249" s="37"/>
      <c r="P249" s="3"/>
    </row>
    <row r="250" spans="1:16" ht="15.75" customHeight="1" x14ac:dyDescent="0.3">
      <c r="A250" s="3"/>
      <c r="B250" s="3"/>
      <c r="C250" s="148"/>
      <c r="D250" s="37"/>
      <c r="E250" s="37"/>
      <c r="F250" s="111"/>
      <c r="G250" s="111"/>
      <c r="H250" s="111"/>
      <c r="I250" s="37"/>
      <c r="J250" s="37"/>
      <c r="K250" s="37"/>
      <c r="L250" s="37"/>
      <c r="M250" s="37"/>
      <c r="N250" s="37"/>
      <c r="O250" s="37"/>
      <c r="P250" s="3"/>
    </row>
    <row r="251" spans="1:16" ht="15.75" customHeight="1" x14ac:dyDescent="0.3">
      <c r="A251" s="3"/>
      <c r="B251" s="3"/>
      <c r="C251" s="148"/>
      <c r="D251" s="37"/>
      <c r="E251" s="37"/>
      <c r="F251" s="111"/>
      <c r="G251" s="111"/>
      <c r="H251" s="111"/>
      <c r="I251" s="37"/>
      <c r="J251" s="37"/>
      <c r="K251" s="37"/>
      <c r="L251" s="37"/>
      <c r="M251" s="37"/>
      <c r="N251" s="37"/>
      <c r="O251" s="37"/>
      <c r="P251" s="3"/>
    </row>
    <row r="252" spans="1:16" ht="15.75" customHeight="1" x14ac:dyDescent="0.3">
      <c r="A252" s="3"/>
      <c r="B252" s="3"/>
      <c r="C252" s="148"/>
      <c r="D252" s="37"/>
      <c r="E252" s="37"/>
      <c r="F252" s="111"/>
      <c r="G252" s="111"/>
      <c r="H252" s="111"/>
      <c r="I252" s="37"/>
      <c r="J252" s="37"/>
      <c r="K252" s="37"/>
      <c r="L252" s="37"/>
      <c r="M252" s="37"/>
      <c r="N252" s="37"/>
      <c r="O252" s="37"/>
      <c r="P252" s="3"/>
    </row>
    <row r="253" spans="1:16" ht="15.75" customHeight="1" x14ac:dyDescent="0.3">
      <c r="A253" s="3"/>
      <c r="B253" s="3"/>
      <c r="C253" s="148"/>
      <c r="D253" s="37"/>
      <c r="E253" s="37"/>
      <c r="F253" s="111"/>
      <c r="G253" s="111"/>
      <c r="H253" s="111"/>
      <c r="I253" s="37"/>
      <c r="J253" s="37"/>
      <c r="K253" s="37"/>
      <c r="L253" s="37"/>
      <c r="M253" s="37"/>
      <c r="N253" s="37"/>
      <c r="O253" s="37"/>
      <c r="P253" s="3"/>
    </row>
    <row r="254" spans="1:16" ht="15.75" customHeight="1" x14ac:dyDescent="0.3">
      <c r="A254" s="3"/>
      <c r="B254" s="3"/>
      <c r="C254" s="148"/>
      <c r="D254" s="37"/>
      <c r="E254" s="37"/>
      <c r="F254" s="111"/>
      <c r="G254" s="111"/>
      <c r="H254" s="111"/>
      <c r="I254" s="37"/>
      <c r="J254" s="37"/>
      <c r="K254" s="37"/>
      <c r="L254" s="37"/>
      <c r="M254" s="37"/>
      <c r="N254" s="37"/>
      <c r="O254" s="37"/>
      <c r="P254" s="3"/>
    </row>
    <row r="255" spans="1:16" ht="15.75" customHeight="1" x14ac:dyDescent="0.3">
      <c r="A255" s="3"/>
      <c r="B255" s="3"/>
      <c r="C255" s="148"/>
      <c r="D255" s="37"/>
      <c r="E255" s="37"/>
      <c r="F255" s="111"/>
      <c r="G255" s="111"/>
      <c r="H255" s="111"/>
      <c r="I255" s="37"/>
      <c r="J255" s="37"/>
      <c r="K255" s="37"/>
      <c r="L255" s="37"/>
      <c r="M255" s="37"/>
      <c r="N255" s="37"/>
      <c r="O255" s="37"/>
      <c r="P255" s="3"/>
    </row>
    <row r="256" spans="1:16" ht="15.75" customHeight="1" x14ac:dyDescent="0.3">
      <c r="A256" s="3"/>
      <c r="B256" s="3"/>
      <c r="C256" s="148"/>
      <c r="D256" s="37"/>
      <c r="E256" s="37"/>
      <c r="F256" s="111"/>
      <c r="G256" s="111"/>
      <c r="H256" s="111"/>
      <c r="I256" s="37"/>
      <c r="J256" s="37"/>
      <c r="K256" s="37"/>
      <c r="L256" s="37"/>
      <c r="M256" s="37"/>
      <c r="N256" s="37"/>
      <c r="O256" s="37"/>
      <c r="P256" s="3"/>
    </row>
    <row r="257" spans="1:16" ht="15.75" customHeight="1" x14ac:dyDescent="0.3">
      <c r="A257" s="3"/>
      <c r="B257" s="3"/>
      <c r="C257" s="148"/>
      <c r="D257" s="37"/>
      <c r="E257" s="37"/>
      <c r="F257" s="111"/>
      <c r="G257" s="111"/>
      <c r="H257" s="111"/>
      <c r="I257" s="37"/>
      <c r="J257" s="37"/>
      <c r="K257" s="37"/>
      <c r="L257" s="37"/>
      <c r="M257" s="37"/>
      <c r="N257" s="37"/>
      <c r="O257" s="37"/>
      <c r="P257" s="3"/>
    </row>
    <row r="258" spans="1:16" ht="15.75" customHeight="1" x14ac:dyDescent="0.3">
      <c r="A258" s="3"/>
      <c r="B258" s="3"/>
      <c r="C258" s="148"/>
      <c r="D258" s="37"/>
      <c r="E258" s="37"/>
      <c r="F258" s="111"/>
      <c r="G258" s="111"/>
      <c r="H258" s="111"/>
      <c r="I258" s="37"/>
      <c r="J258" s="37"/>
      <c r="K258" s="37"/>
      <c r="L258" s="37"/>
      <c r="M258" s="37"/>
      <c r="N258" s="37"/>
      <c r="O258" s="37"/>
      <c r="P258" s="3"/>
    </row>
    <row r="259" spans="1:16" ht="15.75" customHeight="1" x14ac:dyDescent="0.3">
      <c r="A259" s="3"/>
      <c r="B259" s="3"/>
      <c r="C259" s="148"/>
      <c r="D259" s="37"/>
      <c r="E259" s="37"/>
      <c r="F259" s="111"/>
      <c r="G259" s="111"/>
      <c r="H259" s="111"/>
      <c r="I259" s="37"/>
      <c r="J259" s="37"/>
      <c r="K259" s="37"/>
      <c r="L259" s="37"/>
      <c r="M259" s="37"/>
      <c r="N259" s="37"/>
      <c r="O259" s="37"/>
      <c r="P259" s="3"/>
    </row>
    <row r="260" spans="1:16" ht="15.75" customHeight="1" x14ac:dyDescent="0.3">
      <c r="A260" s="3"/>
      <c r="B260" s="3"/>
      <c r="C260" s="148"/>
      <c r="D260" s="37"/>
      <c r="E260" s="37"/>
      <c r="F260" s="111"/>
      <c r="G260" s="111"/>
      <c r="H260" s="111"/>
      <c r="I260" s="37"/>
      <c r="J260" s="37"/>
      <c r="K260" s="37"/>
      <c r="L260" s="37"/>
      <c r="M260" s="37"/>
      <c r="N260" s="37"/>
      <c r="O260" s="37"/>
      <c r="P260" s="3"/>
    </row>
    <row r="261" spans="1:16" ht="15.75" customHeight="1" x14ac:dyDescent="0.3">
      <c r="A261" s="3"/>
      <c r="B261" s="3"/>
      <c r="C261" s="148"/>
      <c r="D261" s="37"/>
      <c r="E261" s="37"/>
      <c r="F261" s="111"/>
      <c r="G261" s="111"/>
      <c r="H261" s="111"/>
      <c r="I261" s="37"/>
      <c r="J261" s="37"/>
      <c r="K261" s="37"/>
      <c r="L261" s="37"/>
      <c r="M261" s="37"/>
      <c r="N261" s="37"/>
      <c r="O261" s="37"/>
      <c r="P261" s="3"/>
    </row>
    <row r="262" spans="1:16" ht="15.75" customHeight="1" x14ac:dyDescent="0.3">
      <c r="A262" s="3"/>
      <c r="B262" s="3"/>
      <c r="C262" s="148"/>
      <c r="D262" s="37"/>
      <c r="E262" s="37"/>
      <c r="F262" s="111"/>
      <c r="G262" s="111"/>
      <c r="H262" s="111"/>
      <c r="I262" s="37"/>
      <c r="J262" s="37"/>
      <c r="K262" s="37"/>
      <c r="L262" s="37"/>
      <c r="M262" s="37"/>
      <c r="N262" s="37"/>
      <c r="O262" s="37"/>
      <c r="P262" s="3"/>
    </row>
    <row r="263" spans="1:16" ht="15.75" customHeight="1" x14ac:dyDescent="0.3">
      <c r="A263" s="3"/>
      <c r="B263" s="3"/>
      <c r="C263" s="148"/>
      <c r="D263" s="37"/>
      <c r="E263" s="37"/>
      <c r="F263" s="111"/>
      <c r="G263" s="111"/>
      <c r="H263" s="111"/>
      <c r="I263" s="37"/>
      <c r="J263" s="37"/>
      <c r="K263" s="37"/>
      <c r="L263" s="37"/>
      <c r="M263" s="37"/>
      <c r="N263" s="37"/>
      <c r="O263" s="37"/>
      <c r="P263" s="3"/>
    </row>
    <row r="264" spans="1:16" ht="15.75" customHeight="1" x14ac:dyDescent="0.3">
      <c r="A264" s="3"/>
      <c r="B264" s="3"/>
      <c r="C264" s="148"/>
      <c r="D264" s="37"/>
      <c r="E264" s="37"/>
      <c r="F264" s="111"/>
      <c r="G264" s="111"/>
      <c r="H264" s="111"/>
      <c r="I264" s="37"/>
      <c r="J264" s="37"/>
      <c r="K264" s="37"/>
      <c r="L264" s="37"/>
      <c r="M264" s="37"/>
      <c r="N264" s="37"/>
      <c r="O264" s="37"/>
      <c r="P264" s="3"/>
    </row>
    <row r="265" spans="1:16" ht="15.75" customHeight="1" x14ac:dyDescent="0.3">
      <c r="A265" s="3"/>
      <c r="B265" s="3"/>
      <c r="C265" s="148"/>
      <c r="D265" s="37"/>
      <c r="E265" s="37"/>
      <c r="F265" s="111"/>
      <c r="G265" s="111"/>
      <c r="H265" s="111"/>
      <c r="I265" s="37"/>
      <c r="J265" s="37"/>
      <c r="K265" s="37"/>
      <c r="L265" s="37"/>
      <c r="M265" s="37"/>
      <c r="N265" s="37"/>
      <c r="O265" s="37"/>
      <c r="P265" s="3"/>
    </row>
    <row r="266" spans="1:16" ht="15.75" customHeight="1" x14ac:dyDescent="0.3">
      <c r="A266" s="3"/>
      <c r="B266" s="3"/>
      <c r="C266" s="148"/>
      <c r="D266" s="37"/>
      <c r="E266" s="37"/>
      <c r="F266" s="111"/>
      <c r="G266" s="111"/>
      <c r="H266" s="111"/>
      <c r="I266" s="37"/>
      <c r="J266" s="37"/>
      <c r="K266" s="37"/>
      <c r="L266" s="37"/>
      <c r="M266" s="37"/>
      <c r="N266" s="37"/>
      <c r="O266" s="37"/>
      <c r="P266" s="3"/>
    </row>
    <row r="267" spans="1:16" ht="15.75" customHeight="1" x14ac:dyDescent="0.3">
      <c r="A267" s="3"/>
      <c r="B267" s="3"/>
      <c r="C267" s="148"/>
      <c r="D267" s="37"/>
      <c r="E267" s="37"/>
      <c r="F267" s="111"/>
      <c r="G267" s="111"/>
      <c r="H267" s="111"/>
      <c r="I267" s="37"/>
      <c r="J267" s="37"/>
      <c r="K267" s="37"/>
      <c r="L267" s="37"/>
      <c r="M267" s="37"/>
      <c r="N267" s="37"/>
      <c r="O267" s="37"/>
      <c r="P267" s="3"/>
    </row>
    <row r="268" spans="1:16" ht="15.75" customHeight="1" x14ac:dyDescent="0.3">
      <c r="A268" s="3"/>
      <c r="B268" s="3"/>
      <c r="C268" s="148"/>
      <c r="D268" s="37"/>
      <c r="E268" s="37"/>
      <c r="F268" s="111"/>
      <c r="G268" s="111"/>
      <c r="H268" s="111"/>
      <c r="I268" s="37"/>
      <c r="J268" s="37"/>
      <c r="K268" s="37"/>
      <c r="L268" s="37"/>
      <c r="M268" s="37"/>
      <c r="N268" s="37"/>
      <c r="O268" s="37"/>
      <c r="P268" s="3"/>
    </row>
    <row r="269" spans="1:16" ht="15.75" customHeight="1" x14ac:dyDescent="0.3">
      <c r="A269" s="3"/>
      <c r="B269" s="3"/>
      <c r="C269" s="148"/>
      <c r="D269" s="37"/>
      <c r="E269" s="37"/>
      <c r="F269" s="111"/>
      <c r="G269" s="111"/>
      <c r="H269" s="111"/>
      <c r="I269" s="37"/>
      <c r="J269" s="37"/>
      <c r="K269" s="37"/>
      <c r="L269" s="37"/>
      <c r="M269" s="37"/>
      <c r="N269" s="37"/>
      <c r="O269" s="37"/>
      <c r="P269" s="3"/>
    </row>
    <row r="270" spans="1:16" ht="15.75" customHeight="1" x14ac:dyDescent="0.3">
      <c r="A270" s="3"/>
      <c r="B270" s="3"/>
      <c r="C270" s="148"/>
      <c r="D270" s="37"/>
      <c r="E270" s="37"/>
      <c r="F270" s="111"/>
      <c r="G270" s="111"/>
      <c r="H270" s="111"/>
      <c r="I270" s="37"/>
      <c r="J270" s="37"/>
      <c r="K270" s="37"/>
      <c r="L270" s="37"/>
      <c r="M270" s="37"/>
      <c r="N270" s="37"/>
      <c r="O270" s="37"/>
      <c r="P270" s="3"/>
    </row>
    <row r="271" spans="1:16" ht="15.75" customHeight="1" x14ac:dyDescent="0.3">
      <c r="A271" s="3"/>
      <c r="B271" s="3"/>
      <c r="C271" s="148"/>
      <c r="D271" s="37"/>
      <c r="E271" s="37"/>
      <c r="F271" s="111"/>
      <c r="G271" s="111"/>
      <c r="H271" s="111"/>
      <c r="I271" s="37"/>
      <c r="J271" s="37"/>
      <c r="K271" s="37"/>
      <c r="L271" s="37"/>
      <c r="M271" s="37"/>
      <c r="N271" s="37"/>
      <c r="O271" s="37"/>
      <c r="P271" s="3"/>
    </row>
    <row r="272" spans="1:16" ht="15.75" customHeight="1" x14ac:dyDescent="0.3">
      <c r="A272" s="3"/>
      <c r="B272" s="3"/>
      <c r="C272" s="148"/>
      <c r="D272" s="37"/>
      <c r="E272" s="37"/>
      <c r="F272" s="111"/>
      <c r="G272" s="111"/>
      <c r="H272" s="111"/>
      <c r="I272" s="37"/>
      <c r="J272" s="37"/>
      <c r="K272" s="37"/>
      <c r="L272" s="37"/>
      <c r="M272" s="37"/>
      <c r="N272" s="37"/>
      <c r="O272" s="37"/>
      <c r="P272" s="3"/>
    </row>
    <row r="273" spans="1:16" ht="15.75" customHeight="1" x14ac:dyDescent="0.3">
      <c r="A273" s="3"/>
      <c r="B273" s="3"/>
      <c r="C273" s="148"/>
      <c r="D273" s="37"/>
      <c r="E273" s="37"/>
      <c r="F273" s="111"/>
      <c r="G273" s="111"/>
      <c r="H273" s="111"/>
      <c r="I273" s="37"/>
      <c r="J273" s="37"/>
      <c r="K273" s="37"/>
      <c r="L273" s="37"/>
      <c r="M273" s="37"/>
      <c r="N273" s="37"/>
      <c r="O273" s="37"/>
      <c r="P273" s="3"/>
    </row>
    <row r="274" spans="1:16" ht="15.75" customHeight="1" x14ac:dyDescent="0.3">
      <c r="A274" s="3"/>
      <c r="B274" s="3"/>
      <c r="C274" s="148"/>
      <c r="D274" s="37"/>
      <c r="E274" s="37"/>
      <c r="F274" s="111"/>
      <c r="G274" s="111"/>
      <c r="H274" s="111"/>
      <c r="I274" s="37"/>
      <c r="J274" s="37"/>
      <c r="K274" s="37"/>
      <c r="L274" s="37"/>
      <c r="M274" s="37"/>
      <c r="N274" s="37"/>
      <c r="O274" s="37"/>
      <c r="P274" s="3"/>
    </row>
    <row r="275" spans="1:16" ht="15.75" customHeight="1" x14ac:dyDescent="0.3">
      <c r="A275" s="3"/>
      <c r="B275" s="3"/>
      <c r="C275" s="148"/>
      <c r="D275" s="37"/>
      <c r="E275" s="37"/>
      <c r="F275" s="111"/>
      <c r="G275" s="111"/>
      <c r="H275" s="111"/>
      <c r="I275" s="37"/>
      <c r="J275" s="37"/>
      <c r="K275" s="37"/>
      <c r="L275" s="37"/>
      <c r="M275" s="37"/>
      <c r="N275" s="37"/>
      <c r="O275" s="37"/>
      <c r="P275" s="3"/>
    </row>
    <row r="276" spans="1:16" ht="15.75" customHeight="1" x14ac:dyDescent="0.3">
      <c r="A276" s="3"/>
      <c r="B276" s="3"/>
      <c r="C276" s="148"/>
      <c r="D276" s="37"/>
      <c r="E276" s="37"/>
      <c r="F276" s="111"/>
      <c r="G276" s="111"/>
      <c r="H276" s="111"/>
      <c r="I276" s="37"/>
      <c r="J276" s="37"/>
      <c r="K276" s="37"/>
      <c r="L276" s="37"/>
      <c r="M276" s="37"/>
      <c r="N276" s="37"/>
      <c r="O276" s="37"/>
      <c r="P276" s="3"/>
    </row>
    <row r="277" spans="1:16" ht="15.75" customHeight="1" x14ac:dyDescent="0.3">
      <c r="A277" s="3"/>
      <c r="B277" s="3"/>
      <c r="C277" s="148"/>
      <c r="D277" s="37"/>
      <c r="E277" s="37"/>
      <c r="F277" s="111"/>
      <c r="G277" s="111"/>
      <c r="H277" s="111"/>
      <c r="I277" s="37"/>
      <c r="J277" s="37"/>
      <c r="K277" s="37"/>
      <c r="L277" s="37"/>
      <c r="M277" s="37"/>
      <c r="N277" s="37"/>
      <c r="O277" s="37"/>
      <c r="P277" s="3"/>
    </row>
    <row r="278" spans="1:16" ht="15.75" customHeight="1" x14ac:dyDescent="0.3">
      <c r="A278" s="3"/>
      <c r="B278" s="3"/>
      <c r="C278" s="148"/>
      <c r="D278" s="37"/>
      <c r="E278" s="37"/>
      <c r="F278" s="111"/>
      <c r="G278" s="111"/>
      <c r="H278" s="111"/>
      <c r="I278" s="37"/>
      <c r="J278" s="37"/>
      <c r="K278" s="37"/>
      <c r="L278" s="37"/>
      <c r="M278" s="37"/>
      <c r="N278" s="37"/>
      <c r="O278" s="37"/>
      <c r="P278" s="3"/>
    </row>
    <row r="279" spans="1:16" ht="15.75" customHeight="1" x14ac:dyDescent="0.3">
      <c r="A279" s="3"/>
      <c r="B279" s="3"/>
      <c r="C279" s="148"/>
      <c r="D279" s="37"/>
      <c r="E279" s="37"/>
      <c r="F279" s="111"/>
      <c r="G279" s="111"/>
      <c r="H279" s="111"/>
      <c r="I279" s="37"/>
      <c r="J279" s="37"/>
      <c r="K279" s="37"/>
      <c r="L279" s="37"/>
      <c r="M279" s="37"/>
      <c r="N279" s="37"/>
      <c r="O279" s="37"/>
      <c r="P279" s="3"/>
    </row>
    <row r="280" spans="1:16" ht="15.75" customHeight="1" x14ac:dyDescent="0.3">
      <c r="A280" s="3"/>
      <c r="B280" s="3"/>
      <c r="C280" s="148"/>
      <c r="D280" s="37"/>
      <c r="E280" s="37"/>
      <c r="F280" s="111"/>
      <c r="G280" s="111"/>
      <c r="H280" s="111"/>
      <c r="I280" s="37"/>
      <c r="J280" s="37"/>
      <c r="K280" s="37"/>
      <c r="L280" s="37"/>
      <c r="M280" s="37"/>
      <c r="N280" s="37"/>
      <c r="O280" s="37"/>
      <c r="P280" s="3"/>
    </row>
    <row r="281" spans="1:16" ht="15.75" customHeight="1" x14ac:dyDescent="0.3">
      <c r="A281" s="3"/>
      <c r="B281" s="3"/>
      <c r="C281" s="148"/>
      <c r="D281" s="37"/>
      <c r="E281" s="37"/>
      <c r="F281" s="111"/>
      <c r="G281" s="111"/>
      <c r="H281" s="111"/>
      <c r="I281" s="37"/>
      <c r="J281" s="37"/>
      <c r="K281" s="37"/>
      <c r="L281" s="37"/>
      <c r="M281" s="37"/>
      <c r="N281" s="37"/>
      <c r="O281" s="37"/>
      <c r="P281" s="3"/>
    </row>
    <row r="282" spans="1:16" ht="15.75" customHeight="1" x14ac:dyDescent="0.3">
      <c r="A282" s="3"/>
      <c r="B282" s="3"/>
      <c r="C282" s="148"/>
      <c r="D282" s="37"/>
      <c r="E282" s="37"/>
      <c r="F282" s="111"/>
      <c r="G282" s="111"/>
      <c r="H282" s="111"/>
      <c r="I282" s="37"/>
      <c r="J282" s="37"/>
      <c r="K282" s="37"/>
      <c r="L282" s="37"/>
      <c r="M282" s="37"/>
      <c r="N282" s="37"/>
      <c r="O282" s="37"/>
      <c r="P282" s="3"/>
    </row>
    <row r="283" spans="1:16" ht="15.75" customHeight="1" x14ac:dyDescent="0.3">
      <c r="A283" s="3"/>
      <c r="B283" s="3"/>
      <c r="C283" s="148"/>
      <c r="D283" s="37"/>
      <c r="E283" s="37"/>
      <c r="F283" s="111"/>
      <c r="G283" s="111"/>
      <c r="H283" s="111"/>
      <c r="I283" s="37"/>
      <c r="J283" s="37"/>
      <c r="K283" s="37"/>
      <c r="L283" s="37"/>
      <c r="M283" s="37"/>
      <c r="N283" s="37"/>
      <c r="O283" s="37"/>
      <c r="P283" s="3"/>
    </row>
    <row r="284" spans="1:16" ht="15.75" customHeight="1" x14ac:dyDescent="0.3">
      <c r="A284" s="3"/>
      <c r="B284" s="3"/>
      <c r="C284" s="148"/>
      <c r="D284" s="37"/>
      <c r="E284" s="37"/>
      <c r="F284" s="111"/>
      <c r="G284" s="111"/>
      <c r="H284" s="111"/>
      <c r="I284" s="37"/>
      <c r="J284" s="37"/>
      <c r="K284" s="37"/>
      <c r="L284" s="37"/>
      <c r="M284" s="37"/>
      <c r="N284" s="37"/>
      <c r="O284" s="37"/>
      <c r="P284" s="3"/>
    </row>
    <row r="285" spans="1:16" ht="15.75" customHeight="1" x14ac:dyDescent="0.3">
      <c r="A285" s="3"/>
      <c r="B285" s="3"/>
      <c r="C285" s="148"/>
      <c r="D285" s="37"/>
      <c r="E285" s="37"/>
      <c r="F285" s="111"/>
      <c r="G285" s="111"/>
      <c r="H285" s="111"/>
      <c r="I285" s="37"/>
      <c r="J285" s="37"/>
      <c r="K285" s="37"/>
      <c r="L285" s="37"/>
      <c r="M285" s="37"/>
      <c r="N285" s="37"/>
      <c r="O285" s="37"/>
      <c r="P285" s="3"/>
    </row>
    <row r="286" spans="1:16" ht="15.75" customHeight="1" x14ac:dyDescent="0.3">
      <c r="A286" s="3"/>
      <c r="B286" s="3"/>
      <c r="C286" s="148"/>
      <c r="D286" s="37"/>
      <c r="E286" s="37"/>
      <c r="F286" s="111"/>
      <c r="G286" s="111"/>
      <c r="H286" s="111"/>
      <c r="I286" s="37"/>
      <c r="J286" s="37"/>
      <c r="K286" s="37"/>
      <c r="L286" s="37"/>
      <c r="M286" s="37"/>
      <c r="N286" s="37"/>
      <c r="O286" s="37"/>
      <c r="P286" s="3"/>
    </row>
    <row r="287" spans="1:16" ht="15.75" customHeight="1" x14ac:dyDescent="0.3">
      <c r="A287" s="3"/>
      <c r="B287" s="3"/>
      <c r="C287" s="148"/>
      <c r="D287" s="37"/>
      <c r="E287" s="37"/>
      <c r="F287" s="111"/>
      <c r="G287" s="111"/>
      <c r="H287" s="111"/>
      <c r="I287" s="37"/>
      <c r="J287" s="37"/>
      <c r="K287" s="37"/>
      <c r="L287" s="37"/>
      <c r="M287" s="37"/>
      <c r="N287" s="37"/>
      <c r="O287" s="37"/>
      <c r="P287" s="3"/>
    </row>
    <row r="288" spans="1:16" ht="15.75" customHeight="1" x14ac:dyDescent="0.3">
      <c r="A288" s="3"/>
      <c r="B288" s="3"/>
      <c r="C288" s="148"/>
      <c r="D288" s="37"/>
      <c r="E288" s="37"/>
      <c r="F288" s="111"/>
      <c r="G288" s="111"/>
      <c r="H288" s="111"/>
      <c r="I288" s="37"/>
      <c r="J288" s="37"/>
      <c r="K288" s="37"/>
      <c r="L288" s="37"/>
      <c r="M288" s="37"/>
      <c r="N288" s="37"/>
      <c r="O288" s="37"/>
      <c r="P288" s="3"/>
    </row>
    <row r="289" spans="1:16" ht="15.75" customHeight="1" x14ac:dyDescent="0.3">
      <c r="A289" s="3"/>
      <c r="B289" s="3"/>
      <c r="C289" s="148"/>
      <c r="D289" s="37"/>
      <c r="E289" s="37"/>
      <c r="F289" s="111"/>
      <c r="G289" s="111"/>
      <c r="H289" s="111"/>
      <c r="I289" s="37"/>
      <c r="J289" s="37"/>
      <c r="K289" s="37"/>
      <c r="L289" s="37"/>
      <c r="M289" s="37"/>
      <c r="N289" s="37"/>
      <c r="O289" s="37"/>
      <c r="P289" s="3"/>
    </row>
    <row r="290" spans="1:16" ht="15.75" customHeight="1" x14ac:dyDescent="0.3">
      <c r="A290" s="3"/>
      <c r="B290" s="3"/>
      <c r="C290" s="148"/>
      <c r="D290" s="37"/>
      <c r="E290" s="37"/>
      <c r="F290" s="111"/>
      <c r="G290" s="111"/>
      <c r="H290" s="111"/>
      <c r="I290" s="37"/>
      <c r="J290" s="37"/>
      <c r="K290" s="37"/>
      <c r="L290" s="37"/>
      <c r="M290" s="37"/>
      <c r="N290" s="37"/>
      <c r="O290" s="37"/>
      <c r="P290" s="3"/>
    </row>
    <row r="291" spans="1:16" ht="15.75" customHeight="1" x14ac:dyDescent="0.3">
      <c r="A291" s="3"/>
      <c r="B291" s="3"/>
      <c r="C291" s="148"/>
      <c r="D291" s="37"/>
      <c r="E291" s="37"/>
      <c r="F291" s="111"/>
      <c r="G291" s="111"/>
      <c r="H291" s="111"/>
      <c r="I291" s="37"/>
      <c r="J291" s="37"/>
      <c r="K291" s="37"/>
      <c r="L291" s="37"/>
      <c r="M291" s="37"/>
      <c r="N291" s="37"/>
      <c r="O291" s="37"/>
      <c r="P291" s="3"/>
    </row>
    <row r="292" spans="1:16" ht="15.75" customHeight="1" x14ac:dyDescent="0.3">
      <c r="A292" s="3"/>
      <c r="B292" s="3"/>
      <c r="C292" s="148"/>
      <c r="D292" s="37"/>
      <c r="E292" s="37"/>
      <c r="F292" s="111"/>
      <c r="G292" s="111"/>
      <c r="H292" s="111"/>
      <c r="I292" s="37"/>
      <c r="J292" s="37"/>
      <c r="K292" s="37"/>
      <c r="L292" s="37"/>
      <c r="M292" s="37"/>
      <c r="N292" s="37"/>
      <c r="O292" s="37"/>
      <c r="P292" s="3"/>
    </row>
    <row r="293" spans="1:16" ht="15.75" customHeight="1" x14ac:dyDescent="0.3">
      <c r="A293" s="3"/>
      <c r="B293" s="3"/>
      <c r="C293" s="148"/>
      <c r="D293" s="37"/>
      <c r="E293" s="37"/>
      <c r="F293" s="111"/>
      <c r="G293" s="111"/>
      <c r="H293" s="111"/>
      <c r="I293" s="37"/>
      <c r="J293" s="37"/>
      <c r="K293" s="37"/>
      <c r="L293" s="37"/>
      <c r="M293" s="37"/>
      <c r="N293" s="37"/>
      <c r="O293" s="37"/>
      <c r="P293" s="3"/>
    </row>
    <row r="294" spans="1:16" ht="15.75" customHeight="1" x14ac:dyDescent="0.3">
      <c r="A294" s="3"/>
      <c r="B294" s="3"/>
      <c r="C294" s="148"/>
      <c r="D294" s="37"/>
      <c r="E294" s="37"/>
      <c r="F294" s="111"/>
      <c r="G294" s="111"/>
      <c r="H294" s="111"/>
      <c r="I294" s="37"/>
      <c r="J294" s="37"/>
      <c r="K294" s="37"/>
      <c r="L294" s="37"/>
      <c r="M294" s="37"/>
      <c r="N294" s="37"/>
      <c r="O294" s="37"/>
      <c r="P294" s="3"/>
    </row>
    <row r="295" spans="1:16" ht="15.75" customHeight="1" x14ac:dyDescent="0.3">
      <c r="A295" s="3"/>
      <c r="B295" s="3"/>
      <c r="C295" s="148"/>
      <c r="D295" s="37"/>
      <c r="E295" s="37"/>
      <c r="F295" s="111"/>
      <c r="G295" s="111"/>
      <c r="H295" s="111"/>
      <c r="I295" s="37"/>
      <c r="J295" s="37"/>
      <c r="K295" s="37"/>
      <c r="L295" s="37"/>
      <c r="M295" s="37"/>
      <c r="N295" s="37"/>
      <c r="O295" s="37"/>
      <c r="P295" s="3"/>
    </row>
    <row r="296" spans="1:16" ht="15.75" customHeight="1" x14ac:dyDescent="0.3">
      <c r="A296" s="3"/>
      <c r="B296" s="3"/>
      <c r="C296" s="148"/>
      <c r="D296" s="37"/>
      <c r="E296" s="37"/>
      <c r="F296" s="111"/>
      <c r="G296" s="111"/>
      <c r="H296" s="111"/>
      <c r="I296" s="37"/>
      <c r="J296" s="37"/>
      <c r="K296" s="37"/>
      <c r="L296" s="37"/>
      <c r="M296" s="37"/>
      <c r="N296" s="37"/>
      <c r="O296" s="37"/>
      <c r="P296" s="3"/>
    </row>
    <row r="297" spans="1:16" ht="15.75" customHeight="1" x14ac:dyDescent="0.3">
      <c r="A297" s="3"/>
      <c r="B297" s="3"/>
      <c r="C297" s="148"/>
      <c r="D297" s="37"/>
      <c r="E297" s="37"/>
      <c r="F297" s="111"/>
      <c r="G297" s="111"/>
      <c r="H297" s="111"/>
      <c r="I297" s="37"/>
      <c r="J297" s="37"/>
      <c r="K297" s="37"/>
      <c r="L297" s="37"/>
      <c r="M297" s="37"/>
      <c r="N297" s="37"/>
      <c r="O297" s="37"/>
      <c r="P297" s="3"/>
    </row>
    <row r="298" spans="1:16" ht="15.75" customHeight="1" x14ac:dyDescent="0.3">
      <c r="A298" s="3"/>
      <c r="B298" s="3"/>
      <c r="C298" s="148"/>
      <c r="D298" s="37"/>
      <c r="E298" s="37"/>
      <c r="F298" s="111"/>
      <c r="G298" s="111"/>
      <c r="H298" s="111"/>
      <c r="I298" s="37"/>
      <c r="J298" s="37"/>
      <c r="K298" s="37"/>
      <c r="L298" s="37"/>
      <c r="M298" s="37"/>
      <c r="N298" s="37"/>
      <c r="O298" s="37"/>
      <c r="P298" s="3"/>
    </row>
    <row r="299" spans="1:16" ht="15.75" customHeight="1" x14ac:dyDescent="0.3">
      <c r="A299" s="3"/>
      <c r="B299" s="3"/>
      <c r="C299" s="148"/>
      <c r="D299" s="37"/>
      <c r="E299" s="37"/>
      <c r="F299" s="111"/>
      <c r="G299" s="111"/>
      <c r="H299" s="111"/>
      <c r="I299" s="37"/>
      <c r="J299" s="37"/>
      <c r="K299" s="37"/>
      <c r="L299" s="37"/>
      <c r="M299" s="37"/>
      <c r="N299" s="37"/>
      <c r="O299" s="37"/>
      <c r="P299" s="3"/>
    </row>
    <row r="300" spans="1:16" ht="15.75" customHeight="1" x14ac:dyDescent="0.3">
      <c r="A300" s="3"/>
      <c r="B300" s="3"/>
      <c r="C300" s="148"/>
      <c r="D300" s="37"/>
      <c r="E300" s="37"/>
      <c r="F300" s="111"/>
      <c r="G300" s="111"/>
      <c r="H300" s="111"/>
      <c r="I300" s="37"/>
      <c r="J300" s="37"/>
      <c r="K300" s="37"/>
      <c r="L300" s="37"/>
      <c r="M300" s="37"/>
      <c r="N300" s="37"/>
      <c r="O300" s="37"/>
      <c r="P300" s="3"/>
    </row>
    <row r="301" spans="1:16" ht="15.75" customHeight="1" x14ac:dyDescent="0.3">
      <c r="A301" s="3"/>
      <c r="B301" s="3"/>
      <c r="C301" s="148"/>
      <c r="D301" s="37"/>
      <c r="E301" s="37"/>
      <c r="F301" s="111"/>
      <c r="G301" s="111"/>
      <c r="H301" s="111"/>
      <c r="I301" s="37"/>
      <c r="J301" s="37"/>
      <c r="K301" s="37"/>
      <c r="L301" s="37"/>
      <c r="M301" s="37"/>
      <c r="N301" s="37"/>
      <c r="O301" s="37"/>
      <c r="P301" s="3"/>
    </row>
    <row r="302" spans="1:16" ht="15.75" customHeight="1" x14ac:dyDescent="0.3">
      <c r="A302" s="3"/>
      <c r="B302" s="3"/>
      <c r="C302" s="148"/>
      <c r="D302" s="37"/>
      <c r="E302" s="37"/>
      <c r="F302" s="111"/>
      <c r="G302" s="111"/>
      <c r="H302" s="111"/>
      <c r="I302" s="37"/>
      <c r="J302" s="37"/>
      <c r="K302" s="37"/>
      <c r="L302" s="37"/>
      <c r="M302" s="37"/>
      <c r="N302" s="37"/>
      <c r="O302" s="37"/>
      <c r="P302" s="3"/>
    </row>
    <row r="303" spans="1:16" ht="15.75" customHeight="1" x14ac:dyDescent="0.3">
      <c r="A303" s="3"/>
      <c r="B303" s="3"/>
      <c r="C303" s="148"/>
      <c r="D303" s="37"/>
      <c r="E303" s="37"/>
      <c r="F303" s="111"/>
      <c r="G303" s="111"/>
      <c r="H303" s="111"/>
      <c r="I303" s="37"/>
      <c r="J303" s="37"/>
      <c r="K303" s="37"/>
      <c r="L303" s="37"/>
      <c r="M303" s="37"/>
      <c r="N303" s="37"/>
      <c r="O303" s="37"/>
      <c r="P303" s="3"/>
    </row>
    <row r="304" spans="1:16" ht="15.75" customHeight="1" x14ac:dyDescent="0.3">
      <c r="A304" s="3"/>
      <c r="B304" s="3"/>
      <c r="C304" s="148"/>
      <c r="D304" s="37"/>
      <c r="E304" s="37"/>
      <c r="F304" s="111"/>
      <c r="G304" s="111"/>
      <c r="H304" s="111"/>
      <c r="I304" s="37"/>
      <c r="J304" s="37"/>
      <c r="K304" s="37"/>
      <c r="L304" s="37"/>
      <c r="M304" s="37"/>
      <c r="N304" s="37"/>
      <c r="O304" s="37"/>
      <c r="P304" s="3"/>
    </row>
    <row r="305" spans="1:16" ht="15.75" customHeight="1" x14ac:dyDescent="0.3">
      <c r="A305" s="3"/>
      <c r="B305" s="3"/>
      <c r="C305" s="148"/>
      <c r="D305" s="37"/>
      <c r="E305" s="37"/>
      <c r="F305" s="111"/>
      <c r="G305" s="111"/>
      <c r="H305" s="111"/>
      <c r="I305" s="37"/>
      <c r="J305" s="37"/>
      <c r="K305" s="37"/>
      <c r="L305" s="37"/>
      <c r="M305" s="37"/>
      <c r="N305" s="37"/>
      <c r="O305" s="37"/>
      <c r="P305" s="3"/>
    </row>
    <row r="306" spans="1:16" ht="15.75" customHeight="1" x14ac:dyDescent="0.3">
      <c r="A306" s="3"/>
      <c r="B306" s="3"/>
      <c r="C306" s="148"/>
      <c r="D306" s="37"/>
      <c r="E306" s="37"/>
      <c r="F306" s="111"/>
      <c r="G306" s="111"/>
      <c r="H306" s="111"/>
      <c r="I306" s="37"/>
      <c r="J306" s="37"/>
      <c r="K306" s="37"/>
      <c r="L306" s="37"/>
      <c r="M306" s="37"/>
      <c r="N306" s="37"/>
      <c r="O306" s="37"/>
      <c r="P306" s="3"/>
    </row>
    <row r="307" spans="1:16" ht="15.75" customHeight="1" x14ac:dyDescent="0.3">
      <c r="A307" s="3"/>
      <c r="B307" s="3"/>
      <c r="C307" s="148"/>
      <c r="D307" s="37"/>
      <c r="E307" s="37"/>
      <c r="F307" s="111"/>
      <c r="G307" s="111"/>
      <c r="H307" s="111"/>
      <c r="I307" s="37"/>
      <c r="J307" s="37"/>
      <c r="K307" s="37"/>
      <c r="L307" s="37"/>
      <c r="M307" s="37"/>
      <c r="N307" s="37"/>
      <c r="O307" s="37"/>
      <c r="P307" s="3"/>
    </row>
    <row r="308" spans="1:16" ht="15.75" customHeight="1" x14ac:dyDescent="0.3">
      <c r="A308" s="3"/>
      <c r="B308" s="3"/>
      <c r="C308" s="148"/>
      <c r="D308" s="37"/>
      <c r="E308" s="37"/>
      <c r="F308" s="111"/>
      <c r="G308" s="111"/>
      <c r="H308" s="111"/>
      <c r="I308" s="37"/>
      <c r="J308" s="37"/>
      <c r="K308" s="37"/>
      <c r="L308" s="37"/>
      <c r="M308" s="37"/>
      <c r="N308" s="37"/>
      <c r="O308" s="37"/>
      <c r="P308" s="3"/>
    </row>
    <row r="309" spans="1:16" ht="15.75" customHeight="1" x14ac:dyDescent="0.3">
      <c r="A309" s="3"/>
      <c r="B309" s="3"/>
      <c r="C309" s="148"/>
      <c r="D309" s="37"/>
      <c r="E309" s="37"/>
      <c r="F309" s="111"/>
      <c r="G309" s="111"/>
      <c r="H309" s="111"/>
      <c r="I309" s="37"/>
      <c r="J309" s="37"/>
      <c r="K309" s="37"/>
      <c r="L309" s="37"/>
      <c r="M309" s="37"/>
      <c r="N309" s="37"/>
      <c r="O309" s="37"/>
      <c r="P309" s="3"/>
    </row>
    <row r="310" spans="1:16" ht="15.75" customHeight="1" x14ac:dyDescent="0.3">
      <c r="A310" s="3"/>
      <c r="B310" s="3"/>
      <c r="C310" s="148"/>
      <c r="D310" s="37"/>
      <c r="E310" s="37"/>
      <c r="F310" s="111"/>
      <c r="G310" s="111"/>
      <c r="H310" s="111"/>
      <c r="I310" s="37"/>
      <c r="J310" s="37"/>
      <c r="K310" s="37"/>
      <c r="L310" s="37"/>
      <c r="M310" s="37"/>
      <c r="N310" s="37"/>
      <c r="O310" s="37"/>
      <c r="P310" s="3"/>
    </row>
    <row r="311" spans="1:16" ht="15.75" customHeight="1" x14ac:dyDescent="0.3">
      <c r="A311" s="3"/>
      <c r="B311" s="3"/>
      <c r="C311" s="148"/>
      <c r="D311" s="37"/>
      <c r="E311" s="37"/>
      <c r="F311" s="111"/>
      <c r="G311" s="111"/>
      <c r="H311" s="111"/>
      <c r="I311" s="37"/>
      <c r="J311" s="37"/>
      <c r="K311" s="37"/>
      <c r="L311" s="37"/>
      <c r="M311" s="37"/>
      <c r="N311" s="37"/>
      <c r="O311" s="37"/>
      <c r="P311" s="3"/>
    </row>
    <row r="312" spans="1:16" ht="15.75" customHeight="1" x14ac:dyDescent="0.3">
      <c r="A312" s="3"/>
      <c r="B312" s="3"/>
      <c r="C312" s="148"/>
      <c r="D312" s="37"/>
      <c r="E312" s="37"/>
      <c r="F312" s="111"/>
      <c r="G312" s="111"/>
      <c r="H312" s="111"/>
      <c r="I312" s="37"/>
      <c r="J312" s="37"/>
      <c r="K312" s="37"/>
      <c r="L312" s="37"/>
      <c r="M312" s="37"/>
      <c r="N312" s="37"/>
      <c r="O312" s="37"/>
      <c r="P312" s="3"/>
    </row>
    <row r="313" spans="1:16" ht="15.75" customHeight="1" x14ac:dyDescent="0.3">
      <c r="A313" s="3"/>
      <c r="B313" s="3"/>
      <c r="C313" s="148"/>
      <c r="D313" s="37"/>
      <c r="E313" s="37"/>
      <c r="F313" s="111"/>
      <c r="G313" s="111"/>
      <c r="H313" s="111"/>
      <c r="I313" s="37"/>
      <c r="J313" s="37"/>
      <c r="K313" s="37"/>
      <c r="L313" s="37"/>
      <c r="M313" s="37"/>
      <c r="N313" s="37"/>
      <c r="O313" s="37"/>
      <c r="P313" s="3"/>
    </row>
    <row r="314" spans="1:16" ht="15.75" customHeight="1" x14ac:dyDescent="0.3">
      <c r="A314" s="3"/>
      <c r="B314" s="3"/>
      <c r="C314" s="148"/>
      <c r="D314" s="37"/>
      <c r="E314" s="37"/>
      <c r="F314" s="111"/>
      <c r="G314" s="111"/>
      <c r="H314" s="111"/>
      <c r="I314" s="37"/>
      <c r="J314" s="37"/>
      <c r="K314" s="37"/>
      <c r="L314" s="37"/>
      <c r="M314" s="37"/>
      <c r="N314" s="37"/>
      <c r="O314" s="37"/>
      <c r="P314" s="3"/>
    </row>
    <row r="315" spans="1:16" ht="15.75" customHeight="1" x14ac:dyDescent="0.3">
      <c r="A315" s="3"/>
      <c r="B315" s="3"/>
      <c r="C315" s="148"/>
      <c r="D315" s="37"/>
      <c r="E315" s="37"/>
      <c r="F315" s="111"/>
      <c r="G315" s="111"/>
      <c r="H315" s="111"/>
      <c r="I315" s="37"/>
      <c r="J315" s="37"/>
      <c r="K315" s="37"/>
      <c r="L315" s="37"/>
      <c r="M315" s="37"/>
      <c r="N315" s="37"/>
      <c r="O315" s="37"/>
      <c r="P315" s="3"/>
    </row>
    <row r="316" spans="1:16" ht="15.75" customHeight="1" x14ac:dyDescent="0.3">
      <c r="A316" s="3"/>
      <c r="B316" s="3"/>
      <c r="C316" s="148"/>
      <c r="D316" s="37"/>
      <c r="E316" s="37"/>
      <c r="F316" s="111"/>
      <c r="G316" s="111"/>
      <c r="H316" s="111"/>
      <c r="I316" s="37"/>
      <c r="J316" s="37"/>
      <c r="K316" s="37"/>
      <c r="L316" s="37"/>
      <c r="M316" s="37"/>
      <c r="N316" s="37"/>
      <c r="O316" s="37"/>
      <c r="P316" s="3"/>
    </row>
    <row r="317" spans="1:16" ht="15.75" customHeight="1" x14ac:dyDescent="0.3">
      <c r="A317" s="3"/>
      <c r="B317" s="3"/>
      <c r="C317" s="148"/>
      <c r="D317" s="37"/>
      <c r="E317" s="37"/>
      <c r="F317" s="111"/>
      <c r="G317" s="111"/>
      <c r="H317" s="111"/>
      <c r="I317" s="37"/>
      <c r="J317" s="37"/>
      <c r="K317" s="37"/>
      <c r="L317" s="37"/>
      <c r="M317" s="37"/>
      <c r="N317" s="37"/>
      <c r="O317" s="37"/>
      <c r="P317" s="3"/>
    </row>
    <row r="318" spans="1:16" ht="15.75" customHeight="1" x14ac:dyDescent="0.3">
      <c r="A318" s="3"/>
      <c r="B318" s="3"/>
      <c r="C318" s="148"/>
      <c r="D318" s="37"/>
      <c r="E318" s="37"/>
      <c r="F318" s="111"/>
      <c r="G318" s="111"/>
      <c r="H318" s="111"/>
      <c r="I318" s="37"/>
      <c r="J318" s="37"/>
      <c r="K318" s="37"/>
      <c r="L318" s="37"/>
      <c r="M318" s="37"/>
      <c r="N318" s="37"/>
      <c r="O318" s="37"/>
      <c r="P318" s="3"/>
    </row>
    <row r="319" spans="1:16" ht="15.75" customHeight="1" x14ac:dyDescent="0.3">
      <c r="A319" s="3"/>
      <c r="B319" s="3"/>
      <c r="C319" s="148"/>
      <c r="D319" s="37"/>
      <c r="E319" s="37"/>
      <c r="F319" s="111"/>
      <c r="G319" s="111"/>
      <c r="H319" s="111"/>
      <c r="I319" s="37"/>
      <c r="J319" s="37"/>
      <c r="K319" s="37"/>
      <c r="L319" s="37"/>
      <c r="M319" s="37"/>
      <c r="N319" s="37"/>
      <c r="O319" s="37"/>
      <c r="P319" s="3"/>
    </row>
    <row r="320" spans="1:16" ht="15.75" customHeight="1" x14ac:dyDescent="0.3">
      <c r="A320" s="3"/>
      <c r="B320" s="3"/>
      <c r="C320" s="148"/>
      <c r="D320" s="37"/>
      <c r="E320" s="37"/>
      <c r="F320" s="111"/>
      <c r="G320" s="111"/>
      <c r="H320" s="111"/>
      <c r="I320" s="37"/>
      <c r="J320" s="37"/>
      <c r="K320" s="37"/>
      <c r="L320" s="37"/>
      <c r="M320" s="37"/>
      <c r="N320" s="37"/>
      <c r="O320" s="37"/>
      <c r="P320" s="3"/>
    </row>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sheetData>
  <mergeCells count="9">
    <mergeCell ref="C44:C45"/>
    <mergeCell ref="D44:O44"/>
    <mergeCell ref="B2:B3"/>
    <mergeCell ref="C2:F2"/>
    <mergeCell ref="C4:F4"/>
    <mergeCell ref="B20:B21"/>
    <mergeCell ref="C20:C21"/>
    <mergeCell ref="D20:O20"/>
    <mergeCell ref="B44:B45"/>
  </mergeCells>
  <conditionalFormatting sqref="C4">
    <cfRule type="cellIs" dxfId="3" priority="1" operator="greaterThan">
      <formula>0</formula>
    </cfRule>
    <cfRule type="cellIs" dxfId="2" priority="2" operator="lessThan">
      <formula>0</formula>
    </cfRule>
  </conditionalFormatting>
  <conditionalFormatting sqref="E5:F16">
    <cfRule type="cellIs" dxfId="1" priority="3" operator="greaterThan">
      <formula>0</formula>
    </cfRule>
    <cfRule type="cellIs" dxfId="0" priority="4" operator="lessThan">
      <formula>0</formula>
    </cfRule>
  </conditionalFormatting>
  <pageMargins left="0.511811024" right="0.511811024" top="0.78740157499999996" bottom="0.78740157499999996" header="0" footer="0"/>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44546A"/>
  </sheetPr>
  <dimension ref="A1:Z1005"/>
  <sheetViews>
    <sheetView showGridLines="0" tabSelected="1" topLeftCell="A84" zoomScale="108" zoomScaleNormal="108" workbookViewId="0">
      <selection activeCell="W1" sqref="W1"/>
    </sheetView>
  </sheetViews>
  <sheetFormatPr defaultColWidth="14.44140625" defaultRowHeight="15" customHeight="1" x14ac:dyDescent="0.3"/>
  <cols>
    <col min="1" max="1" width="1.33203125" customWidth="1"/>
    <col min="2" max="22" width="9" customWidth="1"/>
    <col min="23" max="23" width="1.33203125" customWidth="1"/>
    <col min="24" max="26" width="8.6640625" customWidth="1"/>
  </cols>
  <sheetData>
    <row r="1" spans="1:26" ht="14.4" x14ac:dyDescent="0.3">
      <c r="A1" s="186"/>
      <c r="B1" s="186"/>
      <c r="C1" s="186"/>
      <c r="D1" s="186"/>
      <c r="E1" s="186"/>
      <c r="F1" s="186"/>
      <c r="G1" s="186"/>
      <c r="H1" s="186"/>
      <c r="I1" s="186"/>
      <c r="J1" s="186"/>
      <c r="K1" s="186"/>
      <c r="L1" s="186"/>
      <c r="M1" s="186"/>
      <c r="N1" s="186"/>
      <c r="O1" s="186"/>
      <c r="P1" s="186"/>
      <c r="Q1" s="186"/>
      <c r="R1" s="186"/>
      <c r="S1" s="186"/>
      <c r="T1" s="186"/>
      <c r="U1" s="186"/>
      <c r="V1" s="186"/>
      <c r="W1" s="186"/>
      <c r="X1" s="171"/>
      <c r="Y1" s="171"/>
      <c r="Z1" s="171"/>
    </row>
    <row r="2" spans="1:26" ht="14.4" x14ac:dyDescent="0.3">
      <c r="A2" s="186"/>
      <c r="B2" s="186"/>
      <c r="C2" s="186"/>
      <c r="D2" s="186"/>
      <c r="E2" s="186"/>
      <c r="F2" s="186"/>
      <c r="G2" s="186"/>
      <c r="H2" s="186"/>
      <c r="I2" s="186"/>
      <c r="J2" s="186"/>
      <c r="K2" s="186"/>
      <c r="L2" s="186"/>
      <c r="M2" s="186"/>
      <c r="N2" s="186"/>
      <c r="O2" s="186"/>
      <c r="P2" s="186"/>
      <c r="Q2" s="186"/>
      <c r="R2" s="186"/>
      <c r="S2" s="186"/>
      <c r="T2" s="186"/>
      <c r="U2" s="186"/>
      <c r="V2" s="186"/>
      <c r="W2" s="186"/>
      <c r="X2" s="171"/>
      <c r="Y2" s="171"/>
      <c r="Z2" s="171"/>
    </row>
    <row r="3" spans="1:26" ht="14.4" x14ac:dyDescent="0.3">
      <c r="A3" s="186"/>
      <c r="B3" s="186"/>
      <c r="C3" s="186"/>
      <c r="D3" s="186"/>
      <c r="E3" s="186"/>
      <c r="F3" s="186"/>
      <c r="G3" s="186"/>
      <c r="H3" s="186"/>
      <c r="I3" s="186"/>
      <c r="J3" s="186"/>
      <c r="K3" s="186"/>
      <c r="L3" s="186"/>
      <c r="M3" s="186"/>
      <c r="N3" s="186"/>
      <c r="O3" s="186"/>
      <c r="P3" s="186"/>
      <c r="Q3" s="186"/>
      <c r="R3" s="186"/>
      <c r="S3" s="186"/>
      <c r="T3" s="186"/>
      <c r="U3" s="186"/>
      <c r="V3" s="186"/>
      <c r="W3" s="186"/>
      <c r="X3" s="171"/>
      <c r="Y3" s="171"/>
      <c r="Z3" s="171"/>
    </row>
    <row r="4" spans="1:26" ht="14.4" x14ac:dyDescent="0.3">
      <c r="A4" s="186"/>
      <c r="B4" s="186"/>
      <c r="C4" s="186"/>
      <c r="D4" s="186"/>
      <c r="E4" s="186"/>
      <c r="F4" s="186"/>
      <c r="G4" s="186"/>
      <c r="H4" s="186"/>
      <c r="I4" s="186"/>
      <c r="J4" s="186"/>
      <c r="K4" s="186"/>
      <c r="L4" s="186"/>
      <c r="M4" s="186"/>
      <c r="N4" s="186"/>
      <c r="O4" s="186"/>
      <c r="P4" s="186"/>
      <c r="Q4" s="186"/>
      <c r="R4" s="186"/>
      <c r="S4" s="186"/>
      <c r="T4" s="186"/>
      <c r="U4" s="186"/>
      <c r="V4" s="186"/>
      <c r="W4" s="186"/>
      <c r="X4" s="171"/>
      <c r="Y4" s="171"/>
      <c r="Z4" s="171"/>
    </row>
    <row r="5" spans="1:26" ht="14.4" x14ac:dyDescent="0.3">
      <c r="A5" s="186"/>
      <c r="B5" s="186"/>
      <c r="C5" s="186"/>
      <c r="D5" s="186"/>
      <c r="E5" s="186"/>
      <c r="F5" s="186"/>
      <c r="G5" s="186"/>
      <c r="H5" s="186"/>
      <c r="I5" s="186"/>
      <c r="J5" s="186"/>
      <c r="K5" s="186"/>
      <c r="L5" s="186"/>
      <c r="M5" s="186"/>
      <c r="N5" s="186"/>
      <c r="O5" s="186"/>
      <c r="P5" s="186"/>
      <c r="Q5" s="186"/>
      <c r="R5" s="186"/>
      <c r="S5" s="186"/>
      <c r="T5" s="186"/>
      <c r="U5" s="186"/>
      <c r="V5" s="186"/>
      <c r="W5" s="186"/>
      <c r="X5" s="171"/>
      <c r="Y5" s="171"/>
      <c r="Z5" s="171"/>
    </row>
    <row r="6" spans="1:26" ht="14.4" x14ac:dyDescent="0.3">
      <c r="A6" s="186"/>
      <c r="B6" s="186"/>
      <c r="C6" s="186"/>
      <c r="D6" s="186"/>
      <c r="E6" s="186"/>
      <c r="F6" s="186"/>
      <c r="G6" s="186"/>
      <c r="H6" s="186"/>
      <c r="I6" s="186"/>
      <c r="J6" s="186"/>
      <c r="K6" s="186"/>
      <c r="L6" s="186"/>
      <c r="M6" s="186"/>
      <c r="N6" s="186"/>
      <c r="O6" s="186"/>
      <c r="P6" s="186"/>
      <c r="Q6" s="186"/>
      <c r="R6" s="186"/>
      <c r="S6" s="186"/>
      <c r="T6" s="186"/>
      <c r="U6" s="186"/>
      <c r="V6" s="186"/>
      <c r="W6" s="186"/>
      <c r="X6" s="171"/>
      <c r="Y6" s="171"/>
      <c r="Z6" s="171"/>
    </row>
    <row r="7" spans="1:26" ht="14.4" x14ac:dyDescent="0.3">
      <c r="A7" s="186"/>
      <c r="B7" s="186"/>
      <c r="C7" s="186"/>
      <c r="D7" s="186"/>
      <c r="E7" s="186"/>
      <c r="F7" s="186"/>
      <c r="G7" s="186"/>
      <c r="H7" s="186"/>
      <c r="I7" s="186"/>
      <c r="J7" s="186"/>
      <c r="K7" s="186"/>
      <c r="L7" s="186"/>
      <c r="M7" s="186"/>
      <c r="N7" s="186"/>
      <c r="O7" s="186"/>
      <c r="P7" s="186"/>
      <c r="Q7" s="186"/>
      <c r="R7" s="186"/>
      <c r="S7" s="186"/>
      <c r="T7" s="186"/>
      <c r="U7" s="186"/>
      <c r="V7" s="186"/>
      <c r="W7" s="186"/>
      <c r="X7" s="171"/>
      <c r="Y7" s="171"/>
      <c r="Z7" s="171"/>
    </row>
    <row r="8" spans="1:26" ht="14.4" x14ac:dyDescent="0.3">
      <c r="A8" s="186"/>
      <c r="B8" s="186"/>
      <c r="C8" s="186"/>
      <c r="D8" s="186"/>
      <c r="E8" s="186"/>
      <c r="F8" s="186"/>
      <c r="G8" s="186"/>
      <c r="H8" s="186"/>
      <c r="I8" s="186"/>
      <c r="J8" s="186"/>
      <c r="K8" s="186"/>
      <c r="L8" s="186"/>
      <c r="M8" s="186"/>
      <c r="N8" s="186"/>
      <c r="O8" s="186"/>
      <c r="P8" s="186"/>
      <c r="Q8" s="186"/>
      <c r="R8" s="186"/>
      <c r="S8" s="186"/>
      <c r="T8" s="186"/>
      <c r="U8" s="186"/>
      <c r="V8" s="186"/>
      <c r="W8" s="186"/>
      <c r="X8" s="171"/>
      <c r="Y8" s="171"/>
      <c r="Z8" s="171"/>
    </row>
    <row r="9" spans="1:26" ht="14.4" x14ac:dyDescent="0.3">
      <c r="A9" s="186"/>
      <c r="B9" s="186"/>
      <c r="C9" s="186"/>
      <c r="D9" s="186"/>
      <c r="E9" s="186"/>
      <c r="F9" s="186"/>
      <c r="G9" s="186"/>
      <c r="H9" s="186"/>
      <c r="I9" s="186"/>
      <c r="J9" s="186"/>
      <c r="K9" s="186"/>
      <c r="L9" s="186"/>
      <c r="M9" s="186"/>
      <c r="N9" s="186"/>
      <c r="O9" s="186"/>
      <c r="P9" s="186"/>
      <c r="Q9" s="186"/>
      <c r="R9" s="186"/>
      <c r="S9" s="186"/>
      <c r="T9" s="186"/>
      <c r="U9" s="186"/>
      <c r="V9" s="186"/>
      <c r="W9" s="186"/>
      <c r="X9" s="171"/>
      <c r="Y9" s="171"/>
      <c r="Z9" s="171"/>
    </row>
    <row r="10" spans="1:26" ht="14.4" x14ac:dyDescent="0.3">
      <c r="A10" s="186"/>
      <c r="B10" s="186"/>
      <c r="C10" s="186"/>
      <c r="D10" s="186"/>
      <c r="E10" s="186"/>
      <c r="F10" s="186"/>
      <c r="G10" s="186"/>
      <c r="H10" s="186"/>
      <c r="I10" s="186"/>
      <c r="J10" s="186"/>
      <c r="K10" s="186"/>
      <c r="L10" s="186"/>
      <c r="M10" s="186"/>
      <c r="N10" s="186"/>
      <c r="O10" s="186"/>
      <c r="P10" s="186"/>
      <c r="Q10" s="186"/>
      <c r="R10" s="186"/>
      <c r="S10" s="186"/>
      <c r="T10" s="186"/>
      <c r="U10" s="186"/>
      <c r="V10" s="186"/>
      <c r="W10" s="186"/>
      <c r="X10" s="171"/>
      <c r="Y10" s="171"/>
      <c r="Z10" s="171"/>
    </row>
    <row r="11" spans="1:26" ht="14.4" x14ac:dyDescent="0.3">
      <c r="A11" s="186"/>
      <c r="B11" s="186"/>
      <c r="C11" s="186"/>
      <c r="D11" s="186"/>
      <c r="E11" s="186"/>
      <c r="F11" s="186"/>
      <c r="G11" s="186"/>
      <c r="H11" s="186"/>
      <c r="I11" s="186"/>
      <c r="J11" s="186"/>
      <c r="K11" s="186"/>
      <c r="L11" s="186"/>
      <c r="M11" s="186"/>
      <c r="N11" s="186"/>
      <c r="O11" s="186"/>
      <c r="P11" s="186"/>
      <c r="Q11" s="186"/>
      <c r="R11" s="186"/>
      <c r="S11" s="186"/>
      <c r="T11" s="186"/>
      <c r="U11" s="186"/>
      <c r="V11" s="186"/>
      <c r="W11" s="186"/>
      <c r="X11" s="171"/>
      <c r="Y11" s="171"/>
      <c r="Z11" s="171"/>
    </row>
    <row r="12" spans="1:26" ht="14.4" x14ac:dyDescent="0.3">
      <c r="A12" s="186"/>
      <c r="B12" s="186"/>
      <c r="C12" s="186"/>
      <c r="D12" s="186"/>
      <c r="E12" s="186"/>
      <c r="F12" s="186"/>
      <c r="G12" s="186"/>
      <c r="H12" s="186"/>
      <c r="I12" s="186"/>
      <c r="J12" s="186"/>
      <c r="K12" s="186"/>
      <c r="L12" s="186"/>
      <c r="M12" s="186"/>
      <c r="N12" s="186"/>
      <c r="O12" s="186"/>
      <c r="P12" s="186"/>
      <c r="Q12" s="186"/>
      <c r="R12" s="186"/>
      <c r="S12" s="186"/>
      <c r="T12" s="186"/>
      <c r="U12" s="186"/>
      <c r="V12" s="186"/>
      <c r="W12" s="186"/>
      <c r="X12" s="171"/>
      <c r="Y12" s="171"/>
      <c r="Z12" s="171"/>
    </row>
    <row r="13" spans="1:26" ht="14.4" x14ac:dyDescent="0.3">
      <c r="A13" s="285" t="s">
        <v>1636</v>
      </c>
      <c r="B13" s="274"/>
      <c r="C13" s="274"/>
      <c r="D13" s="274"/>
      <c r="E13" s="274"/>
      <c r="F13" s="274"/>
      <c r="G13" s="274"/>
      <c r="H13" s="274"/>
      <c r="I13" s="274"/>
      <c r="J13" s="274"/>
      <c r="K13" s="274"/>
      <c r="L13" s="274"/>
      <c r="M13" s="274"/>
      <c r="N13" s="274"/>
      <c r="O13" s="274"/>
      <c r="P13" s="274"/>
      <c r="Q13" s="274"/>
      <c r="R13" s="274"/>
      <c r="S13" s="274"/>
      <c r="T13" s="274"/>
      <c r="U13" s="274"/>
      <c r="V13" s="274"/>
      <c r="W13" s="274"/>
      <c r="X13" s="171"/>
      <c r="Y13" s="171"/>
      <c r="Z13" s="171"/>
    </row>
    <row r="14" spans="1:26" ht="14.4" x14ac:dyDescent="0.3">
      <c r="A14" s="274"/>
      <c r="B14" s="248"/>
      <c r="C14" s="248"/>
      <c r="D14" s="248"/>
      <c r="E14" s="248"/>
      <c r="F14" s="248"/>
      <c r="G14" s="248"/>
      <c r="H14" s="248"/>
      <c r="I14" s="248"/>
      <c r="J14" s="248"/>
      <c r="K14" s="248"/>
      <c r="L14" s="248"/>
      <c r="M14" s="248"/>
      <c r="N14" s="248"/>
      <c r="O14" s="248"/>
      <c r="P14" s="248"/>
      <c r="Q14" s="248"/>
      <c r="R14" s="248"/>
      <c r="S14" s="248"/>
      <c r="T14" s="248"/>
      <c r="U14" s="248"/>
      <c r="V14" s="248"/>
      <c r="W14" s="274"/>
      <c r="X14" s="171"/>
      <c r="Y14" s="171"/>
      <c r="Z14" s="171"/>
    </row>
    <row r="15" spans="1:26" ht="14.4" x14ac:dyDescent="0.3">
      <c r="A15" s="274"/>
      <c r="B15" s="248"/>
      <c r="C15" s="248"/>
      <c r="D15" s="248"/>
      <c r="E15" s="248"/>
      <c r="F15" s="248"/>
      <c r="G15" s="248"/>
      <c r="H15" s="248"/>
      <c r="I15" s="248"/>
      <c r="J15" s="248"/>
      <c r="K15" s="248"/>
      <c r="L15" s="248"/>
      <c r="M15" s="248"/>
      <c r="N15" s="248"/>
      <c r="O15" s="248"/>
      <c r="P15" s="248"/>
      <c r="Q15" s="248"/>
      <c r="R15" s="248"/>
      <c r="S15" s="248"/>
      <c r="T15" s="248"/>
      <c r="U15" s="248"/>
      <c r="V15" s="248"/>
      <c r="W15" s="274"/>
      <c r="X15" s="171"/>
      <c r="Y15" s="171"/>
      <c r="Z15" s="171"/>
    </row>
    <row r="16" spans="1:26" ht="14.4" x14ac:dyDescent="0.3">
      <c r="A16" s="274"/>
      <c r="B16" s="248"/>
      <c r="C16" s="248"/>
      <c r="D16" s="248"/>
      <c r="E16" s="248"/>
      <c r="F16" s="248"/>
      <c r="G16" s="248"/>
      <c r="H16" s="248"/>
      <c r="I16" s="248"/>
      <c r="J16" s="248"/>
      <c r="K16" s="248"/>
      <c r="L16" s="248"/>
      <c r="M16" s="248"/>
      <c r="N16" s="248"/>
      <c r="O16" s="248"/>
      <c r="P16" s="248"/>
      <c r="Q16" s="248"/>
      <c r="R16" s="248"/>
      <c r="S16" s="248"/>
      <c r="T16" s="248"/>
      <c r="U16" s="248"/>
      <c r="V16" s="248"/>
      <c r="W16" s="274"/>
      <c r="X16" s="171"/>
      <c r="Y16" s="171"/>
      <c r="Z16" s="171"/>
    </row>
    <row r="17" spans="1:26" ht="14.4" x14ac:dyDescent="0.3">
      <c r="A17" s="274"/>
      <c r="B17" s="248"/>
      <c r="C17" s="248"/>
      <c r="D17" s="248"/>
      <c r="E17" s="248"/>
      <c r="F17" s="248"/>
      <c r="G17" s="248"/>
      <c r="H17" s="248"/>
      <c r="I17" s="248"/>
      <c r="J17" s="248"/>
      <c r="K17" s="248"/>
      <c r="L17" s="248"/>
      <c r="M17" s="248"/>
      <c r="N17" s="248"/>
      <c r="O17" s="248"/>
      <c r="P17" s="248"/>
      <c r="Q17" s="248"/>
      <c r="R17" s="248"/>
      <c r="S17" s="248"/>
      <c r="T17" s="248"/>
      <c r="U17" s="248"/>
      <c r="V17" s="248"/>
      <c r="W17" s="274"/>
      <c r="X17" s="171"/>
      <c r="Y17" s="171"/>
      <c r="Z17" s="171"/>
    </row>
    <row r="18" spans="1:26" ht="24.6" customHeight="1" x14ac:dyDescent="0.3">
      <c r="A18" s="274"/>
      <c r="B18" s="274"/>
      <c r="C18" s="274"/>
      <c r="D18" s="274"/>
      <c r="E18" s="274"/>
      <c r="F18" s="274"/>
      <c r="G18" s="274"/>
      <c r="H18" s="274"/>
      <c r="I18" s="274"/>
      <c r="J18" s="274"/>
      <c r="K18" s="274"/>
      <c r="L18" s="274"/>
      <c r="M18" s="274"/>
      <c r="N18" s="274"/>
      <c r="O18" s="274"/>
      <c r="P18" s="274"/>
      <c r="Q18" s="274"/>
      <c r="R18" s="274"/>
      <c r="S18" s="274"/>
      <c r="T18" s="274"/>
      <c r="U18" s="274"/>
      <c r="V18" s="274"/>
      <c r="W18" s="274"/>
      <c r="X18" s="171"/>
      <c r="Y18" s="171"/>
      <c r="Z18" s="171"/>
    </row>
    <row r="19" spans="1:26" ht="14.4" x14ac:dyDescent="0.3">
      <c r="A19" s="186"/>
      <c r="B19" s="186"/>
      <c r="C19" s="186"/>
      <c r="D19" s="186"/>
      <c r="E19" s="186"/>
      <c r="F19" s="186"/>
      <c r="G19" s="186"/>
      <c r="H19" s="186"/>
      <c r="I19" s="186"/>
      <c r="J19" s="186"/>
      <c r="K19" s="186"/>
      <c r="L19" s="186"/>
      <c r="M19" s="186"/>
      <c r="N19" s="186"/>
      <c r="O19" s="186"/>
      <c r="P19" s="186"/>
      <c r="Q19" s="186"/>
      <c r="R19" s="186"/>
      <c r="S19" s="186"/>
      <c r="T19" s="186"/>
      <c r="U19" s="186"/>
      <c r="V19" s="186"/>
      <c r="W19" s="186"/>
      <c r="X19" s="171"/>
      <c r="Y19" s="171"/>
      <c r="Z19" s="171"/>
    </row>
    <row r="20" spans="1:26" ht="14.4" x14ac:dyDescent="0.3">
      <c r="A20" s="286" t="s">
        <v>1970</v>
      </c>
      <c r="B20" s="274"/>
      <c r="C20" s="274"/>
      <c r="D20" s="274"/>
      <c r="E20" s="274"/>
      <c r="F20" s="274"/>
      <c r="G20" s="274"/>
      <c r="H20" s="274"/>
      <c r="I20" s="274"/>
      <c r="J20" s="274"/>
      <c r="K20" s="274"/>
      <c r="L20" s="274"/>
      <c r="M20" s="274"/>
      <c r="N20" s="274"/>
      <c r="O20" s="274"/>
      <c r="P20" s="274"/>
      <c r="Q20" s="274"/>
      <c r="R20" s="274"/>
      <c r="S20" s="274"/>
      <c r="T20" s="274"/>
      <c r="U20" s="274"/>
      <c r="V20" s="274"/>
      <c r="W20" s="274"/>
      <c r="X20" s="171"/>
      <c r="Y20" s="171"/>
      <c r="Z20" s="171"/>
    </row>
    <row r="21" spans="1:26" ht="14.4" x14ac:dyDescent="0.3">
      <c r="A21" s="274"/>
      <c r="B21" s="248"/>
      <c r="C21" s="248"/>
      <c r="D21" s="248"/>
      <c r="E21" s="248"/>
      <c r="F21" s="248"/>
      <c r="G21" s="248"/>
      <c r="H21" s="248"/>
      <c r="I21" s="248"/>
      <c r="J21" s="248"/>
      <c r="K21" s="248"/>
      <c r="L21" s="248"/>
      <c r="M21" s="248"/>
      <c r="N21" s="248"/>
      <c r="O21" s="248"/>
      <c r="P21" s="248"/>
      <c r="Q21" s="248"/>
      <c r="R21" s="248"/>
      <c r="S21" s="248"/>
      <c r="T21" s="248"/>
      <c r="U21" s="248"/>
      <c r="V21" s="248"/>
      <c r="W21" s="274"/>
      <c r="X21" s="171"/>
      <c r="Y21" s="171"/>
      <c r="Z21" s="171"/>
    </row>
    <row r="22" spans="1:26" ht="14.4" x14ac:dyDescent="0.3">
      <c r="A22" s="274"/>
      <c r="B22" s="248"/>
      <c r="C22" s="248"/>
      <c r="D22" s="248"/>
      <c r="E22" s="248"/>
      <c r="F22" s="248"/>
      <c r="G22" s="248"/>
      <c r="H22" s="248"/>
      <c r="I22" s="248"/>
      <c r="J22" s="248"/>
      <c r="K22" s="248"/>
      <c r="L22" s="248"/>
      <c r="M22" s="248"/>
      <c r="N22" s="248"/>
      <c r="O22" s="248"/>
      <c r="P22" s="248"/>
      <c r="Q22" s="248"/>
      <c r="R22" s="248"/>
      <c r="S22" s="248"/>
      <c r="T22" s="248"/>
      <c r="U22" s="248"/>
      <c r="V22" s="248"/>
      <c r="W22" s="274"/>
      <c r="X22" s="171"/>
      <c r="Y22" s="171"/>
      <c r="Z22" s="171"/>
    </row>
    <row r="23" spans="1:26" ht="14.4" x14ac:dyDescent="0.3">
      <c r="A23" s="274"/>
      <c r="B23" s="248"/>
      <c r="C23" s="248"/>
      <c r="D23" s="248"/>
      <c r="E23" s="248"/>
      <c r="F23" s="248"/>
      <c r="G23" s="248"/>
      <c r="H23" s="248"/>
      <c r="I23" s="248"/>
      <c r="J23" s="248"/>
      <c r="K23" s="248"/>
      <c r="L23" s="248"/>
      <c r="M23" s="248"/>
      <c r="N23" s="248"/>
      <c r="O23" s="248"/>
      <c r="P23" s="248"/>
      <c r="Q23" s="248"/>
      <c r="R23" s="248"/>
      <c r="S23" s="248"/>
      <c r="T23" s="248"/>
      <c r="U23" s="248"/>
      <c r="V23" s="248"/>
      <c r="W23" s="274"/>
      <c r="X23" s="171"/>
      <c r="Y23" s="171"/>
      <c r="Z23" s="171"/>
    </row>
    <row r="24" spans="1:26" ht="36.6" customHeight="1" x14ac:dyDescent="0.3">
      <c r="A24" s="274"/>
      <c r="B24" s="274"/>
      <c r="C24" s="274"/>
      <c r="D24" s="274"/>
      <c r="E24" s="274"/>
      <c r="F24" s="274"/>
      <c r="G24" s="274"/>
      <c r="H24" s="274"/>
      <c r="I24" s="274"/>
      <c r="J24" s="274"/>
      <c r="K24" s="274"/>
      <c r="L24" s="274"/>
      <c r="M24" s="274"/>
      <c r="N24" s="274"/>
      <c r="O24" s="274"/>
      <c r="P24" s="274"/>
      <c r="Q24" s="274"/>
      <c r="R24" s="274"/>
      <c r="S24" s="274"/>
      <c r="T24" s="274"/>
      <c r="U24" s="274"/>
      <c r="V24" s="274"/>
      <c r="W24" s="274"/>
      <c r="X24" s="171"/>
      <c r="Y24" s="171"/>
      <c r="Z24" s="171"/>
    </row>
    <row r="25" spans="1:26" ht="14.4" x14ac:dyDescent="0.3">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71"/>
      <c r="Y25" s="171"/>
      <c r="Z25" s="171"/>
    </row>
    <row r="26" spans="1:26" ht="14.4" x14ac:dyDescent="0.3">
      <c r="A26" s="186"/>
      <c r="B26" s="186"/>
      <c r="C26" s="186"/>
      <c r="D26" s="186"/>
      <c r="E26" s="186"/>
      <c r="F26" s="186"/>
      <c r="G26" s="186"/>
      <c r="H26" s="186"/>
      <c r="I26" s="186"/>
      <c r="J26" s="186"/>
      <c r="K26" s="186"/>
      <c r="L26" s="186"/>
      <c r="M26" s="186"/>
      <c r="N26" s="186"/>
      <c r="O26" s="186"/>
      <c r="P26" s="186"/>
      <c r="Q26" s="186"/>
      <c r="R26" s="186"/>
      <c r="S26" s="186"/>
      <c r="T26" s="186"/>
      <c r="U26" s="186"/>
      <c r="V26" s="186"/>
      <c r="W26" s="186"/>
      <c r="X26" s="171"/>
      <c r="Y26" s="171"/>
      <c r="Z26" s="171"/>
    </row>
    <row r="27" spans="1:26" ht="14.4" x14ac:dyDescent="0.3">
      <c r="A27" s="186"/>
      <c r="B27" s="186"/>
      <c r="C27" s="186"/>
      <c r="D27" s="186"/>
      <c r="E27" s="186"/>
      <c r="F27" s="186"/>
      <c r="G27" s="186"/>
      <c r="H27" s="186"/>
      <c r="I27" s="186"/>
      <c r="J27" s="186"/>
      <c r="K27" s="186"/>
      <c r="L27" s="186"/>
      <c r="M27" s="186"/>
      <c r="N27" s="186"/>
      <c r="O27" s="186"/>
      <c r="P27" s="186"/>
      <c r="Q27" s="186"/>
      <c r="R27" s="186"/>
      <c r="S27" s="186"/>
      <c r="T27" s="186"/>
      <c r="U27" s="186"/>
      <c r="V27" s="186"/>
      <c r="W27" s="186"/>
      <c r="X27" s="171"/>
      <c r="Y27" s="171"/>
      <c r="Z27" s="171"/>
    </row>
    <row r="28" spans="1:26" ht="14.4" x14ac:dyDescent="0.3">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71"/>
      <c r="Y28" s="171"/>
      <c r="Z28" s="171"/>
    </row>
    <row r="29" spans="1:26" ht="14.4" x14ac:dyDescent="0.3">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72"/>
      <c r="Y29" s="172"/>
      <c r="Z29" s="172"/>
    </row>
    <row r="30" spans="1:26" ht="14.4" x14ac:dyDescent="0.3">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71"/>
      <c r="Y30" s="171"/>
      <c r="Z30" s="171"/>
    </row>
    <row r="31" spans="1:26" ht="14.4" x14ac:dyDescent="0.3">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71"/>
      <c r="Y31" s="171"/>
      <c r="Z31" s="171"/>
    </row>
    <row r="32" spans="1:26" ht="31.8" customHeight="1" x14ac:dyDescent="0.3">
      <c r="A32" s="187"/>
      <c r="B32" s="187"/>
      <c r="C32" s="187"/>
      <c r="D32" s="187"/>
      <c r="E32" s="187"/>
      <c r="F32" s="187"/>
      <c r="G32" s="187"/>
      <c r="H32" s="187"/>
      <c r="I32" s="187"/>
      <c r="J32" s="187"/>
      <c r="K32" s="187"/>
      <c r="L32" s="187"/>
      <c r="M32" s="187"/>
      <c r="N32" s="187"/>
      <c r="O32" s="187"/>
      <c r="P32" s="187"/>
      <c r="Q32" s="187"/>
      <c r="R32" s="187"/>
      <c r="S32" s="187"/>
      <c r="T32" s="187"/>
      <c r="U32" s="187"/>
      <c r="V32" s="187"/>
      <c r="W32" s="187"/>
      <c r="X32" s="171"/>
      <c r="Y32" s="171"/>
      <c r="Z32" s="171"/>
    </row>
    <row r="33" spans="1:26" ht="14.4" x14ac:dyDescent="0.3">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71"/>
      <c r="Y33" s="171"/>
      <c r="Z33" s="171"/>
    </row>
    <row r="34" spans="1:26" ht="33" x14ac:dyDescent="0.3">
      <c r="A34" s="186"/>
      <c r="B34" s="186"/>
      <c r="C34" s="186"/>
      <c r="D34" s="186"/>
      <c r="E34" s="186"/>
      <c r="F34" s="186"/>
      <c r="G34" s="186"/>
      <c r="H34" s="186"/>
      <c r="I34" s="186"/>
      <c r="J34" s="186"/>
      <c r="K34" s="188" t="s">
        <v>1637</v>
      </c>
      <c r="L34" s="287">
        <v>27053.57</v>
      </c>
      <c r="M34" s="274"/>
      <c r="N34" s="274"/>
      <c r="O34" s="274"/>
      <c r="P34" s="186"/>
      <c r="Q34" s="186"/>
      <c r="R34" s="186"/>
      <c r="S34" s="186"/>
      <c r="T34" s="186"/>
      <c r="U34" s="186"/>
      <c r="V34" s="186"/>
      <c r="W34" s="186"/>
      <c r="X34" s="171"/>
      <c r="Y34" s="171"/>
      <c r="Z34" s="171"/>
    </row>
    <row r="35" spans="1:26" ht="14.4" x14ac:dyDescent="0.3">
      <c r="A35" s="186"/>
      <c r="B35" s="186"/>
      <c r="C35" s="186"/>
      <c r="D35" s="186"/>
      <c r="E35" s="186"/>
      <c r="F35" s="186"/>
      <c r="G35" s="186"/>
      <c r="H35" s="186"/>
      <c r="I35" s="186"/>
      <c r="J35" s="186"/>
      <c r="K35" s="186"/>
      <c r="L35" s="186"/>
      <c r="M35" s="186"/>
      <c r="N35" s="186"/>
      <c r="O35" s="186"/>
      <c r="P35" s="186"/>
      <c r="Q35" s="186"/>
      <c r="R35" s="186"/>
      <c r="S35" s="186"/>
      <c r="T35" s="186"/>
      <c r="U35" s="186"/>
      <c r="V35" s="186"/>
      <c r="W35" s="186"/>
      <c r="X35" s="171"/>
      <c r="Y35" s="171"/>
      <c r="Z35" s="171"/>
    </row>
    <row r="36" spans="1:26" ht="14.4" x14ac:dyDescent="0.3">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71"/>
      <c r="Y36" s="171"/>
      <c r="Z36" s="171"/>
    </row>
    <row r="37" spans="1:26" ht="15.6" customHeight="1" x14ac:dyDescent="0.3">
      <c r="A37" s="186"/>
      <c r="B37" s="186"/>
      <c r="C37" s="186"/>
      <c r="D37" s="186"/>
      <c r="E37" s="186"/>
      <c r="F37" s="186"/>
      <c r="G37" s="186"/>
      <c r="H37" s="186"/>
      <c r="I37" s="186"/>
      <c r="J37" s="186"/>
      <c r="K37" s="186"/>
      <c r="L37" s="189"/>
      <c r="M37" s="186"/>
      <c r="N37" s="186"/>
      <c r="O37" s="186"/>
      <c r="P37" s="186"/>
      <c r="Q37" s="186"/>
      <c r="R37" s="186"/>
      <c r="S37" s="186"/>
      <c r="T37" s="186"/>
      <c r="U37" s="186"/>
      <c r="V37" s="186"/>
      <c r="W37" s="186"/>
      <c r="X37" s="173"/>
      <c r="Y37" s="173"/>
      <c r="Z37" s="173"/>
    </row>
    <row r="38" spans="1:26" ht="15.6" customHeight="1" x14ac:dyDescent="0.3">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75"/>
      <c r="Y38" s="175"/>
      <c r="Z38" s="175"/>
    </row>
    <row r="39" spans="1:26" ht="23.4" x14ac:dyDescent="0.3">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75"/>
      <c r="Y39" s="175"/>
      <c r="Z39" s="175"/>
    </row>
    <row r="40" spans="1:26" ht="25.2" x14ac:dyDescent="0.3">
      <c r="A40" s="190"/>
      <c r="B40" s="191" t="s">
        <v>1638</v>
      </c>
      <c r="C40" s="190"/>
      <c r="D40" s="190"/>
      <c r="E40" s="190"/>
      <c r="F40" s="190"/>
      <c r="G40" s="190"/>
      <c r="H40" s="190"/>
      <c r="I40" s="277">
        <f>SUM(I41:K49)</f>
        <v>15910.830000000002</v>
      </c>
      <c r="J40" s="274"/>
      <c r="K40" s="274"/>
      <c r="L40" s="190"/>
      <c r="M40" s="191" t="s">
        <v>1639</v>
      </c>
      <c r="N40" s="190"/>
      <c r="O40" s="190"/>
      <c r="P40" s="190"/>
      <c r="Q40" s="190"/>
      <c r="R40" s="190"/>
      <c r="S40" s="190"/>
      <c r="T40" s="277">
        <f>SUM(T41:V44)</f>
        <v>14550.029999999999</v>
      </c>
      <c r="U40" s="274"/>
      <c r="V40" s="274"/>
      <c r="W40" s="190"/>
      <c r="X40" s="175"/>
      <c r="Y40" s="175"/>
      <c r="Z40" s="175"/>
    </row>
    <row r="41" spans="1:26" ht="23.4" x14ac:dyDescent="0.3">
      <c r="A41" s="192"/>
      <c r="B41" s="193" t="s">
        <v>1640</v>
      </c>
      <c r="C41" s="192"/>
      <c r="D41" s="192"/>
      <c r="E41" s="192"/>
      <c r="F41" s="192"/>
      <c r="G41" s="192"/>
      <c r="H41" s="192"/>
      <c r="I41" s="273">
        <f>'JUL-Receitas'!M6+120</f>
        <v>9492.4900000000034</v>
      </c>
      <c r="J41" s="274"/>
      <c r="K41" s="274"/>
      <c r="L41" s="192"/>
      <c r="M41" s="193" t="s">
        <v>1959</v>
      </c>
      <c r="N41" s="192"/>
      <c r="O41" s="192"/>
      <c r="P41" s="192"/>
      <c r="Q41" s="192"/>
      <c r="R41" s="192"/>
      <c r="S41" s="192"/>
      <c r="T41" s="273">
        <f>'JUL-Receitas'!F9</f>
        <v>368.83</v>
      </c>
      <c r="U41" s="274"/>
      <c r="V41" s="274"/>
      <c r="W41" s="192"/>
      <c r="X41" s="175"/>
      <c r="Y41" s="175"/>
      <c r="Z41" s="175"/>
    </row>
    <row r="42" spans="1:26" ht="23.4" x14ac:dyDescent="0.3">
      <c r="A42" s="192"/>
      <c r="B42" s="193" t="s">
        <v>1641</v>
      </c>
      <c r="C42" s="192"/>
      <c r="D42" s="192"/>
      <c r="E42" s="192"/>
      <c r="F42" s="192"/>
      <c r="G42" s="192"/>
      <c r="H42" s="192"/>
      <c r="I42" s="273">
        <f>'JUL-Receitas'!N6</f>
        <v>2063.8799999999983</v>
      </c>
      <c r="J42" s="274"/>
      <c r="K42" s="274"/>
      <c r="L42" s="192"/>
      <c r="M42" s="193" t="s">
        <v>1960</v>
      </c>
      <c r="N42" s="192"/>
      <c r="O42" s="192"/>
      <c r="P42" s="192"/>
      <c r="Q42" s="192"/>
      <c r="R42" s="192"/>
      <c r="S42" s="192"/>
      <c r="T42" s="273">
        <f>'JUL-Receitas'!F11</f>
        <v>1237.2</v>
      </c>
      <c r="U42" s="274"/>
      <c r="V42" s="274"/>
      <c r="W42" s="192"/>
      <c r="X42" s="175"/>
      <c r="Y42" s="175"/>
      <c r="Z42" s="175"/>
    </row>
    <row r="43" spans="1:26" ht="23.4" x14ac:dyDescent="0.3">
      <c r="A43" s="192"/>
      <c r="B43" s="193" t="s">
        <v>1643</v>
      </c>
      <c r="C43" s="192"/>
      <c r="D43" s="192"/>
      <c r="E43" s="192"/>
      <c r="F43" s="192"/>
      <c r="G43" s="192"/>
      <c r="H43" s="192"/>
      <c r="I43" s="273">
        <f>'JUL-Receitas'!O6</f>
        <v>1008</v>
      </c>
      <c r="J43" s="274"/>
      <c r="K43" s="274"/>
      <c r="L43" s="192"/>
      <c r="M43" s="193" t="s">
        <v>1961</v>
      </c>
      <c r="N43" s="192"/>
      <c r="O43" s="192"/>
      <c r="P43" s="192"/>
      <c r="Q43" s="192"/>
      <c r="R43" s="192"/>
      <c r="S43" s="192"/>
      <c r="T43" s="273">
        <f>'JUL-Receitas'!F13+'JUL-Receitas'!F14</f>
        <v>12639.999999999998</v>
      </c>
      <c r="U43" s="274"/>
      <c r="V43" s="274"/>
      <c r="W43" s="192"/>
      <c r="X43" s="175"/>
      <c r="Y43" s="175"/>
      <c r="Z43" s="175"/>
    </row>
    <row r="44" spans="1:26" ht="23.4" x14ac:dyDescent="0.3">
      <c r="A44" s="192"/>
      <c r="B44" s="193" t="s">
        <v>1645</v>
      </c>
      <c r="C44" s="192"/>
      <c r="D44" s="192"/>
      <c r="E44" s="192"/>
      <c r="F44" s="192"/>
      <c r="G44" s="192"/>
      <c r="H44" s="192"/>
      <c r="I44" s="273">
        <f>'JUL-Receitas'!P6</f>
        <v>179.05999999999995</v>
      </c>
      <c r="J44" s="274"/>
      <c r="K44" s="274"/>
      <c r="L44" s="192"/>
      <c r="M44" s="193" t="s">
        <v>1971</v>
      </c>
      <c r="N44" s="192"/>
      <c r="O44" s="192"/>
      <c r="P44" s="192"/>
      <c r="Q44" s="192"/>
      <c r="R44" s="192"/>
      <c r="S44" s="192"/>
      <c r="T44" s="273">
        <f>'JUL-Receitas'!F15</f>
        <v>304</v>
      </c>
      <c r="U44" s="274"/>
      <c r="V44" s="274"/>
      <c r="W44" s="192"/>
      <c r="X44" s="175"/>
      <c r="Y44" s="175"/>
      <c r="Z44" s="175"/>
    </row>
    <row r="45" spans="1:26" ht="25.2" x14ac:dyDescent="0.3">
      <c r="A45" s="192"/>
      <c r="B45" s="193" t="s">
        <v>1647</v>
      </c>
      <c r="C45" s="192"/>
      <c r="D45" s="192"/>
      <c r="E45" s="192"/>
      <c r="F45" s="192"/>
      <c r="G45" s="192"/>
      <c r="H45" s="192"/>
      <c r="I45" s="273">
        <f>'JUL-Receitas'!Q6</f>
        <v>160</v>
      </c>
      <c r="J45" s="274"/>
      <c r="K45" s="274"/>
      <c r="L45" s="192"/>
      <c r="M45" s="191" t="s">
        <v>1642</v>
      </c>
      <c r="N45" s="190"/>
      <c r="O45" s="190"/>
      <c r="P45" s="190"/>
      <c r="Q45" s="190"/>
      <c r="R45" s="190"/>
      <c r="S45" s="190"/>
      <c r="T45" s="277">
        <f>SUM(T46:V50)</f>
        <v>4210.05</v>
      </c>
      <c r="U45" s="274"/>
      <c r="V45" s="274"/>
      <c r="W45" s="192"/>
      <c r="X45" s="175"/>
      <c r="Y45" s="175"/>
      <c r="Z45" s="175"/>
    </row>
    <row r="46" spans="1:26" ht="23.4" x14ac:dyDescent="0.3">
      <c r="A46" s="192"/>
      <c r="B46" s="193" t="s">
        <v>1648</v>
      </c>
      <c r="C46" s="192"/>
      <c r="D46" s="192"/>
      <c r="E46" s="192"/>
      <c r="F46" s="192"/>
      <c r="G46" s="192"/>
      <c r="H46" s="192"/>
      <c r="I46" s="273">
        <f>'JUL-Receitas'!R6</f>
        <v>160</v>
      </c>
      <c r="J46" s="274"/>
      <c r="K46" s="274"/>
      <c r="L46" s="192"/>
      <c r="M46" s="193" t="s">
        <v>1972</v>
      </c>
      <c r="N46" s="192"/>
      <c r="O46" s="192"/>
      <c r="P46" s="192"/>
      <c r="Q46" s="192"/>
      <c r="R46" s="192"/>
      <c r="S46" s="192"/>
      <c r="T46" s="273">
        <f>'JUL-Receitas'!F23</f>
        <v>2800</v>
      </c>
      <c r="U46" s="274"/>
      <c r="V46" s="274"/>
      <c r="W46" s="192"/>
      <c r="X46" s="175"/>
      <c r="Y46" s="175"/>
      <c r="Z46" s="175"/>
    </row>
    <row r="47" spans="1:26" ht="25.2" x14ac:dyDescent="0.3">
      <c r="A47" s="192"/>
      <c r="B47" s="193" t="s">
        <v>1649</v>
      </c>
      <c r="C47" s="192"/>
      <c r="D47" s="192"/>
      <c r="E47" s="192"/>
      <c r="F47" s="192"/>
      <c r="G47" s="192"/>
      <c r="H47" s="192"/>
      <c r="I47" s="273">
        <f>'JUL-Receitas'!S6</f>
        <v>232</v>
      </c>
      <c r="J47" s="274"/>
      <c r="K47" s="274"/>
      <c r="L47" s="192"/>
      <c r="M47" s="193" t="s">
        <v>1973</v>
      </c>
      <c r="N47" s="192"/>
      <c r="O47" s="192"/>
      <c r="P47" s="192"/>
      <c r="Q47" s="192"/>
      <c r="R47" s="192"/>
      <c r="S47" s="192"/>
      <c r="T47" s="273">
        <f>'JUL-Receitas'!F24</f>
        <v>200</v>
      </c>
      <c r="U47" s="274"/>
      <c r="V47" s="274"/>
      <c r="W47" s="192"/>
      <c r="X47" s="173"/>
      <c r="Y47" s="173"/>
      <c r="Z47" s="173"/>
    </row>
    <row r="48" spans="1:26" ht="23.4" x14ac:dyDescent="0.3">
      <c r="A48" s="192"/>
      <c r="B48" s="193" t="s">
        <v>1650</v>
      </c>
      <c r="C48" s="192"/>
      <c r="D48" s="192"/>
      <c r="E48" s="192"/>
      <c r="F48" s="192"/>
      <c r="G48" s="192"/>
      <c r="H48" s="192"/>
      <c r="I48" s="273">
        <f>'JUL-Receitas'!T6</f>
        <v>600</v>
      </c>
      <c r="J48" s="274"/>
      <c r="K48" s="274"/>
      <c r="L48" s="192"/>
      <c r="M48" s="193" t="s">
        <v>1644</v>
      </c>
      <c r="N48" s="192"/>
      <c r="O48" s="192"/>
      <c r="P48" s="192"/>
      <c r="Q48" s="192"/>
      <c r="R48" s="192"/>
      <c r="S48" s="192"/>
      <c r="T48" s="273">
        <f>'JUL-Receitas'!F17</f>
        <v>685</v>
      </c>
      <c r="U48" s="274"/>
      <c r="V48" s="274"/>
      <c r="W48" s="192"/>
      <c r="X48" s="175"/>
      <c r="Y48" s="175"/>
      <c r="Z48" s="175"/>
    </row>
    <row r="49" spans="1:26" ht="23.4" x14ac:dyDescent="0.3">
      <c r="A49" s="192"/>
      <c r="B49" s="193" t="s">
        <v>1651</v>
      </c>
      <c r="C49" s="192"/>
      <c r="D49" s="192"/>
      <c r="E49" s="192"/>
      <c r="F49" s="192"/>
      <c r="G49" s="192"/>
      <c r="H49" s="192"/>
      <c r="I49" s="273">
        <f>'JUL-Receitas'!U6</f>
        <v>2015.4</v>
      </c>
      <c r="J49" s="274"/>
      <c r="K49" s="274"/>
      <c r="L49" s="192"/>
      <c r="M49" s="193" t="s">
        <v>1646</v>
      </c>
      <c r="N49" s="192"/>
      <c r="O49" s="192"/>
      <c r="P49" s="192"/>
      <c r="Q49" s="192"/>
      <c r="R49" s="192"/>
      <c r="S49" s="192"/>
      <c r="T49" s="273">
        <f>'JUL-Receitas'!F20</f>
        <v>480</v>
      </c>
      <c r="U49" s="274"/>
      <c r="V49" s="274"/>
      <c r="W49" s="192"/>
      <c r="X49" s="171"/>
      <c r="Y49" s="171"/>
      <c r="Z49" s="171"/>
    </row>
    <row r="50" spans="1:26" ht="25.2" x14ac:dyDescent="0.3">
      <c r="A50" s="192"/>
      <c r="B50" s="191" t="s">
        <v>1653</v>
      </c>
      <c r="C50" s="190"/>
      <c r="D50" s="190"/>
      <c r="E50" s="190"/>
      <c r="F50" s="190"/>
      <c r="G50" s="190"/>
      <c r="H50" s="190"/>
      <c r="I50" s="277">
        <f>SUM(I51:K52)</f>
        <v>1040</v>
      </c>
      <c r="J50" s="274"/>
      <c r="K50" s="274"/>
      <c r="L50" s="192"/>
      <c r="M50" s="193" t="s">
        <v>1977</v>
      </c>
      <c r="N50" s="192"/>
      <c r="O50" s="192"/>
      <c r="P50" s="192"/>
      <c r="Q50" s="192"/>
      <c r="R50" s="192"/>
      <c r="S50" s="192"/>
      <c r="T50" s="273">
        <f>'JUL-Receitas'!F28</f>
        <v>45.05</v>
      </c>
      <c r="U50" s="274"/>
      <c r="V50" s="274"/>
      <c r="W50" s="192"/>
      <c r="X50" s="171"/>
      <c r="Y50" s="171"/>
      <c r="Z50" s="171"/>
    </row>
    <row r="51" spans="1:26" ht="25.2" x14ac:dyDescent="0.3">
      <c r="A51" s="192"/>
      <c r="B51" s="195" t="s">
        <v>1975</v>
      </c>
      <c r="C51" s="192"/>
      <c r="D51" s="192"/>
      <c r="E51" s="192"/>
      <c r="F51" s="192"/>
      <c r="G51" s="192"/>
      <c r="H51" s="192"/>
      <c r="I51" s="273">
        <f>'JUL-Receitas'!F26</f>
        <v>200</v>
      </c>
      <c r="J51" s="274"/>
      <c r="K51" s="274"/>
      <c r="L51" s="192"/>
      <c r="M51" s="191" t="s">
        <v>1652</v>
      </c>
      <c r="N51" s="190"/>
      <c r="O51" s="190"/>
      <c r="P51" s="190"/>
      <c r="Q51" s="190"/>
      <c r="R51" s="190"/>
      <c r="S51" s="190"/>
      <c r="T51" s="277">
        <f>SUM(T52)</f>
        <v>4.09</v>
      </c>
      <c r="U51" s="274"/>
      <c r="V51" s="274"/>
      <c r="W51" s="192"/>
      <c r="X51" s="171"/>
      <c r="Y51" s="171"/>
      <c r="Z51" s="171"/>
    </row>
    <row r="52" spans="1:26" ht="23.4" x14ac:dyDescent="0.3">
      <c r="A52" s="192"/>
      <c r="B52" s="193" t="s">
        <v>1976</v>
      </c>
      <c r="C52" s="192"/>
      <c r="D52" s="192"/>
      <c r="E52" s="192"/>
      <c r="F52" s="192"/>
      <c r="G52" s="192"/>
      <c r="H52" s="192"/>
      <c r="I52" s="273">
        <f>'JUL-Receitas'!F27</f>
        <v>840</v>
      </c>
      <c r="J52" s="274"/>
      <c r="K52" s="274"/>
      <c r="L52" s="192"/>
      <c r="M52" s="193" t="s">
        <v>1974</v>
      </c>
      <c r="N52" s="192"/>
      <c r="O52" s="192"/>
      <c r="P52" s="192"/>
      <c r="Q52" s="192"/>
      <c r="R52" s="192"/>
      <c r="S52" s="192"/>
      <c r="T52" s="273">
        <f>'JUL-Receitas'!F29</f>
        <v>4.09</v>
      </c>
      <c r="U52" s="274"/>
      <c r="V52" s="274"/>
      <c r="W52" s="192"/>
      <c r="X52" s="171"/>
      <c r="Y52" s="171"/>
      <c r="Z52" s="171"/>
    </row>
    <row r="53" spans="1:26" ht="23.4" x14ac:dyDescent="0.3">
      <c r="A53" s="186"/>
      <c r="B53" s="186"/>
      <c r="C53" s="186"/>
      <c r="D53" s="186"/>
      <c r="E53" s="186"/>
      <c r="F53" s="186"/>
      <c r="G53" s="186"/>
      <c r="H53" s="186"/>
      <c r="I53" s="186"/>
      <c r="J53" s="186"/>
      <c r="K53" s="186"/>
      <c r="L53" s="186"/>
      <c r="M53" s="186"/>
      <c r="N53" s="186"/>
      <c r="O53" s="186"/>
      <c r="P53" s="186"/>
      <c r="Q53" s="186"/>
      <c r="R53" s="186"/>
      <c r="S53" s="186"/>
      <c r="T53" s="186"/>
      <c r="U53" s="186"/>
      <c r="V53" s="186"/>
      <c r="W53" s="192"/>
      <c r="X53" s="171"/>
      <c r="Y53" s="171"/>
      <c r="Z53" s="171"/>
    </row>
    <row r="54" spans="1:26" ht="36" x14ac:dyDescent="0.3">
      <c r="A54" s="187"/>
      <c r="B54" s="187"/>
      <c r="C54" s="187"/>
      <c r="D54" s="187"/>
      <c r="E54" s="187"/>
      <c r="F54" s="187"/>
      <c r="G54" s="187"/>
      <c r="H54" s="187"/>
      <c r="I54" s="187"/>
      <c r="J54" s="187"/>
      <c r="K54" s="194" t="s">
        <v>1654</v>
      </c>
      <c r="L54" s="282">
        <f>'JUL-Receitas'!F4</f>
        <v>35715</v>
      </c>
      <c r="M54" s="283"/>
      <c r="N54" s="283"/>
      <c r="O54" s="283"/>
      <c r="P54" s="187"/>
      <c r="Q54" s="187"/>
      <c r="R54" s="187"/>
      <c r="S54" s="187"/>
      <c r="T54" s="187"/>
      <c r="U54" s="187"/>
      <c r="V54" s="187"/>
      <c r="W54" s="187"/>
      <c r="X54" s="172"/>
      <c r="Y54" s="172"/>
      <c r="Z54" s="172"/>
    </row>
    <row r="55" spans="1:26" ht="23.4" x14ac:dyDescent="0.3">
      <c r="A55" s="186"/>
      <c r="B55" s="186"/>
      <c r="C55" s="186"/>
      <c r="D55" s="186"/>
      <c r="E55" s="186"/>
      <c r="F55" s="186"/>
      <c r="G55" s="186"/>
      <c r="H55" s="186"/>
      <c r="I55" s="186"/>
      <c r="J55" s="186"/>
      <c r="K55" s="186"/>
      <c r="L55" s="186"/>
      <c r="M55" s="186"/>
      <c r="N55" s="186"/>
      <c r="O55" s="186"/>
      <c r="P55" s="186"/>
      <c r="Q55" s="186"/>
      <c r="R55" s="186"/>
      <c r="S55" s="186"/>
      <c r="T55" s="186"/>
      <c r="U55" s="186"/>
      <c r="V55" s="186"/>
      <c r="W55" s="192"/>
      <c r="X55" s="171"/>
      <c r="Y55" s="171"/>
      <c r="Z55" s="171"/>
    </row>
    <row r="56" spans="1:26" ht="14.4" x14ac:dyDescent="0.3">
      <c r="A56" s="186"/>
      <c r="B56" s="186"/>
      <c r="C56" s="186"/>
      <c r="D56" s="186"/>
      <c r="E56" s="186"/>
      <c r="F56" s="186"/>
      <c r="G56" s="186"/>
      <c r="H56" s="186"/>
      <c r="I56" s="186"/>
      <c r="J56" s="186"/>
      <c r="K56" s="186"/>
      <c r="L56" s="186"/>
      <c r="M56" s="186"/>
      <c r="N56" s="186"/>
      <c r="O56" s="186"/>
      <c r="P56" s="186"/>
      <c r="Q56" s="186"/>
      <c r="R56" s="186"/>
      <c r="S56" s="186"/>
      <c r="T56" s="186"/>
      <c r="U56" s="186"/>
      <c r="V56" s="186"/>
      <c r="W56" s="186"/>
      <c r="X56" s="171"/>
      <c r="Y56" s="171"/>
      <c r="Z56" s="171"/>
    </row>
    <row r="57" spans="1:26" ht="25.2" x14ac:dyDescent="0.3">
      <c r="A57" s="186"/>
      <c r="B57" s="186"/>
      <c r="C57" s="186"/>
      <c r="D57" s="186"/>
      <c r="E57" s="186"/>
      <c r="F57" s="186"/>
      <c r="G57" s="186"/>
      <c r="H57" s="186"/>
      <c r="I57" s="186"/>
      <c r="J57" s="186"/>
      <c r="K57" s="186"/>
      <c r="L57" s="189"/>
      <c r="M57" s="186"/>
      <c r="N57" s="186"/>
      <c r="O57" s="186"/>
      <c r="P57" s="186"/>
      <c r="Q57" s="186"/>
      <c r="R57" s="186"/>
      <c r="S57" s="186"/>
      <c r="T57" s="186"/>
      <c r="U57" s="186"/>
      <c r="V57" s="186"/>
      <c r="W57" s="186"/>
      <c r="X57" s="171"/>
      <c r="Y57" s="171"/>
      <c r="Z57" s="171"/>
    </row>
    <row r="58" spans="1:26" ht="14.4" x14ac:dyDescent="0.3">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71"/>
      <c r="Y58" s="171"/>
      <c r="Z58" s="171"/>
    </row>
    <row r="59" spans="1:26" ht="14.4" x14ac:dyDescent="0.3">
      <c r="A59" s="186"/>
      <c r="B59" s="186"/>
      <c r="C59" s="186"/>
      <c r="D59" s="186"/>
      <c r="E59" s="186"/>
      <c r="F59" s="186"/>
      <c r="G59" s="186"/>
      <c r="H59" s="186"/>
      <c r="I59" s="186"/>
      <c r="J59" s="186"/>
      <c r="K59" s="186"/>
      <c r="L59" s="186"/>
      <c r="M59" s="186"/>
      <c r="N59" s="186"/>
      <c r="O59" s="186"/>
      <c r="P59" s="186"/>
      <c r="Q59" s="186"/>
      <c r="R59" s="186"/>
      <c r="S59" s="186"/>
      <c r="T59" s="186"/>
      <c r="U59" s="186"/>
      <c r="V59" s="186"/>
      <c r="W59" s="186"/>
      <c r="X59" s="171"/>
      <c r="Y59" s="171"/>
      <c r="Z59" s="171"/>
    </row>
    <row r="60" spans="1:26" ht="25.2" x14ac:dyDescent="0.3">
      <c r="A60" s="190"/>
      <c r="B60" s="191" t="s">
        <v>1655</v>
      </c>
      <c r="C60" s="190"/>
      <c r="D60" s="190"/>
      <c r="E60" s="190"/>
      <c r="F60" s="190"/>
      <c r="G60" s="190"/>
      <c r="H60" s="190"/>
      <c r="I60" s="277">
        <f>SUM(I61:K68)</f>
        <v>4247.6100000000006</v>
      </c>
      <c r="J60" s="274"/>
      <c r="K60" s="274"/>
      <c r="L60" s="190"/>
      <c r="M60" s="191" t="s">
        <v>1656</v>
      </c>
      <c r="N60" s="190"/>
      <c r="O60" s="190"/>
      <c r="P60" s="190"/>
      <c r="Q60" s="190"/>
      <c r="R60" s="190"/>
      <c r="S60" s="190"/>
      <c r="T60" s="277">
        <f>SUM(T61:V65)</f>
        <v>4258.7700000000004</v>
      </c>
      <c r="U60" s="274"/>
      <c r="V60" s="274"/>
      <c r="W60" s="190"/>
      <c r="X60" s="173"/>
      <c r="Y60" s="173"/>
      <c r="Z60" s="173"/>
    </row>
    <row r="61" spans="1:26" ht="23.4" x14ac:dyDescent="0.3">
      <c r="A61" s="192"/>
      <c r="B61" s="193" t="s">
        <v>1657</v>
      </c>
      <c r="C61" s="192"/>
      <c r="D61" s="192"/>
      <c r="E61" s="192"/>
      <c r="F61" s="192"/>
      <c r="G61" s="192"/>
      <c r="H61" s="192"/>
      <c r="I61" s="273">
        <f>'JUL-Despesas'!F7</f>
        <v>753.64</v>
      </c>
      <c r="J61" s="274"/>
      <c r="K61" s="274"/>
      <c r="L61" s="192"/>
      <c r="M61" s="193" t="s">
        <v>1962</v>
      </c>
      <c r="N61" s="192"/>
      <c r="O61" s="192"/>
      <c r="P61" s="192"/>
      <c r="Q61" s="192"/>
      <c r="R61" s="192"/>
      <c r="S61" s="192"/>
      <c r="T61" s="273">
        <f>SUM('JUL-Despesas'!F33:F44)</f>
        <v>1099.47</v>
      </c>
      <c r="U61" s="274"/>
      <c r="V61" s="274"/>
      <c r="W61" s="192"/>
      <c r="X61" s="175"/>
      <c r="Y61" s="175"/>
      <c r="Z61" s="175"/>
    </row>
    <row r="62" spans="1:26" ht="23.4" x14ac:dyDescent="0.3">
      <c r="A62" s="192"/>
      <c r="B62" s="193" t="s">
        <v>1659</v>
      </c>
      <c r="C62" s="192"/>
      <c r="D62" s="192"/>
      <c r="E62" s="192"/>
      <c r="F62" s="192"/>
      <c r="G62" s="192"/>
      <c r="H62" s="192"/>
      <c r="I62" s="273">
        <f>SUM('JUL-Despesas'!F8:F10)</f>
        <v>424.36</v>
      </c>
      <c r="J62" s="274"/>
      <c r="K62" s="274"/>
      <c r="L62" s="192"/>
      <c r="M62" s="193" t="s">
        <v>1661</v>
      </c>
      <c r="N62" s="192"/>
      <c r="O62" s="192"/>
      <c r="P62" s="192"/>
      <c r="Q62" s="192"/>
      <c r="R62" s="192"/>
      <c r="S62" s="192"/>
      <c r="T62" s="273">
        <f>SUM('JUL-Despesas'!F49:F50)</f>
        <v>782.54</v>
      </c>
      <c r="U62" s="274"/>
      <c r="V62" s="274"/>
      <c r="W62" s="192"/>
      <c r="X62" s="175"/>
      <c r="Y62" s="175"/>
      <c r="Z62" s="175"/>
    </row>
    <row r="63" spans="1:26" ht="23.4" x14ac:dyDescent="0.3">
      <c r="A63" s="192"/>
      <c r="B63" s="193" t="s">
        <v>1660</v>
      </c>
      <c r="C63" s="192"/>
      <c r="D63" s="192"/>
      <c r="E63" s="192"/>
      <c r="F63" s="192"/>
      <c r="G63" s="192"/>
      <c r="H63" s="192"/>
      <c r="I63" s="273">
        <f>'JUL-Despesas'!F11</f>
        <v>53.9</v>
      </c>
      <c r="J63" s="274"/>
      <c r="K63" s="274"/>
      <c r="L63" s="192"/>
      <c r="M63" s="193" t="s">
        <v>1662</v>
      </c>
      <c r="N63" s="192"/>
      <c r="O63" s="192"/>
      <c r="P63" s="192"/>
      <c r="Q63" s="192"/>
      <c r="R63" s="192"/>
      <c r="S63" s="192"/>
      <c r="T63" s="273">
        <f>SUM('JUL-Despesas'!F47:F48)</f>
        <v>336</v>
      </c>
      <c r="U63" s="274"/>
      <c r="V63" s="274"/>
      <c r="W63" s="192"/>
      <c r="X63" s="175"/>
      <c r="Y63" s="175"/>
      <c r="Z63" s="175"/>
    </row>
    <row r="64" spans="1:26" ht="23.4" x14ac:dyDescent="0.3">
      <c r="A64" s="192"/>
      <c r="B64" s="193" t="s">
        <v>1980</v>
      </c>
      <c r="C64" s="192"/>
      <c r="D64" s="192"/>
      <c r="E64" s="192"/>
      <c r="F64" s="192"/>
      <c r="G64" s="192"/>
      <c r="H64" s="192"/>
      <c r="I64" s="273">
        <f>'JUL-Despesas'!F22</f>
        <v>0.92000000000000015</v>
      </c>
      <c r="J64" s="274"/>
      <c r="K64" s="274"/>
      <c r="L64" s="192"/>
      <c r="M64" s="193" t="s">
        <v>1658</v>
      </c>
      <c r="N64" s="192"/>
      <c r="O64" s="192"/>
      <c r="P64" s="192"/>
      <c r="Q64" s="192"/>
      <c r="R64" s="192"/>
      <c r="S64" s="192"/>
      <c r="T64" s="273">
        <f>'JUL-Despesas'!F45+'JUL-Despesas'!F46+'JUL-Despesas'!F51</f>
        <v>302.13</v>
      </c>
      <c r="U64" s="274"/>
      <c r="V64" s="274"/>
      <c r="W64" s="192"/>
      <c r="X64" s="175"/>
      <c r="Y64" s="175"/>
      <c r="Z64" s="175"/>
    </row>
    <row r="65" spans="1:26" ht="23.4" x14ac:dyDescent="0.3">
      <c r="A65" s="192"/>
      <c r="B65" s="193" t="s">
        <v>1963</v>
      </c>
      <c r="C65" s="192"/>
      <c r="D65" s="192"/>
      <c r="E65" s="192"/>
      <c r="F65" s="192"/>
      <c r="G65" s="192"/>
      <c r="H65" s="192"/>
      <c r="I65" s="273">
        <f>'JUL-Despesas'!F25</f>
        <v>779.89</v>
      </c>
      <c r="J65" s="274"/>
      <c r="K65" s="274"/>
      <c r="L65" s="192"/>
      <c r="M65" s="193" t="s">
        <v>1984</v>
      </c>
      <c r="N65" s="192"/>
      <c r="O65" s="192"/>
      <c r="P65" s="192"/>
      <c r="Q65" s="192"/>
      <c r="R65" s="192"/>
      <c r="S65" s="192"/>
      <c r="T65" s="273">
        <f>'JUL-Despesas'!F53</f>
        <v>1738.63</v>
      </c>
      <c r="U65" s="274"/>
      <c r="V65" s="274"/>
      <c r="W65" s="192"/>
      <c r="X65" s="175"/>
      <c r="Y65" s="175"/>
      <c r="Z65" s="175"/>
    </row>
    <row r="66" spans="1:26" ht="25.2" x14ac:dyDescent="0.3">
      <c r="A66" s="192"/>
      <c r="B66" s="193" t="s">
        <v>1663</v>
      </c>
      <c r="C66" s="192"/>
      <c r="D66" s="192"/>
      <c r="E66" s="192"/>
      <c r="F66" s="192"/>
      <c r="G66" s="192"/>
      <c r="H66" s="192"/>
      <c r="I66" s="273">
        <f>'JUL-Despesas'!F26</f>
        <v>650</v>
      </c>
      <c r="J66" s="274"/>
      <c r="K66" s="274"/>
      <c r="L66" s="192"/>
      <c r="M66" s="191" t="s">
        <v>1664</v>
      </c>
      <c r="N66" s="190"/>
      <c r="O66" s="190"/>
      <c r="P66" s="190"/>
      <c r="Q66" s="190"/>
      <c r="R66" s="190"/>
      <c r="S66" s="190"/>
      <c r="T66" s="277">
        <f>SUM(T67:V71)</f>
        <v>10172.9</v>
      </c>
      <c r="U66" s="274"/>
      <c r="V66" s="274"/>
      <c r="W66" s="192"/>
      <c r="X66" s="175"/>
      <c r="Y66" s="175"/>
      <c r="Z66" s="175"/>
    </row>
    <row r="67" spans="1:26" ht="23.4" x14ac:dyDescent="0.3">
      <c r="A67" s="192"/>
      <c r="B67" s="193" t="s">
        <v>1666</v>
      </c>
      <c r="C67" s="192"/>
      <c r="D67" s="192"/>
      <c r="E67" s="192"/>
      <c r="F67" s="192"/>
      <c r="G67" s="192"/>
      <c r="H67" s="192"/>
      <c r="I67" s="273">
        <f>'JUL-Despesas'!F27</f>
        <v>84.9</v>
      </c>
      <c r="J67" s="274"/>
      <c r="K67" s="274"/>
      <c r="L67" s="192"/>
      <c r="M67" s="193" t="s">
        <v>1665</v>
      </c>
      <c r="N67" s="192"/>
      <c r="O67" s="192"/>
      <c r="P67" s="192"/>
      <c r="Q67" s="192"/>
      <c r="R67" s="192"/>
      <c r="S67" s="192"/>
      <c r="T67" s="273">
        <f>SUM('JUL-Despesas'!F13:F17)</f>
        <v>2771.29</v>
      </c>
      <c r="U67" s="274"/>
      <c r="V67" s="274"/>
      <c r="W67" s="192"/>
      <c r="X67" s="175"/>
      <c r="Y67" s="175"/>
      <c r="Z67" s="175"/>
    </row>
    <row r="68" spans="1:26" ht="23.4" x14ac:dyDescent="0.3">
      <c r="A68" s="192"/>
      <c r="B68" s="193" t="s">
        <v>1985</v>
      </c>
      <c r="C68" s="192"/>
      <c r="D68" s="192"/>
      <c r="E68" s="192"/>
      <c r="F68" s="192"/>
      <c r="G68" s="192"/>
      <c r="H68" s="192"/>
      <c r="I68" s="273">
        <f>'JUL-Despesas'!F61</f>
        <v>1500</v>
      </c>
      <c r="J68" s="274"/>
      <c r="K68" s="274"/>
      <c r="L68" s="192"/>
      <c r="M68" s="193" t="s">
        <v>1667</v>
      </c>
      <c r="N68" s="192"/>
      <c r="O68" s="192"/>
      <c r="P68" s="192"/>
      <c r="Q68" s="192"/>
      <c r="R68" s="192"/>
      <c r="S68" s="192"/>
      <c r="T68" s="273">
        <f>'JUL-Despesas'!F18</f>
        <v>3379</v>
      </c>
      <c r="U68" s="274"/>
      <c r="V68" s="274"/>
      <c r="W68" s="192"/>
      <c r="X68" s="175"/>
      <c r="Y68" s="175"/>
      <c r="Z68" s="175"/>
    </row>
    <row r="69" spans="1:26" ht="25.2" x14ac:dyDescent="0.3">
      <c r="A69" s="192"/>
      <c r="B69" s="191" t="s">
        <v>1669</v>
      </c>
      <c r="C69" s="190"/>
      <c r="D69" s="190"/>
      <c r="E69" s="190"/>
      <c r="F69" s="190"/>
      <c r="G69" s="190"/>
      <c r="H69" s="190"/>
      <c r="I69" s="277">
        <f>SUM(I70:K71)</f>
        <v>712.34999999999991</v>
      </c>
      <c r="J69" s="274"/>
      <c r="K69" s="274"/>
      <c r="L69" s="192"/>
      <c r="M69" s="193" t="s">
        <v>1668</v>
      </c>
      <c r="N69" s="192"/>
      <c r="O69" s="192"/>
      <c r="P69" s="192"/>
      <c r="Q69" s="192"/>
      <c r="R69" s="192"/>
      <c r="S69" s="192"/>
      <c r="T69" s="273">
        <f>'JUL-Despesas'!F19</f>
        <v>117</v>
      </c>
      <c r="U69" s="274"/>
      <c r="V69" s="274"/>
      <c r="W69" s="192"/>
      <c r="X69" s="175"/>
      <c r="Y69" s="175"/>
      <c r="Z69" s="175"/>
    </row>
    <row r="70" spans="1:26" ht="23.4" x14ac:dyDescent="0.3">
      <c r="A70" s="192"/>
      <c r="B70" s="193" t="s">
        <v>1982</v>
      </c>
      <c r="C70" s="192"/>
      <c r="D70" s="192"/>
      <c r="E70" s="192"/>
      <c r="F70" s="192"/>
      <c r="G70" s="192"/>
      <c r="H70" s="192"/>
      <c r="I70" s="273">
        <f>'JUL-Despesas'!F31</f>
        <v>448.33</v>
      </c>
      <c r="J70" s="274"/>
      <c r="K70" s="274"/>
      <c r="L70" s="192"/>
      <c r="M70" s="193" t="s">
        <v>1978</v>
      </c>
      <c r="N70" s="192"/>
      <c r="O70" s="192"/>
      <c r="P70" s="192"/>
      <c r="Q70" s="192"/>
      <c r="R70" s="192"/>
      <c r="S70" s="192"/>
      <c r="T70" s="273">
        <f>'JUL-Despesas'!F20</f>
        <v>1469.75</v>
      </c>
      <c r="U70" s="274"/>
      <c r="V70" s="274"/>
      <c r="W70" s="192"/>
      <c r="X70" s="175"/>
      <c r="Y70" s="175"/>
      <c r="Z70" s="175"/>
    </row>
    <row r="71" spans="1:26" ht="23.4" x14ac:dyDescent="0.3">
      <c r="A71" s="192"/>
      <c r="B71" s="193" t="s">
        <v>1983</v>
      </c>
      <c r="C71" s="192"/>
      <c r="D71" s="192"/>
      <c r="E71" s="192"/>
      <c r="F71" s="192"/>
      <c r="G71" s="192"/>
      <c r="H71" s="192"/>
      <c r="I71" s="273">
        <f>'JUL-Despesas'!F30</f>
        <v>264.02</v>
      </c>
      <c r="J71" s="274"/>
      <c r="K71" s="274"/>
      <c r="L71" s="192"/>
      <c r="M71" s="193" t="s">
        <v>1979</v>
      </c>
      <c r="N71" s="192"/>
      <c r="O71" s="192"/>
      <c r="P71" s="192"/>
      <c r="Q71" s="192"/>
      <c r="R71" s="192"/>
      <c r="S71" s="192"/>
      <c r="T71" s="273">
        <f>'JUL-Despesas'!F21</f>
        <v>2435.86</v>
      </c>
      <c r="U71" s="274"/>
      <c r="V71" s="274"/>
      <c r="W71" s="192"/>
      <c r="X71" s="175"/>
      <c r="Y71" s="175"/>
      <c r="Z71" s="175"/>
    </row>
    <row r="72" spans="1:26" ht="25.2" x14ac:dyDescent="0.3">
      <c r="A72" s="192"/>
      <c r="B72" s="191" t="s">
        <v>1673</v>
      </c>
      <c r="C72" s="190"/>
      <c r="D72" s="190"/>
      <c r="E72" s="190"/>
      <c r="F72" s="190"/>
      <c r="G72" s="190"/>
      <c r="H72" s="190"/>
      <c r="I72" s="277">
        <f>SUM(I73:K80)</f>
        <v>3317.4500000000003</v>
      </c>
      <c r="J72" s="274"/>
      <c r="K72" s="274"/>
      <c r="L72" s="192"/>
      <c r="M72" s="191" t="s">
        <v>1670</v>
      </c>
      <c r="N72" s="192"/>
      <c r="O72" s="192"/>
      <c r="P72" s="192"/>
      <c r="Q72" s="192"/>
      <c r="R72" s="192"/>
      <c r="S72" s="192"/>
      <c r="T72" s="277">
        <f>SUM(T73:V77)</f>
        <v>1850.77</v>
      </c>
      <c r="U72" s="274"/>
      <c r="V72" s="274"/>
      <c r="W72" s="192"/>
      <c r="X72" s="175"/>
      <c r="Y72" s="175"/>
      <c r="Z72" s="175"/>
    </row>
    <row r="73" spans="1:26" ht="23.4" x14ac:dyDescent="0.3">
      <c r="A73" s="192"/>
      <c r="B73" s="193" t="s">
        <v>1981</v>
      </c>
      <c r="C73" s="192"/>
      <c r="D73" s="192"/>
      <c r="E73" s="192"/>
      <c r="F73" s="192"/>
      <c r="G73" s="192"/>
      <c r="H73" s="192"/>
      <c r="I73" s="273">
        <f>'JUL-Despesas'!F28+'JUL-Despesas'!F29</f>
        <v>397</v>
      </c>
      <c r="J73" s="274"/>
      <c r="K73" s="274"/>
      <c r="L73" s="192"/>
      <c r="M73" s="193" t="s">
        <v>1671</v>
      </c>
      <c r="N73" s="192"/>
      <c r="O73" s="192"/>
      <c r="P73" s="192"/>
      <c r="Q73" s="192"/>
      <c r="R73" s="192"/>
      <c r="S73" s="192"/>
      <c r="T73" s="273">
        <f>'JUL-Despesas'!F83</f>
        <v>100</v>
      </c>
      <c r="U73" s="274"/>
      <c r="V73" s="274"/>
      <c r="W73" s="192"/>
      <c r="X73" s="175"/>
      <c r="Y73" s="175"/>
      <c r="Z73" s="175"/>
    </row>
    <row r="74" spans="1:26" ht="23.4" x14ac:dyDescent="0.3">
      <c r="A74" s="192"/>
      <c r="B74" s="193" t="s">
        <v>1991</v>
      </c>
      <c r="C74" s="192"/>
      <c r="D74" s="192"/>
      <c r="E74" s="192"/>
      <c r="F74" s="192"/>
      <c r="G74" s="192"/>
      <c r="H74" s="192"/>
      <c r="I74" s="273">
        <f>'JUL-Despesas'!F72+'JUL-Despesas'!F73</f>
        <v>838.2</v>
      </c>
      <c r="J74" s="274"/>
      <c r="K74" s="274"/>
      <c r="L74" s="192"/>
      <c r="M74" s="193" t="s">
        <v>1672</v>
      </c>
      <c r="N74" s="192"/>
      <c r="O74" s="192"/>
      <c r="P74" s="192"/>
      <c r="Q74" s="192"/>
      <c r="R74" s="192"/>
      <c r="S74" s="192"/>
      <c r="T74" s="273">
        <f>'JUL-Despesas'!F84</f>
        <v>160</v>
      </c>
      <c r="U74" s="274"/>
      <c r="V74" s="274"/>
      <c r="W74" s="192"/>
      <c r="X74" s="175"/>
      <c r="Y74" s="175"/>
      <c r="Z74" s="175"/>
    </row>
    <row r="75" spans="1:26" ht="23.4" x14ac:dyDescent="0.3">
      <c r="A75" s="192"/>
      <c r="B75" s="193" t="s">
        <v>1994</v>
      </c>
      <c r="C75" s="192"/>
      <c r="D75" s="192"/>
      <c r="E75" s="192"/>
      <c r="F75" s="192"/>
      <c r="G75" s="192"/>
      <c r="H75" s="192"/>
      <c r="I75" s="273">
        <f>'JUL-Despesas'!F75</f>
        <v>440</v>
      </c>
      <c r="J75" s="274"/>
      <c r="K75" s="274"/>
      <c r="L75" s="192"/>
      <c r="M75" s="193" t="s">
        <v>1674</v>
      </c>
      <c r="N75" s="192"/>
      <c r="O75" s="192"/>
      <c r="P75" s="192"/>
      <c r="Q75" s="192"/>
      <c r="R75" s="192"/>
      <c r="S75" s="192"/>
      <c r="T75" s="273">
        <f>'JUL-Despesas'!F94</f>
        <v>70.989999999999995</v>
      </c>
      <c r="U75" s="274"/>
      <c r="V75" s="274"/>
      <c r="W75" s="192"/>
      <c r="X75" s="175"/>
      <c r="Y75" s="175"/>
      <c r="Z75" s="175"/>
    </row>
    <row r="76" spans="1:26" ht="25.2" x14ac:dyDescent="0.3">
      <c r="A76" s="192"/>
      <c r="B76" s="193" t="s">
        <v>1997</v>
      </c>
      <c r="C76" s="192"/>
      <c r="D76" s="192"/>
      <c r="E76" s="192"/>
      <c r="F76" s="192"/>
      <c r="G76" s="192"/>
      <c r="H76" s="192"/>
      <c r="I76" s="273">
        <f>'JUL-Despesas'!F76</f>
        <v>200</v>
      </c>
      <c r="J76" s="274"/>
      <c r="K76" s="274"/>
      <c r="L76" s="192"/>
      <c r="M76" s="193" t="s">
        <v>1989</v>
      </c>
      <c r="N76" s="192"/>
      <c r="O76" s="192"/>
      <c r="P76" s="192"/>
      <c r="Q76" s="192"/>
      <c r="R76" s="192"/>
      <c r="S76" s="192"/>
      <c r="T76" s="273">
        <f>'JUL-Despesas'!F88</f>
        <v>1009.78</v>
      </c>
      <c r="U76" s="274"/>
      <c r="V76" s="274"/>
      <c r="W76" s="192"/>
      <c r="X76" s="173"/>
      <c r="Y76" s="173"/>
      <c r="Z76" s="173"/>
    </row>
    <row r="77" spans="1:26" ht="25.2" x14ac:dyDescent="0.3">
      <c r="A77" s="190"/>
      <c r="B77" s="193" t="s">
        <v>1992</v>
      </c>
      <c r="C77" s="192"/>
      <c r="D77" s="192"/>
      <c r="E77" s="192"/>
      <c r="F77" s="192"/>
      <c r="G77" s="192"/>
      <c r="H77" s="192"/>
      <c r="I77" s="273">
        <f>'JUL-Despesas'!F71</f>
        <v>305.33</v>
      </c>
      <c r="J77" s="274"/>
      <c r="K77" s="274"/>
      <c r="L77" s="190"/>
      <c r="M77" s="193" t="s">
        <v>1990</v>
      </c>
      <c r="N77" s="192"/>
      <c r="O77" s="192"/>
      <c r="P77" s="192"/>
      <c r="Q77" s="192"/>
      <c r="R77" s="192"/>
      <c r="S77" s="192"/>
      <c r="T77" s="273">
        <f>'JUL-Despesas'!F92</f>
        <v>510</v>
      </c>
      <c r="U77" s="274"/>
      <c r="V77" s="274"/>
      <c r="W77" s="190"/>
      <c r="X77" s="175"/>
      <c r="Y77" s="175"/>
      <c r="Z77" s="175"/>
    </row>
    <row r="78" spans="1:26" ht="25.2" x14ac:dyDescent="0.3">
      <c r="A78" s="190"/>
      <c r="B78" s="193" t="s">
        <v>1993</v>
      </c>
      <c r="C78" s="192"/>
      <c r="D78" s="192"/>
      <c r="E78" s="192"/>
      <c r="F78" s="192"/>
      <c r="G78" s="192"/>
      <c r="H78" s="192"/>
      <c r="I78" s="273">
        <f>SUM('JUL-Despesas'!F77:F80)</f>
        <v>775.05000000000007</v>
      </c>
      <c r="J78" s="274"/>
      <c r="K78" s="274"/>
      <c r="L78" s="190"/>
      <c r="M78" s="191" t="s">
        <v>1675</v>
      </c>
      <c r="N78" s="190"/>
      <c r="O78" s="190"/>
      <c r="P78" s="190"/>
      <c r="Q78" s="190"/>
      <c r="R78" s="190"/>
      <c r="S78" s="190"/>
      <c r="T78" s="277">
        <f>SUM(T79:V82)</f>
        <v>28698.080000000002</v>
      </c>
      <c r="U78" s="274"/>
      <c r="V78" s="274"/>
      <c r="W78" s="190"/>
      <c r="X78" s="175"/>
      <c r="Y78" s="175"/>
      <c r="Z78" s="175"/>
    </row>
    <row r="79" spans="1:26" ht="25.2" x14ac:dyDescent="0.3">
      <c r="A79" s="190"/>
      <c r="B79" s="193" t="s">
        <v>1995</v>
      </c>
      <c r="C79" s="192"/>
      <c r="D79" s="192"/>
      <c r="E79" s="192"/>
      <c r="F79" s="192"/>
      <c r="G79" s="192"/>
      <c r="H79" s="192"/>
      <c r="I79" s="273">
        <f>'JUL-Despesas'!F81</f>
        <v>300</v>
      </c>
      <c r="J79" s="274"/>
      <c r="K79" s="274"/>
      <c r="L79" s="190"/>
      <c r="M79" s="195" t="s">
        <v>1986</v>
      </c>
      <c r="N79" s="192"/>
      <c r="O79" s="192"/>
      <c r="P79" s="192"/>
      <c r="Q79" s="192"/>
      <c r="R79" s="192"/>
      <c r="S79" s="192"/>
      <c r="T79" s="273">
        <f>'JUL-Despesas'!F66</f>
        <v>537</v>
      </c>
      <c r="U79" s="274"/>
      <c r="V79" s="274"/>
      <c r="W79" s="190"/>
      <c r="X79" s="175"/>
      <c r="Y79" s="175"/>
      <c r="Z79" s="175"/>
    </row>
    <row r="80" spans="1:26" ht="25.2" x14ac:dyDescent="0.3">
      <c r="A80" s="190"/>
      <c r="B80" s="193" t="s">
        <v>1996</v>
      </c>
      <c r="C80" s="186"/>
      <c r="D80" s="186"/>
      <c r="E80" s="186"/>
      <c r="F80" s="186"/>
      <c r="G80" s="186"/>
      <c r="H80" s="186"/>
      <c r="I80" s="273">
        <f>'JUL-Despesas'!F74</f>
        <v>61.87</v>
      </c>
      <c r="J80" s="274"/>
      <c r="K80" s="274"/>
      <c r="L80" s="190"/>
      <c r="M80" s="195" t="s">
        <v>1987</v>
      </c>
      <c r="N80" s="192"/>
      <c r="O80" s="192"/>
      <c r="P80" s="192"/>
      <c r="Q80" s="192"/>
      <c r="R80" s="192"/>
      <c r="S80" s="192"/>
      <c r="T80" s="273">
        <f>'JUL-Despesas'!F67</f>
        <v>665.08</v>
      </c>
      <c r="U80" s="274"/>
      <c r="V80" s="274"/>
      <c r="W80" s="190"/>
      <c r="X80" s="175"/>
      <c r="Y80" s="175"/>
      <c r="Z80" s="175"/>
    </row>
    <row r="81" spans="1:26" ht="25.2" x14ac:dyDescent="0.3">
      <c r="A81" s="190"/>
      <c r="B81" s="186"/>
      <c r="C81" s="186"/>
      <c r="D81" s="186"/>
      <c r="E81" s="186"/>
      <c r="F81" s="186"/>
      <c r="G81" s="186"/>
      <c r="H81" s="186"/>
      <c r="I81" s="186"/>
      <c r="J81" s="186"/>
      <c r="K81" s="186"/>
      <c r="L81" s="190"/>
      <c r="M81" s="193" t="s">
        <v>1964</v>
      </c>
      <c r="N81" s="192"/>
      <c r="O81" s="192"/>
      <c r="P81" s="192"/>
      <c r="Q81" s="192"/>
      <c r="R81" s="192"/>
      <c r="S81" s="192"/>
      <c r="T81" s="273">
        <f>'JUL-Despesas'!F68</f>
        <v>21813</v>
      </c>
      <c r="U81" s="274"/>
      <c r="V81" s="274"/>
      <c r="W81" s="190"/>
      <c r="X81" s="175"/>
      <c r="Y81" s="175"/>
      <c r="Z81" s="175"/>
    </row>
    <row r="82" spans="1:26" ht="25.2" x14ac:dyDescent="0.3">
      <c r="A82" s="190"/>
      <c r="B82" s="186"/>
      <c r="C82" s="186"/>
      <c r="D82" s="186"/>
      <c r="E82" s="186"/>
      <c r="F82" s="186"/>
      <c r="G82" s="186"/>
      <c r="H82" s="186"/>
      <c r="I82" s="186"/>
      <c r="J82" s="186"/>
      <c r="K82" s="186"/>
      <c r="L82" s="190"/>
      <c r="M82" s="193" t="s">
        <v>1988</v>
      </c>
      <c r="N82" s="192"/>
      <c r="O82" s="192"/>
      <c r="P82" s="192"/>
      <c r="Q82" s="192"/>
      <c r="R82" s="192"/>
      <c r="S82" s="192"/>
      <c r="T82" s="273">
        <f>'JUL-Despesas'!F69</f>
        <v>5683</v>
      </c>
      <c r="U82" s="274"/>
      <c r="V82" s="274"/>
      <c r="W82" s="190"/>
      <c r="X82" s="175"/>
      <c r="Y82" s="175"/>
      <c r="Z82" s="175"/>
    </row>
    <row r="83" spans="1:26" ht="23.4" x14ac:dyDescent="0.3">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75"/>
      <c r="Y83" s="175"/>
      <c r="Z83" s="175"/>
    </row>
    <row r="84" spans="1:26" ht="33" x14ac:dyDescent="0.3">
      <c r="A84" s="187"/>
      <c r="B84" s="187"/>
      <c r="C84" s="187"/>
      <c r="D84" s="187"/>
      <c r="E84" s="187"/>
      <c r="F84" s="187"/>
      <c r="G84" s="187"/>
      <c r="H84" s="187"/>
      <c r="I84" s="187"/>
      <c r="J84" s="187"/>
      <c r="K84" s="194" t="s">
        <v>1676</v>
      </c>
      <c r="L84" s="284">
        <f>I60+I69+T78+T60+T66+T72+I72</f>
        <v>53257.929999999993</v>
      </c>
      <c r="M84" s="283"/>
      <c r="N84" s="283"/>
      <c r="O84" s="283"/>
      <c r="P84" s="187"/>
      <c r="Q84" s="187"/>
      <c r="R84" s="187"/>
      <c r="S84" s="187"/>
      <c r="T84" s="187"/>
      <c r="U84" s="187"/>
      <c r="V84" s="187"/>
      <c r="W84" s="187"/>
      <c r="X84" s="171"/>
      <c r="Y84" s="171"/>
      <c r="Z84" s="171"/>
    </row>
    <row r="85" spans="1:26" ht="14.4" x14ac:dyDescent="0.3">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71"/>
      <c r="Y85" s="171"/>
      <c r="Z85" s="171"/>
    </row>
    <row r="86" spans="1:26" ht="14.4" x14ac:dyDescent="0.3">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72"/>
      <c r="Y86" s="172"/>
      <c r="Z86" s="172"/>
    </row>
    <row r="87" spans="1:26" ht="14.4" x14ac:dyDescent="0.3">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71"/>
      <c r="Y87" s="171"/>
      <c r="Z87" s="171"/>
    </row>
    <row r="88" spans="1:26" ht="14.4" x14ac:dyDescent="0.3">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71"/>
      <c r="Y88" s="171"/>
      <c r="Z88" s="171"/>
    </row>
    <row r="89" spans="1:26" ht="14.4" x14ac:dyDescent="0.3">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71"/>
      <c r="Y89" s="171"/>
      <c r="Z89" s="171"/>
    </row>
    <row r="90" spans="1:26" ht="25.2" x14ac:dyDescent="0.3">
      <c r="A90" s="190"/>
      <c r="B90" s="191" t="s">
        <v>1677</v>
      </c>
      <c r="C90" s="190"/>
      <c r="D90" s="190"/>
      <c r="E90" s="190"/>
      <c r="F90" s="190"/>
      <c r="G90" s="190"/>
      <c r="H90" s="190"/>
      <c r="I90" s="190"/>
      <c r="J90" s="190"/>
      <c r="K90" s="190"/>
      <c r="L90" s="190"/>
      <c r="M90" s="191" t="s">
        <v>1965</v>
      </c>
      <c r="N90" s="190"/>
      <c r="O90" s="190"/>
      <c r="P90" s="190"/>
      <c r="Q90" s="190"/>
      <c r="R90" s="190"/>
      <c r="S90" s="190"/>
      <c r="T90" s="190"/>
      <c r="U90" s="190"/>
      <c r="V90" s="190"/>
      <c r="W90" s="190"/>
      <c r="X90" s="171"/>
      <c r="Y90" s="171"/>
      <c r="Z90" s="171"/>
    </row>
    <row r="91" spans="1:26" ht="23.4" x14ac:dyDescent="0.3">
      <c r="A91" s="192"/>
      <c r="B91" s="193" t="s">
        <v>1678</v>
      </c>
      <c r="C91" s="192"/>
      <c r="D91" s="192"/>
      <c r="E91" s="192"/>
      <c r="F91" s="192"/>
      <c r="G91" s="192"/>
      <c r="H91" s="192"/>
      <c r="I91" s="273">
        <f>L34</f>
        <v>27053.57</v>
      </c>
      <c r="J91" s="274"/>
      <c r="K91" s="274"/>
      <c r="L91" s="192"/>
      <c r="M91" s="193" t="s">
        <v>1966</v>
      </c>
      <c r="N91" s="192"/>
      <c r="O91" s="192"/>
      <c r="P91" s="192"/>
      <c r="Q91" s="192"/>
      <c r="R91" s="192"/>
      <c r="S91" s="192"/>
      <c r="T91" s="273">
        <f>Caixa!J6+Caixa!J7+Caixa!J8</f>
        <v>8896.44</v>
      </c>
      <c r="U91" s="274"/>
      <c r="V91" s="274"/>
      <c r="W91" s="192"/>
      <c r="X91" s="171"/>
      <c r="Y91" s="171"/>
      <c r="Z91" s="171"/>
    </row>
    <row r="92" spans="1:26" ht="25.2" x14ac:dyDescent="0.3">
      <c r="A92" s="192"/>
      <c r="B92" s="193" t="s">
        <v>1679</v>
      </c>
      <c r="C92" s="192"/>
      <c r="D92" s="192"/>
      <c r="E92" s="192"/>
      <c r="F92" s="192"/>
      <c r="G92" s="192"/>
      <c r="H92" s="192"/>
      <c r="I92" s="273">
        <f>L54</f>
        <v>35715</v>
      </c>
      <c r="J92" s="274"/>
      <c r="K92" s="274"/>
      <c r="L92" s="192"/>
      <c r="M92" s="193" t="s">
        <v>1967</v>
      </c>
      <c r="N92" s="192"/>
      <c r="O92" s="192"/>
      <c r="P92" s="192"/>
      <c r="Q92" s="192"/>
      <c r="R92" s="192"/>
      <c r="S92" s="192"/>
      <c r="T92" s="273">
        <f>Caixa!J5</f>
        <v>614.20000000000005</v>
      </c>
      <c r="U92" s="274"/>
      <c r="V92" s="274"/>
      <c r="W92" s="192"/>
      <c r="X92" s="173"/>
      <c r="Y92" s="173"/>
      <c r="Z92" s="173"/>
    </row>
    <row r="93" spans="1:26" ht="23.4" x14ac:dyDescent="0.3">
      <c r="A93" s="192"/>
      <c r="B93" s="193" t="s">
        <v>1680</v>
      </c>
      <c r="C93" s="192"/>
      <c r="D93" s="192"/>
      <c r="E93" s="192"/>
      <c r="F93" s="192"/>
      <c r="G93" s="192"/>
      <c r="H93" s="192"/>
      <c r="I93" s="273">
        <f>L84</f>
        <v>53257.929999999993</v>
      </c>
      <c r="J93" s="274"/>
      <c r="K93" s="274"/>
      <c r="L93" s="192"/>
      <c r="M93" s="193"/>
      <c r="N93" s="192"/>
      <c r="O93" s="192"/>
      <c r="P93" s="192"/>
      <c r="Q93" s="192"/>
      <c r="R93" s="192"/>
      <c r="S93" s="192"/>
      <c r="T93" s="280"/>
      <c r="U93" s="274"/>
      <c r="V93" s="274"/>
      <c r="W93" s="192"/>
      <c r="X93" s="175"/>
      <c r="Y93" s="175"/>
      <c r="Z93" s="175"/>
    </row>
    <row r="94" spans="1:26" ht="23.4" x14ac:dyDescent="0.3">
      <c r="A94" s="192"/>
      <c r="B94" s="193" t="s">
        <v>1968</v>
      </c>
      <c r="C94" s="192"/>
      <c r="D94" s="192"/>
      <c r="E94" s="192"/>
      <c r="F94" s="192"/>
      <c r="G94" s="192"/>
      <c r="H94" s="192"/>
      <c r="I94" s="275">
        <f>I92-I93</f>
        <v>-17542.929999999993</v>
      </c>
      <c r="J94" s="276"/>
      <c r="K94" s="276"/>
      <c r="L94" s="192"/>
      <c r="M94" s="193"/>
      <c r="N94" s="192"/>
      <c r="O94" s="192"/>
      <c r="P94" s="192"/>
      <c r="Q94" s="192"/>
      <c r="R94" s="192"/>
      <c r="S94" s="192"/>
      <c r="T94" s="196"/>
      <c r="U94" s="196"/>
      <c r="V94" s="196"/>
      <c r="W94" s="192"/>
      <c r="X94" s="175"/>
      <c r="Y94" s="175"/>
      <c r="Z94" s="175"/>
    </row>
    <row r="95" spans="1:26" ht="23.4" x14ac:dyDescent="0.3">
      <c r="A95" s="192"/>
      <c r="B95" s="193" t="s">
        <v>1969</v>
      </c>
      <c r="C95" s="192"/>
      <c r="D95" s="192"/>
      <c r="E95" s="192"/>
      <c r="F95" s="192"/>
      <c r="G95" s="192"/>
      <c r="H95" s="192"/>
      <c r="I95" s="277">
        <f>I91+I94</f>
        <v>9510.6400000000067</v>
      </c>
      <c r="J95" s="274"/>
      <c r="K95" s="274"/>
      <c r="L95" s="192"/>
      <c r="M95" s="192"/>
      <c r="N95" s="192"/>
      <c r="O95" s="192"/>
      <c r="P95" s="192"/>
      <c r="Q95" s="192"/>
      <c r="R95" s="192"/>
      <c r="S95" s="192"/>
      <c r="T95" s="192"/>
      <c r="U95" s="192"/>
      <c r="V95" s="192"/>
      <c r="W95" s="192"/>
      <c r="X95" s="175"/>
      <c r="Y95" s="175"/>
      <c r="Z95" s="175"/>
    </row>
    <row r="96" spans="1:26" ht="23.4" x14ac:dyDescent="0.3">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75"/>
      <c r="Y96" s="175"/>
      <c r="Z96" s="175"/>
    </row>
    <row r="97" spans="1:26" ht="25.2" x14ac:dyDescent="0.3">
      <c r="A97" s="190"/>
      <c r="B97" s="191" t="s">
        <v>13</v>
      </c>
      <c r="C97" s="190"/>
      <c r="D97" s="190"/>
      <c r="E97" s="190"/>
      <c r="F97" s="190"/>
      <c r="G97" s="190"/>
      <c r="H97" s="190"/>
      <c r="I97" s="190"/>
      <c r="J97" s="190"/>
      <c r="K97" s="190"/>
      <c r="L97" s="190"/>
      <c r="M97" s="191" t="s">
        <v>1681</v>
      </c>
      <c r="N97" s="190"/>
      <c r="O97" s="190"/>
      <c r="P97" s="190"/>
      <c r="Q97" s="190"/>
      <c r="R97" s="190"/>
      <c r="S97" s="190"/>
      <c r="T97" s="190"/>
      <c r="U97" s="190"/>
      <c r="V97" s="190"/>
      <c r="W97" s="190"/>
      <c r="X97" s="175"/>
      <c r="Y97" s="175"/>
      <c r="Z97" s="175"/>
    </row>
    <row r="98" spans="1:26" ht="23.4" x14ac:dyDescent="0.3">
      <c r="A98" s="192"/>
      <c r="B98" s="193" t="s">
        <v>1682</v>
      </c>
      <c r="C98" s="192"/>
      <c r="D98" s="192"/>
      <c r="E98" s="192"/>
      <c r="F98" s="192"/>
      <c r="G98" s="192"/>
      <c r="H98" s="192"/>
      <c r="I98" s="278">
        <f>'JUL-Receitas'!J6</f>
        <v>0.10309278350515463</v>
      </c>
      <c r="J98" s="274"/>
      <c r="K98" s="274"/>
      <c r="L98" s="192"/>
      <c r="M98" s="193" t="s">
        <v>1683</v>
      </c>
      <c r="N98" s="192"/>
      <c r="O98" s="192"/>
      <c r="P98" s="192"/>
      <c r="Q98" s="192"/>
      <c r="R98" s="192"/>
      <c r="S98" s="192"/>
      <c r="T98" s="273">
        <f>'Distrib. Valores'!C6+'Distrib. Valores'!C11</f>
        <v>5626.1400000000358</v>
      </c>
      <c r="U98" s="274"/>
      <c r="V98" s="274"/>
      <c r="W98" s="192"/>
      <c r="X98" s="171"/>
      <c r="Y98" s="171"/>
      <c r="Z98" s="171"/>
    </row>
    <row r="99" spans="1:26" ht="25.2" x14ac:dyDescent="0.3">
      <c r="A99" s="192"/>
      <c r="B99" s="193" t="s">
        <v>1684</v>
      </c>
      <c r="C99" s="192"/>
      <c r="D99" s="192"/>
      <c r="E99" s="192"/>
      <c r="F99" s="192"/>
      <c r="G99" s="192"/>
      <c r="H99" s="192"/>
      <c r="I99" s="278">
        <v>0.13</v>
      </c>
      <c r="J99" s="274"/>
      <c r="K99" s="274"/>
      <c r="L99" s="192"/>
      <c r="M99" s="193" t="s">
        <v>1671</v>
      </c>
      <c r="N99" s="192"/>
      <c r="O99" s="192"/>
      <c r="P99" s="192"/>
      <c r="Q99" s="192"/>
      <c r="R99" s="192"/>
      <c r="S99" s="192"/>
      <c r="T99" s="273">
        <f>'Distrib. Valores'!C7</f>
        <v>1020.9099999999985</v>
      </c>
      <c r="U99" s="274"/>
      <c r="V99" s="274"/>
      <c r="W99" s="192"/>
      <c r="X99" s="173"/>
      <c r="Y99" s="173"/>
      <c r="Z99" s="173"/>
    </row>
    <row r="100" spans="1:26" ht="23.4" x14ac:dyDescent="0.3">
      <c r="A100" s="192"/>
      <c r="B100" s="193" t="s">
        <v>1685</v>
      </c>
      <c r="C100" s="192"/>
      <c r="D100" s="192"/>
      <c r="E100" s="192"/>
      <c r="F100" s="192"/>
      <c r="G100" s="192"/>
      <c r="H100" s="192"/>
      <c r="I100" s="278">
        <f>'JUL-Receitas'!L6</f>
        <v>0.20618556701030927</v>
      </c>
      <c r="J100" s="274"/>
      <c r="K100" s="274"/>
      <c r="L100" s="192"/>
      <c r="M100" s="193" t="s">
        <v>1668</v>
      </c>
      <c r="N100" s="192"/>
      <c r="O100" s="192"/>
      <c r="P100" s="192"/>
      <c r="Q100" s="192"/>
      <c r="R100" s="192"/>
      <c r="S100" s="192"/>
      <c r="T100" s="273">
        <f>'Distrib. Valores'!C8</f>
        <v>1370.4099999999999</v>
      </c>
      <c r="U100" s="274"/>
      <c r="V100" s="274"/>
      <c r="W100" s="192"/>
      <c r="X100" s="175"/>
      <c r="Y100" s="175"/>
      <c r="Z100" s="175"/>
    </row>
    <row r="101" spans="1:26" ht="23.4" x14ac:dyDescent="0.3">
      <c r="A101" s="192"/>
      <c r="B101" s="192"/>
      <c r="C101" s="192"/>
      <c r="D101" s="192"/>
      <c r="E101" s="192"/>
      <c r="F101" s="192"/>
      <c r="G101" s="192"/>
      <c r="H101" s="192"/>
      <c r="I101" s="192"/>
      <c r="J101" s="192"/>
      <c r="K101" s="192"/>
      <c r="L101" s="192"/>
      <c r="M101" s="193" t="s">
        <v>1686</v>
      </c>
      <c r="N101" s="192"/>
      <c r="O101" s="192"/>
      <c r="P101" s="192"/>
      <c r="Q101" s="192"/>
      <c r="R101" s="192"/>
      <c r="S101" s="192"/>
      <c r="T101" s="273">
        <f>'Distrib. Valores'!C9</f>
        <v>866.5300000000002</v>
      </c>
      <c r="U101" s="274"/>
      <c r="V101" s="274"/>
      <c r="W101" s="192"/>
      <c r="X101" s="175"/>
      <c r="Y101" s="175"/>
      <c r="Z101" s="175"/>
    </row>
    <row r="102" spans="1:26" ht="23.4" x14ac:dyDescent="0.3">
      <c r="A102" s="192"/>
      <c r="B102" s="192"/>
      <c r="C102" s="192"/>
      <c r="D102" s="192"/>
      <c r="E102" s="192"/>
      <c r="F102" s="192"/>
      <c r="G102" s="192"/>
      <c r="H102" s="192"/>
      <c r="I102" s="192"/>
      <c r="J102" s="192"/>
      <c r="K102" s="192"/>
      <c r="L102" s="192"/>
      <c r="M102" s="193" t="s">
        <v>1649</v>
      </c>
      <c r="N102" s="192"/>
      <c r="O102" s="192"/>
      <c r="P102" s="192"/>
      <c r="Q102" s="192"/>
      <c r="R102" s="192"/>
      <c r="S102" s="192"/>
      <c r="T102" s="273">
        <f>'Distrib. Valores'!C10</f>
        <v>626.64999999999964</v>
      </c>
      <c r="U102" s="274"/>
      <c r="V102" s="274"/>
      <c r="W102" s="192"/>
      <c r="X102" s="175"/>
      <c r="Y102" s="175"/>
      <c r="Z102" s="175"/>
    </row>
    <row r="103" spans="1:26" ht="23.4" x14ac:dyDescent="0.3">
      <c r="A103" s="192"/>
      <c r="B103" s="192"/>
      <c r="C103" s="192"/>
      <c r="D103" s="192"/>
      <c r="E103" s="192"/>
      <c r="F103" s="192"/>
      <c r="G103" s="192"/>
      <c r="H103" s="192"/>
      <c r="I103" s="192"/>
      <c r="J103" s="192"/>
      <c r="K103" s="192"/>
      <c r="L103" s="192"/>
      <c r="M103" s="193" t="s">
        <v>1687</v>
      </c>
      <c r="N103" s="192"/>
      <c r="O103" s="192"/>
      <c r="P103" s="192"/>
      <c r="Q103" s="192"/>
      <c r="R103" s="192"/>
      <c r="S103" s="192"/>
      <c r="T103" s="273">
        <v>0</v>
      </c>
      <c r="U103" s="274"/>
      <c r="V103" s="274"/>
      <c r="W103" s="192"/>
      <c r="X103" s="175"/>
      <c r="Y103" s="175"/>
      <c r="Z103" s="175"/>
    </row>
    <row r="104" spans="1:26" ht="15.75" customHeight="1" x14ac:dyDescent="0.3">
      <c r="A104" s="192"/>
      <c r="B104" s="192"/>
      <c r="C104" s="192"/>
      <c r="D104" s="192"/>
      <c r="E104" s="192"/>
      <c r="F104" s="192"/>
      <c r="G104" s="192"/>
      <c r="H104" s="192"/>
      <c r="I104" s="192"/>
      <c r="J104" s="192"/>
      <c r="K104" s="192"/>
      <c r="L104" s="192"/>
      <c r="M104" s="281"/>
      <c r="N104" s="274"/>
      <c r="O104" s="274"/>
      <c r="P104" s="274"/>
      <c r="Q104" s="274"/>
      <c r="R104" s="274"/>
      <c r="S104" s="274"/>
      <c r="T104" s="274"/>
      <c r="U104" s="274"/>
      <c r="V104" s="274"/>
      <c r="W104" s="192"/>
      <c r="X104" s="175"/>
      <c r="Y104" s="175"/>
      <c r="Z104" s="175"/>
    </row>
    <row r="105" spans="1:26" ht="14.25" customHeight="1" x14ac:dyDescent="0.3">
      <c r="A105" s="174"/>
      <c r="B105" s="174"/>
      <c r="C105" s="174"/>
      <c r="D105" s="174"/>
      <c r="E105" s="174"/>
      <c r="F105" s="174"/>
      <c r="G105" s="174"/>
      <c r="H105" s="174"/>
      <c r="I105" s="174"/>
      <c r="J105" s="174"/>
      <c r="K105" s="174"/>
      <c r="L105" s="174"/>
      <c r="M105" s="279"/>
      <c r="N105" s="279"/>
      <c r="O105" s="279"/>
      <c r="P105" s="279"/>
      <c r="Q105" s="279"/>
      <c r="R105" s="279"/>
      <c r="S105" s="279"/>
      <c r="T105" s="279"/>
      <c r="U105" s="279"/>
      <c r="V105" s="279"/>
      <c r="W105" s="174"/>
      <c r="X105" s="175"/>
      <c r="Y105" s="175"/>
      <c r="Z105" s="175"/>
    </row>
    <row r="106" spans="1:26" ht="14.25" customHeight="1" x14ac:dyDescent="0.3">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row>
    <row r="107" spans="1:26" ht="14.25" customHeight="1" x14ac:dyDescent="0.3">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row>
    <row r="108" spans="1:26" ht="14.25" customHeight="1" x14ac:dyDescent="0.3">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row>
    <row r="109" spans="1:26" ht="14.25" customHeight="1" x14ac:dyDescent="0.3">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row>
    <row r="110" spans="1:26" ht="14.25" customHeight="1" x14ac:dyDescent="0.3">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row>
    <row r="111" spans="1:26" ht="14.25" customHeight="1" x14ac:dyDescent="0.3">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row>
    <row r="112" spans="1:26" ht="14.25" customHeight="1" x14ac:dyDescent="0.3">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row>
    <row r="113" spans="1:26" ht="14.25" customHeight="1" x14ac:dyDescent="0.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spans="1:26" ht="14.25" customHeight="1" x14ac:dyDescent="0.3">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spans="1:26" ht="14.25" customHeight="1" x14ac:dyDescent="0.3">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spans="1:26" ht="14.25" customHeight="1" x14ac:dyDescent="0.3">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spans="1:26" ht="14.25" customHeight="1" x14ac:dyDescent="0.3">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spans="1:26" ht="14.25" customHeight="1" x14ac:dyDescent="0.3">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spans="1:26" ht="14.25" customHeight="1" x14ac:dyDescent="0.3">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spans="1:26" ht="14.25" customHeight="1" x14ac:dyDescent="0.3">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spans="1:26" ht="14.25" customHeight="1" x14ac:dyDescent="0.3">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spans="1:26" ht="14.25" customHeight="1" x14ac:dyDescent="0.3">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spans="1:26" ht="14.25" customHeight="1" x14ac:dyDescent="0.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spans="1:26" ht="14.25" customHeight="1" x14ac:dyDescent="0.3">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spans="1:26" ht="14.25" customHeight="1" x14ac:dyDescent="0.3">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spans="1:26" ht="14.25" customHeight="1" x14ac:dyDescent="0.3">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spans="1:26" ht="14.25" customHeight="1" x14ac:dyDescent="0.3">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spans="1:26" ht="14.25" customHeight="1" x14ac:dyDescent="0.3">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spans="1:26" ht="14.25" customHeight="1" x14ac:dyDescent="0.3">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spans="1:26" ht="14.25" customHeight="1" x14ac:dyDescent="0.3">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spans="1:26" ht="14.25" customHeight="1" x14ac:dyDescent="0.3">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spans="1:26" ht="14.25" customHeight="1" x14ac:dyDescent="0.3">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spans="1:26" ht="14.25" customHeight="1" x14ac:dyDescent="0.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spans="1:26" ht="14.25" customHeight="1" x14ac:dyDescent="0.3">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spans="1:26" ht="14.25" customHeight="1" x14ac:dyDescent="0.3">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spans="1:26" ht="14.25" customHeight="1" x14ac:dyDescent="0.3">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spans="1:26" ht="14.25" customHeight="1" x14ac:dyDescent="0.3">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spans="1:26" ht="14.25" customHeight="1" x14ac:dyDescent="0.3">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spans="1:26" ht="14.25" customHeight="1" x14ac:dyDescent="0.3">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spans="1:26" ht="14.25" customHeight="1" x14ac:dyDescent="0.3">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spans="1:26" ht="14.25" customHeight="1" x14ac:dyDescent="0.3">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spans="1:26" ht="14.25" customHeight="1" x14ac:dyDescent="0.3">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spans="1:26" ht="14.25" customHeight="1" x14ac:dyDescent="0.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spans="1:26" ht="14.25" customHeight="1" x14ac:dyDescent="0.3">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spans="1:26" ht="14.25" customHeight="1" x14ac:dyDescent="0.3">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spans="1:26" ht="14.25" customHeight="1" x14ac:dyDescent="0.3">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spans="1:26" ht="14.25" customHeight="1" x14ac:dyDescent="0.3">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spans="1:26" ht="14.25" customHeight="1" x14ac:dyDescent="0.3">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spans="1:26" ht="14.25" customHeight="1" x14ac:dyDescent="0.3">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spans="1:26" ht="14.25" customHeight="1" x14ac:dyDescent="0.3">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spans="1:26" ht="14.25" customHeight="1" x14ac:dyDescent="0.3">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spans="1:26" ht="14.25" customHeight="1" x14ac:dyDescent="0.3">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spans="1:26" ht="14.25" customHeight="1" x14ac:dyDescent="0.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spans="1:26" ht="14.25" customHeight="1" x14ac:dyDescent="0.3">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spans="1:26" ht="14.25" customHeight="1" x14ac:dyDescent="0.3">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spans="1:26" ht="14.25" customHeight="1" x14ac:dyDescent="0.3">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spans="1:26" ht="14.25" customHeight="1" x14ac:dyDescent="0.3">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spans="1:26" ht="14.25" customHeight="1" x14ac:dyDescent="0.3">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spans="1:26" ht="14.25" customHeight="1" x14ac:dyDescent="0.3">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spans="1:26" ht="14.25" customHeight="1" x14ac:dyDescent="0.3">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spans="1:26" ht="14.25" customHeight="1" x14ac:dyDescent="0.3">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spans="1:26" ht="14.25" customHeight="1" x14ac:dyDescent="0.3">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spans="1:26" ht="14.25" customHeight="1" x14ac:dyDescent="0.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spans="1:26" ht="14.25" customHeight="1" x14ac:dyDescent="0.3">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spans="1:26" ht="14.25" customHeight="1" x14ac:dyDescent="0.3">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spans="1:26" ht="14.25" customHeight="1" x14ac:dyDescent="0.3">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spans="1:26" ht="14.25" customHeight="1" x14ac:dyDescent="0.3">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spans="1:26" ht="14.25" customHeight="1" x14ac:dyDescent="0.3">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spans="1:26" ht="14.25" customHeight="1" x14ac:dyDescent="0.3">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spans="1:26" ht="14.25" customHeight="1" x14ac:dyDescent="0.3">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spans="1:26" ht="14.25" customHeight="1" x14ac:dyDescent="0.3">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spans="1:26" ht="14.25" customHeight="1" x14ac:dyDescent="0.3">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spans="1:26" ht="14.25" customHeight="1" x14ac:dyDescent="0.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spans="1:26" ht="14.25" customHeight="1" x14ac:dyDescent="0.3">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spans="1:26" ht="14.25" customHeight="1" x14ac:dyDescent="0.3">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spans="1:26" ht="14.25" customHeight="1" x14ac:dyDescent="0.3">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spans="1:26" ht="14.25" customHeight="1" x14ac:dyDescent="0.3">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spans="1:26" ht="14.25" customHeight="1" x14ac:dyDescent="0.3">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spans="1:26" ht="14.25" customHeight="1" x14ac:dyDescent="0.3">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spans="1:26" ht="14.25" customHeight="1" x14ac:dyDescent="0.3">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spans="1:26" ht="14.25" customHeight="1" x14ac:dyDescent="0.3">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spans="1:26" ht="14.25" customHeight="1" x14ac:dyDescent="0.3">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spans="1:26" ht="14.25" customHeight="1" x14ac:dyDescent="0.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spans="1:26" ht="14.25" customHeight="1" x14ac:dyDescent="0.3">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spans="1:26" ht="14.25" customHeight="1" x14ac:dyDescent="0.3">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spans="1:26" ht="14.25" customHeight="1" x14ac:dyDescent="0.3">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spans="1:26" ht="14.25" customHeight="1" x14ac:dyDescent="0.3">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spans="1:26" ht="14.25" customHeight="1" x14ac:dyDescent="0.3">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spans="1:26" ht="14.25" customHeight="1" x14ac:dyDescent="0.3">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spans="1:26" ht="14.25" customHeight="1" x14ac:dyDescent="0.3">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spans="1:26" ht="14.25" customHeight="1" x14ac:dyDescent="0.3">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spans="1:26" ht="14.25" customHeight="1" x14ac:dyDescent="0.3">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spans="1:26" ht="14.25" customHeight="1" x14ac:dyDescent="0.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spans="1:26" ht="14.25" customHeight="1" x14ac:dyDescent="0.3">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spans="1:26" ht="14.25" customHeight="1" x14ac:dyDescent="0.3">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spans="1:26" ht="14.25" customHeight="1" x14ac:dyDescent="0.3">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spans="1:26" ht="14.25" customHeight="1" x14ac:dyDescent="0.3">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spans="1:26" ht="14.25" customHeight="1" x14ac:dyDescent="0.3">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spans="1:26" ht="14.25" customHeight="1" x14ac:dyDescent="0.3">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spans="1:26" ht="14.25" customHeight="1" x14ac:dyDescent="0.3">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spans="1:26" ht="14.25" customHeight="1" x14ac:dyDescent="0.3">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spans="1:26" ht="14.25" customHeight="1" x14ac:dyDescent="0.3">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spans="1:26" ht="14.25" customHeight="1" x14ac:dyDescent="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spans="1:26" ht="14.25" customHeight="1" x14ac:dyDescent="0.3">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spans="1:26" ht="14.25" customHeight="1" x14ac:dyDescent="0.3">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spans="1:26" ht="14.25" customHeight="1" x14ac:dyDescent="0.3">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spans="1:26" ht="14.25" customHeight="1" x14ac:dyDescent="0.3">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spans="1:26" ht="14.25" customHeight="1" x14ac:dyDescent="0.3">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spans="1:26" ht="14.25" customHeight="1" x14ac:dyDescent="0.3">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spans="1:26" ht="14.25" customHeight="1" x14ac:dyDescent="0.3">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spans="1:26" ht="14.25" customHeight="1" x14ac:dyDescent="0.3">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spans="1:26" ht="14.25" customHeight="1" x14ac:dyDescent="0.3">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spans="1:26" ht="14.25" customHeight="1" x14ac:dyDescent="0.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spans="1:26" ht="14.25" customHeight="1" x14ac:dyDescent="0.3">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spans="1:26" ht="14.25" customHeight="1" x14ac:dyDescent="0.3">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spans="1:26" ht="14.25" customHeight="1" x14ac:dyDescent="0.3">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spans="1:26" ht="14.25" customHeight="1" x14ac:dyDescent="0.3">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spans="1:26" ht="14.25" customHeight="1" x14ac:dyDescent="0.3">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spans="1:26" ht="14.25" customHeight="1" x14ac:dyDescent="0.3">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spans="1:26" ht="14.25" customHeight="1" x14ac:dyDescent="0.3">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spans="1:26" ht="14.25" customHeight="1" x14ac:dyDescent="0.3">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spans="1:26" ht="14.25" customHeight="1" x14ac:dyDescent="0.3">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spans="1:26" ht="14.25" customHeight="1" x14ac:dyDescent="0.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spans="1:26" ht="14.25" customHeight="1" x14ac:dyDescent="0.3">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spans="1:26" ht="14.25" customHeight="1" x14ac:dyDescent="0.3">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spans="1:26" ht="14.25" customHeight="1" x14ac:dyDescent="0.3">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spans="1:26" ht="14.25" customHeight="1" x14ac:dyDescent="0.3">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spans="1:26" ht="14.25" customHeight="1" x14ac:dyDescent="0.3">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spans="1:26" ht="14.25" customHeight="1" x14ac:dyDescent="0.3">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spans="1:26" ht="14.25" customHeight="1" x14ac:dyDescent="0.3">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spans="1:26" ht="14.25" customHeight="1" x14ac:dyDescent="0.3">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spans="1:26" ht="14.25" customHeight="1" x14ac:dyDescent="0.3">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spans="1:26" ht="14.25" customHeight="1" x14ac:dyDescent="0.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spans="1:26" ht="14.25" customHeight="1" x14ac:dyDescent="0.3">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spans="1:26" ht="14.25" customHeight="1" x14ac:dyDescent="0.3">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spans="1:26" ht="14.25" customHeight="1" x14ac:dyDescent="0.3">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spans="1:26" ht="14.25" customHeight="1" x14ac:dyDescent="0.3">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spans="1:26" ht="14.25" customHeight="1" x14ac:dyDescent="0.3">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spans="1:26" ht="14.25" customHeight="1" x14ac:dyDescent="0.3">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spans="1:26" ht="14.25" customHeight="1" x14ac:dyDescent="0.3">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spans="1:26" ht="14.25" customHeight="1" x14ac:dyDescent="0.3">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spans="1:26" ht="14.25" customHeight="1" x14ac:dyDescent="0.3">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spans="1:26" ht="14.25" customHeight="1" x14ac:dyDescent="0.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spans="1:26" ht="14.25" customHeight="1" x14ac:dyDescent="0.3">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spans="1:26" ht="14.25" customHeight="1" x14ac:dyDescent="0.3">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spans="1:26" ht="14.25" customHeight="1" x14ac:dyDescent="0.3">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spans="1:26" ht="14.25" customHeight="1" x14ac:dyDescent="0.3">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spans="1:26" ht="14.25" customHeight="1" x14ac:dyDescent="0.3">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spans="1:26" ht="14.25" customHeight="1" x14ac:dyDescent="0.3">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spans="1:26" ht="14.25" customHeight="1" x14ac:dyDescent="0.3">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spans="1:26" ht="14.25" customHeight="1" x14ac:dyDescent="0.3">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spans="1:26" ht="14.25" customHeight="1" x14ac:dyDescent="0.3">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spans="1:26" ht="14.25" customHeight="1" x14ac:dyDescent="0.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spans="1:26" ht="14.25" customHeight="1" x14ac:dyDescent="0.3">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spans="1:26" ht="14.25" customHeight="1" x14ac:dyDescent="0.3">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spans="1:26" ht="14.25" customHeight="1" x14ac:dyDescent="0.3">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spans="1:26" ht="14.25" customHeight="1" x14ac:dyDescent="0.3">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spans="1:26" ht="14.25" customHeight="1" x14ac:dyDescent="0.3">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spans="1:26" ht="14.25" customHeight="1" x14ac:dyDescent="0.3">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spans="1:26" ht="14.25" customHeight="1" x14ac:dyDescent="0.3">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spans="1:26" ht="14.25" customHeight="1" x14ac:dyDescent="0.3">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spans="1:26" ht="14.25" customHeight="1" x14ac:dyDescent="0.3">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spans="1:26" ht="14.25" customHeight="1" x14ac:dyDescent="0.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spans="1:26" ht="14.25" customHeight="1" x14ac:dyDescent="0.3">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spans="1:26" ht="14.25" customHeight="1" x14ac:dyDescent="0.3">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spans="1:26" ht="14.25" customHeight="1" x14ac:dyDescent="0.3">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spans="1:26" ht="14.25" customHeight="1" x14ac:dyDescent="0.3">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spans="1:26" ht="14.25" customHeight="1" x14ac:dyDescent="0.3">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spans="1:26" ht="14.25" customHeight="1" x14ac:dyDescent="0.3">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spans="1:26" ht="14.25" customHeight="1" x14ac:dyDescent="0.3">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spans="1:26" ht="14.25" customHeight="1" x14ac:dyDescent="0.3">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spans="1:26" ht="14.25" customHeight="1" x14ac:dyDescent="0.3">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spans="1:26" ht="14.25" customHeight="1" x14ac:dyDescent="0.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spans="1:26" ht="14.25" customHeight="1" x14ac:dyDescent="0.3">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spans="1:26" ht="14.25" customHeight="1" x14ac:dyDescent="0.3">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spans="1:26" ht="14.25" customHeight="1" x14ac:dyDescent="0.3">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spans="1:26" ht="14.25" customHeight="1" x14ac:dyDescent="0.3">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spans="1:26" ht="14.25" customHeight="1" x14ac:dyDescent="0.3">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spans="1:26" ht="14.25" customHeight="1" x14ac:dyDescent="0.3">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spans="1:26" ht="14.25" customHeight="1" x14ac:dyDescent="0.3">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spans="1:26" ht="14.25" customHeight="1" x14ac:dyDescent="0.3">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spans="1:26" ht="14.25" customHeight="1" x14ac:dyDescent="0.3">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spans="1:26" ht="14.25" customHeight="1" x14ac:dyDescent="0.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spans="1:26" ht="14.25" customHeight="1" x14ac:dyDescent="0.3">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spans="1:26" ht="14.25" customHeight="1" x14ac:dyDescent="0.3">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row>
    <row r="286" spans="1:26" ht="14.25" customHeight="1" x14ac:dyDescent="0.3">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row>
    <row r="287" spans="1:26" ht="14.25" customHeight="1" x14ac:dyDescent="0.3">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row>
    <row r="288" spans="1:26" ht="14.25" customHeight="1" x14ac:dyDescent="0.3">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row>
    <row r="289" spans="1:26" ht="14.25" customHeight="1" x14ac:dyDescent="0.3">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row>
    <row r="290" spans="1:26" ht="14.25" customHeight="1" x14ac:dyDescent="0.3">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row>
    <row r="291" spans="1:26" ht="14.25" customHeight="1" x14ac:dyDescent="0.3">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row>
    <row r="292" spans="1:26" ht="14.25" customHeight="1" x14ac:dyDescent="0.3">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row>
    <row r="293" spans="1:26" ht="14.25" customHeight="1" x14ac:dyDescent="0.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row>
    <row r="294" spans="1:26" ht="14.25" customHeight="1" x14ac:dyDescent="0.3">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row>
    <row r="295" spans="1:26" ht="14.25" customHeight="1" x14ac:dyDescent="0.3">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row>
    <row r="296" spans="1:26" ht="14.25" customHeight="1" x14ac:dyDescent="0.3">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row>
    <row r="297" spans="1:26" ht="14.25" customHeight="1" x14ac:dyDescent="0.3">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row>
    <row r="298" spans="1:26" ht="14.25" customHeight="1" x14ac:dyDescent="0.3">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row>
    <row r="299" spans="1:26" ht="14.25" customHeight="1" x14ac:dyDescent="0.3">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row>
    <row r="300" spans="1:26" ht="14.25" customHeight="1" x14ac:dyDescent="0.3">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row>
    <row r="301" spans="1:26" ht="14.25" customHeight="1" x14ac:dyDescent="0.3">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row>
    <row r="302" spans="1:26" ht="14.25" customHeight="1" x14ac:dyDescent="0.3">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row>
    <row r="303" spans="1:26" ht="14.25" customHeight="1" x14ac:dyDescent="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row>
    <row r="304" spans="1:26" ht="14.25" customHeight="1" x14ac:dyDescent="0.3">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row>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sheetData>
  <mergeCells count="94">
    <mergeCell ref="A13:W18"/>
    <mergeCell ref="A20:W24"/>
    <mergeCell ref="L34:O34"/>
    <mergeCell ref="I49:K49"/>
    <mergeCell ref="T49:V49"/>
    <mergeCell ref="I99:K99"/>
    <mergeCell ref="T99:V99"/>
    <mergeCell ref="T67:V67"/>
    <mergeCell ref="T68:V68"/>
    <mergeCell ref="T71:V71"/>
    <mergeCell ref="T74:V74"/>
    <mergeCell ref="I69:K69"/>
    <mergeCell ref="I70:K70"/>
    <mergeCell ref="I71:K71"/>
    <mergeCell ref="T78:V78"/>
    <mergeCell ref="I72:K72"/>
    <mergeCell ref="I98:K98"/>
    <mergeCell ref="I68:K68"/>
    <mergeCell ref="T79:V79"/>
    <mergeCell ref="L84:O84"/>
    <mergeCell ref="I91:K91"/>
    <mergeCell ref="T65:V65"/>
    <mergeCell ref="I48:K48"/>
    <mergeCell ref="L54:O54"/>
    <mergeCell ref="I60:K60"/>
    <mergeCell ref="T48:V48"/>
    <mergeCell ref="T60:V60"/>
    <mergeCell ref="T50:V50"/>
    <mergeCell ref="I61:K61"/>
    <mergeCell ref="I62:K62"/>
    <mergeCell ref="I63:K63"/>
    <mergeCell ref="I64:K64"/>
    <mergeCell ref="I65:K65"/>
    <mergeCell ref="I50:K50"/>
    <mergeCell ref="T51:V51"/>
    <mergeCell ref="I51:K51"/>
    <mergeCell ref="I52:K52"/>
    <mergeCell ref="I47:K47"/>
    <mergeCell ref="T44:V44"/>
    <mergeCell ref="T46:V46"/>
    <mergeCell ref="T47:V47"/>
    <mergeCell ref="T64:V64"/>
    <mergeCell ref="T52:V52"/>
    <mergeCell ref="T61:V61"/>
    <mergeCell ref="T62:V62"/>
    <mergeCell ref="T63:V63"/>
    <mergeCell ref="T43:V43"/>
    <mergeCell ref="T45:V45"/>
    <mergeCell ref="I44:K44"/>
    <mergeCell ref="I45:K45"/>
    <mergeCell ref="I46:K46"/>
    <mergeCell ref="T103:V103"/>
    <mergeCell ref="M105:V105"/>
    <mergeCell ref="T93:V93"/>
    <mergeCell ref="M104:V104"/>
    <mergeCell ref="T75:V75"/>
    <mergeCell ref="T100:V100"/>
    <mergeCell ref="T101:V101"/>
    <mergeCell ref="T102:V102"/>
    <mergeCell ref="T98:V98"/>
    <mergeCell ref="T91:V91"/>
    <mergeCell ref="T92:V92"/>
    <mergeCell ref="T76:V76"/>
    <mergeCell ref="T77:V77"/>
    <mergeCell ref="I94:K94"/>
    <mergeCell ref="I95:K95"/>
    <mergeCell ref="I100:K100"/>
    <mergeCell ref="T40:V40"/>
    <mergeCell ref="I40:K40"/>
    <mergeCell ref="I77:K77"/>
    <mergeCell ref="I76:K76"/>
    <mergeCell ref="I78:K78"/>
    <mergeCell ref="T70:V70"/>
    <mergeCell ref="T72:V72"/>
    <mergeCell ref="T73:V73"/>
    <mergeCell ref="I41:K41"/>
    <mergeCell ref="T41:V41"/>
    <mergeCell ref="I42:K42"/>
    <mergeCell ref="T42:V42"/>
    <mergeCell ref="I43:K43"/>
    <mergeCell ref="T81:V81"/>
    <mergeCell ref="T82:V82"/>
    <mergeCell ref="I93:K93"/>
    <mergeCell ref="I66:K66"/>
    <mergeCell ref="I67:K67"/>
    <mergeCell ref="I75:K75"/>
    <mergeCell ref="T80:V80"/>
    <mergeCell ref="I73:K73"/>
    <mergeCell ref="I74:K74"/>
    <mergeCell ref="I79:K79"/>
    <mergeCell ref="I80:K80"/>
    <mergeCell ref="T66:V66"/>
    <mergeCell ref="I92:K92"/>
    <mergeCell ref="T69:V69"/>
  </mergeCells>
  <pageMargins left="0.23622047244094491" right="0.23622047244094491" top="0.74803149606299213" bottom="0.74803149606299213" header="0" footer="0"/>
  <pageSetup orientation="landscape" r:id="rId1"/>
  <rowBreaks count="3" manualBreakCount="3">
    <brk id="86" man="1"/>
    <brk id="55" man="1"/>
    <brk id="29"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00000"/>
  </sheetPr>
  <dimension ref="A1:Z1000"/>
  <sheetViews>
    <sheetView workbookViewId="0">
      <selection activeCell="A3" sqref="A3"/>
    </sheetView>
  </sheetViews>
  <sheetFormatPr defaultColWidth="14.44140625" defaultRowHeight="15" customHeight="1" x14ac:dyDescent="0.3"/>
  <cols>
    <col min="1" max="1" width="35.33203125" customWidth="1"/>
    <col min="2" max="2" width="9.109375" customWidth="1"/>
    <col min="3" max="3" width="9.109375" hidden="1" customWidth="1"/>
    <col min="4" max="4" width="10.5546875" hidden="1" customWidth="1"/>
    <col min="5" max="5" width="12.88671875" customWidth="1"/>
    <col min="6" max="6" width="46.44140625" customWidth="1"/>
    <col min="7" max="7" width="14.5546875" customWidth="1"/>
    <col min="8" max="8" width="40.109375" customWidth="1"/>
    <col min="9" max="9" width="16" hidden="1" customWidth="1"/>
    <col min="10" max="26" width="8.6640625" customWidth="1"/>
  </cols>
  <sheetData>
    <row r="1" spans="1:26" ht="14.25" customHeight="1" x14ac:dyDescent="0.3">
      <c r="A1" s="176" t="s">
        <v>50</v>
      </c>
      <c r="B1" s="176" t="s">
        <v>75</v>
      </c>
      <c r="C1" s="176" t="s">
        <v>76</v>
      </c>
      <c r="D1" s="176" t="s">
        <v>77</v>
      </c>
      <c r="E1" s="176" t="s">
        <v>271</v>
      </c>
      <c r="F1" s="177" t="s">
        <v>79</v>
      </c>
      <c r="G1" s="177" t="s">
        <v>1688</v>
      </c>
      <c r="H1" s="177" t="s">
        <v>1689</v>
      </c>
      <c r="I1" s="178" t="s">
        <v>1690</v>
      </c>
      <c r="J1" s="38"/>
      <c r="K1" s="38"/>
      <c r="L1" s="38"/>
      <c r="M1" s="38"/>
      <c r="N1" s="38"/>
      <c r="O1" s="38"/>
      <c r="P1" s="38"/>
      <c r="Q1" s="38"/>
      <c r="R1" s="38"/>
      <c r="S1" s="38"/>
      <c r="T1" s="38"/>
      <c r="U1" s="38"/>
      <c r="V1" s="38"/>
      <c r="W1" s="38"/>
      <c r="X1" s="38"/>
      <c r="Y1" s="38"/>
      <c r="Z1" s="38"/>
    </row>
    <row r="2" spans="1:26" ht="14.25" customHeight="1" x14ac:dyDescent="0.3">
      <c r="A2" s="179" t="str" cm="1">
        <f t="array" ref="A2:I73">_xlfn._xlws.SORT(_xlfn._xlws.FILTER('JUL-Despesas'!B:J,'JUL-Despesas'!D:D="OK",""),2,1)</f>
        <v>Salário</v>
      </c>
      <c r="B2" s="180">
        <v>1</v>
      </c>
      <c r="C2" s="181" t="str">
        <v>OK</v>
      </c>
      <c r="D2" s="182">
        <v>0</v>
      </c>
      <c r="E2" s="182">
        <v>753.64</v>
      </c>
      <c r="F2" s="183">
        <v>0</v>
      </c>
      <c r="G2" s="183" t="str">
        <v>Banco - Cora</v>
      </c>
      <c r="H2" s="183" t="str">
        <v>https://drive.google.com/open?id=1i3DPAjnlahffP6q7DAOfBDogmI58sNxO&amp;usp=drive_fs</v>
      </c>
      <c r="I2" s="81">
        <v>0</v>
      </c>
      <c r="J2" s="38"/>
      <c r="K2" s="38"/>
      <c r="L2" s="38"/>
      <c r="M2" s="38"/>
      <c r="N2" s="38"/>
      <c r="O2" s="38"/>
      <c r="P2" s="38"/>
      <c r="Q2" s="38"/>
      <c r="R2" s="38"/>
      <c r="S2" s="38"/>
      <c r="T2" s="38"/>
      <c r="U2" s="38"/>
      <c r="V2" s="38"/>
      <c r="W2" s="38"/>
      <c r="X2" s="38"/>
      <c r="Y2" s="38"/>
      <c r="Z2" s="38"/>
    </row>
    <row r="3" spans="1:26" ht="14.25" customHeight="1" x14ac:dyDescent="0.3">
      <c r="A3" s="179" t="str">
        <v>Materiais diversos de manuntenção</v>
      </c>
      <c r="B3" s="180">
        <v>1</v>
      </c>
      <c r="C3" s="181" t="str">
        <v>OK</v>
      </c>
      <c r="D3" s="182">
        <v>0</v>
      </c>
      <c r="E3" s="182">
        <v>305.33</v>
      </c>
      <c r="F3" s="183">
        <v>0</v>
      </c>
      <c r="G3" s="183" t="str">
        <v>Banco - Cora</v>
      </c>
      <c r="H3" s="183" t="str">
        <v>https://drive.google.com/open?id=1jY0cM25q_KLDgdcp-saaIc4in_ZgYkFz&amp;usp=drive_fs</v>
      </c>
      <c r="I3" s="81">
        <v>0</v>
      </c>
      <c r="J3" s="38"/>
      <c r="K3" s="38"/>
      <c r="L3" s="38"/>
      <c r="M3" s="38"/>
      <c r="N3" s="38"/>
      <c r="O3" s="38"/>
      <c r="P3" s="38"/>
      <c r="Q3" s="38"/>
      <c r="R3" s="38"/>
      <c r="S3" s="38"/>
      <c r="T3" s="38"/>
      <c r="U3" s="38"/>
      <c r="V3" s="38"/>
      <c r="W3" s="38"/>
      <c r="X3" s="38"/>
      <c r="Y3" s="38"/>
      <c r="Z3" s="38"/>
    </row>
    <row r="4" spans="1:26" ht="14.25" customHeight="1" x14ac:dyDescent="0.3">
      <c r="A4" s="179" t="str">
        <v>Açai</v>
      </c>
      <c r="B4" s="180">
        <v>1</v>
      </c>
      <c r="C4" s="181" t="str">
        <v>OK</v>
      </c>
      <c r="D4" s="182">
        <v>0</v>
      </c>
      <c r="E4" s="182">
        <v>920</v>
      </c>
      <c r="F4" s="183">
        <v>0</v>
      </c>
      <c r="G4" s="183" t="str">
        <v>Banco - Cora</v>
      </c>
      <c r="H4" s="183" t="str">
        <v>https://drive.google.com/open?id=1RAD7JC0d_hFXvGXtOKOcjgNvLYxh-Dkk&amp;usp=drive_fs</v>
      </c>
      <c r="I4" s="81">
        <v>0</v>
      </c>
      <c r="J4" s="38"/>
      <c r="K4" s="38"/>
      <c r="L4" s="38"/>
      <c r="M4" s="38"/>
      <c r="N4" s="38"/>
      <c r="O4" s="38"/>
      <c r="P4" s="38"/>
      <c r="Q4" s="38"/>
      <c r="R4" s="38"/>
      <c r="S4" s="38"/>
      <c r="T4" s="38"/>
      <c r="U4" s="38"/>
      <c r="V4" s="38"/>
      <c r="W4" s="38"/>
      <c r="X4" s="38"/>
      <c r="Y4" s="38"/>
      <c r="Z4" s="38"/>
    </row>
    <row r="5" spans="1:26" ht="14.25" customHeight="1" x14ac:dyDescent="0.3">
      <c r="A5" s="179" t="str">
        <v>Jardim</v>
      </c>
      <c r="B5" s="180">
        <v>4</v>
      </c>
      <c r="C5" s="181" t="str">
        <v>OK</v>
      </c>
      <c r="D5" s="182">
        <v>0</v>
      </c>
      <c r="E5" s="182">
        <v>345</v>
      </c>
      <c r="F5" s="183" t="str">
        <v>NF única de R$ 397,00.</v>
      </c>
      <c r="G5" s="183" t="str">
        <v>Banco - Cora</v>
      </c>
      <c r="H5" s="183" t="str">
        <v>https://drive.google.com/open?id=1s_bZ5iGJjlaVsDVQExlElFarm3HUNZG3&amp;usp=drive_fs</v>
      </c>
      <c r="I5" s="81">
        <v>0</v>
      </c>
      <c r="J5" s="38"/>
      <c r="K5" s="38"/>
      <c r="L5" s="38"/>
      <c r="M5" s="38"/>
      <c r="N5" s="38"/>
      <c r="O5" s="38"/>
      <c r="P5" s="38"/>
      <c r="Q5" s="38"/>
      <c r="R5" s="38"/>
      <c r="S5" s="38"/>
      <c r="T5" s="38"/>
      <c r="U5" s="38"/>
      <c r="V5" s="38"/>
      <c r="W5" s="38"/>
      <c r="X5" s="38"/>
      <c r="Y5" s="38"/>
      <c r="Z5" s="38"/>
    </row>
    <row r="6" spans="1:26" ht="14.25" customHeight="1" x14ac:dyDescent="0.3">
      <c r="A6" s="179" t="str">
        <v>Jardim</v>
      </c>
      <c r="B6" s="180">
        <v>4</v>
      </c>
      <c r="C6" s="181" t="str">
        <v>OK</v>
      </c>
      <c r="D6" s="182">
        <v>0</v>
      </c>
      <c r="E6" s="182">
        <v>52</v>
      </c>
      <c r="F6" s="183" t="str">
        <v>NF única de R$ 397,00.</v>
      </c>
      <c r="G6" s="183" t="str">
        <v>Banco - Cora</v>
      </c>
      <c r="H6" s="183" t="str">
        <v>https://drive.google.com/open?id=1s_bZ5iGJjlaVsDVQExlElFarm3HUNZG3&amp;usp=drive_fs</v>
      </c>
      <c r="I6" s="81">
        <v>0</v>
      </c>
      <c r="J6" s="38"/>
      <c r="K6" s="38"/>
      <c r="L6" s="38"/>
      <c r="M6" s="38"/>
      <c r="N6" s="38"/>
      <c r="O6" s="38"/>
      <c r="P6" s="38"/>
      <c r="Q6" s="38"/>
      <c r="R6" s="38"/>
      <c r="S6" s="38"/>
      <c r="T6" s="38"/>
      <c r="U6" s="38"/>
      <c r="V6" s="38"/>
      <c r="W6" s="38"/>
      <c r="X6" s="38"/>
      <c r="Y6" s="38"/>
      <c r="Z6" s="38"/>
    </row>
    <row r="7" spans="1:26" ht="14.25" customHeight="1" x14ac:dyDescent="0.3">
      <c r="A7" s="179" t="str">
        <v>Câmeras de segurança</v>
      </c>
      <c r="B7" s="180">
        <v>4</v>
      </c>
      <c r="C7" s="181" t="str">
        <v>OK</v>
      </c>
      <c r="D7" s="182">
        <v>0</v>
      </c>
      <c r="E7" s="182">
        <v>264.02</v>
      </c>
      <c r="F7" s="183" t="str">
        <v>Parcela 3 de 10</v>
      </c>
      <c r="G7" s="183" t="str">
        <v>Banco - Cora</v>
      </c>
      <c r="H7" s="183" t="str">
        <v>https://drive.google.com/open?id=1Is-kyAPZ-ACRo82Qt6-XLQndqUAMY5Qd&amp;usp=drive_fs</v>
      </c>
      <c r="I7" s="81">
        <v>0</v>
      </c>
      <c r="J7" s="38"/>
      <c r="K7" s="38"/>
      <c r="L7" s="38"/>
      <c r="M7" s="38"/>
      <c r="N7" s="38"/>
      <c r="O7" s="38"/>
      <c r="P7" s="38"/>
      <c r="Q7" s="38"/>
      <c r="R7" s="38"/>
      <c r="S7" s="38"/>
      <c r="T7" s="38"/>
      <c r="U7" s="38"/>
      <c r="V7" s="38"/>
      <c r="W7" s="38"/>
      <c r="X7" s="38"/>
      <c r="Y7" s="38"/>
      <c r="Z7" s="38"/>
    </row>
    <row r="8" spans="1:26" ht="14.25" customHeight="1" x14ac:dyDescent="0.3">
      <c r="A8" s="179" t="str">
        <v>Bebedouro</v>
      </c>
      <c r="B8" s="180">
        <v>4</v>
      </c>
      <c r="C8" s="181" t="str">
        <v>OK</v>
      </c>
      <c r="D8" s="182">
        <v>0</v>
      </c>
      <c r="E8" s="182">
        <v>448.33</v>
      </c>
      <c r="F8" s="183" t="str">
        <v>Pacela 3 de 6</v>
      </c>
      <c r="G8" s="183" t="str">
        <v>Banco - Cora</v>
      </c>
      <c r="H8" s="183" t="str">
        <v>https://drive.google.com/open?id=1wPnqgplqpzK_A59W5A1yWgA5Ys3dBoqW&amp;usp=drive_fs</v>
      </c>
      <c r="I8" s="81">
        <v>0</v>
      </c>
      <c r="J8" s="38"/>
      <c r="K8" s="38"/>
      <c r="L8" s="38"/>
      <c r="M8" s="38"/>
      <c r="N8" s="38"/>
      <c r="O8" s="38"/>
      <c r="P8" s="38"/>
      <c r="Q8" s="38"/>
      <c r="R8" s="38"/>
      <c r="S8" s="38"/>
      <c r="T8" s="38"/>
      <c r="U8" s="38"/>
      <c r="V8" s="38"/>
      <c r="W8" s="38"/>
      <c r="X8" s="38"/>
      <c r="Y8" s="38"/>
      <c r="Z8" s="38"/>
    </row>
    <row r="9" spans="1:26" ht="14.25" customHeight="1" x14ac:dyDescent="0.3">
      <c r="A9" s="179" t="str">
        <v>Mercado</v>
      </c>
      <c r="B9" s="180">
        <v>4</v>
      </c>
      <c r="C9" s="181" t="str">
        <v>OK</v>
      </c>
      <c r="D9" s="182">
        <v>0</v>
      </c>
      <c r="E9" s="182">
        <v>155.75</v>
      </c>
      <c r="F9" s="183" t="str">
        <v>Material de limpeza</v>
      </c>
      <c r="G9" s="183" t="str">
        <v>Banco - Cora</v>
      </c>
      <c r="H9" s="183" t="str">
        <v>https://drive.google.com/open?id=1soHXZZxZILoVG7qbcrEw3ACjGmOZDW-l&amp;usp=drive_fs</v>
      </c>
      <c r="I9" s="81">
        <v>0</v>
      </c>
      <c r="J9" s="38"/>
      <c r="K9" s="38"/>
      <c r="L9" s="38"/>
      <c r="M9" s="38"/>
      <c r="N9" s="38"/>
      <c r="O9" s="38"/>
      <c r="P9" s="38"/>
      <c r="Q9" s="38"/>
      <c r="R9" s="38"/>
      <c r="S9" s="38"/>
      <c r="T9" s="38"/>
      <c r="U9" s="38"/>
      <c r="V9" s="38"/>
      <c r="W9" s="38"/>
      <c r="X9" s="38"/>
      <c r="Y9" s="38"/>
      <c r="Z9" s="38"/>
    </row>
    <row r="10" spans="1:26" ht="14.25" customHeight="1" x14ac:dyDescent="0.3">
      <c r="A10" s="179" t="str">
        <v>Madeira para guarda corpo</v>
      </c>
      <c r="B10" s="180">
        <v>4</v>
      </c>
      <c r="C10" s="181" t="str">
        <v>OK</v>
      </c>
      <c r="D10" s="182">
        <v>0</v>
      </c>
      <c r="E10" s="182">
        <v>537</v>
      </c>
      <c r="F10" s="183" t="str">
        <v>Parcela 6 de 10 - Cartão Wallace</v>
      </c>
      <c r="G10" s="183" t="str">
        <v>Banco - Cora</v>
      </c>
      <c r="H10" s="183" t="str">
        <v>https://drive.google.com/open?id=1Rp1Xm3iorOkUjSxawgN1vMrBdEo22zbi&amp;usp=drive_fs</v>
      </c>
      <c r="I10" s="81">
        <v>0</v>
      </c>
      <c r="J10" s="38"/>
      <c r="K10" s="38"/>
      <c r="L10" s="38"/>
      <c r="M10" s="38"/>
      <c r="N10" s="38"/>
      <c r="O10" s="38"/>
      <c r="P10" s="38"/>
      <c r="Q10" s="38"/>
      <c r="R10" s="38"/>
      <c r="S10" s="38"/>
      <c r="T10" s="38"/>
      <c r="U10" s="38"/>
      <c r="V10" s="38"/>
      <c r="W10" s="38"/>
      <c r="X10" s="38"/>
      <c r="Y10" s="38"/>
      <c r="Z10" s="38"/>
    </row>
    <row r="11" spans="1:26" ht="14.25" customHeight="1" x14ac:dyDescent="0.3">
      <c r="A11" s="179" t="str">
        <v>Portas e madeiras da escada</v>
      </c>
      <c r="B11" s="180">
        <v>4</v>
      </c>
      <c r="C11" s="181" t="str">
        <v>OK</v>
      </c>
      <c r="D11" s="182">
        <v>0</v>
      </c>
      <c r="E11" s="182">
        <v>665.08</v>
      </c>
      <c r="F11" s="183" t="str">
        <v>Parcela 7 de 7</v>
      </c>
      <c r="G11" s="183" t="str">
        <v>Banco - Cora</v>
      </c>
      <c r="H11" s="183" t="str">
        <v>https://drive.google.com/open?id=17B3_qNEQftZ9Z3BIHuktwqgF5tI0rK3u&amp;usp=drive_fs</v>
      </c>
      <c r="I11" s="81">
        <v>0</v>
      </c>
      <c r="J11" s="38"/>
      <c r="K11" s="38"/>
      <c r="L11" s="38"/>
      <c r="M11" s="38"/>
      <c r="N11" s="38"/>
      <c r="O11" s="38"/>
      <c r="P11" s="38"/>
      <c r="Q11" s="38"/>
      <c r="R11" s="38"/>
      <c r="S11" s="38"/>
      <c r="T11" s="38"/>
      <c r="U11" s="38"/>
      <c r="V11" s="38"/>
      <c r="W11" s="38"/>
      <c r="X11" s="38"/>
      <c r="Y11" s="38"/>
      <c r="Z11" s="38"/>
    </row>
    <row r="12" spans="1:26" ht="14.25" customHeight="1" x14ac:dyDescent="0.3">
      <c r="A12" s="179" t="str">
        <v>Diárias de pedreiro</v>
      </c>
      <c r="B12" s="180">
        <v>4</v>
      </c>
      <c r="C12" s="181" t="str">
        <v>OK</v>
      </c>
      <c r="D12" s="182">
        <v>0</v>
      </c>
      <c r="E12" s="182">
        <v>568.20000000000005</v>
      </c>
      <c r="F12" s="183" t="str">
        <v>Jonas</v>
      </c>
      <c r="G12" s="183" t="str">
        <v>Banco - Cora</v>
      </c>
      <c r="H12" s="183" t="str">
        <v>https://drive.google.com/open?id=1zpnUq4xydbq4uH4vzDQPtxFTCPvT7odu&amp;usp=drive_fs</v>
      </c>
      <c r="I12" s="81">
        <v>0</v>
      </c>
      <c r="J12" s="38"/>
      <c r="K12" s="38"/>
      <c r="L12" s="38"/>
      <c r="M12" s="38"/>
      <c r="N12" s="38"/>
      <c r="O12" s="38"/>
      <c r="P12" s="38"/>
      <c r="Q12" s="38"/>
      <c r="R12" s="38"/>
      <c r="S12" s="38"/>
      <c r="T12" s="38"/>
      <c r="U12" s="38"/>
      <c r="V12" s="38"/>
      <c r="W12" s="38"/>
      <c r="X12" s="38"/>
      <c r="Y12" s="38"/>
      <c r="Z12" s="38"/>
    </row>
    <row r="13" spans="1:26" ht="14.25" customHeight="1" x14ac:dyDescent="0.3">
      <c r="A13" s="179" t="str">
        <v>Diárias de servente</v>
      </c>
      <c r="B13" s="180">
        <v>4</v>
      </c>
      <c r="C13" s="181" t="str">
        <v>OK</v>
      </c>
      <c r="D13" s="182">
        <v>0</v>
      </c>
      <c r="E13" s="182">
        <v>270</v>
      </c>
      <c r="F13" s="183" t="str">
        <v>Italo lessa</v>
      </c>
      <c r="G13" s="183" t="str">
        <v>Banco - Cora</v>
      </c>
      <c r="H13" s="183" t="str">
        <v>https://drive.google.com/open?id=1zpnUq4xydbq4uH4vzDQPtxFTCPvT7odu&amp;usp=drive_fs</v>
      </c>
      <c r="I13" s="81">
        <v>0</v>
      </c>
      <c r="J13" s="38"/>
      <c r="K13" s="38"/>
      <c r="L13" s="38"/>
      <c r="M13" s="38"/>
      <c r="N13" s="38"/>
      <c r="O13" s="38"/>
      <c r="P13" s="38"/>
      <c r="Q13" s="38"/>
      <c r="R13" s="38"/>
      <c r="S13" s="38"/>
      <c r="T13" s="38"/>
      <c r="U13" s="38"/>
      <c r="V13" s="38"/>
      <c r="W13" s="38"/>
      <c r="X13" s="38"/>
      <c r="Y13" s="38"/>
      <c r="Z13" s="38"/>
    </row>
    <row r="14" spans="1:26" ht="14.25" customHeight="1" x14ac:dyDescent="0.3">
      <c r="A14" s="179" t="str">
        <v>Lanche - 1a escala</v>
      </c>
      <c r="B14" s="180">
        <v>5</v>
      </c>
      <c r="C14" s="181" t="str">
        <v>OK</v>
      </c>
      <c r="D14" s="182">
        <v>0</v>
      </c>
      <c r="E14" s="182">
        <v>63.77</v>
      </c>
      <c r="F14" s="183" t="str">
        <v>4 cupons</v>
      </c>
      <c r="G14" s="183" t="str">
        <v>Banco - Cora</v>
      </c>
      <c r="H14" s="183" t="str">
        <v>https://drive.google.com/open?id=1Z3FH87fixSEbS0vvyQ58o6iaIKSfiCbQ&amp;usp=drive_fs</v>
      </c>
      <c r="I14" s="81">
        <v>0</v>
      </c>
      <c r="J14" s="38"/>
      <c r="K14" s="38"/>
      <c r="L14" s="38"/>
      <c r="M14" s="38"/>
      <c r="N14" s="38"/>
      <c r="O14" s="38"/>
      <c r="P14" s="38"/>
      <c r="Q14" s="38"/>
      <c r="R14" s="38"/>
      <c r="S14" s="38"/>
      <c r="T14" s="38"/>
      <c r="U14" s="38"/>
      <c r="V14" s="38"/>
      <c r="W14" s="38"/>
      <c r="X14" s="38"/>
      <c r="Y14" s="38"/>
      <c r="Z14" s="38"/>
    </row>
    <row r="15" spans="1:26" ht="14.25" customHeight="1" x14ac:dyDescent="0.3">
      <c r="A15" s="179" t="str">
        <v>Lanche - 1a escala</v>
      </c>
      <c r="B15" s="180">
        <v>5</v>
      </c>
      <c r="C15" s="181" t="str">
        <v>OK</v>
      </c>
      <c r="D15" s="182">
        <v>0</v>
      </c>
      <c r="E15" s="182">
        <v>78.83</v>
      </c>
      <c r="F15" s="183" t="str">
        <v>4 cupons</v>
      </c>
      <c r="G15" s="183" t="str">
        <v>Banco - Cora</v>
      </c>
      <c r="H15" s="183" t="str">
        <v>https://drive.google.com/open?id=1MS20EQl0eTi4UTpO7hwbB59_YAH5WqRA&amp;usp=drive_fs</v>
      </c>
      <c r="I15" s="81">
        <v>0</v>
      </c>
      <c r="J15" s="38"/>
      <c r="K15" s="38"/>
      <c r="L15" s="38"/>
      <c r="M15" s="38"/>
      <c r="N15" s="38"/>
      <c r="O15" s="38"/>
      <c r="P15" s="38"/>
      <c r="Q15" s="38"/>
      <c r="R15" s="38"/>
      <c r="S15" s="38"/>
      <c r="T15" s="38"/>
      <c r="U15" s="38"/>
      <c r="V15" s="38"/>
      <c r="W15" s="38"/>
      <c r="X15" s="38"/>
      <c r="Y15" s="38"/>
      <c r="Z15" s="38"/>
    </row>
    <row r="16" spans="1:26" ht="14.25" customHeight="1" x14ac:dyDescent="0.3">
      <c r="A16" s="179" t="str">
        <v>Lanche - 1a escala</v>
      </c>
      <c r="B16" s="180">
        <v>5</v>
      </c>
      <c r="C16" s="181" t="str">
        <v>OK</v>
      </c>
      <c r="D16" s="182">
        <v>0</v>
      </c>
      <c r="E16" s="182">
        <v>19.91</v>
      </c>
      <c r="F16" s="183" t="str">
        <v>4 cupons</v>
      </c>
      <c r="G16" s="183" t="str">
        <v>Banco - Cora</v>
      </c>
      <c r="H16" s="183" t="str">
        <v>https://drive.google.com/open?id=1AhHoKi7Q6G23rEN71YRkdS2xnMleJBn_&amp;usp=drive_fs</v>
      </c>
      <c r="I16" s="81">
        <v>0</v>
      </c>
      <c r="J16" s="38"/>
      <c r="K16" s="38"/>
      <c r="L16" s="38"/>
      <c r="M16" s="38"/>
      <c r="N16" s="38"/>
      <c r="O16" s="38"/>
      <c r="P16" s="38"/>
      <c r="Q16" s="38"/>
      <c r="R16" s="38"/>
      <c r="S16" s="38"/>
      <c r="T16" s="38"/>
      <c r="U16" s="38"/>
      <c r="V16" s="38"/>
      <c r="W16" s="38"/>
      <c r="X16" s="38"/>
      <c r="Y16" s="38"/>
      <c r="Z16" s="38"/>
    </row>
    <row r="17" spans="1:26" ht="14.25" customHeight="1" x14ac:dyDescent="0.3">
      <c r="A17" s="179" t="str">
        <v>Lanche - 1a escala</v>
      </c>
      <c r="B17" s="180">
        <v>5</v>
      </c>
      <c r="C17" s="181" t="str">
        <v>OK</v>
      </c>
      <c r="D17" s="182">
        <v>0</v>
      </c>
      <c r="E17" s="182">
        <v>239.06</v>
      </c>
      <c r="F17" s="183" t="str">
        <v>4 cupons</v>
      </c>
      <c r="G17" s="183" t="str">
        <v>Banco - Cora</v>
      </c>
      <c r="H17" s="183" t="str">
        <v>https://drive.google.com/open?id=1tdpYrNpN6r8ZCWxYPaVQQ6OlGn_7f3qh&amp;usp=drive_fs</v>
      </c>
      <c r="I17" s="81">
        <v>0</v>
      </c>
      <c r="J17" s="38"/>
      <c r="K17" s="38"/>
      <c r="L17" s="38"/>
      <c r="M17" s="38"/>
      <c r="N17" s="38"/>
      <c r="O17" s="38"/>
      <c r="P17" s="38"/>
      <c r="Q17" s="38"/>
      <c r="R17" s="38"/>
      <c r="S17" s="38"/>
      <c r="T17" s="38"/>
      <c r="U17" s="38"/>
      <c r="V17" s="38"/>
      <c r="W17" s="38"/>
      <c r="X17" s="38"/>
      <c r="Y17" s="38"/>
      <c r="Z17" s="38"/>
    </row>
    <row r="18" spans="1:26" ht="14.25" customHeight="1" x14ac:dyDescent="0.3">
      <c r="A18" s="179" t="str">
        <v>Jantar 1a escala</v>
      </c>
      <c r="B18" s="180">
        <v>5</v>
      </c>
      <c r="C18" s="181" t="str">
        <v>OK</v>
      </c>
      <c r="D18" s="182">
        <v>0</v>
      </c>
      <c r="E18" s="182">
        <v>309.38</v>
      </c>
      <c r="F18" s="183">
        <v>0</v>
      </c>
      <c r="G18" s="183" t="str">
        <v>Banco - Cora</v>
      </c>
      <c r="H18" s="183" t="str">
        <v>https://drive.google.com/open?id=1YtadT9LkjJJxvt8of2ZlxPw7MELK_yha&amp;usp=drive_fs</v>
      </c>
      <c r="I18" s="81">
        <v>0</v>
      </c>
      <c r="J18" s="38"/>
      <c r="K18" s="38"/>
      <c r="L18" s="38"/>
      <c r="M18" s="38"/>
      <c r="N18" s="38"/>
      <c r="O18" s="38"/>
      <c r="P18" s="38"/>
      <c r="Q18" s="38"/>
      <c r="R18" s="38"/>
      <c r="S18" s="38"/>
      <c r="T18" s="38"/>
      <c r="U18" s="38"/>
      <c r="V18" s="38"/>
      <c r="W18" s="38"/>
      <c r="X18" s="38"/>
      <c r="Y18" s="38"/>
      <c r="Z18" s="38"/>
    </row>
    <row r="19" spans="1:26" ht="14.25" customHeight="1" x14ac:dyDescent="0.3">
      <c r="A19" s="179" t="str">
        <v>Jantar 1a escala</v>
      </c>
      <c r="B19" s="180">
        <v>5</v>
      </c>
      <c r="C19" s="181" t="str">
        <v>OK</v>
      </c>
      <c r="D19" s="182">
        <v>0</v>
      </c>
      <c r="E19" s="182">
        <v>473.16</v>
      </c>
      <c r="F19" s="183">
        <v>0</v>
      </c>
      <c r="G19" s="183" t="str">
        <v>Banco - Cora</v>
      </c>
      <c r="H19" s="183" t="str">
        <v>https://drive.google.com/open?id=1hBaKQkh39uF20rAqmdOOXLCev4wFN_8l&amp;usp=drive_fs</v>
      </c>
      <c r="I19" s="81">
        <v>0</v>
      </c>
      <c r="J19" s="38"/>
      <c r="K19" s="38"/>
      <c r="L19" s="38"/>
      <c r="M19" s="38"/>
      <c r="N19" s="38"/>
      <c r="O19" s="38"/>
      <c r="P19" s="38"/>
      <c r="Q19" s="38"/>
      <c r="R19" s="38"/>
      <c r="S19" s="38"/>
      <c r="T19" s="38"/>
      <c r="U19" s="38"/>
      <c r="V19" s="38"/>
      <c r="W19" s="38"/>
      <c r="X19" s="38"/>
      <c r="Y19" s="38"/>
      <c r="Z19" s="38"/>
    </row>
    <row r="20" spans="1:26" ht="14.25" customHeight="1" x14ac:dyDescent="0.3">
      <c r="A20" s="179" t="str">
        <v>Gás de cozinha</v>
      </c>
      <c r="B20" s="180">
        <v>5</v>
      </c>
      <c r="C20" s="181" t="str">
        <v>OK</v>
      </c>
      <c r="D20" s="182">
        <v>0</v>
      </c>
      <c r="E20" s="182">
        <v>118</v>
      </c>
      <c r="F20" s="183">
        <v>0</v>
      </c>
      <c r="G20" s="183" t="str">
        <v>Banco - Cora</v>
      </c>
      <c r="H20" s="183" t="str">
        <v>https://drive.google.com/open?id=1SoPOJ_yYA1m3dUL7HxwRu25N_yp2HHvo&amp;usp=drive_fs</v>
      </c>
      <c r="I20" s="81">
        <v>0</v>
      </c>
      <c r="J20" s="38"/>
      <c r="K20" s="38"/>
      <c r="L20" s="38"/>
      <c r="M20" s="38"/>
      <c r="N20" s="38"/>
      <c r="O20" s="38"/>
      <c r="P20" s="38"/>
      <c r="Q20" s="38"/>
      <c r="R20" s="38"/>
      <c r="S20" s="38"/>
      <c r="T20" s="38"/>
      <c r="U20" s="38"/>
      <c r="V20" s="38"/>
      <c r="W20" s="38"/>
      <c r="X20" s="38"/>
      <c r="Y20" s="38"/>
      <c r="Z20" s="38"/>
    </row>
    <row r="21" spans="1:26" ht="14.25" customHeight="1" x14ac:dyDescent="0.3">
      <c r="A21" s="179" t="str">
        <v>Cesta básica</v>
      </c>
      <c r="B21" s="180">
        <v>6</v>
      </c>
      <c r="C21" s="181" t="str">
        <v>OK</v>
      </c>
      <c r="D21" s="182">
        <v>0</v>
      </c>
      <c r="E21" s="182">
        <v>53.9</v>
      </c>
      <c r="F21" s="183">
        <v>0</v>
      </c>
      <c r="G21" s="183" t="str">
        <v>Banco - Cora</v>
      </c>
      <c r="H21" s="183" t="str">
        <v>https://drive.google.com/open?id=1qHnjPyzHlIOcZs84P30tBYYGdBgz9XkE&amp;usp=drive_fs</v>
      </c>
      <c r="I21" s="81">
        <v>0</v>
      </c>
      <c r="J21" s="38"/>
      <c r="K21" s="38"/>
      <c r="L21" s="38"/>
      <c r="M21" s="38"/>
      <c r="N21" s="38"/>
      <c r="O21" s="38"/>
      <c r="P21" s="38"/>
      <c r="Q21" s="38"/>
      <c r="R21" s="38"/>
      <c r="S21" s="38"/>
      <c r="T21" s="38"/>
      <c r="U21" s="38"/>
      <c r="V21" s="38"/>
      <c r="W21" s="38"/>
      <c r="X21" s="38"/>
      <c r="Y21" s="38"/>
      <c r="Z21" s="38"/>
    </row>
    <row r="22" spans="1:26" ht="14.25" customHeight="1" x14ac:dyDescent="0.3">
      <c r="A22" s="179" t="str">
        <v>Auxílio combusível M. Alexandre</v>
      </c>
      <c r="B22" s="180">
        <v>6</v>
      </c>
      <c r="C22" s="181" t="str">
        <v>OK</v>
      </c>
      <c r="D22" s="182">
        <v>0</v>
      </c>
      <c r="E22" s="182">
        <v>1000</v>
      </c>
      <c r="F22" s="183">
        <v>0</v>
      </c>
      <c r="G22" s="183" t="str">
        <v>Banco - Cora</v>
      </c>
      <c r="H22" s="183" t="str">
        <v>https://drive.google.com/open?id=1cLqm1CSNVOkLa7KhXDaV5mn2OD5n8kuT&amp;usp=drive_fs</v>
      </c>
      <c r="I22" s="81">
        <v>0</v>
      </c>
      <c r="J22" s="38"/>
      <c r="K22" s="38"/>
      <c r="L22" s="38"/>
      <c r="M22" s="38"/>
      <c r="N22" s="38"/>
      <c r="O22" s="38"/>
      <c r="P22" s="38"/>
      <c r="Q22" s="38"/>
      <c r="R22" s="38"/>
      <c r="S22" s="38"/>
      <c r="T22" s="38"/>
      <c r="U22" s="38"/>
      <c r="V22" s="38"/>
      <c r="W22" s="38"/>
      <c r="X22" s="38"/>
      <c r="Y22" s="38"/>
      <c r="Z22" s="38"/>
    </row>
    <row r="23" spans="1:26" ht="14.25" customHeight="1" x14ac:dyDescent="0.3">
      <c r="A23" s="179" t="str">
        <v>Combustível para roçadeira</v>
      </c>
      <c r="B23" s="180">
        <v>8</v>
      </c>
      <c r="C23" s="181" t="str">
        <v>OK</v>
      </c>
      <c r="D23" s="182">
        <v>0</v>
      </c>
      <c r="E23" s="182">
        <v>61.87</v>
      </c>
      <c r="F23" s="183" t="str">
        <v>Realizado um pix de R$ 60 e outro pix de R$ 1,87</v>
      </c>
      <c r="G23" s="183" t="str">
        <v>Banco - Cora</v>
      </c>
      <c r="H23" s="183" t="str">
        <v>https://drive.google.com/open?id=1m_54gx5klPgdJ3poTCgU4_MGTG6qZLuP&amp;usp=drive_fs</v>
      </c>
      <c r="I23" s="81">
        <v>0</v>
      </c>
      <c r="J23" s="38"/>
      <c r="K23" s="38"/>
      <c r="L23" s="38"/>
      <c r="M23" s="38"/>
      <c r="N23" s="38"/>
      <c r="O23" s="38"/>
      <c r="P23" s="38"/>
      <c r="Q23" s="38"/>
      <c r="R23" s="38"/>
      <c r="S23" s="38"/>
      <c r="T23" s="38"/>
      <c r="U23" s="38"/>
      <c r="V23" s="38"/>
      <c r="W23" s="38"/>
      <c r="X23" s="38"/>
      <c r="Y23" s="38"/>
      <c r="Z23" s="38"/>
    </row>
    <row r="24" spans="1:26" ht="14.25" customHeight="1" x14ac:dyDescent="0.3">
      <c r="A24" s="179" t="str">
        <v>Lanche - 1a escala</v>
      </c>
      <c r="B24" s="180">
        <v>9</v>
      </c>
      <c r="C24" s="181" t="str">
        <v>OK</v>
      </c>
      <c r="D24" s="182">
        <v>0</v>
      </c>
      <c r="E24" s="182">
        <v>90</v>
      </c>
      <c r="F24" s="183" t="str">
        <v>Bolos Maninha</v>
      </c>
      <c r="G24" s="183" t="str">
        <v>Banco - Cora</v>
      </c>
      <c r="H24" s="183" t="str">
        <v>https://drive.google.com/open?id=1c9l-YNt59Vx6Or9R2btlByD7P1nqMXiC&amp;usp=drive_fs</v>
      </c>
      <c r="I24" s="81">
        <v>0</v>
      </c>
      <c r="J24" s="38"/>
      <c r="K24" s="38"/>
      <c r="L24" s="38"/>
      <c r="M24" s="38"/>
      <c r="N24" s="38"/>
      <c r="O24" s="38"/>
      <c r="P24" s="38"/>
      <c r="Q24" s="38"/>
      <c r="R24" s="38"/>
      <c r="S24" s="38"/>
      <c r="T24" s="38"/>
      <c r="U24" s="38"/>
      <c r="V24" s="38"/>
      <c r="W24" s="38"/>
      <c r="X24" s="38"/>
      <c r="Y24" s="38"/>
      <c r="Z24" s="38"/>
    </row>
    <row r="25" spans="1:26" ht="14.25" customHeight="1" x14ac:dyDescent="0.3">
      <c r="A25" s="179" t="str">
        <v>Lanche - 1a escala</v>
      </c>
      <c r="B25" s="180">
        <v>10</v>
      </c>
      <c r="C25" s="181" t="str">
        <v>OK</v>
      </c>
      <c r="D25" s="182">
        <v>0</v>
      </c>
      <c r="E25" s="182">
        <v>40</v>
      </c>
      <c r="F25" s="183" t="str">
        <v>Castanha</v>
      </c>
      <c r="G25" s="183" t="str">
        <v>Banco - Cora</v>
      </c>
      <c r="H25" s="183" t="str">
        <v>https://drive.google.com/open?id=1ilroCuC9C8rv9lhOyBTpu68tuVeNhDFc&amp;usp=drive_fs</v>
      </c>
      <c r="I25" s="81">
        <v>0</v>
      </c>
      <c r="J25" s="38"/>
      <c r="K25" s="38"/>
      <c r="L25" s="38"/>
      <c r="M25" s="38"/>
      <c r="N25" s="38"/>
      <c r="O25" s="38"/>
      <c r="P25" s="38"/>
      <c r="Q25" s="38"/>
      <c r="R25" s="38"/>
      <c r="S25" s="38"/>
      <c r="T25" s="38"/>
      <c r="U25" s="38"/>
      <c r="V25" s="38"/>
      <c r="W25" s="38"/>
      <c r="X25" s="38"/>
      <c r="Y25" s="38"/>
      <c r="Z25" s="38"/>
    </row>
    <row r="26" spans="1:26" ht="14.25" customHeight="1" x14ac:dyDescent="0.3">
      <c r="A26" s="179" t="str">
        <v>Mercado</v>
      </c>
      <c r="B26" s="180">
        <v>10</v>
      </c>
      <c r="C26" s="181" t="str">
        <v>OK</v>
      </c>
      <c r="D26" s="182">
        <v>0</v>
      </c>
      <c r="E26" s="182">
        <v>28.38</v>
      </c>
      <c r="F26" s="183">
        <v>0</v>
      </c>
      <c r="G26" s="183" t="str">
        <v>Banco - Cora</v>
      </c>
      <c r="H26" s="183" t="str">
        <v>https://drive.google.com/open?id=1M9teVU09qFH_diIRN2cajTmZW0csaYtK&amp;usp=drive_fs</v>
      </c>
      <c r="I26" s="81">
        <v>0</v>
      </c>
      <c r="J26" s="38"/>
      <c r="K26" s="38"/>
      <c r="L26" s="38"/>
      <c r="M26" s="38"/>
      <c r="N26" s="38"/>
      <c r="O26" s="38"/>
      <c r="P26" s="38"/>
      <c r="Q26" s="38"/>
      <c r="R26" s="38"/>
      <c r="S26" s="38"/>
      <c r="T26" s="38"/>
      <c r="U26" s="38"/>
      <c r="V26" s="38"/>
      <c r="W26" s="38"/>
      <c r="X26" s="38"/>
      <c r="Y26" s="38"/>
      <c r="Z26" s="38"/>
    </row>
    <row r="27" spans="1:26" ht="14.25" customHeight="1" x14ac:dyDescent="0.3">
      <c r="A27" s="179" t="str">
        <v>Encargos sociais</v>
      </c>
      <c r="B27" s="180">
        <v>11</v>
      </c>
      <c r="C27" s="181" t="str">
        <v>OK</v>
      </c>
      <c r="D27" s="182">
        <v>0</v>
      </c>
      <c r="E27" s="182">
        <v>306.18</v>
      </c>
      <c r="F27" s="183">
        <v>0</v>
      </c>
      <c r="G27" s="183" t="str">
        <v>Banco - Cora</v>
      </c>
      <c r="H27" s="183" t="str">
        <v>https://drive.google.com/open?id=1dZR1CH0gDhBP7LcP6UganfJUY_7xZd-u&amp;usp=drive_fs</v>
      </c>
      <c r="I27" s="81">
        <v>0</v>
      </c>
      <c r="J27" s="38"/>
      <c r="K27" s="38"/>
      <c r="L27" s="38"/>
      <c r="M27" s="38"/>
      <c r="N27" s="38"/>
      <c r="O27" s="38"/>
      <c r="P27" s="38"/>
      <c r="Q27" s="38"/>
      <c r="R27" s="38"/>
      <c r="S27" s="38"/>
      <c r="T27" s="38"/>
      <c r="U27" s="38"/>
      <c r="V27" s="38"/>
      <c r="W27" s="38"/>
      <c r="X27" s="38"/>
      <c r="Y27" s="38"/>
      <c r="Z27" s="38"/>
    </row>
    <row r="28" spans="1:26" ht="14.25" customHeight="1" x14ac:dyDescent="0.3">
      <c r="A28" s="179" t="str">
        <v>Encargos sociais</v>
      </c>
      <c r="B28" s="180">
        <v>11</v>
      </c>
      <c r="C28" s="181" t="str">
        <v>OK</v>
      </c>
      <c r="D28" s="182">
        <v>0</v>
      </c>
      <c r="E28" s="182">
        <v>48.79</v>
      </c>
      <c r="F28" s="183">
        <v>0</v>
      </c>
      <c r="G28" s="183" t="str">
        <v>Banco - Cora</v>
      </c>
      <c r="H28" s="183" t="str">
        <v>https://drive.google.com/open?id=1tBJShTh12P7twa3I0iJ0uW8Sbbvd9NYl&amp;usp=drive_fs</v>
      </c>
      <c r="I28" s="81">
        <v>0</v>
      </c>
      <c r="J28" s="38"/>
      <c r="K28" s="38"/>
      <c r="L28" s="38"/>
      <c r="M28" s="38"/>
      <c r="N28" s="38"/>
      <c r="O28" s="38"/>
      <c r="P28" s="38"/>
      <c r="Q28" s="38"/>
      <c r="R28" s="38"/>
      <c r="S28" s="38"/>
      <c r="T28" s="38"/>
      <c r="U28" s="38"/>
      <c r="V28" s="38"/>
      <c r="W28" s="38"/>
      <c r="X28" s="38"/>
      <c r="Y28" s="38"/>
      <c r="Z28" s="38"/>
    </row>
    <row r="29" spans="1:26" ht="14.25" customHeight="1" x14ac:dyDescent="0.3">
      <c r="A29" s="179" t="str">
        <v>Encargos sociais</v>
      </c>
      <c r="B29" s="180">
        <v>11</v>
      </c>
      <c r="C29" s="181" t="str">
        <v>OK</v>
      </c>
      <c r="D29" s="182">
        <v>0</v>
      </c>
      <c r="E29" s="182">
        <v>69.39</v>
      </c>
      <c r="F29" s="183">
        <v>0</v>
      </c>
      <c r="G29" s="183" t="str">
        <v>Banco - Cora</v>
      </c>
      <c r="H29" s="183" t="str">
        <v>https://drive.google.com/open?id=1zCeeyP7sO_vrw1-ezM1xCztrsEIdcAe5&amp;usp=drive_fs</v>
      </c>
      <c r="I29" s="81">
        <v>0</v>
      </c>
      <c r="J29" s="38"/>
      <c r="K29" s="38"/>
      <c r="L29" s="38"/>
      <c r="M29" s="38"/>
      <c r="N29" s="38"/>
      <c r="O29" s="38"/>
      <c r="P29" s="38"/>
      <c r="Q29" s="38"/>
      <c r="R29" s="38"/>
      <c r="S29" s="38"/>
      <c r="T29" s="38"/>
      <c r="U29" s="38"/>
      <c r="V29" s="38"/>
      <c r="W29" s="38"/>
      <c r="X29" s="38"/>
      <c r="Y29" s="38"/>
      <c r="Z29" s="38"/>
    </row>
    <row r="30" spans="1:26" ht="14.25" customHeight="1" x14ac:dyDescent="0.3">
      <c r="A30" s="179" t="str">
        <v>Novo Encanto</v>
      </c>
      <c r="B30" s="180">
        <v>11</v>
      </c>
      <c r="C30" s="181" t="str">
        <v>OK</v>
      </c>
      <c r="D30" s="182">
        <v>0</v>
      </c>
      <c r="E30" s="182">
        <v>117</v>
      </c>
      <c r="F30" s="183">
        <v>0</v>
      </c>
      <c r="G30" s="183" t="str">
        <v>Banco - Cora</v>
      </c>
      <c r="H30" s="183" t="str">
        <v>https://drive.google.com/open?id=1CXj_K_xdPHqc0w1XlUum0JmIBQbE8MaV&amp;usp=drive_fs</v>
      </c>
      <c r="I30" s="81">
        <v>0</v>
      </c>
      <c r="J30" s="38"/>
      <c r="K30" s="38"/>
      <c r="L30" s="38"/>
      <c r="M30" s="38"/>
      <c r="N30" s="38"/>
      <c r="O30" s="38"/>
      <c r="P30" s="38"/>
      <c r="Q30" s="38"/>
      <c r="R30" s="38"/>
      <c r="S30" s="38"/>
      <c r="T30" s="38"/>
      <c r="U30" s="38"/>
      <c r="V30" s="38"/>
      <c r="W30" s="38"/>
      <c r="X30" s="38"/>
      <c r="Y30" s="38"/>
      <c r="Z30" s="38"/>
    </row>
    <row r="31" spans="1:26" ht="14.25" customHeight="1" x14ac:dyDescent="0.3">
      <c r="A31" s="179" t="str">
        <v>Água mineral</v>
      </c>
      <c r="B31" s="180">
        <v>11</v>
      </c>
      <c r="C31" s="181" t="str">
        <v>OK</v>
      </c>
      <c r="D31" s="182">
        <v>0</v>
      </c>
      <c r="E31" s="182">
        <v>200</v>
      </c>
      <c r="F31" s="183">
        <v>0</v>
      </c>
      <c r="G31" s="183" t="str">
        <v>Banco - Cora</v>
      </c>
      <c r="H31" s="183" t="str">
        <v>https://drive.google.com/open?id=1Ge8GTKtcCwWDldEvEL57fr9CEiHloqWP&amp;usp=drive_fs</v>
      </c>
      <c r="I31" s="81">
        <v>0</v>
      </c>
      <c r="J31" s="38"/>
      <c r="K31" s="38"/>
      <c r="L31" s="38"/>
      <c r="M31" s="38"/>
      <c r="N31" s="38"/>
      <c r="O31" s="38"/>
      <c r="P31" s="38"/>
      <c r="Q31" s="38"/>
      <c r="R31" s="38"/>
      <c r="S31" s="38"/>
      <c r="T31" s="38"/>
      <c r="U31" s="38"/>
      <c r="V31" s="38"/>
      <c r="W31" s="38"/>
      <c r="X31" s="38"/>
      <c r="Y31" s="38"/>
      <c r="Z31" s="38"/>
    </row>
    <row r="32" spans="1:26" ht="14.25" customHeight="1" x14ac:dyDescent="0.3">
      <c r="A32" s="179" t="str">
        <v>Diárias roço do terreno</v>
      </c>
      <c r="B32" s="180">
        <v>11</v>
      </c>
      <c r="C32" s="181" t="str">
        <v>OK</v>
      </c>
      <c r="D32" s="182">
        <v>0</v>
      </c>
      <c r="E32" s="182">
        <v>440</v>
      </c>
      <c r="F32" s="183">
        <v>0</v>
      </c>
      <c r="G32" s="183" t="str">
        <v>Banco - Cora</v>
      </c>
      <c r="H32" s="183" t="str">
        <v>https://drive.google.com/open?id=1Em9zcQ1RtA34gvs6hywJfngr_8QgwRdP&amp;usp=drive_fs</v>
      </c>
      <c r="I32" s="81">
        <v>0</v>
      </c>
      <c r="J32" s="38"/>
      <c r="K32" s="38"/>
      <c r="L32" s="38"/>
      <c r="M32" s="38"/>
      <c r="N32" s="38"/>
      <c r="O32" s="38"/>
      <c r="P32" s="38"/>
      <c r="Q32" s="38"/>
      <c r="R32" s="38"/>
      <c r="S32" s="38"/>
      <c r="T32" s="38"/>
      <c r="U32" s="38"/>
      <c r="V32" s="38"/>
      <c r="W32" s="38"/>
      <c r="X32" s="38"/>
      <c r="Y32" s="38"/>
      <c r="Z32" s="38"/>
    </row>
    <row r="33" spans="1:26" ht="14.25" customHeight="1" x14ac:dyDescent="0.3">
      <c r="A33" s="179" t="str">
        <v>Aluguel espaço Caracanga</v>
      </c>
      <c r="B33" s="180">
        <v>11</v>
      </c>
      <c r="C33" s="181" t="str">
        <v>OK</v>
      </c>
      <c r="D33" s="182">
        <v>0</v>
      </c>
      <c r="E33" s="182">
        <v>100</v>
      </c>
      <c r="F33" s="183">
        <v>0</v>
      </c>
      <c r="G33" s="183" t="str">
        <v>Banco - Cora</v>
      </c>
      <c r="H33" s="183" t="str">
        <v>https://drive.google.com/open?id=1aa6siCGhQjjeUFbc3n9rJGbtE-YBZJ8q&amp;usp=drive_fs</v>
      </c>
      <c r="I33" s="81">
        <v>0</v>
      </c>
      <c r="J33" s="38"/>
      <c r="K33" s="38"/>
      <c r="L33" s="38"/>
      <c r="M33" s="38"/>
      <c r="N33" s="38"/>
      <c r="O33" s="38"/>
      <c r="P33" s="38"/>
      <c r="Q33" s="38"/>
      <c r="R33" s="38"/>
      <c r="S33" s="38"/>
      <c r="T33" s="38"/>
      <c r="U33" s="38"/>
      <c r="V33" s="38"/>
      <c r="W33" s="38"/>
      <c r="X33" s="38"/>
      <c r="Y33" s="38"/>
      <c r="Z33" s="38"/>
    </row>
    <row r="34" spans="1:26" ht="14.25" customHeight="1" x14ac:dyDescent="0.3">
      <c r="A34" s="179" t="str">
        <v>Auxílio combusível M. Alexandre</v>
      </c>
      <c r="B34" s="180">
        <v>13</v>
      </c>
      <c r="C34" s="181" t="str">
        <v>OK</v>
      </c>
      <c r="D34" s="182">
        <v>0</v>
      </c>
      <c r="E34" s="182">
        <v>500</v>
      </c>
      <c r="F34" s="183">
        <v>0</v>
      </c>
      <c r="G34" s="183" t="str">
        <v>Banco - Cora</v>
      </c>
      <c r="H34" s="183" t="str">
        <v>https://drive.google.com/open?id=1cLqm1CSNVOkLa7KhXDaV5mn2OD5n8kuT&amp;usp=drive_fs</v>
      </c>
      <c r="I34" s="81">
        <v>0</v>
      </c>
      <c r="J34" s="38"/>
      <c r="K34" s="38"/>
      <c r="L34" s="38"/>
      <c r="M34" s="38"/>
      <c r="N34" s="38"/>
      <c r="O34" s="38"/>
      <c r="P34" s="38"/>
      <c r="Q34" s="38"/>
      <c r="R34" s="38"/>
      <c r="S34" s="38"/>
      <c r="T34" s="38"/>
      <c r="U34" s="38"/>
      <c r="V34" s="38"/>
      <c r="W34" s="38"/>
      <c r="X34" s="38"/>
      <c r="Y34" s="38"/>
      <c r="Z34" s="38"/>
    </row>
    <row r="35" spans="1:26" ht="14.25" customHeight="1" x14ac:dyDescent="0.3">
      <c r="A35" s="179" t="str">
        <v>Lanche - 1a escala</v>
      </c>
      <c r="B35" s="180">
        <v>14</v>
      </c>
      <c r="C35" s="181" t="str">
        <v>OK</v>
      </c>
      <c r="D35" s="182">
        <v>0</v>
      </c>
      <c r="E35" s="182">
        <v>31.95</v>
      </c>
      <c r="F35" s="183">
        <v>0</v>
      </c>
      <c r="G35" s="183" t="str">
        <v>Banco - Cora</v>
      </c>
      <c r="H35" s="183" t="str">
        <v>https://drive.google.com/open?id=1o27sULfsFHq8k2geGDoHLDWiWi8ll5ET&amp;usp=drive_fs</v>
      </c>
      <c r="I35" s="81">
        <v>0</v>
      </c>
      <c r="J35" s="38"/>
      <c r="K35" s="38"/>
      <c r="L35" s="38"/>
      <c r="M35" s="38"/>
      <c r="N35" s="38"/>
      <c r="O35" s="38"/>
      <c r="P35" s="38"/>
      <c r="Q35" s="38"/>
      <c r="R35" s="38"/>
      <c r="S35" s="38"/>
      <c r="T35" s="38"/>
      <c r="U35" s="38"/>
      <c r="V35" s="38"/>
      <c r="W35" s="38"/>
      <c r="X35" s="38"/>
      <c r="Y35" s="38"/>
      <c r="Z35" s="38"/>
    </row>
    <row r="36" spans="1:26" ht="14.25" customHeight="1" x14ac:dyDescent="0.3">
      <c r="A36" s="179" t="str">
        <v>Lanche - 1a escala</v>
      </c>
      <c r="B36" s="180">
        <v>14</v>
      </c>
      <c r="C36" s="181" t="str">
        <v>OK</v>
      </c>
      <c r="D36" s="182">
        <v>0</v>
      </c>
      <c r="E36" s="182">
        <v>18.47</v>
      </c>
      <c r="F36" s="183">
        <v>0</v>
      </c>
      <c r="G36" s="183" t="str">
        <v>Banco - Cora</v>
      </c>
      <c r="H36" s="183" t="str">
        <v>https://drive.google.com/open?id=1HnBWVYRzVFskiaOUl4KEKZG0Elo1CXGu&amp;usp=drive_fs</v>
      </c>
      <c r="I36" s="81">
        <v>0</v>
      </c>
      <c r="J36" s="38"/>
      <c r="K36" s="38"/>
      <c r="L36" s="38"/>
      <c r="M36" s="38"/>
      <c r="N36" s="38"/>
      <c r="O36" s="38"/>
      <c r="P36" s="38"/>
      <c r="Q36" s="38"/>
      <c r="R36" s="38"/>
      <c r="S36" s="38"/>
      <c r="T36" s="38"/>
      <c r="U36" s="38"/>
      <c r="V36" s="38"/>
      <c r="W36" s="38"/>
      <c r="X36" s="38"/>
      <c r="Y36" s="38"/>
      <c r="Z36" s="38"/>
    </row>
    <row r="37" spans="1:26" ht="14.25" customHeight="1" x14ac:dyDescent="0.3">
      <c r="A37" s="179" t="str">
        <v>Flor Divina</v>
      </c>
      <c r="B37" s="180">
        <v>15</v>
      </c>
      <c r="C37" s="181" t="str">
        <v>OK</v>
      </c>
      <c r="D37" s="182">
        <v>0</v>
      </c>
      <c r="E37" s="182">
        <v>1469.75</v>
      </c>
      <c r="F37" s="183" t="str">
        <v>Repasse de junho</v>
      </c>
      <c r="G37" s="183" t="str">
        <v>Banco - Cora</v>
      </c>
      <c r="H37" s="183" t="str">
        <v>https://drive.google.com/open?id=11nw4wqPYsZlrfq5HTh3jt3hWkvtyj1mC&amp;usp=drive_fs</v>
      </c>
      <c r="I37" s="81">
        <v>0</v>
      </c>
      <c r="J37" s="38"/>
      <c r="K37" s="38"/>
      <c r="L37" s="38"/>
      <c r="M37" s="38"/>
      <c r="N37" s="38"/>
      <c r="O37" s="38"/>
      <c r="P37" s="38"/>
      <c r="Q37" s="38"/>
      <c r="R37" s="38"/>
      <c r="S37" s="38"/>
      <c r="T37" s="38"/>
      <c r="U37" s="38"/>
      <c r="V37" s="38"/>
      <c r="W37" s="38"/>
      <c r="X37" s="38"/>
      <c r="Y37" s="38"/>
      <c r="Z37" s="38"/>
    </row>
    <row r="38" spans="1:26" ht="14.25" customHeight="1" x14ac:dyDescent="0.3">
      <c r="A38" s="179" t="str">
        <v>Café da manhã - Dias de mutirão</v>
      </c>
      <c r="B38" s="180">
        <v>15</v>
      </c>
      <c r="C38" s="181" t="str">
        <v>OK</v>
      </c>
      <c r="D38" s="182">
        <v>0</v>
      </c>
      <c r="E38" s="182">
        <v>80</v>
      </c>
      <c r="F38" s="183" t="str">
        <v>Repasse de junho</v>
      </c>
      <c r="G38" s="183" t="str">
        <v>Banco - Cora</v>
      </c>
      <c r="H38" s="183" t="str">
        <v>https://drive.google.com/open?id=11nw4wqPYsZlrfq5HTh3jt3hWkvtyj1mC&amp;usp=drive_fs</v>
      </c>
      <c r="I38" s="81">
        <v>0</v>
      </c>
      <c r="J38" s="38"/>
      <c r="K38" s="38"/>
      <c r="L38" s="38"/>
      <c r="M38" s="38"/>
      <c r="N38" s="38"/>
      <c r="O38" s="38"/>
      <c r="P38" s="38"/>
      <c r="Q38" s="38"/>
      <c r="R38" s="38"/>
      <c r="S38" s="38"/>
      <c r="T38" s="38"/>
      <c r="U38" s="38"/>
      <c r="V38" s="38"/>
      <c r="W38" s="38"/>
      <c r="X38" s="38"/>
      <c r="Y38" s="38"/>
      <c r="Z38" s="38"/>
    </row>
    <row r="39" spans="1:26" ht="14.25" customHeight="1" x14ac:dyDescent="0.3">
      <c r="A39" s="179" t="str">
        <v>Internet</v>
      </c>
      <c r="B39" s="180">
        <v>16</v>
      </c>
      <c r="C39" s="181" t="str">
        <v>OK</v>
      </c>
      <c r="D39" s="182">
        <v>0</v>
      </c>
      <c r="E39" s="182">
        <v>84.9</v>
      </c>
      <c r="F39" s="183">
        <v>0</v>
      </c>
      <c r="G39" s="183" t="str">
        <v>Banco - Cora</v>
      </c>
      <c r="H39" s="183" t="str">
        <v>https://drive.google.com/open?id=1Y1jGSOzRPWq_BUndPG88v6hvd4kJ52Xe&amp;usp=drive_fs</v>
      </c>
      <c r="I39" s="81">
        <v>0</v>
      </c>
      <c r="J39" s="38"/>
      <c r="K39" s="38"/>
      <c r="L39" s="38"/>
      <c r="M39" s="38"/>
      <c r="N39" s="38"/>
      <c r="O39" s="38"/>
      <c r="P39" s="38"/>
      <c r="Q39" s="38"/>
      <c r="R39" s="38"/>
      <c r="S39" s="38"/>
      <c r="T39" s="38"/>
      <c r="U39" s="38"/>
      <c r="V39" s="38"/>
      <c r="W39" s="38"/>
      <c r="X39" s="38"/>
      <c r="Y39" s="38"/>
      <c r="Z39" s="38"/>
    </row>
    <row r="40" spans="1:26" ht="14.25" customHeight="1" x14ac:dyDescent="0.3">
      <c r="A40" s="179" t="str">
        <v>22 de Julho - Aniv. UDV</v>
      </c>
      <c r="B40" s="180">
        <v>16</v>
      </c>
      <c r="C40" s="181" t="str">
        <v>OK</v>
      </c>
      <c r="D40" s="182">
        <v>0</v>
      </c>
      <c r="E40" s="182">
        <v>70.989999999999995</v>
      </c>
      <c r="F40" s="183">
        <v>0</v>
      </c>
      <c r="G40" s="183" t="str">
        <v>Banco - Cora</v>
      </c>
      <c r="H40" s="183" t="str">
        <v>https://drive.google.com/open?id=1SvcAUGA-rW3nxrpD52wbwMLIa5fSoR9F&amp;usp=drive_fs</v>
      </c>
      <c r="I40" s="81">
        <v>0</v>
      </c>
      <c r="J40" s="38"/>
      <c r="K40" s="38"/>
      <c r="L40" s="38"/>
      <c r="M40" s="38"/>
      <c r="N40" s="38"/>
      <c r="O40" s="38"/>
      <c r="P40" s="38"/>
      <c r="Q40" s="38"/>
      <c r="R40" s="38"/>
      <c r="S40" s="38"/>
      <c r="T40" s="38"/>
      <c r="U40" s="38"/>
      <c r="V40" s="38"/>
      <c r="W40" s="38"/>
      <c r="X40" s="38"/>
      <c r="Y40" s="38"/>
      <c r="Z40" s="38"/>
    </row>
    <row r="41" spans="1:26" ht="14.25" customHeight="1" x14ac:dyDescent="0.3">
      <c r="A41" s="179" t="str">
        <v>11a Região</v>
      </c>
      <c r="B41" s="180">
        <v>17</v>
      </c>
      <c r="C41" s="181" t="str">
        <v>OK</v>
      </c>
      <c r="D41" s="182">
        <v>0</v>
      </c>
      <c r="E41" s="182">
        <v>3379</v>
      </c>
      <c r="F41" s="183">
        <v>0</v>
      </c>
      <c r="G41" s="183" t="str">
        <v>Banco - Cora</v>
      </c>
      <c r="H41" s="183" t="str">
        <v>https://drive.google.com/open?id=1SbXZnVPcMmncvmAb6tylDoIB0XZoH0dR&amp;usp=drive_fs</v>
      </c>
      <c r="I41" s="81">
        <v>0</v>
      </c>
      <c r="J41" s="38"/>
      <c r="K41" s="38"/>
      <c r="L41" s="38"/>
      <c r="M41" s="38"/>
      <c r="N41" s="38"/>
      <c r="O41" s="38"/>
      <c r="P41" s="38"/>
      <c r="Q41" s="38"/>
      <c r="R41" s="38"/>
      <c r="S41" s="38"/>
      <c r="T41" s="38"/>
      <c r="U41" s="38"/>
      <c r="V41" s="38"/>
      <c r="W41" s="38"/>
      <c r="X41" s="38"/>
      <c r="Y41" s="38"/>
      <c r="Z41" s="38"/>
    </row>
    <row r="42" spans="1:26" ht="14.25" customHeight="1" x14ac:dyDescent="0.3">
      <c r="A42" s="179" t="str">
        <v>Diária de eletricista</v>
      </c>
      <c r="B42" s="180">
        <v>17</v>
      </c>
      <c r="C42" s="181" t="str">
        <v>OK</v>
      </c>
      <c r="D42" s="182">
        <v>0</v>
      </c>
      <c r="E42" s="182">
        <v>200</v>
      </c>
      <c r="F42" s="183">
        <v>0</v>
      </c>
      <c r="G42" s="183" t="str">
        <v>Banco - Cora</v>
      </c>
      <c r="H42" s="183" t="str">
        <v>https://drive.google.com/open?id=1GfGCTc788qq8-peu_hRRocasandSN8wj&amp;usp=drive_fs</v>
      </c>
      <c r="I42" s="81">
        <v>0</v>
      </c>
      <c r="J42" s="38"/>
      <c r="K42" s="38"/>
      <c r="L42" s="38"/>
      <c r="M42" s="38"/>
      <c r="N42" s="38"/>
      <c r="O42" s="38"/>
      <c r="P42" s="38"/>
      <c r="Q42" s="38"/>
      <c r="R42" s="38"/>
      <c r="S42" s="38"/>
      <c r="T42" s="38"/>
      <c r="U42" s="38"/>
      <c r="V42" s="38"/>
      <c r="W42" s="38"/>
      <c r="X42" s="38"/>
      <c r="Y42" s="38"/>
      <c r="Z42" s="38"/>
    </row>
    <row r="43" spans="1:26" ht="14.25" customHeight="1" x14ac:dyDescent="0.3">
      <c r="A43" s="179" t="str">
        <v>Compra da bomba dagua</v>
      </c>
      <c r="B43" s="180">
        <v>18</v>
      </c>
      <c r="C43" s="181" t="str">
        <v>OK</v>
      </c>
      <c r="D43" s="182">
        <v>0</v>
      </c>
      <c r="E43" s="182">
        <v>575.35</v>
      </c>
      <c r="F43" s="183">
        <v>0</v>
      </c>
      <c r="G43" s="183" t="str">
        <v>Banco - Cora</v>
      </c>
      <c r="H43" s="183" t="str">
        <v>https://drive.google.com/open?id=1vOEaJY-pZCaNev5SFn4wTDja1noNLGRN&amp;usp=drive_fs</v>
      </c>
      <c r="I43" s="81">
        <v>0</v>
      </c>
      <c r="J43" s="38"/>
      <c r="K43" s="38"/>
      <c r="L43" s="38"/>
      <c r="M43" s="38"/>
      <c r="N43" s="38"/>
      <c r="O43" s="38"/>
      <c r="P43" s="38"/>
      <c r="Q43" s="38"/>
      <c r="R43" s="38"/>
      <c r="S43" s="38"/>
      <c r="T43" s="38"/>
      <c r="U43" s="38"/>
      <c r="V43" s="38"/>
      <c r="W43" s="38"/>
      <c r="X43" s="38"/>
      <c r="Y43" s="38"/>
      <c r="Z43" s="38"/>
    </row>
    <row r="44" spans="1:26" ht="14.25" customHeight="1" x14ac:dyDescent="0.3">
      <c r="A44" s="179" t="str">
        <v>Compra da bomba dagua (acessórios)</v>
      </c>
      <c r="B44" s="180">
        <v>18</v>
      </c>
      <c r="C44" s="181" t="str">
        <v>OK</v>
      </c>
      <c r="D44" s="182">
        <v>0</v>
      </c>
      <c r="E44" s="182">
        <v>94</v>
      </c>
      <c r="F44" s="183">
        <v>0</v>
      </c>
      <c r="G44" s="183" t="str">
        <v>Banco - Cora</v>
      </c>
      <c r="H44" s="183" t="str">
        <v>https://drive.google.com/open?id=1VmEQUugMjeFd_GXbvNRHHoUtjXLjZBNf&amp;usp=drive_fs</v>
      </c>
      <c r="I44" s="81">
        <v>0</v>
      </c>
      <c r="J44" s="38"/>
      <c r="K44" s="38"/>
      <c r="L44" s="38"/>
      <c r="M44" s="38"/>
      <c r="N44" s="38"/>
      <c r="O44" s="38"/>
      <c r="P44" s="38"/>
      <c r="Q44" s="38"/>
      <c r="R44" s="38"/>
      <c r="S44" s="38"/>
      <c r="T44" s="38"/>
      <c r="U44" s="38"/>
      <c r="V44" s="38"/>
      <c r="W44" s="38"/>
      <c r="X44" s="38"/>
      <c r="Y44" s="38"/>
      <c r="Z44" s="38"/>
    </row>
    <row r="45" spans="1:26" ht="14.25" customHeight="1" x14ac:dyDescent="0.3">
      <c r="A45" s="179" t="str">
        <v>Compra da bomba dagua (acessórios)</v>
      </c>
      <c r="B45" s="180">
        <v>18</v>
      </c>
      <c r="C45" s="181" t="str">
        <v>OK</v>
      </c>
      <c r="D45" s="182">
        <v>0</v>
      </c>
      <c r="E45" s="182">
        <v>50.7</v>
      </c>
      <c r="F45" s="183">
        <v>0</v>
      </c>
      <c r="G45" s="183" t="str">
        <v>Banco - Cora</v>
      </c>
      <c r="H45" s="183" t="str">
        <v>https://drive.google.com/open?id=1yqda_SXTPBjBO2eyQaSwDqzIMTtQylqr&amp;usp=drive_fs</v>
      </c>
      <c r="I45" s="81">
        <v>0</v>
      </c>
      <c r="J45" s="38"/>
      <c r="K45" s="38"/>
      <c r="L45" s="38"/>
      <c r="M45" s="38"/>
      <c r="N45" s="38"/>
      <c r="O45" s="38"/>
      <c r="P45" s="38"/>
      <c r="Q45" s="38"/>
      <c r="R45" s="38"/>
      <c r="S45" s="38"/>
      <c r="T45" s="38"/>
      <c r="U45" s="38"/>
      <c r="V45" s="38"/>
      <c r="W45" s="38"/>
      <c r="X45" s="38"/>
      <c r="Y45" s="38"/>
      <c r="Z45" s="38"/>
    </row>
    <row r="46" spans="1:26" ht="14.25" customHeight="1" x14ac:dyDescent="0.3">
      <c r="A46" s="179" t="str">
        <v>Compra da bomba dagua (acessórios)</v>
      </c>
      <c r="B46" s="180">
        <v>18</v>
      </c>
      <c r="C46" s="181" t="str">
        <v>OK</v>
      </c>
      <c r="D46" s="182">
        <v>0</v>
      </c>
      <c r="E46" s="182">
        <v>55</v>
      </c>
      <c r="F46" s="183">
        <v>0</v>
      </c>
      <c r="G46" s="183" t="str">
        <v>Banco - Cora</v>
      </c>
      <c r="H46" s="183" t="str">
        <v>https://drive.google.com/open?id=1EeElcToUxJSWO3RKIuPW5A4Dm0Lw51GF&amp;usp=drive_fs</v>
      </c>
      <c r="I46" s="81">
        <v>0</v>
      </c>
      <c r="J46" s="38"/>
      <c r="K46" s="38"/>
      <c r="L46" s="38"/>
      <c r="M46" s="38"/>
      <c r="N46" s="38"/>
      <c r="O46" s="38"/>
      <c r="P46" s="38"/>
      <c r="Q46" s="38"/>
      <c r="R46" s="38"/>
      <c r="S46" s="38"/>
      <c r="T46" s="38"/>
      <c r="U46" s="38"/>
      <c r="V46" s="38"/>
      <c r="W46" s="38"/>
      <c r="X46" s="38"/>
      <c r="Y46" s="38"/>
      <c r="Z46" s="38"/>
    </row>
    <row r="47" spans="1:26" ht="14.25" customHeight="1" x14ac:dyDescent="0.3">
      <c r="A47" s="179" t="str">
        <v>Lanche - 2a escala</v>
      </c>
      <c r="B47" s="180">
        <v>19</v>
      </c>
      <c r="C47" s="181" t="str">
        <v>OK</v>
      </c>
      <c r="D47" s="182">
        <v>0</v>
      </c>
      <c r="E47" s="182">
        <v>20.059999999999999</v>
      </c>
      <c r="F47" s="183" t="str">
        <v>Iogurte</v>
      </c>
      <c r="G47" s="183" t="str">
        <v>Banco - Cora</v>
      </c>
      <c r="H47" s="183" t="str">
        <v>https://drive.google.com/open?id=1EmjSXKdzlGlv6JQGBwE5m2KxfwZy3bPS&amp;usp=drive_fs</v>
      </c>
      <c r="I47" s="81">
        <v>0</v>
      </c>
      <c r="J47" s="38"/>
      <c r="K47" s="38"/>
      <c r="L47" s="38"/>
      <c r="M47" s="38"/>
      <c r="N47" s="38"/>
      <c r="O47" s="38"/>
      <c r="P47" s="38"/>
      <c r="Q47" s="38"/>
      <c r="R47" s="38"/>
      <c r="S47" s="38"/>
      <c r="T47" s="38"/>
      <c r="U47" s="38"/>
      <c r="V47" s="38"/>
      <c r="W47" s="38"/>
      <c r="X47" s="38"/>
      <c r="Y47" s="38"/>
      <c r="Z47" s="38"/>
    </row>
    <row r="48" spans="1:26" ht="14.25" customHeight="1" x14ac:dyDescent="0.3">
      <c r="A48" s="179" t="str">
        <v>Lanche - 2a escala</v>
      </c>
      <c r="B48" s="180">
        <v>19</v>
      </c>
      <c r="C48" s="181" t="str">
        <v>OK</v>
      </c>
      <c r="D48" s="182">
        <v>0</v>
      </c>
      <c r="E48" s="182">
        <v>361.46</v>
      </c>
      <c r="F48" s="183">
        <v>0</v>
      </c>
      <c r="G48" s="183" t="str">
        <v>Banco - Cora</v>
      </c>
      <c r="H48" s="183" t="str">
        <v>https://drive.google.com/open?id=1PCs7M_9eBqvGcv7LyHrN2nyk0yqLQpMQ&amp;usp=drive_fs</v>
      </c>
      <c r="I48" s="81">
        <v>0</v>
      </c>
      <c r="J48" s="38"/>
      <c r="K48" s="38"/>
      <c r="L48" s="38"/>
      <c r="M48" s="38"/>
      <c r="N48" s="38"/>
      <c r="O48" s="38"/>
      <c r="P48" s="38"/>
      <c r="Q48" s="38"/>
      <c r="R48" s="38"/>
      <c r="S48" s="38"/>
      <c r="T48" s="38"/>
      <c r="U48" s="38"/>
      <c r="V48" s="38"/>
      <c r="W48" s="38"/>
      <c r="X48" s="38"/>
      <c r="Y48" s="38"/>
      <c r="Z48" s="38"/>
    </row>
    <row r="49" spans="1:26" ht="14.25" customHeight="1" x14ac:dyDescent="0.3">
      <c r="A49" s="179" t="str">
        <v>Lanche - 2a escala</v>
      </c>
      <c r="B49" s="180">
        <v>19</v>
      </c>
      <c r="C49" s="181" t="str">
        <v>OK</v>
      </c>
      <c r="D49" s="182">
        <v>0</v>
      </c>
      <c r="E49" s="182">
        <v>95.96</v>
      </c>
      <c r="F49" s="183">
        <v>0</v>
      </c>
      <c r="G49" s="183" t="str">
        <v>Banco - Cora</v>
      </c>
      <c r="H49" s="183" t="str">
        <v>https://drive.google.com/open?id=1aLzGO_KjDQc6zlW4zQMa18mvk-pDhZkD&amp;usp=drive_fs</v>
      </c>
      <c r="I49" s="81">
        <v>0</v>
      </c>
      <c r="J49" s="38"/>
      <c r="K49" s="38"/>
      <c r="L49" s="38"/>
      <c r="M49" s="38"/>
      <c r="N49" s="38"/>
      <c r="O49" s="38"/>
      <c r="P49" s="38"/>
      <c r="Q49" s="38"/>
      <c r="R49" s="38"/>
      <c r="S49" s="38"/>
      <c r="T49" s="38"/>
      <c r="U49" s="38"/>
      <c r="V49" s="38"/>
      <c r="W49" s="38"/>
      <c r="X49" s="38"/>
      <c r="Y49" s="38"/>
      <c r="Z49" s="38"/>
    </row>
    <row r="50" spans="1:26" ht="14.25" customHeight="1" x14ac:dyDescent="0.3">
      <c r="A50" s="179" t="str">
        <v>Vigilância - 2a escala</v>
      </c>
      <c r="B50" s="180">
        <v>20</v>
      </c>
      <c r="C50" s="181" t="str">
        <v>OK</v>
      </c>
      <c r="D50" s="182">
        <v>0</v>
      </c>
      <c r="E50" s="182">
        <v>650</v>
      </c>
      <c r="F50" s="183">
        <v>0</v>
      </c>
      <c r="G50" s="183" t="str">
        <v>Banco - Cora</v>
      </c>
      <c r="H50" s="183" t="str">
        <v>https://drive.google.com/open?id=15DLQwNKkeQ0KUCS01IcWWYJMrTu5XqhA&amp;usp=drive_fs</v>
      </c>
      <c r="I50" s="81">
        <v>0</v>
      </c>
      <c r="J50" s="38"/>
      <c r="K50" s="38"/>
      <c r="L50" s="38"/>
      <c r="M50" s="38"/>
      <c r="N50" s="38"/>
      <c r="O50" s="38"/>
      <c r="P50" s="38"/>
      <c r="Q50" s="38"/>
      <c r="R50" s="38"/>
      <c r="S50" s="38"/>
      <c r="T50" s="38"/>
      <c r="U50" s="38"/>
      <c r="V50" s="38"/>
      <c r="W50" s="38"/>
      <c r="X50" s="38"/>
      <c r="Y50" s="38"/>
      <c r="Z50" s="38"/>
    </row>
    <row r="51" spans="1:26" ht="14.25" customHeight="1" x14ac:dyDescent="0.3">
      <c r="A51" s="179" t="str">
        <v>Lanche - 2a escala</v>
      </c>
      <c r="B51" s="180">
        <v>21</v>
      </c>
      <c r="C51" s="181" t="str">
        <v>OK</v>
      </c>
      <c r="D51" s="182">
        <v>0</v>
      </c>
      <c r="E51" s="182">
        <v>40</v>
      </c>
      <c r="F51" s="183" t="str">
        <v>Castanha</v>
      </c>
      <c r="G51" s="183" t="str">
        <v>Banco - Cora</v>
      </c>
      <c r="H51" s="183" t="str">
        <v>https://drive.google.com/open?id=1ilroCuC9C8rv9lhOyBTpu68tuVeNhDFc&amp;usp=drive_fs</v>
      </c>
      <c r="I51" s="81">
        <v>0</v>
      </c>
      <c r="J51" s="38"/>
      <c r="K51" s="38"/>
      <c r="L51" s="38"/>
      <c r="M51" s="38"/>
      <c r="N51" s="38"/>
      <c r="O51" s="38"/>
      <c r="P51" s="38"/>
      <c r="Q51" s="38"/>
      <c r="R51" s="38"/>
      <c r="S51" s="38"/>
      <c r="T51" s="38"/>
      <c r="U51" s="38"/>
      <c r="V51" s="38"/>
      <c r="W51" s="38"/>
      <c r="X51" s="38"/>
      <c r="Y51" s="38"/>
      <c r="Z51" s="38"/>
    </row>
    <row r="52" spans="1:26" ht="14.25" customHeight="1" x14ac:dyDescent="0.3">
      <c r="A52" s="179" t="str">
        <v>Lanche 22 de julho</v>
      </c>
      <c r="B52" s="180">
        <v>21</v>
      </c>
      <c r="C52" s="181" t="str">
        <v>OK</v>
      </c>
      <c r="D52" s="182">
        <v>0</v>
      </c>
      <c r="E52" s="182">
        <v>299.8</v>
      </c>
      <c r="F52" s="183">
        <v>0</v>
      </c>
      <c r="G52" s="183" t="str">
        <v>Banco - Cora</v>
      </c>
      <c r="H52" s="183" t="str">
        <v>https://drive.google.com/open?id=1bXY8-Jk2WcwO3ONMMmR4Cr81I8tx5z52&amp;usp=drive_fs</v>
      </c>
      <c r="I52" s="81">
        <v>0</v>
      </c>
      <c r="J52" s="38"/>
      <c r="K52" s="38"/>
      <c r="L52" s="38"/>
      <c r="M52" s="38"/>
      <c r="N52" s="38"/>
      <c r="O52" s="38"/>
      <c r="P52" s="38"/>
      <c r="Q52" s="38"/>
      <c r="R52" s="38"/>
      <c r="S52" s="38"/>
      <c r="T52" s="38"/>
      <c r="U52" s="38"/>
      <c r="V52" s="38"/>
      <c r="W52" s="38"/>
      <c r="X52" s="38"/>
      <c r="Y52" s="38"/>
      <c r="Z52" s="38"/>
    </row>
    <row r="53" spans="1:26" ht="14.25" customHeight="1" x14ac:dyDescent="0.3">
      <c r="A53" s="179" t="str">
        <v>Energia Elétrica</v>
      </c>
      <c r="B53" s="180">
        <v>22</v>
      </c>
      <c r="C53" s="181" t="str">
        <v>OK</v>
      </c>
      <c r="D53" s="182">
        <v>0</v>
      </c>
      <c r="E53" s="182">
        <v>779.89</v>
      </c>
      <c r="F53" s="183">
        <v>0</v>
      </c>
      <c r="G53" s="183" t="str">
        <v>Banco - Cora</v>
      </c>
      <c r="H53" s="183" t="str">
        <v>https://drive.google.com/open?id=1iVjMWDstTK7JNaeNheOTVwdG4_82JDCT&amp;usp=drive_fs</v>
      </c>
      <c r="I53" s="81">
        <v>0</v>
      </c>
      <c r="J53" s="38"/>
      <c r="K53" s="38"/>
      <c r="L53" s="38"/>
      <c r="M53" s="38"/>
      <c r="N53" s="38"/>
      <c r="O53" s="38"/>
      <c r="P53" s="38"/>
      <c r="Q53" s="38"/>
      <c r="R53" s="38"/>
      <c r="S53" s="38"/>
      <c r="T53" s="38"/>
      <c r="U53" s="38"/>
      <c r="V53" s="38"/>
      <c r="W53" s="38"/>
      <c r="X53" s="38"/>
      <c r="Y53" s="38"/>
      <c r="Z53" s="38"/>
    </row>
    <row r="54" spans="1:26" ht="14.25" customHeight="1" x14ac:dyDescent="0.3">
      <c r="A54" s="179" t="str">
        <v>Bolo 22 de julho</v>
      </c>
      <c r="B54" s="180">
        <v>24</v>
      </c>
      <c r="C54" s="181" t="str">
        <v>OK</v>
      </c>
      <c r="D54" s="182">
        <v>0</v>
      </c>
      <c r="E54" s="182">
        <v>240</v>
      </c>
      <c r="F54" s="183">
        <v>0</v>
      </c>
      <c r="G54" s="183" t="str">
        <v>Banco - Cora</v>
      </c>
      <c r="H54" s="183" t="str">
        <v>https://drive.google.com/open?id=1fmRb2yesCpUMtRXcgnEyxspW_d8lKiih&amp;usp=drive_fs</v>
      </c>
      <c r="I54" s="81">
        <v>0</v>
      </c>
      <c r="J54" s="38"/>
      <c r="K54" s="38"/>
      <c r="L54" s="38"/>
      <c r="M54" s="38"/>
      <c r="N54" s="38"/>
      <c r="O54" s="38"/>
      <c r="P54" s="38"/>
      <c r="Q54" s="38"/>
      <c r="R54" s="38"/>
      <c r="S54" s="38"/>
      <c r="T54" s="38"/>
      <c r="U54" s="38"/>
      <c r="V54" s="38"/>
      <c r="W54" s="38"/>
      <c r="X54" s="38"/>
      <c r="Y54" s="38"/>
      <c r="Z54" s="38"/>
    </row>
    <row r="55" spans="1:26" ht="14.25" customHeight="1" x14ac:dyDescent="0.3">
      <c r="A55" s="179" t="str">
        <v>Sobremesa almoço 22 de julho</v>
      </c>
      <c r="B55" s="180">
        <v>24</v>
      </c>
      <c r="C55" s="181" t="str">
        <v>OK</v>
      </c>
      <c r="D55" s="182">
        <v>0</v>
      </c>
      <c r="E55" s="182">
        <v>402.75</v>
      </c>
      <c r="F55" s="183">
        <v>0</v>
      </c>
      <c r="G55" s="183" t="str">
        <v>Banco - Cora</v>
      </c>
      <c r="H55" s="183" t="str">
        <v>https://drive.google.com/open?id=1bY6Y83nlB1drlfKN45rqPtyLS76KchaQ&amp;usp=drive_fs</v>
      </c>
      <c r="I55" s="81">
        <v>0</v>
      </c>
      <c r="J55" s="38"/>
      <c r="K55" s="38"/>
      <c r="L55" s="38"/>
      <c r="M55" s="38"/>
      <c r="N55" s="38"/>
      <c r="O55" s="38"/>
      <c r="P55" s="38"/>
      <c r="Q55" s="38"/>
      <c r="R55" s="38"/>
      <c r="S55" s="38"/>
      <c r="T55" s="38"/>
      <c r="U55" s="38"/>
      <c r="V55" s="38"/>
      <c r="W55" s="38"/>
      <c r="X55" s="38"/>
      <c r="Y55" s="38"/>
      <c r="Z55" s="38"/>
    </row>
    <row r="56" spans="1:26" ht="14.25" customHeight="1" x14ac:dyDescent="0.3">
      <c r="A56" s="179" t="str">
        <v>Salgados</v>
      </c>
      <c r="B56" s="180">
        <v>24</v>
      </c>
      <c r="C56" s="181" t="str">
        <v>OK</v>
      </c>
      <c r="D56" s="182">
        <v>0</v>
      </c>
      <c r="E56" s="182">
        <v>89.78</v>
      </c>
      <c r="F56" s="183">
        <v>0</v>
      </c>
      <c r="G56" s="183" t="str">
        <v>Banco - Cora</v>
      </c>
      <c r="H56" s="183" t="str">
        <v>https://drive.google.com/open?id=1R8-8Ebl5hVr7Jf3A2BoGeVEDQeMIZZCD&amp;usp=drive_fs</v>
      </c>
      <c r="I56" s="81">
        <v>0</v>
      </c>
      <c r="J56" s="38"/>
      <c r="K56" s="38"/>
      <c r="L56" s="38"/>
      <c r="M56" s="38"/>
      <c r="N56" s="38"/>
      <c r="O56" s="38"/>
      <c r="P56" s="38"/>
      <c r="Q56" s="38"/>
      <c r="R56" s="38"/>
      <c r="S56" s="38"/>
      <c r="T56" s="38"/>
      <c r="U56" s="38"/>
      <c r="V56" s="38"/>
      <c r="W56" s="38"/>
      <c r="X56" s="38"/>
      <c r="Y56" s="38"/>
      <c r="Z56" s="38"/>
    </row>
    <row r="57" spans="1:26" ht="14.25" customHeight="1" x14ac:dyDescent="0.3">
      <c r="A57" s="179" t="str">
        <v>Diretoria Geral - FP</v>
      </c>
      <c r="B57" s="180">
        <v>25</v>
      </c>
      <c r="C57" s="181" t="str">
        <v>OK</v>
      </c>
      <c r="D57" s="182">
        <v>0</v>
      </c>
      <c r="E57" s="182">
        <v>1394.86</v>
      </c>
      <c r="F57" s="183">
        <v>0</v>
      </c>
      <c r="G57" s="183" t="str">
        <v>Banco - Cora</v>
      </c>
      <c r="H57" s="183" t="str">
        <v>https://drive.google.com/open?id=1OzRuA7UJgi-P1h8K9RDr-q5qYhxhcVSA&amp;usp=drive_fs</v>
      </c>
      <c r="I57" s="81">
        <v>0</v>
      </c>
      <c r="J57" s="38"/>
      <c r="K57" s="38"/>
      <c r="L57" s="38"/>
      <c r="M57" s="38"/>
      <c r="N57" s="38"/>
      <c r="O57" s="38"/>
      <c r="P57" s="38"/>
      <c r="Q57" s="38"/>
      <c r="R57" s="38"/>
      <c r="S57" s="38"/>
      <c r="T57" s="38"/>
      <c r="U57" s="38"/>
      <c r="V57" s="38"/>
      <c r="W57" s="38"/>
      <c r="X57" s="38"/>
      <c r="Y57" s="38"/>
      <c r="Z57" s="38"/>
    </row>
    <row r="58" spans="1:26" ht="14.25" customHeight="1" x14ac:dyDescent="0.3">
      <c r="A58" s="179" t="str">
        <v>Diretoria Geral - FS</v>
      </c>
      <c r="B58" s="180">
        <v>25</v>
      </c>
      <c r="C58" s="181" t="str">
        <v>OK</v>
      </c>
      <c r="D58" s="182">
        <v>0</v>
      </c>
      <c r="E58" s="182">
        <v>794.43</v>
      </c>
      <c r="F58" s="183">
        <v>0</v>
      </c>
      <c r="G58" s="183" t="str">
        <v>Banco - Cora</v>
      </c>
      <c r="H58" s="183">
        <v>0</v>
      </c>
      <c r="I58" s="81">
        <v>0</v>
      </c>
      <c r="J58" s="38"/>
      <c r="K58" s="38"/>
      <c r="L58" s="38"/>
      <c r="M58" s="38"/>
      <c r="N58" s="38"/>
      <c r="O58" s="38"/>
      <c r="P58" s="38"/>
      <c r="Q58" s="38"/>
      <c r="R58" s="38"/>
      <c r="S58" s="38"/>
      <c r="T58" s="38"/>
      <c r="U58" s="38"/>
      <c r="V58" s="38"/>
      <c r="W58" s="38"/>
      <c r="X58" s="38"/>
      <c r="Y58" s="38"/>
      <c r="Z58" s="38"/>
    </row>
    <row r="59" spans="1:26" ht="14.25" customHeight="1" x14ac:dyDescent="0.3">
      <c r="A59" s="179" t="str">
        <v>Diretoria Geral - FA</v>
      </c>
      <c r="B59" s="180">
        <v>25</v>
      </c>
      <c r="C59" s="181" t="str">
        <v>OK</v>
      </c>
      <c r="D59" s="182">
        <v>0</v>
      </c>
      <c r="E59" s="182">
        <v>97</v>
      </c>
      <c r="F59" s="183">
        <v>0</v>
      </c>
      <c r="G59" s="183" t="str">
        <v>Banco - Cora</v>
      </c>
      <c r="H59" s="183">
        <v>0</v>
      </c>
      <c r="I59" s="81">
        <v>0</v>
      </c>
      <c r="J59" s="38"/>
      <c r="K59" s="38"/>
      <c r="L59" s="38"/>
      <c r="M59" s="38"/>
      <c r="N59" s="38"/>
      <c r="O59" s="38"/>
      <c r="P59" s="38"/>
      <c r="Q59" s="38"/>
      <c r="R59" s="38"/>
      <c r="S59" s="38"/>
      <c r="T59" s="38"/>
      <c r="U59" s="38"/>
      <c r="V59" s="38"/>
      <c r="W59" s="38"/>
      <c r="X59" s="38"/>
      <c r="Y59" s="38"/>
      <c r="Z59" s="38"/>
    </row>
    <row r="60" spans="1:26" ht="14.25" customHeight="1" x14ac:dyDescent="0.3">
      <c r="A60" s="179" t="str">
        <v>Diretoria Geral - FB</v>
      </c>
      <c r="B60" s="180">
        <v>25</v>
      </c>
      <c r="C60" s="181" t="str">
        <v>OK</v>
      </c>
      <c r="D60" s="182">
        <v>0</v>
      </c>
      <c r="E60" s="182">
        <v>97</v>
      </c>
      <c r="F60" s="183">
        <v>0</v>
      </c>
      <c r="G60" s="183" t="str">
        <v>Banco - Cora</v>
      </c>
      <c r="H60" s="183">
        <v>0</v>
      </c>
      <c r="I60" s="81">
        <v>0</v>
      </c>
      <c r="J60" s="38"/>
      <c r="K60" s="38"/>
      <c r="L60" s="38"/>
      <c r="M60" s="38"/>
      <c r="N60" s="38"/>
      <c r="O60" s="38"/>
      <c r="P60" s="38"/>
      <c r="Q60" s="38"/>
      <c r="R60" s="38"/>
      <c r="S60" s="38"/>
      <c r="T60" s="38"/>
      <c r="U60" s="38"/>
      <c r="V60" s="38"/>
      <c r="W60" s="38"/>
      <c r="X60" s="38"/>
      <c r="Y60" s="38"/>
      <c r="Z60" s="38"/>
    </row>
    <row r="61" spans="1:26" ht="14.25" customHeight="1" x14ac:dyDescent="0.3">
      <c r="A61" s="179" t="str">
        <v>Diretoria Geral - SUC</v>
      </c>
      <c r="B61" s="180">
        <v>25</v>
      </c>
      <c r="C61" s="181" t="str">
        <v>OK</v>
      </c>
      <c r="D61" s="182">
        <v>0</v>
      </c>
      <c r="E61" s="182">
        <v>388</v>
      </c>
      <c r="F61" s="183">
        <v>0</v>
      </c>
      <c r="G61" s="183" t="str">
        <v>Banco - Cora</v>
      </c>
      <c r="H61" s="183">
        <v>0</v>
      </c>
      <c r="I61" s="81">
        <v>0</v>
      </c>
      <c r="J61" s="38"/>
      <c r="K61" s="38"/>
      <c r="L61" s="38"/>
      <c r="M61" s="38"/>
      <c r="N61" s="38"/>
      <c r="O61" s="38"/>
      <c r="P61" s="38"/>
      <c r="Q61" s="38"/>
      <c r="R61" s="38"/>
      <c r="S61" s="38"/>
      <c r="T61" s="38"/>
      <c r="U61" s="38"/>
      <c r="V61" s="38"/>
      <c r="W61" s="38"/>
      <c r="X61" s="38"/>
      <c r="Y61" s="38"/>
      <c r="Z61" s="38"/>
    </row>
    <row r="62" spans="1:26" ht="14.25" customHeight="1" x14ac:dyDescent="0.3">
      <c r="A62" s="179" t="str">
        <v>Água mineral</v>
      </c>
      <c r="B62" s="180">
        <v>25</v>
      </c>
      <c r="C62" s="181" t="str">
        <v>OK</v>
      </c>
      <c r="D62" s="182">
        <v>0</v>
      </c>
      <c r="E62" s="182">
        <v>136</v>
      </c>
      <c r="F62" s="183">
        <v>0</v>
      </c>
      <c r="G62" s="183" t="str">
        <v>Banco - Cora</v>
      </c>
      <c r="H62" s="183" t="str">
        <v>https://drive.google.com/open?id=1iwMGBiU_0LcPe80KVYYpWm5gSEe8nKZa&amp;usp=drive_fs</v>
      </c>
      <c r="I62" s="81">
        <v>0</v>
      </c>
      <c r="J62" s="38"/>
      <c r="K62" s="38"/>
      <c r="L62" s="38"/>
      <c r="M62" s="38"/>
      <c r="N62" s="38"/>
      <c r="O62" s="38"/>
      <c r="P62" s="38"/>
      <c r="Q62" s="38"/>
      <c r="R62" s="38"/>
      <c r="S62" s="38"/>
      <c r="T62" s="38"/>
      <c r="U62" s="38"/>
      <c r="V62" s="38"/>
      <c r="W62" s="38"/>
      <c r="X62" s="38"/>
      <c r="Y62" s="38"/>
      <c r="Z62" s="38"/>
    </row>
    <row r="63" spans="1:26" ht="14.25" customHeight="1" x14ac:dyDescent="0.3">
      <c r="A63" s="179" t="str">
        <v>Lanche 22 de julho</v>
      </c>
      <c r="B63" s="180">
        <v>25</v>
      </c>
      <c r="C63" s="181" t="str">
        <v>OK</v>
      </c>
      <c r="D63" s="182">
        <v>0</v>
      </c>
      <c r="E63" s="182">
        <v>43.96</v>
      </c>
      <c r="F63" s="183">
        <v>0</v>
      </c>
      <c r="G63" s="183" t="str">
        <v>Banco - Cora</v>
      </c>
      <c r="H63" s="183" t="str">
        <v>https://drive.google.com/open?id=1Zh-pCayg6r3nboG1LqKZeEM8E7SSdpQo&amp;usp=drive_fs</v>
      </c>
      <c r="I63" s="81">
        <v>0</v>
      </c>
      <c r="J63" s="38"/>
      <c r="K63" s="38"/>
      <c r="L63" s="38"/>
      <c r="M63" s="38"/>
      <c r="N63" s="38"/>
      <c r="O63" s="38"/>
      <c r="P63" s="38"/>
      <c r="Q63" s="38"/>
      <c r="R63" s="38"/>
      <c r="S63" s="38"/>
      <c r="T63" s="38"/>
      <c r="U63" s="38"/>
      <c r="V63" s="38"/>
      <c r="W63" s="38"/>
      <c r="X63" s="38"/>
      <c r="Y63" s="38"/>
      <c r="Z63" s="38"/>
    </row>
    <row r="64" spans="1:26" ht="14.25" customHeight="1" x14ac:dyDescent="0.3">
      <c r="A64" s="179" t="str">
        <v>Lanche 22 de julho</v>
      </c>
      <c r="B64" s="180">
        <v>25</v>
      </c>
      <c r="C64" s="181" t="str">
        <v>OK</v>
      </c>
      <c r="D64" s="182">
        <v>0</v>
      </c>
      <c r="E64" s="182">
        <v>387.37</v>
      </c>
      <c r="F64" s="183">
        <v>0</v>
      </c>
      <c r="G64" s="183" t="str">
        <v>Banco - Cora</v>
      </c>
      <c r="H64" s="183" t="str">
        <v>https://drive.google.com/open?id=1JnFMcaV2wGUCL2d5C3FCxEnLTYSh1IhZ&amp;usp=drive_fs</v>
      </c>
      <c r="I64" s="81">
        <v>0</v>
      </c>
      <c r="J64" s="38"/>
      <c r="K64" s="38"/>
      <c r="L64" s="38"/>
      <c r="M64" s="38"/>
      <c r="N64" s="38"/>
      <c r="O64" s="38"/>
      <c r="P64" s="38"/>
      <c r="Q64" s="38"/>
      <c r="R64" s="38"/>
      <c r="S64" s="38"/>
      <c r="T64" s="38"/>
      <c r="U64" s="38"/>
      <c r="V64" s="38"/>
      <c r="W64" s="38"/>
      <c r="X64" s="38"/>
      <c r="Y64" s="38"/>
      <c r="Z64" s="38"/>
    </row>
    <row r="65" spans="1:26" ht="14.25" customHeight="1" x14ac:dyDescent="0.3">
      <c r="A65" s="179" t="str">
        <v>Lanche 22 de julho</v>
      </c>
      <c r="B65" s="180">
        <v>25</v>
      </c>
      <c r="C65" s="181" t="str">
        <v>OK</v>
      </c>
      <c r="D65" s="182">
        <v>0</v>
      </c>
      <c r="E65" s="182">
        <v>125.78</v>
      </c>
      <c r="F65" s="183">
        <v>0</v>
      </c>
      <c r="G65" s="183" t="str">
        <v>Banco - Cora</v>
      </c>
      <c r="H65" s="183" t="str">
        <v>https://drive.google.com/open?id=120EZacOjNqjxZRV1eSJwZo3MsRfRv5Yv&amp;usp=drive_fs</v>
      </c>
      <c r="I65" s="81">
        <v>0</v>
      </c>
      <c r="J65" s="38"/>
      <c r="K65" s="38"/>
      <c r="L65" s="38"/>
      <c r="M65" s="38"/>
      <c r="N65" s="38"/>
      <c r="O65" s="38"/>
      <c r="P65" s="38"/>
      <c r="Q65" s="38"/>
      <c r="R65" s="38"/>
      <c r="S65" s="38"/>
      <c r="T65" s="38"/>
      <c r="U65" s="38"/>
      <c r="V65" s="38"/>
      <c r="W65" s="38"/>
      <c r="X65" s="38"/>
      <c r="Y65" s="38"/>
      <c r="Z65" s="38"/>
    </row>
    <row r="66" spans="1:26" ht="14.25" customHeight="1" x14ac:dyDescent="0.3">
      <c r="A66" s="179" t="str">
        <v>Lanche 22 de julho</v>
      </c>
      <c r="B66" s="180">
        <v>25</v>
      </c>
      <c r="C66" s="181" t="str">
        <v>OK</v>
      </c>
      <c r="D66" s="182">
        <v>0</v>
      </c>
      <c r="E66" s="182">
        <v>238.97</v>
      </c>
      <c r="F66" s="183">
        <v>0</v>
      </c>
      <c r="G66" s="183" t="str">
        <v>Banco - Cora</v>
      </c>
      <c r="H66" s="183" t="str">
        <v>https://drive.google.com/open?id=1u7zDVbZu9XPLdhKFyHrPDXRVJmtXO-Ju&amp;usp=drive_fs</v>
      </c>
      <c r="I66" s="81">
        <v>0</v>
      </c>
      <c r="J66" s="38"/>
      <c r="K66" s="38"/>
      <c r="L66" s="38"/>
      <c r="M66" s="38"/>
      <c r="N66" s="38"/>
      <c r="O66" s="38"/>
      <c r="P66" s="38"/>
      <c r="Q66" s="38"/>
      <c r="R66" s="38"/>
      <c r="S66" s="38"/>
      <c r="T66" s="38"/>
      <c r="U66" s="38"/>
      <c r="V66" s="38"/>
      <c r="W66" s="38"/>
      <c r="X66" s="38"/>
      <c r="Y66" s="38"/>
      <c r="Z66" s="38"/>
    </row>
    <row r="67" spans="1:26" ht="14.25" customHeight="1" x14ac:dyDescent="0.3">
      <c r="A67" s="179" t="str">
        <v>Laje</v>
      </c>
      <c r="B67" s="180">
        <v>25</v>
      </c>
      <c r="C67" s="181" t="str">
        <v>OK</v>
      </c>
      <c r="D67" s="182">
        <v>0</v>
      </c>
      <c r="E67" s="182">
        <v>5683</v>
      </c>
      <c r="F67" s="183" t="str">
        <v>Foi realizado o pagamento de R$ 6.000, porém foi devolvido via pix no dia 28 o valor de R$ 317,00. Com isso, a nota fiscal foi emitida apenas com o valor da diferença (R$ 5.683,00)</v>
      </c>
      <c r="G67" s="183" t="str">
        <v>Banco - Pagbank</v>
      </c>
      <c r="H67" s="183" t="str">
        <v>https://drive.google.com/open?id=1ypnQDHDArPxCrdr5G6wHuKhnJWr77OOQ&amp;usp=drive_fs</v>
      </c>
      <c r="I67" s="81">
        <v>0</v>
      </c>
      <c r="J67" s="38"/>
      <c r="K67" s="38"/>
      <c r="L67" s="38"/>
      <c r="M67" s="38"/>
      <c r="N67" s="38"/>
      <c r="O67" s="38"/>
      <c r="P67" s="38"/>
      <c r="Q67" s="38"/>
      <c r="R67" s="38"/>
      <c r="S67" s="38"/>
      <c r="T67" s="38"/>
      <c r="U67" s="38"/>
      <c r="V67" s="38"/>
      <c r="W67" s="38"/>
      <c r="X67" s="38"/>
      <c r="Y67" s="38"/>
      <c r="Z67" s="38"/>
    </row>
    <row r="68" spans="1:26" ht="14.25" customHeight="1" x14ac:dyDescent="0.3">
      <c r="A68" s="179" t="str">
        <v>Ação entre amigos - Ingressos Beach Park</v>
      </c>
      <c r="B68" s="180">
        <v>27</v>
      </c>
      <c r="C68" s="181" t="str">
        <v>OK</v>
      </c>
      <c r="D68" s="182">
        <v>0</v>
      </c>
      <c r="E68" s="182">
        <v>510</v>
      </c>
      <c r="F68" s="183">
        <v>0</v>
      </c>
      <c r="G68" s="183" t="str">
        <v>Banco - Cora</v>
      </c>
      <c r="H68" s="183" t="str">
        <v>Solicitado à C. Mônica</v>
      </c>
      <c r="I68" s="81">
        <v>0</v>
      </c>
      <c r="J68" s="38"/>
      <c r="K68" s="38"/>
      <c r="L68" s="38"/>
      <c r="M68" s="38"/>
      <c r="N68" s="38"/>
      <c r="O68" s="38"/>
      <c r="P68" s="38"/>
      <c r="Q68" s="38"/>
      <c r="R68" s="38"/>
      <c r="S68" s="38"/>
      <c r="T68" s="38"/>
      <c r="U68" s="38"/>
      <c r="V68" s="38"/>
      <c r="W68" s="38"/>
      <c r="X68" s="38"/>
      <c r="Y68" s="38"/>
      <c r="Z68" s="38"/>
    </row>
    <row r="69" spans="1:26" ht="14.25" customHeight="1" x14ac:dyDescent="0.3">
      <c r="A69" s="179" t="str">
        <v>Pagamento de empréstimo</v>
      </c>
      <c r="B69" s="180">
        <v>28</v>
      </c>
      <c r="C69" s="181" t="str">
        <v>OK</v>
      </c>
      <c r="D69" s="182">
        <v>0</v>
      </c>
      <c r="E69" s="182">
        <v>21813</v>
      </c>
      <c r="F69" s="183">
        <v>0</v>
      </c>
      <c r="G69" s="183" t="str">
        <v>Banco - Pagbank</v>
      </c>
      <c r="H69" s="183" t="str">
        <v>https://drive.google.com/open?id=1sBm9uMpPqunXv_L8ClgIGeJu-KsDOvSz&amp;usp=drive_fs</v>
      </c>
      <c r="I69" s="81">
        <v>0</v>
      </c>
      <c r="J69" s="38"/>
      <c r="K69" s="38"/>
      <c r="L69" s="38"/>
      <c r="M69" s="38"/>
      <c r="N69" s="38"/>
      <c r="O69" s="38"/>
      <c r="P69" s="38"/>
      <c r="Q69" s="38"/>
      <c r="R69" s="38"/>
      <c r="S69" s="38"/>
      <c r="T69" s="38"/>
      <c r="U69" s="38"/>
      <c r="V69" s="38"/>
      <c r="W69" s="38"/>
      <c r="X69" s="38"/>
      <c r="Y69" s="38"/>
      <c r="Z69" s="38"/>
    </row>
    <row r="70" spans="1:26" ht="14.25" customHeight="1" x14ac:dyDescent="0.3">
      <c r="A70" s="179" t="str">
        <v>Compra de areia grossa</v>
      </c>
      <c r="B70" s="180">
        <v>28</v>
      </c>
      <c r="C70" s="181" t="str">
        <v>OK</v>
      </c>
      <c r="D70" s="182">
        <v>0</v>
      </c>
      <c r="E70" s="182">
        <v>300</v>
      </c>
      <c r="F70" s="183">
        <v>0</v>
      </c>
      <c r="G70" s="183" t="str">
        <v>Banco - Cora</v>
      </c>
      <c r="H70" s="183" t="str">
        <v>https://drive.google.com/open?id=14SzMAhZALJKz5sbVEBjeqEVdaqB_AdBY&amp;usp=drive_fs</v>
      </c>
      <c r="I70" s="81">
        <v>0</v>
      </c>
      <c r="J70" s="38"/>
      <c r="K70" s="38"/>
      <c r="L70" s="38"/>
      <c r="M70" s="38"/>
      <c r="N70" s="38"/>
      <c r="O70" s="38"/>
      <c r="P70" s="38"/>
      <c r="Q70" s="38"/>
      <c r="R70" s="38"/>
      <c r="S70" s="38"/>
      <c r="T70" s="38"/>
      <c r="U70" s="38"/>
      <c r="V70" s="38"/>
      <c r="W70" s="38"/>
      <c r="X70" s="38"/>
      <c r="Y70" s="38"/>
      <c r="Z70" s="38"/>
    </row>
    <row r="71" spans="1:26" ht="14.25" customHeight="1" x14ac:dyDescent="0.3">
      <c r="A71" s="179" t="str">
        <v>Flor Divina</v>
      </c>
      <c r="B71" s="180">
        <v>31</v>
      </c>
      <c r="C71" s="181" t="str">
        <v>OK</v>
      </c>
      <c r="D71" s="182">
        <v>0</v>
      </c>
      <c r="E71" s="182">
        <v>2435.86</v>
      </c>
      <c r="F71" s="183" t="str">
        <v>Repasse de julho</v>
      </c>
      <c r="G71" s="183" t="str">
        <v>Banco - Cora</v>
      </c>
      <c r="H71" s="183" t="str">
        <v>https://drive.google.com/open?id=1QIORIiQphabQtHZJM9vBv5MgrZGjHTSx&amp;usp=drive_fs</v>
      </c>
      <c r="I71" s="81">
        <v>0</v>
      </c>
      <c r="J71" s="38"/>
      <c r="K71" s="38"/>
      <c r="L71" s="38"/>
      <c r="M71" s="38"/>
      <c r="N71" s="38"/>
      <c r="O71" s="38"/>
      <c r="P71" s="38"/>
      <c r="Q71" s="38"/>
      <c r="R71" s="38"/>
      <c r="S71" s="38"/>
      <c r="T71" s="38"/>
      <c r="U71" s="38"/>
      <c r="V71" s="38"/>
      <c r="W71" s="38"/>
      <c r="X71" s="38"/>
      <c r="Y71" s="38"/>
      <c r="Z71" s="38"/>
    </row>
    <row r="72" spans="1:26" ht="14.25" customHeight="1" x14ac:dyDescent="0.3">
      <c r="A72" s="179" t="str">
        <v>Café da manhã - Dias de mutirão</v>
      </c>
      <c r="B72" s="180">
        <v>31</v>
      </c>
      <c r="C72" s="181" t="str">
        <v>OK</v>
      </c>
      <c r="D72" s="182">
        <v>0</v>
      </c>
      <c r="E72" s="182">
        <v>80</v>
      </c>
      <c r="F72" s="183" t="str">
        <v>Repasse de julho</v>
      </c>
      <c r="G72" s="183" t="str">
        <v>Banco - Cora</v>
      </c>
      <c r="H72" s="183" t="str">
        <v>https://drive.google.com/open?id=1QIORIiQphabQtHZJM9vBv5MgrZGjHTSx&amp;usp=drive_fs</v>
      </c>
      <c r="I72" s="81">
        <v>0</v>
      </c>
      <c r="J72" s="38"/>
      <c r="K72" s="38"/>
      <c r="L72" s="38"/>
      <c r="M72" s="38"/>
      <c r="N72" s="38"/>
      <c r="O72" s="38"/>
      <c r="P72" s="38"/>
      <c r="Q72" s="38"/>
      <c r="R72" s="38"/>
      <c r="S72" s="38"/>
      <c r="T72" s="38"/>
      <c r="U72" s="38"/>
      <c r="V72" s="38"/>
      <c r="W72" s="38"/>
      <c r="X72" s="38"/>
      <c r="Y72" s="38"/>
      <c r="Z72" s="38"/>
    </row>
    <row r="73" spans="1:26" ht="14.25" customHeight="1" x14ac:dyDescent="0.3">
      <c r="A73" s="179" t="str">
        <v>IR Rendimento Pagbank</v>
      </c>
      <c r="B73" s="180" t="str">
        <v>1 a 30</v>
      </c>
      <c r="C73" s="181" t="str">
        <v>OK</v>
      </c>
      <c r="D73" s="182">
        <v>0</v>
      </c>
      <c r="E73" s="182">
        <v>0.92000000000000015</v>
      </c>
      <c r="F73" s="183">
        <v>0</v>
      </c>
      <c r="G73" s="183" t="str">
        <v>Banco - Pagbank</v>
      </c>
      <c r="H73" s="183" t="str">
        <v>https://drive.google.com/open?id=1wnN9zYI_4ktZD50dIV-wUv6W1_aVfWfT&amp;usp=drive_fs</v>
      </c>
      <c r="I73" s="81">
        <v>0</v>
      </c>
      <c r="J73" s="38"/>
      <c r="K73" s="38"/>
      <c r="L73" s="38"/>
      <c r="M73" s="38"/>
      <c r="N73" s="38"/>
      <c r="O73" s="38"/>
      <c r="P73" s="38"/>
      <c r="Q73" s="38"/>
      <c r="R73" s="38"/>
      <c r="S73" s="38"/>
      <c r="T73" s="38"/>
      <c r="U73" s="38"/>
      <c r="V73" s="38"/>
      <c r="W73" s="38"/>
      <c r="X73" s="38"/>
      <c r="Y73" s="38"/>
      <c r="Z73" s="38"/>
    </row>
    <row r="74" spans="1:26" ht="14.25" customHeight="1" x14ac:dyDescent="0.3">
      <c r="A74" s="38"/>
      <c r="B74" s="39"/>
      <c r="C74" s="141"/>
      <c r="D74" s="163"/>
      <c r="E74" s="163"/>
      <c r="F74" s="81"/>
      <c r="G74" s="81"/>
      <c r="H74" s="81"/>
      <c r="I74" s="81"/>
      <c r="J74" s="38"/>
      <c r="K74" s="38"/>
      <c r="L74" s="38"/>
      <c r="M74" s="38"/>
      <c r="N74" s="38"/>
      <c r="O74" s="38"/>
      <c r="P74" s="38"/>
      <c r="Q74" s="38"/>
      <c r="R74" s="38"/>
      <c r="S74" s="38"/>
      <c r="T74" s="38"/>
      <c r="U74" s="38"/>
      <c r="V74" s="38"/>
      <c r="W74" s="38"/>
      <c r="X74" s="38"/>
      <c r="Y74" s="38"/>
      <c r="Z74" s="38"/>
    </row>
    <row r="75" spans="1:26" ht="14.25" customHeight="1" x14ac:dyDescent="0.3">
      <c r="A75" s="38"/>
      <c r="B75" s="39"/>
      <c r="C75" s="141"/>
      <c r="D75" s="163"/>
      <c r="E75" s="163"/>
      <c r="F75" s="81"/>
      <c r="G75" s="81"/>
      <c r="H75" s="81"/>
      <c r="I75" s="81"/>
      <c r="J75" s="38"/>
      <c r="K75" s="38"/>
      <c r="L75" s="38"/>
      <c r="M75" s="38"/>
      <c r="N75" s="38"/>
      <c r="O75" s="38"/>
      <c r="P75" s="38"/>
      <c r="Q75" s="38"/>
      <c r="R75" s="38"/>
      <c r="S75" s="38"/>
      <c r="T75" s="38"/>
      <c r="U75" s="38"/>
      <c r="V75" s="38"/>
      <c r="W75" s="38"/>
      <c r="X75" s="38"/>
      <c r="Y75" s="38"/>
      <c r="Z75" s="38"/>
    </row>
    <row r="76" spans="1:26" ht="14.25" customHeight="1" x14ac:dyDescent="0.3">
      <c r="A76" s="38"/>
      <c r="B76" s="39"/>
      <c r="C76" s="141"/>
      <c r="D76" s="163"/>
      <c r="E76" s="163"/>
      <c r="F76" s="81"/>
      <c r="G76" s="81"/>
      <c r="H76" s="81"/>
      <c r="I76" s="81"/>
      <c r="J76" s="38"/>
      <c r="K76" s="38"/>
      <c r="L76" s="38"/>
      <c r="M76" s="38"/>
      <c r="N76" s="38"/>
      <c r="O76" s="38"/>
      <c r="P76" s="38"/>
      <c r="Q76" s="38"/>
      <c r="R76" s="38"/>
      <c r="S76" s="38"/>
      <c r="T76" s="38"/>
      <c r="U76" s="38"/>
      <c r="V76" s="38"/>
      <c r="W76" s="38"/>
      <c r="X76" s="38"/>
      <c r="Y76" s="38"/>
      <c r="Z76" s="38"/>
    </row>
    <row r="77" spans="1:26" ht="14.25" customHeight="1" x14ac:dyDescent="0.3">
      <c r="A77" s="38"/>
      <c r="B77" s="39"/>
      <c r="C77" s="141"/>
      <c r="D77" s="163"/>
      <c r="E77" s="163"/>
      <c r="F77" s="81"/>
      <c r="G77" s="81"/>
      <c r="H77" s="81"/>
      <c r="I77" s="81"/>
      <c r="J77" s="38"/>
      <c r="K77" s="38"/>
      <c r="L77" s="38"/>
      <c r="M77" s="38"/>
      <c r="N77" s="38"/>
      <c r="O77" s="38"/>
      <c r="P77" s="38"/>
      <c r="Q77" s="38"/>
      <c r="R77" s="38"/>
      <c r="S77" s="38"/>
      <c r="T77" s="38"/>
      <c r="U77" s="38"/>
      <c r="V77" s="38"/>
      <c r="W77" s="38"/>
      <c r="X77" s="38"/>
      <c r="Y77" s="38"/>
      <c r="Z77" s="38"/>
    </row>
    <row r="78" spans="1:26" ht="14.25" customHeight="1" x14ac:dyDescent="0.3">
      <c r="A78" s="38"/>
      <c r="B78" s="39"/>
      <c r="C78" s="141"/>
      <c r="D78" s="163"/>
      <c r="E78" s="163"/>
      <c r="F78" s="81"/>
      <c r="G78" s="81"/>
      <c r="H78" s="81"/>
      <c r="I78" s="81"/>
      <c r="J78" s="38"/>
      <c r="K78" s="38"/>
      <c r="L78" s="38"/>
      <c r="M78" s="38"/>
      <c r="N78" s="38"/>
      <c r="O78" s="38"/>
      <c r="P78" s="38"/>
      <c r="Q78" s="38"/>
      <c r="R78" s="38"/>
      <c r="S78" s="38"/>
      <c r="T78" s="38"/>
      <c r="U78" s="38"/>
      <c r="V78" s="38"/>
      <c r="W78" s="38"/>
      <c r="X78" s="38"/>
      <c r="Y78" s="38"/>
      <c r="Z78" s="38"/>
    </row>
    <row r="79" spans="1:26" ht="14.25" customHeight="1" x14ac:dyDescent="0.3">
      <c r="A79" s="38"/>
      <c r="B79" s="39"/>
      <c r="C79" s="141"/>
      <c r="D79" s="163"/>
      <c r="E79" s="163"/>
      <c r="F79" s="81"/>
      <c r="G79" s="81"/>
      <c r="H79" s="81"/>
      <c r="I79" s="81"/>
      <c r="J79" s="38"/>
      <c r="K79" s="38"/>
      <c r="L79" s="38"/>
      <c r="M79" s="38"/>
      <c r="N79" s="38"/>
      <c r="O79" s="38"/>
      <c r="P79" s="38"/>
      <c r="Q79" s="38"/>
      <c r="R79" s="38"/>
      <c r="S79" s="38"/>
      <c r="T79" s="38"/>
      <c r="U79" s="38"/>
      <c r="V79" s="38"/>
      <c r="W79" s="38"/>
      <c r="X79" s="38"/>
      <c r="Y79" s="38"/>
      <c r="Z79" s="38"/>
    </row>
    <row r="80" spans="1:26" ht="14.25" customHeight="1" x14ac:dyDescent="0.3">
      <c r="A80" s="38"/>
      <c r="B80" s="39"/>
      <c r="C80" s="141"/>
      <c r="D80" s="163"/>
      <c r="E80" s="163"/>
      <c r="F80" s="81"/>
      <c r="G80" s="81"/>
      <c r="H80" s="81"/>
      <c r="I80" s="81"/>
      <c r="J80" s="38"/>
      <c r="K80" s="38"/>
      <c r="L80" s="38"/>
      <c r="M80" s="38"/>
      <c r="N80" s="38"/>
      <c r="O80" s="38"/>
      <c r="P80" s="38"/>
      <c r="Q80" s="38"/>
      <c r="R80" s="38"/>
      <c r="S80" s="38"/>
      <c r="T80" s="38"/>
      <c r="U80" s="38"/>
      <c r="V80" s="38"/>
      <c r="W80" s="38"/>
      <c r="X80" s="38"/>
      <c r="Y80" s="38"/>
      <c r="Z80" s="38"/>
    </row>
    <row r="81" spans="1:26" ht="14.25" customHeight="1" x14ac:dyDescent="0.3">
      <c r="A81" s="38"/>
      <c r="B81" s="39"/>
      <c r="C81" s="141"/>
      <c r="D81" s="163"/>
      <c r="E81" s="163"/>
      <c r="F81" s="81"/>
      <c r="G81" s="81"/>
      <c r="H81" s="81"/>
      <c r="I81" s="81"/>
      <c r="J81" s="38"/>
      <c r="K81" s="38"/>
      <c r="L81" s="38"/>
      <c r="M81" s="38"/>
      <c r="N81" s="38"/>
      <c r="O81" s="38"/>
      <c r="P81" s="38"/>
      <c r="Q81" s="38"/>
      <c r="R81" s="38"/>
      <c r="S81" s="38"/>
      <c r="T81" s="38"/>
      <c r="U81" s="38"/>
      <c r="V81" s="38"/>
      <c r="W81" s="38"/>
      <c r="X81" s="38"/>
      <c r="Y81" s="38"/>
      <c r="Z81" s="38"/>
    </row>
    <row r="82" spans="1:26" ht="14.25" customHeight="1" x14ac:dyDescent="0.3">
      <c r="A82" s="38"/>
      <c r="B82" s="39"/>
      <c r="C82" s="141"/>
      <c r="D82" s="163"/>
      <c r="E82" s="163"/>
      <c r="F82" s="81"/>
      <c r="G82" s="81"/>
      <c r="H82" s="81"/>
      <c r="I82" s="81"/>
      <c r="J82" s="38"/>
      <c r="K82" s="38"/>
      <c r="L82" s="38"/>
      <c r="M82" s="38"/>
      <c r="N82" s="38"/>
      <c r="O82" s="38"/>
      <c r="P82" s="38"/>
      <c r="Q82" s="38"/>
      <c r="R82" s="38"/>
      <c r="S82" s="38"/>
      <c r="T82" s="38"/>
      <c r="U82" s="38"/>
      <c r="V82" s="38"/>
      <c r="W82" s="38"/>
      <c r="X82" s="38"/>
      <c r="Y82" s="38"/>
      <c r="Z82" s="38"/>
    </row>
    <row r="83" spans="1:26" ht="14.25" customHeight="1" x14ac:dyDescent="0.3">
      <c r="A83" s="38"/>
      <c r="B83" s="39"/>
      <c r="C83" s="141"/>
      <c r="D83" s="163"/>
      <c r="E83" s="163"/>
      <c r="F83" s="81"/>
      <c r="G83" s="81"/>
      <c r="H83" s="81"/>
      <c r="I83" s="81"/>
      <c r="J83" s="38"/>
      <c r="K83" s="38"/>
      <c r="L83" s="38"/>
      <c r="M83" s="38"/>
      <c r="N83" s="38"/>
      <c r="O83" s="38"/>
      <c r="P83" s="38"/>
      <c r="Q83" s="38"/>
      <c r="R83" s="38"/>
      <c r="S83" s="38"/>
      <c r="T83" s="38"/>
      <c r="U83" s="38"/>
      <c r="V83" s="38"/>
      <c r="W83" s="38"/>
      <c r="X83" s="38"/>
      <c r="Y83" s="38"/>
      <c r="Z83" s="38"/>
    </row>
    <row r="84" spans="1:26" ht="14.25" customHeight="1" x14ac:dyDescent="0.3">
      <c r="A84" s="38"/>
      <c r="B84" s="39"/>
      <c r="C84" s="141"/>
      <c r="D84" s="163"/>
      <c r="E84" s="163"/>
      <c r="F84" s="81"/>
      <c r="G84" s="81"/>
      <c r="H84" s="81"/>
      <c r="I84" s="81"/>
      <c r="J84" s="38"/>
      <c r="K84" s="38"/>
      <c r="L84" s="38"/>
      <c r="M84" s="38"/>
      <c r="N84" s="38"/>
      <c r="O84" s="38"/>
      <c r="P84" s="38"/>
      <c r="Q84" s="38"/>
      <c r="R84" s="38"/>
      <c r="S84" s="38"/>
      <c r="T84" s="38"/>
      <c r="U84" s="38"/>
      <c r="V84" s="38"/>
      <c r="W84" s="38"/>
      <c r="X84" s="38"/>
      <c r="Y84" s="38"/>
      <c r="Z84" s="38"/>
    </row>
    <row r="85" spans="1:26" ht="14.25" customHeight="1" x14ac:dyDescent="0.3">
      <c r="A85" s="38"/>
      <c r="B85" s="39"/>
      <c r="C85" s="141"/>
      <c r="D85" s="163"/>
      <c r="E85" s="163"/>
      <c r="F85" s="81"/>
      <c r="G85" s="81"/>
      <c r="H85" s="81"/>
      <c r="I85" s="81"/>
      <c r="J85" s="38"/>
      <c r="K85" s="38"/>
      <c r="L85" s="38"/>
      <c r="M85" s="38"/>
      <c r="N85" s="38"/>
      <c r="O85" s="38"/>
      <c r="P85" s="38"/>
      <c r="Q85" s="38"/>
      <c r="R85" s="38"/>
      <c r="S85" s="38"/>
      <c r="T85" s="38"/>
      <c r="U85" s="38"/>
      <c r="V85" s="38"/>
      <c r="W85" s="38"/>
      <c r="X85" s="38"/>
      <c r="Y85" s="38"/>
      <c r="Z85" s="38"/>
    </row>
    <row r="86" spans="1:26" ht="14.25" customHeight="1" x14ac:dyDescent="0.3">
      <c r="A86" s="38"/>
      <c r="B86" s="39"/>
      <c r="C86" s="141"/>
      <c r="D86" s="163"/>
      <c r="E86" s="163"/>
      <c r="F86" s="81"/>
      <c r="G86" s="81"/>
      <c r="H86" s="81"/>
      <c r="I86" s="81"/>
      <c r="J86" s="38"/>
      <c r="K86" s="38"/>
      <c r="L86" s="38"/>
      <c r="M86" s="38"/>
      <c r="N86" s="38"/>
      <c r="O86" s="38"/>
      <c r="P86" s="38"/>
      <c r="Q86" s="38"/>
      <c r="R86" s="38"/>
      <c r="S86" s="38"/>
      <c r="T86" s="38"/>
      <c r="U86" s="38"/>
      <c r="V86" s="38"/>
      <c r="W86" s="38"/>
      <c r="X86" s="38"/>
      <c r="Y86" s="38"/>
      <c r="Z86" s="38"/>
    </row>
    <row r="87" spans="1:26" ht="14.25" customHeight="1" x14ac:dyDescent="0.3">
      <c r="A87" s="38"/>
      <c r="B87" s="39"/>
      <c r="C87" s="141"/>
      <c r="D87" s="163"/>
      <c r="E87" s="163"/>
      <c r="F87" s="81"/>
      <c r="G87" s="81"/>
      <c r="H87" s="81"/>
      <c r="I87" s="81"/>
      <c r="J87" s="38"/>
      <c r="K87" s="38"/>
      <c r="L87" s="38"/>
      <c r="M87" s="38"/>
      <c r="N87" s="38"/>
      <c r="O87" s="38"/>
      <c r="P87" s="38"/>
      <c r="Q87" s="38"/>
      <c r="R87" s="38"/>
      <c r="S87" s="38"/>
      <c r="T87" s="38"/>
      <c r="U87" s="38"/>
      <c r="V87" s="38"/>
      <c r="W87" s="38"/>
      <c r="X87" s="38"/>
      <c r="Y87" s="38"/>
      <c r="Z87" s="38"/>
    </row>
    <row r="88" spans="1:26" ht="14.25" customHeight="1" x14ac:dyDescent="0.3">
      <c r="A88" s="38"/>
      <c r="B88" s="39"/>
      <c r="C88" s="141"/>
      <c r="D88" s="163"/>
      <c r="E88" s="163"/>
      <c r="F88" s="81"/>
      <c r="G88" s="81"/>
      <c r="H88" s="81"/>
      <c r="I88" s="81"/>
      <c r="J88" s="38"/>
      <c r="K88" s="38"/>
      <c r="L88" s="38"/>
      <c r="M88" s="38"/>
      <c r="N88" s="38"/>
      <c r="O88" s="38"/>
      <c r="P88" s="38"/>
      <c r="Q88" s="38"/>
      <c r="R88" s="38"/>
      <c r="S88" s="38"/>
      <c r="T88" s="38"/>
      <c r="U88" s="38"/>
      <c r="V88" s="38"/>
      <c r="W88" s="38"/>
      <c r="X88" s="38"/>
      <c r="Y88" s="38"/>
      <c r="Z88" s="38"/>
    </row>
    <row r="89" spans="1:26" ht="14.25" customHeight="1" x14ac:dyDescent="0.3">
      <c r="A89" s="38"/>
      <c r="B89" s="39"/>
      <c r="C89" s="141"/>
      <c r="D89" s="163"/>
      <c r="E89" s="163"/>
      <c r="F89" s="81"/>
      <c r="G89" s="81"/>
      <c r="H89" s="81"/>
      <c r="I89" s="81"/>
      <c r="J89" s="38"/>
      <c r="K89" s="38"/>
      <c r="L89" s="38"/>
      <c r="M89" s="38"/>
      <c r="N89" s="38"/>
      <c r="O89" s="38"/>
      <c r="P89" s="38"/>
      <c r="Q89" s="38"/>
      <c r="R89" s="38"/>
      <c r="S89" s="38"/>
      <c r="T89" s="38"/>
      <c r="U89" s="38"/>
      <c r="V89" s="38"/>
      <c r="W89" s="38"/>
      <c r="X89" s="38"/>
      <c r="Y89" s="38"/>
      <c r="Z89" s="38"/>
    </row>
    <row r="90" spans="1:26" ht="14.25" customHeight="1" x14ac:dyDescent="0.3">
      <c r="A90" s="38"/>
      <c r="B90" s="39"/>
      <c r="C90" s="141"/>
      <c r="D90" s="163"/>
      <c r="E90" s="163"/>
      <c r="F90" s="81"/>
      <c r="G90" s="81"/>
      <c r="H90" s="81"/>
      <c r="I90" s="81"/>
      <c r="J90" s="38"/>
      <c r="K90" s="38"/>
      <c r="L90" s="38"/>
      <c r="M90" s="38"/>
      <c r="N90" s="38"/>
      <c r="O90" s="38"/>
      <c r="P90" s="38"/>
      <c r="Q90" s="38"/>
      <c r="R90" s="38"/>
      <c r="S90" s="38"/>
      <c r="T90" s="38"/>
      <c r="U90" s="38"/>
      <c r="V90" s="38"/>
      <c r="W90" s="38"/>
      <c r="X90" s="38"/>
      <c r="Y90" s="38"/>
      <c r="Z90" s="38"/>
    </row>
    <row r="91" spans="1:26" ht="14.25" customHeight="1" x14ac:dyDescent="0.3">
      <c r="A91" s="38"/>
      <c r="B91" s="39"/>
      <c r="C91" s="141"/>
      <c r="D91" s="163"/>
      <c r="E91" s="163"/>
      <c r="F91" s="81"/>
      <c r="G91" s="81"/>
      <c r="H91" s="81"/>
      <c r="I91" s="81"/>
      <c r="J91" s="38"/>
      <c r="K91" s="38"/>
      <c r="L91" s="38"/>
      <c r="M91" s="38"/>
      <c r="N91" s="38"/>
      <c r="O91" s="38"/>
      <c r="P91" s="38"/>
      <c r="Q91" s="38"/>
      <c r="R91" s="38"/>
      <c r="S91" s="38"/>
      <c r="T91" s="38"/>
      <c r="U91" s="38"/>
      <c r="V91" s="38"/>
      <c r="W91" s="38"/>
      <c r="X91" s="38"/>
      <c r="Y91" s="38"/>
      <c r="Z91" s="38"/>
    </row>
    <row r="92" spans="1:26" ht="14.25" customHeight="1" x14ac:dyDescent="0.3">
      <c r="A92" s="38"/>
      <c r="B92" s="39"/>
      <c r="C92" s="141"/>
      <c r="D92" s="163"/>
      <c r="E92" s="163"/>
      <c r="F92" s="81"/>
      <c r="G92" s="81"/>
      <c r="H92" s="81"/>
      <c r="I92" s="81"/>
      <c r="J92" s="38"/>
      <c r="K92" s="38"/>
      <c r="L92" s="38"/>
      <c r="M92" s="38"/>
      <c r="N92" s="38"/>
      <c r="O92" s="38"/>
      <c r="P92" s="38"/>
      <c r="Q92" s="38"/>
      <c r="R92" s="38"/>
      <c r="S92" s="38"/>
      <c r="T92" s="38"/>
      <c r="U92" s="38"/>
      <c r="V92" s="38"/>
      <c r="W92" s="38"/>
      <c r="X92" s="38"/>
      <c r="Y92" s="38"/>
      <c r="Z92" s="38"/>
    </row>
    <row r="93" spans="1:26" ht="14.25" customHeight="1" x14ac:dyDescent="0.3">
      <c r="A93" s="38"/>
      <c r="B93" s="39"/>
      <c r="C93" s="141"/>
      <c r="D93" s="163"/>
      <c r="E93" s="163"/>
      <c r="F93" s="81"/>
      <c r="G93" s="81"/>
      <c r="H93" s="81"/>
      <c r="I93" s="81"/>
      <c r="J93" s="38"/>
      <c r="K93" s="38"/>
      <c r="L93" s="38"/>
      <c r="M93" s="38"/>
      <c r="N93" s="38"/>
      <c r="O93" s="38"/>
      <c r="P93" s="38"/>
      <c r="Q93" s="38"/>
      <c r="R93" s="38"/>
      <c r="S93" s="38"/>
      <c r="T93" s="38"/>
      <c r="U93" s="38"/>
      <c r="V93" s="38"/>
      <c r="W93" s="38"/>
      <c r="X93" s="38"/>
      <c r="Y93" s="38"/>
      <c r="Z93" s="38"/>
    </row>
    <row r="94" spans="1:26" ht="14.25" customHeight="1" x14ac:dyDescent="0.3">
      <c r="A94" s="38"/>
      <c r="B94" s="39"/>
      <c r="C94" s="141"/>
      <c r="D94" s="163"/>
      <c r="E94" s="163"/>
      <c r="F94" s="81"/>
      <c r="G94" s="81"/>
      <c r="H94" s="81"/>
      <c r="I94" s="81"/>
      <c r="J94" s="38"/>
      <c r="K94" s="38"/>
      <c r="L94" s="38"/>
      <c r="M94" s="38"/>
      <c r="N94" s="38"/>
      <c r="O94" s="38"/>
      <c r="P94" s="38"/>
      <c r="Q94" s="38"/>
      <c r="R94" s="38"/>
      <c r="S94" s="38"/>
      <c r="T94" s="38"/>
      <c r="U94" s="38"/>
      <c r="V94" s="38"/>
      <c r="W94" s="38"/>
      <c r="X94" s="38"/>
      <c r="Y94" s="38"/>
      <c r="Z94" s="38"/>
    </row>
    <row r="95" spans="1:26" ht="14.25" customHeight="1" x14ac:dyDescent="0.3">
      <c r="A95" s="38"/>
      <c r="B95" s="39"/>
      <c r="C95" s="141"/>
      <c r="D95" s="163"/>
      <c r="E95" s="163"/>
      <c r="F95" s="81"/>
      <c r="G95" s="81"/>
      <c r="H95" s="81"/>
      <c r="I95" s="81"/>
      <c r="J95" s="38"/>
      <c r="K95" s="38"/>
      <c r="L95" s="38"/>
      <c r="M95" s="38"/>
      <c r="N95" s="38"/>
      <c r="O95" s="38"/>
      <c r="P95" s="38"/>
      <c r="Q95" s="38"/>
      <c r="R95" s="38"/>
      <c r="S95" s="38"/>
      <c r="T95" s="38"/>
      <c r="U95" s="38"/>
      <c r="V95" s="38"/>
      <c r="W95" s="38"/>
      <c r="X95" s="38"/>
      <c r="Y95" s="38"/>
      <c r="Z95" s="38"/>
    </row>
    <row r="96" spans="1:26" ht="14.25" customHeight="1" x14ac:dyDescent="0.3">
      <c r="A96" s="38"/>
      <c r="B96" s="39"/>
      <c r="C96" s="141"/>
      <c r="D96" s="163"/>
      <c r="E96" s="163"/>
      <c r="F96" s="81"/>
      <c r="G96" s="81"/>
      <c r="H96" s="81"/>
      <c r="I96" s="81"/>
      <c r="J96" s="38"/>
      <c r="K96" s="38"/>
      <c r="L96" s="38"/>
      <c r="M96" s="38"/>
      <c r="N96" s="38"/>
      <c r="O96" s="38"/>
      <c r="P96" s="38"/>
      <c r="Q96" s="38"/>
      <c r="R96" s="38"/>
      <c r="S96" s="38"/>
      <c r="T96" s="38"/>
      <c r="U96" s="38"/>
      <c r="V96" s="38"/>
      <c r="W96" s="38"/>
      <c r="X96" s="38"/>
      <c r="Y96" s="38"/>
      <c r="Z96" s="38"/>
    </row>
    <row r="97" spans="1:26" ht="14.25" customHeight="1" x14ac:dyDescent="0.3">
      <c r="A97" s="38"/>
      <c r="B97" s="39"/>
      <c r="C97" s="141"/>
      <c r="D97" s="163"/>
      <c r="E97" s="163"/>
      <c r="F97" s="81"/>
      <c r="G97" s="81"/>
      <c r="H97" s="81"/>
      <c r="I97" s="81"/>
      <c r="J97" s="38"/>
      <c r="K97" s="38"/>
      <c r="L97" s="38"/>
      <c r="M97" s="38"/>
      <c r="N97" s="38"/>
      <c r="O97" s="38"/>
      <c r="P97" s="38"/>
      <c r="Q97" s="38"/>
      <c r="R97" s="38"/>
      <c r="S97" s="38"/>
      <c r="T97" s="38"/>
      <c r="U97" s="38"/>
      <c r="V97" s="38"/>
      <c r="W97" s="38"/>
      <c r="X97" s="38"/>
      <c r="Y97" s="38"/>
      <c r="Z97" s="38"/>
    </row>
    <row r="98" spans="1:26" ht="14.25" customHeight="1" x14ac:dyDescent="0.3">
      <c r="A98" s="38"/>
      <c r="B98" s="39"/>
      <c r="C98" s="141"/>
      <c r="D98" s="163"/>
      <c r="E98" s="163"/>
      <c r="F98" s="81"/>
      <c r="G98" s="81"/>
      <c r="H98" s="81"/>
      <c r="I98" s="81"/>
      <c r="J98" s="38"/>
      <c r="K98" s="38"/>
      <c r="L98" s="38"/>
      <c r="M98" s="38"/>
      <c r="N98" s="38"/>
      <c r="O98" s="38"/>
      <c r="P98" s="38"/>
      <c r="Q98" s="38"/>
      <c r="R98" s="38"/>
      <c r="S98" s="38"/>
      <c r="T98" s="38"/>
      <c r="U98" s="38"/>
      <c r="V98" s="38"/>
      <c r="W98" s="38"/>
      <c r="X98" s="38"/>
      <c r="Y98" s="38"/>
      <c r="Z98" s="38"/>
    </row>
    <row r="99" spans="1:26" ht="14.25" customHeight="1" x14ac:dyDescent="0.3">
      <c r="A99" s="38"/>
      <c r="B99" s="39"/>
      <c r="C99" s="141"/>
      <c r="D99" s="163"/>
      <c r="E99" s="163"/>
      <c r="F99" s="81"/>
      <c r="G99" s="81"/>
      <c r="H99" s="81"/>
      <c r="I99" s="81"/>
      <c r="J99" s="38"/>
      <c r="K99" s="38"/>
      <c r="L99" s="38"/>
      <c r="M99" s="38"/>
      <c r="N99" s="38"/>
      <c r="O99" s="38"/>
      <c r="P99" s="38"/>
      <c r="Q99" s="38"/>
      <c r="R99" s="38"/>
      <c r="S99" s="38"/>
      <c r="T99" s="38"/>
      <c r="U99" s="38"/>
      <c r="V99" s="38"/>
      <c r="W99" s="38"/>
      <c r="X99" s="38"/>
      <c r="Y99" s="38"/>
      <c r="Z99" s="38"/>
    </row>
    <row r="100" spans="1:26" ht="14.25" customHeight="1" x14ac:dyDescent="0.3">
      <c r="A100" s="38"/>
      <c r="B100" s="39"/>
      <c r="C100" s="141"/>
      <c r="D100" s="163"/>
      <c r="E100" s="163"/>
      <c r="F100" s="81"/>
      <c r="G100" s="81"/>
      <c r="H100" s="81"/>
      <c r="I100" s="81"/>
      <c r="J100" s="38"/>
      <c r="K100" s="38"/>
      <c r="L100" s="38"/>
      <c r="M100" s="38"/>
      <c r="N100" s="38"/>
      <c r="O100" s="38"/>
      <c r="P100" s="38"/>
      <c r="Q100" s="38"/>
      <c r="R100" s="38"/>
      <c r="S100" s="38"/>
      <c r="T100" s="38"/>
      <c r="U100" s="38"/>
      <c r="V100" s="38"/>
      <c r="W100" s="38"/>
      <c r="X100" s="38"/>
      <c r="Y100" s="38"/>
      <c r="Z100" s="38"/>
    </row>
    <row r="101" spans="1:26" ht="14.25" customHeight="1" x14ac:dyDescent="0.3">
      <c r="A101" s="38"/>
      <c r="B101" s="39"/>
      <c r="C101" s="141"/>
      <c r="D101" s="163"/>
      <c r="E101" s="163"/>
      <c r="F101" s="81"/>
      <c r="G101" s="81"/>
      <c r="H101" s="81"/>
      <c r="I101" s="81"/>
      <c r="J101" s="38"/>
      <c r="K101" s="38"/>
      <c r="L101" s="38"/>
      <c r="M101" s="38"/>
      <c r="N101" s="38"/>
      <c r="O101" s="38"/>
      <c r="P101" s="38"/>
      <c r="Q101" s="38"/>
      <c r="R101" s="38"/>
      <c r="S101" s="38"/>
      <c r="T101" s="38"/>
      <c r="U101" s="38"/>
      <c r="V101" s="38"/>
      <c r="W101" s="38"/>
      <c r="X101" s="38"/>
      <c r="Y101" s="38"/>
      <c r="Z101" s="38"/>
    </row>
    <row r="102" spans="1:26" ht="14.25" customHeight="1" x14ac:dyDescent="0.3">
      <c r="A102" s="38"/>
      <c r="B102" s="39"/>
      <c r="C102" s="141"/>
      <c r="D102" s="163"/>
      <c r="E102" s="163"/>
      <c r="F102" s="81"/>
      <c r="G102" s="81"/>
      <c r="H102" s="81"/>
      <c r="I102" s="81"/>
      <c r="J102" s="38"/>
      <c r="K102" s="38"/>
      <c r="L102" s="38"/>
      <c r="M102" s="38"/>
      <c r="N102" s="38"/>
      <c r="O102" s="38"/>
      <c r="P102" s="38"/>
      <c r="Q102" s="38"/>
      <c r="R102" s="38"/>
      <c r="S102" s="38"/>
      <c r="T102" s="38"/>
      <c r="U102" s="38"/>
      <c r="V102" s="38"/>
      <c r="W102" s="38"/>
      <c r="X102" s="38"/>
      <c r="Y102" s="38"/>
      <c r="Z102" s="38"/>
    </row>
    <row r="103" spans="1:26" ht="14.25" customHeight="1" x14ac:dyDescent="0.3">
      <c r="A103" s="38"/>
      <c r="B103" s="39"/>
      <c r="C103" s="141"/>
      <c r="D103" s="163"/>
      <c r="E103" s="163"/>
      <c r="F103" s="81"/>
      <c r="G103" s="81"/>
      <c r="H103" s="81"/>
      <c r="I103" s="81"/>
      <c r="J103" s="38"/>
      <c r="K103" s="38"/>
      <c r="L103" s="38"/>
      <c r="M103" s="38"/>
      <c r="N103" s="38"/>
      <c r="O103" s="38"/>
      <c r="P103" s="38"/>
      <c r="Q103" s="38"/>
      <c r="R103" s="38"/>
      <c r="S103" s="38"/>
      <c r="T103" s="38"/>
      <c r="U103" s="38"/>
      <c r="V103" s="38"/>
      <c r="W103" s="38"/>
      <c r="X103" s="38"/>
      <c r="Y103" s="38"/>
      <c r="Z103" s="38"/>
    </row>
    <row r="104" spans="1:26" ht="14.25" customHeight="1" x14ac:dyDescent="0.3">
      <c r="A104" s="38"/>
      <c r="B104" s="39"/>
      <c r="C104" s="141"/>
      <c r="D104" s="163"/>
      <c r="E104" s="163"/>
      <c r="F104" s="81"/>
      <c r="G104" s="81"/>
      <c r="H104" s="81"/>
      <c r="I104" s="81"/>
      <c r="J104" s="38"/>
      <c r="K104" s="38"/>
      <c r="L104" s="38"/>
      <c r="M104" s="38"/>
      <c r="N104" s="38"/>
      <c r="O104" s="38"/>
      <c r="P104" s="38"/>
      <c r="Q104" s="38"/>
      <c r="R104" s="38"/>
      <c r="S104" s="38"/>
      <c r="T104" s="38"/>
      <c r="U104" s="38"/>
      <c r="V104" s="38"/>
      <c r="W104" s="38"/>
      <c r="X104" s="38"/>
      <c r="Y104" s="38"/>
      <c r="Z104" s="38"/>
    </row>
    <row r="105" spans="1:26" ht="14.25" customHeight="1" x14ac:dyDescent="0.3">
      <c r="A105" s="38"/>
      <c r="B105" s="39"/>
      <c r="C105" s="141"/>
      <c r="D105" s="163"/>
      <c r="E105" s="163"/>
      <c r="F105" s="81"/>
      <c r="G105" s="81"/>
      <c r="H105" s="81"/>
      <c r="I105" s="81"/>
      <c r="J105" s="38"/>
      <c r="K105" s="38"/>
      <c r="L105" s="38"/>
      <c r="M105" s="38"/>
      <c r="N105" s="38"/>
      <c r="O105" s="38"/>
      <c r="P105" s="38"/>
      <c r="Q105" s="38"/>
      <c r="R105" s="38"/>
      <c r="S105" s="38"/>
      <c r="T105" s="38"/>
      <c r="U105" s="38"/>
      <c r="V105" s="38"/>
      <c r="W105" s="38"/>
      <c r="X105" s="38"/>
      <c r="Y105" s="38"/>
      <c r="Z105" s="38"/>
    </row>
    <row r="106" spans="1:26" ht="14.25" customHeight="1" x14ac:dyDescent="0.3">
      <c r="A106" s="38"/>
      <c r="B106" s="39"/>
      <c r="C106" s="141"/>
      <c r="D106" s="163"/>
      <c r="E106" s="163"/>
      <c r="F106" s="81"/>
      <c r="G106" s="81"/>
      <c r="H106" s="81"/>
      <c r="I106" s="81"/>
      <c r="J106" s="38"/>
      <c r="K106" s="38"/>
      <c r="L106" s="38"/>
      <c r="M106" s="38"/>
      <c r="N106" s="38"/>
      <c r="O106" s="38"/>
      <c r="P106" s="38"/>
      <c r="Q106" s="38"/>
      <c r="R106" s="38"/>
      <c r="S106" s="38"/>
      <c r="T106" s="38"/>
      <c r="U106" s="38"/>
      <c r="V106" s="38"/>
      <c r="W106" s="38"/>
      <c r="X106" s="38"/>
      <c r="Y106" s="38"/>
      <c r="Z106" s="38"/>
    </row>
    <row r="107" spans="1:26" ht="14.25" customHeight="1" x14ac:dyDescent="0.3">
      <c r="A107" s="38"/>
      <c r="B107" s="39"/>
      <c r="C107" s="141"/>
      <c r="D107" s="163"/>
      <c r="E107" s="163"/>
      <c r="F107" s="81"/>
      <c r="G107" s="81"/>
      <c r="H107" s="81"/>
      <c r="I107" s="81"/>
      <c r="J107" s="38"/>
      <c r="K107" s="38"/>
      <c r="L107" s="38"/>
      <c r="M107" s="38"/>
      <c r="N107" s="38"/>
      <c r="O107" s="38"/>
      <c r="P107" s="38"/>
      <c r="Q107" s="38"/>
      <c r="R107" s="38"/>
      <c r="S107" s="38"/>
      <c r="T107" s="38"/>
      <c r="U107" s="38"/>
      <c r="V107" s="38"/>
      <c r="W107" s="38"/>
      <c r="X107" s="38"/>
      <c r="Y107" s="38"/>
      <c r="Z107" s="38"/>
    </row>
    <row r="108" spans="1:26" ht="14.25" customHeight="1" x14ac:dyDescent="0.3">
      <c r="A108" s="38"/>
      <c r="B108" s="39"/>
      <c r="C108" s="141"/>
      <c r="D108" s="163"/>
      <c r="E108" s="163"/>
      <c r="F108" s="81"/>
      <c r="G108" s="81"/>
      <c r="H108" s="81"/>
      <c r="I108" s="81"/>
      <c r="J108" s="38"/>
      <c r="K108" s="38"/>
      <c r="L108" s="38"/>
      <c r="M108" s="38"/>
      <c r="N108" s="38"/>
      <c r="O108" s="38"/>
      <c r="P108" s="38"/>
      <c r="Q108" s="38"/>
      <c r="R108" s="38"/>
      <c r="S108" s="38"/>
      <c r="T108" s="38"/>
      <c r="U108" s="38"/>
      <c r="V108" s="38"/>
      <c r="W108" s="38"/>
      <c r="X108" s="38"/>
      <c r="Y108" s="38"/>
      <c r="Z108" s="38"/>
    </row>
    <row r="109" spans="1:26" ht="14.25" customHeight="1" x14ac:dyDescent="0.3">
      <c r="A109" s="38"/>
      <c r="B109" s="39"/>
      <c r="C109" s="141"/>
      <c r="D109" s="163"/>
      <c r="E109" s="163"/>
      <c r="F109" s="81"/>
      <c r="G109" s="81"/>
      <c r="H109" s="81"/>
      <c r="I109" s="81"/>
      <c r="J109" s="38"/>
      <c r="K109" s="38"/>
      <c r="L109" s="38"/>
      <c r="M109" s="38"/>
      <c r="N109" s="38"/>
      <c r="O109" s="38"/>
      <c r="P109" s="38"/>
      <c r="Q109" s="38"/>
      <c r="R109" s="38"/>
      <c r="S109" s="38"/>
      <c r="T109" s="38"/>
      <c r="U109" s="38"/>
      <c r="V109" s="38"/>
      <c r="W109" s="38"/>
      <c r="X109" s="38"/>
      <c r="Y109" s="38"/>
      <c r="Z109" s="38"/>
    </row>
    <row r="110" spans="1:26" ht="14.25" customHeight="1" x14ac:dyDescent="0.3">
      <c r="A110" s="38"/>
      <c r="B110" s="39"/>
      <c r="C110" s="141"/>
      <c r="D110" s="163"/>
      <c r="E110" s="163"/>
      <c r="F110" s="81"/>
      <c r="G110" s="81"/>
      <c r="H110" s="81"/>
      <c r="I110" s="81"/>
      <c r="J110" s="38"/>
      <c r="K110" s="38"/>
      <c r="L110" s="38"/>
      <c r="M110" s="38"/>
      <c r="N110" s="38"/>
      <c r="O110" s="38"/>
      <c r="P110" s="38"/>
      <c r="Q110" s="38"/>
      <c r="R110" s="38"/>
      <c r="S110" s="38"/>
      <c r="T110" s="38"/>
      <c r="U110" s="38"/>
      <c r="V110" s="38"/>
      <c r="W110" s="38"/>
      <c r="X110" s="38"/>
      <c r="Y110" s="38"/>
      <c r="Z110" s="38"/>
    </row>
    <row r="111" spans="1:26" ht="14.25" customHeight="1" x14ac:dyDescent="0.3">
      <c r="A111" s="38"/>
      <c r="B111" s="39"/>
      <c r="C111" s="141"/>
      <c r="D111" s="163"/>
      <c r="E111" s="163"/>
      <c r="F111" s="81"/>
      <c r="G111" s="81"/>
      <c r="H111" s="81"/>
      <c r="I111" s="81"/>
      <c r="J111" s="38"/>
      <c r="K111" s="38"/>
      <c r="L111" s="38"/>
      <c r="M111" s="38"/>
      <c r="N111" s="38"/>
      <c r="O111" s="38"/>
      <c r="P111" s="38"/>
      <c r="Q111" s="38"/>
      <c r="R111" s="38"/>
      <c r="S111" s="38"/>
      <c r="T111" s="38"/>
      <c r="U111" s="38"/>
      <c r="V111" s="38"/>
      <c r="W111" s="38"/>
      <c r="X111" s="38"/>
      <c r="Y111" s="38"/>
      <c r="Z111" s="38"/>
    </row>
    <row r="112" spans="1:26" ht="14.25" customHeight="1" x14ac:dyDescent="0.3">
      <c r="A112" s="38"/>
      <c r="B112" s="39"/>
      <c r="C112" s="141"/>
      <c r="D112" s="163"/>
      <c r="E112" s="163"/>
      <c r="F112" s="81"/>
      <c r="G112" s="81"/>
      <c r="H112" s="81"/>
      <c r="I112" s="81"/>
      <c r="J112" s="38"/>
      <c r="K112" s="38"/>
      <c r="L112" s="38"/>
      <c r="M112" s="38"/>
      <c r="N112" s="38"/>
      <c r="O112" s="38"/>
      <c r="P112" s="38"/>
      <c r="Q112" s="38"/>
      <c r="R112" s="38"/>
      <c r="S112" s="38"/>
      <c r="T112" s="38"/>
      <c r="U112" s="38"/>
      <c r="V112" s="38"/>
      <c r="W112" s="38"/>
      <c r="X112" s="38"/>
      <c r="Y112" s="38"/>
      <c r="Z112" s="38"/>
    </row>
    <row r="113" spans="1:26" ht="14.25" customHeight="1" x14ac:dyDescent="0.3">
      <c r="A113" s="38"/>
      <c r="B113" s="39"/>
      <c r="C113" s="141"/>
      <c r="D113" s="163"/>
      <c r="E113" s="163"/>
      <c r="F113" s="81"/>
      <c r="G113" s="81"/>
      <c r="H113" s="81"/>
      <c r="I113" s="81"/>
      <c r="J113" s="38"/>
      <c r="K113" s="38"/>
      <c r="L113" s="38"/>
      <c r="M113" s="38"/>
      <c r="N113" s="38"/>
      <c r="O113" s="38"/>
      <c r="P113" s="38"/>
      <c r="Q113" s="38"/>
      <c r="R113" s="38"/>
      <c r="S113" s="38"/>
      <c r="T113" s="38"/>
      <c r="U113" s="38"/>
      <c r="V113" s="38"/>
      <c r="W113" s="38"/>
      <c r="X113" s="38"/>
      <c r="Y113" s="38"/>
      <c r="Z113" s="38"/>
    </row>
    <row r="114" spans="1:26" ht="14.25" customHeight="1" x14ac:dyDescent="0.3">
      <c r="A114" s="38"/>
      <c r="B114" s="39"/>
      <c r="C114" s="141"/>
      <c r="D114" s="163"/>
      <c r="E114" s="163"/>
      <c r="F114" s="81"/>
      <c r="G114" s="81"/>
      <c r="H114" s="81"/>
      <c r="I114" s="81"/>
      <c r="J114" s="38"/>
      <c r="K114" s="38"/>
      <c r="L114" s="38"/>
      <c r="M114" s="38"/>
      <c r="N114" s="38"/>
      <c r="O114" s="38"/>
      <c r="P114" s="38"/>
      <c r="Q114" s="38"/>
      <c r="R114" s="38"/>
      <c r="S114" s="38"/>
      <c r="T114" s="38"/>
      <c r="U114" s="38"/>
      <c r="V114" s="38"/>
      <c r="W114" s="38"/>
      <c r="X114" s="38"/>
      <c r="Y114" s="38"/>
      <c r="Z114" s="38"/>
    </row>
    <row r="115" spans="1:26" ht="14.25" customHeight="1" x14ac:dyDescent="0.3">
      <c r="A115" s="38"/>
      <c r="B115" s="39"/>
      <c r="C115" s="141"/>
      <c r="D115" s="163"/>
      <c r="E115" s="163"/>
      <c r="F115" s="81"/>
      <c r="G115" s="81"/>
      <c r="H115" s="81"/>
      <c r="I115" s="81"/>
      <c r="J115" s="38"/>
      <c r="K115" s="38"/>
      <c r="L115" s="38"/>
      <c r="M115" s="38"/>
      <c r="N115" s="38"/>
      <c r="O115" s="38"/>
      <c r="P115" s="38"/>
      <c r="Q115" s="38"/>
      <c r="R115" s="38"/>
      <c r="S115" s="38"/>
      <c r="T115" s="38"/>
      <c r="U115" s="38"/>
      <c r="V115" s="38"/>
      <c r="W115" s="38"/>
      <c r="X115" s="38"/>
      <c r="Y115" s="38"/>
      <c r="Z115" s="38"/>
    </row>
    <row r="116" spans="1:26" ht="14.25" customHeight="1" x14ac:dyDescent="0.3">
      <c r="A116" s="38"/>
      <c r="B116" s="39"/>
      <c r="C116" s="141"/>
      <c r="D116" s="163"/>
      <c r="E116" s="163"/>
      <c r="F116" s="81"/>
      <c r="G116" s="81"/>
      <c r="H116" s="81"/>
      <c r="I116" s="81"/>
      <c r="J116" s="38"/>
      <c r="K116" s="38"/>
      <c r="L116" s="38"/>
      <c r="M116" s="38"/>
      <c r="N116" s="38"/>
      <c r="O116" s="38"/>
      <c r="P116" s="38"/>
      <c r="Q116" s="38"/>
      <c r="R116" s="38"/>
      <c r="S116" s="38"/>
      <c r="T116" s="38"/>
      <c r="U116" s="38"/>
      <c r="V116" s="38"/>
      <c r="W116" s="38"/>
      <c r="X116" s="38"/>
      <c r="Y116" s="38"/>
      <c r="Z116" s="38"/>
    </row>
    <row r="117" spans="1:26" ht="14.25" customHeight="1" x14ac:dyDescent="0.3">
      <c r="A117" s="38"/>
      <c r="B117" s="39"/>
      <c r="C117" s="141"/>
      <c r="D117" s="163"/>
      <c r="E117" s="163"/>
      <c r="F117" s="81"/>
      <c r="G117" s="81"/>
      <c r="H117" s="81"/>
      <c r="I117" s="81"/>
      <c r="J117" s="38"/>
      <c r="K117" s="38"/>
      <c r="L117" s="38"/>
      <c r="M117" s="38"/>
      <c r="N117" s="38"/>
      <c r="O117" s="38"/>
      <c r="P117" s="38"/>
      <c r="Q117" s="38"/>
      <c r="R117" s="38"/>
      <c r="S117" s="38"/>
      <c r="T117" s="38"/>
      <c r="U117" s="38"/>
      <c r="V117" s="38"/>
      <c r="W117" s="38"/>
      <c r="X117" s="38"/>
      <c r="Y117" s="38"/>
      <c r="Z117" s="38"/>
    </row>
    <row r="118" spans="1:26" ht="14.25" customHeight="1" x14ac:dyDescent="0.3">
      <c r="A118" s="38"/>
      <c r="B118" s="39"/>
      <c r="C118" s="141"/>
      <c r="D118" s="163"/>
      <c r="E118" s="163"/>
      <c r="F118" s="81"/>
      <c r="G118" s="81"/>
      <c r="H118" s="81"/>
      <c r="I118" s="81"/>
      <c r="J118" s="38"/>
      <c r="K118" s="38"/>
      <c r="L118" s="38"/>
      <c r="M118" s="38"/>
      <c r="N118" s="38"/>
      <c r="O118" s="38"/>
      <c r="P118" s="38"/>
      <c r="Q118" s="38"/>
      <c r="R118" s="38"/>
      <c r="S118" s="38"/>
      <c r="T118" s="38"/>
      <c r="U118" s="38"/>
      <c r="V118" s="38"/>
      <c r="W118" s="38"/>
      <c r="X118" s="38"/>
      <c r="Y118" s="38"/>
      <c r="Z118" s="38"/>
    </row>
    <row r="119" spans="1:26" ht="14.25" customHeight="1" x14ac:dyDescent="0.3">
      <c r="A119" s="38"/>
      <c r="B119" s="39"/>
      <c r="C119" s="141"/>
      <c r="D119" s="163"/>
      <c r="E119" s="163"/>
      <c r="F119" s="81"/>
      <c r="G119" s="81"/>
      <c r="H119" s="81"/>
      <c r="I119" s="81"/>
      <c r="J119" s="38"/>
      <c r="K119" s="38"/>
      <c r="L119" s="38"/>
      <c r="M119" s="38"/>
      <c r="N119" s="38"/>
      <c r="O119" s="38"/>
      <c r="P119" s="38"/>
      <c r="Q119" s="38"/>
      <c r="R119" s="38"/>
      <c r="S119" s="38"/>
      <c r="T119" s="38"/>
      <c r="U119" s="38"/>
      <c r="V119" s="38"/>
      <c r="W119" s="38"/>
      <c r="X119" s="38"/>
      <c r="Y119" s="38"/>
      <c r="Z119" s="38"/>
    </row>
    <row r="120" spans="1:26" ht="14.25" customHeight="1" x14ac:dyDescent="0.3">
      <c r="A120" s="38"/>
      <c r="B120" s="39"/>
      <c r="C120" s="141"/>
      <c r="D120" s="163"/>
      <c r="E120" s="163"/>
      <c r="F120" s="81"/>
      <c r="G120" s="81"/>
      <c r="H120" s="81"/>
      <c r="I120" s="81"/>
      <c r="J120" s="38"/>
      <c r="K120" s="38"/>
      <c r="L120" s="38"/>
      <c r="M120" s="38"/>
      <c r="N120" s="38"/>
      <c r="O120" s="38"/>
      <c r="P120" s="38"/>
      <c r="Q120" s="38"/>
      <c r="R120" s="38"/>
      <c r="S120" s="38"/>
      <c r="T120" s="38"/>
      <c r="U120" s="38"/>
      <c r="V120" s="38"/>
      <c r="W120" s="38"/>
      <c r="X120" s="38"/>
      <c r="Y120" s="38"/>
      <c r="Z120" s="38"/>
    </row>
    <row r="121" spans="1:26" ht="14.25" customHeight="1" x14ac:dyDescent="0.3">
      <c r="A121" s="38"/>
      <c r="B121" s="39"/>
      <c r="C121" s="141"/>
      <c r="D121" s="163"/>
      <c r="E121" s="163"/>
      <c r="F121" s="81"/>
      <c r="G121" s="81"/>
      <c r="H121" s="81"/>
      <c r="I121" s="81"/>
      <c r="J121" s="38"/>
      <c r="K121" s="38"/>
      <c r="L121" s="38"/>
      <c r="M121" s="38"/>
      <c r="N121" s="38"/>
      <c r="O121" s="38"/>
      <c r="P121" s="38"/>
      <c r="Q121" s="38"/>
      <c r="R121" s="38"/>
      <c r="S121" s="38"/>
      <c r="T121" s="38"/>
      <c r="U121" s="38"/>
      <c r="V121" s="38"/>
      <c r="W121" s="38"/>
      <c r="X121" s="38"/>
      <c r="Y121" s="38"/>
      <c r="Z121" s="38"/>
    </row>
    <row r="122" spans="1:26" ht="14.25" customHeight="1" x14ac:dyDescent="0.3">
      <c r="A122" s="38"/>
      <c r="B122" s="39"/>
      <c r="C122" s="141"/>
      <c r="D122" s="163"/>
      <c r="E122" s="163"/>
      <c r="F122" s="81"/>
      <c r="G122" s="81"/>
      <c r="H122" s="81"/>
      <c r="I122" s="81"/>
      <c r="J122" s="38"/>
      <c r="K122" s="38"/>
      <c r="L122" s="38"/>
      <c r="M122" s="38"/>
      <c r="N122" s="38"/>
      <c r="O122" s="38"/>
      <c r="P122" s="38"/>
      <c r="Q122" s="38"/>
      <c r="R122" s="38"/>
      <c r="S122" s="38"/>
      <c r="T122" s="38"/>
      <c r="U122" s="38"/>
      <c r="V122" s="38"/>
      <c r="W122" s="38"/>
      <c r="X122" s="38"/>
      <c r="Y122" s="38"/>
      <c r="Z122" s="38"/>
    </row>
    <row r="123" spans="1:26" ht="14.25" customHeight="1" x14ac:dyDescent="0.3">
      <c r="A123" s="38"/>
      <c r="B123" s="39"/>
      <c r="C123" s="141"/>
      <c r="D123" s="163"/>
      <c r="E123" s="163"/>
      <c r="F123" s="81"/>
      <c r="G123" s="81"/>
      <c r="H123" s="81"/>
      <c r="I123" s="81"/>
      <c r="J123" s="38"/>
      <c r="K123" s="38"/>
      <c r="L123" s="38"/>
      <c r="M123" s="38"/>
      <c r="N123" s="38"/>
      <c r="O123" s="38"/>
      <c r="P123" s="38"/>
      <c r="Q123" s="38"/>
      <c r="R123" s="38"/>
      <c r="S123" s="38"/>
      <c r="T123" s="38"/>
      <c r="U123" s="38"/>
      <c r="V123" s="38"/>
      <c r="W123" s="38"/>
      <c r="X123" s="38"/>
      <c r="Y123" s="38"/>
      <c r="Z123" s="38"/>
    </row>
    <row r="124" spans="1:26" ht="14.25" customHeight="1" x14ac:dyDescent="0.3">
      <c r="A124" s="38"/>
      <c r="B124" s="39"/>
      <c r="C124" s="141"/>
      <c r="D124" s="163"/>
      <c r="E124" s="163"/>
      <c r="F124" s="81"/>
      <c r="G124" s="81"/>
      <c r="H124" s="81"/>
      <c r="I124" s="81"/>
      <c r="J124" s="38"/>
      <c r="K124" s="38"/>
      <c r="L124" s="38"/>
      <c r="M124" s="38"/>
      <c r="N124" s="38"/>
      <c r="O124" s="38"/>
      <c r="P124" s="38"/>
      <c r="Q124" s="38"/>
      <c r="R124" s="38"/>
      <c r="S124" s="38"/>
      <c r="T124" s="38"/>
      <c r="U124" s="38"/>
      <c r="V124" s="38"/>
      <c r="W124" s="38"/>
      <c r="X124" s="38"/>
      <c r="Y124" s="38"/>
      <c r="Z124" s="38"/>
    </row>
    <row r="125" spans="1:26" ht="14.25" customHeight="1" x14ac:dyDescent="0.3">
      <c r="A125" s="38"/>
      <c r="B125" s="39"/>
      <c r="C125" s="141"/>
      <c r="D125" s="163"/>
      <c r="E125" s="163"/>
      <c r="F125" s="81"/>
      <c r="G125" s="81"/>
      <c r="H125" s="81"/>
      <c r="I125" s="81"/>
      <c r="J125" s="38"/>
      <c r="K125" s="38"/>
      <c r="L125" s="38"/>
      <c r="M125" s="38"/>
      <c r="N125" s="38"/>
      <c r="O125" s="38"/>
      <c r="P125" s="38"/>
      <c r="Q125" s="38"/>
      <c r="R125" s="38"/>
      <c r="S125" s="38"/>
      <c r="T125" s="38"/>
      <c r="U125" s="38"/>
      <c r="V125" s="38"/>
      <c r="W125" s="38"/>
      <c r="X125" s="38"/>
      <c r="Y125" s="38"/>
      <c r="Z125" s="38"/>
    </row>
    <row r="126" spans="1:26" ht="14.25" customHeight="1" x14ac:dyDescent="0.3">
      <c r="A126" s="38"/>
      <c r="B126" s="39"/>
      <c r="C126" s="141"/>
      <c r="D126" s="163"/>
      <c r="E126" s="163"/>
      <c r="F126" s="81"/>
      <c r="G126" s="81"/>
      <c r="H126" s="81"/>
      <c r="I126" s="81"/>
      <c r="J126" s="38"/>
      <c r="K126" s="38"/>
      <c r="L126" s="38"/>
      <c r="M126" s="38"/>
      <c r="N126" s="38"/>
      <c r="O126" s="38"/>
      <c r="P126" s="38"/>
      <c r="Q126" s="38"/>
      <c r="R126" s="38"/>
      <c r="S126" s="38"/>
      <c r="T126" s="38"/>
      <c r="U126" s="38"/>
      <c r="V126" s="38"/>
      <c r="W126" s="38"/>
      <c r="X126" s="38"/>
      <c r="Y126" s="38"/>
      <c r="Z126" s="38"/>
    </row>
    <row r="127" spans="1:26" ht="14.25" customHeight="1" x14ac:dyDescent="0.3">
      <c r="A127" s="38"/>
      <c r="B127" s="39"/>
      <c r="C127" s="141"/>
      <c r="D127" s="163"/>
      <c r="E127" s="163"/>
      <c r="F127" s="81"/>
      <c r="G127" s="81"/>
      <c r="H127" s="81"/>
      <c r="I127" s="81"/>
      <c r="J127" s="38"/>
      <c r="K127" s="38"/>
      <c r="L127" s="38"/>
      <c r="M127" s="38"/>
      <c r="N127" s="38"/>
      <c r="O127" s="38"/>
      <c r="P127" s="38"/>
      <c r="Q127" s="38"/>
      <c r="R127" s="38"/>
      <c r="S127" s="38"/>
      <c r="T127" s="38"/>
      <c r="U127" s="38"/>
      <c r="V127" s="38"/>
      <c r="W127" s="38"/>
      <c r="X127" s="38"/>
      <c r="Y127" s="38"/>
      <c r="Z127" s="38"/>
    </row>
    <row r="128" spans="1:26" ht="14.25" customHeight="1" x14ac:dyDescent="0.3">
      <c r="A128" s="38"/>
      <c r="B128" s="39"/>
      <c r="C128" s="141"/>
      <c r="D128" s="163"/>
      <c r="E128" s="163"/>
      <c r="F128" s="81"/>
      <c r="G128" s="81"/>
      <c r="H128" s="81"/>
      <c r="I128" s="81"/>
      <c r="J128" s="38"/>
      <c r="K128" s="38"/>
      <c r="L128" s="38"/>
      <c r="M128" s="38"/>
      <c r="N128" s="38"/>
      <c r="O128" s="38"/>
      <c r="P128" s="38"/>
      <c r="Q128" s="38"/>
      <c r="R128" s="38"/>
      <c r="S128" s="38"/>
      <c r="T128" s="38"/>
      <c r="U128" s="38"/>
      <c r="V128" s="38"/>
      <c r="W128" s="38"/>
      <c r="X128" s="38"/>
      <c r="Y128" s="38"/>
      <c r="Z128" s="38"/>
    </row>
    <row r="129" spans="1:26" ht="14.25" customHeight="1" x14ac:dyDescent="0.3">
      <c r="A129" s="38"/>
      <c r="B129" s="39"/>
      <c r="C129" s="141"/>
      <c r="D129" s="163"/>
      <c r="E129" s="163"/>
      <c r="F129" s="81"/>
      <c r="G129" s="81"/>
      <c r="H129" s="81"/>
      <c r="I129" s="81"/>
      <c r="J129" s="38"/>
      <c r="K129" s="38"/>
      <c r="L129" s="38"/>
      <c r="M129" s="38"/>
      <c r="N129" s="38"/>
      <c r="O129" s="38"/>
      <c r="P129" s="38"/>
      <c r="Q129" s="38"/>
      <c r="R129" s="38"/>
      <c r="S129" s="38"/>
      <c r="T129" s="38"/>
      <c r="U129" s="38"/>
      <c r="V129" s="38"/>
      <c r="W129" s="38"/>
      <c r="X129" s="38"/>
      <c r="Y129" s="38"/>
      <c r="Z129" s="38"/>
    </row>
    <row r="130" spans="1:26" ht="14.25" customHeight="1" x14ac:dyDescent="0.3">
      <c r="A130" s="38"/>
      <c r="B130" s="39"/>
      <c r="C130" s="141"/>
      <c r="D130" s="163"/>
      <c r="E130" s="163"/>
      <c r="F130" s="81"/>
      <c r="G130" s="81"/>
      <c r="H130" s="81"/>
      <c r="I130" s="81"/>
      <c r="J130" s="38"/>
      <c r="K130" s="38"/>
      <c r="L130" s="38"/>
      <c r="M130" s="38"/>
      <c r="N130" s="38"/>
      <c r="O130" s="38"/>
      <c r="P130" s="38"/>
      <c r="Q130" s="38"/>
      <c r="R130" s="38"/>
      <c r="S130" s="38"/>
      <c r="T130" s="38"/>
      <c r="U130" s="38"/>
      <c r="V130" s="38"/>
      <c r="W130" s="38"/>
      <c r="X130" s="38"/>
      <c r="Y130" s="38"/>
      <c r="Z130" s="38"/>
    </row>
    <row r="131" spans="1:26" ht="14.25" customHeight="1" x14ac:dyDescent="0.3">
      <c r="A131" s="38"/>
      <c r="B131" s="39"/>
      <c r="C131" s="141"/>
      <c r="D131" s="163"/>
      <c r="E131" s="163"/>
      <c r="F131" s="81"/>
      <c r="G131" s="81"/>
      <c r="H131" s="81"/>
      <c r="I131" s="81"/>
      <c r="J131" s="38"/>
      <c r="K131" s="38"/>
      <c r="L131" s="38"/>
      <c r="M131" s="38"/>
      <c r="N131" s="38"/>
      <c r="O131" s="38"/>
      <c r="P131" s="38"/>
      <c r="Q131" s="38"/>
      <c r="R131" s="38"/>
      <c r="S131" s="38"/>
      <c r="T131" s="38"/>
      <c r="U131" s="38"/>
      <c r="V131" s="38"/>
      <c r="W131" s="38"/>
      <c r="X131" s="38"/>
      <c r="Y131" s="38"/>
      <c r="Z131" s="38"/>
    </row>
    <row r="132" spans="1:26" ht="14.25" customHeight="1" x14ac:dyDescent="0.3">
      <c r="A132" s="38"/>
      <c r="B132" s="39"/>
      <c r="C132" s="141"/>
      <c r="D132" s="163"/>
      <c r="E132" s="163"/>
      <c r="F132" s="81"/>
      <c r="G132" s="81"/>
      <c r="H132" s="81"/>
      <c r="I132" s="81"/>
      <c r="J132" s="38"/>
      <c r="K132" s="38"/>
      <c r="L132" s="38"/>
      <c r="M132" s="38"/>
      <c r="N132" s="38"/>
      <c r="O132" s="38"/>
      <c r="P132" s="38"/>
      <c r="Q132" s="38"/>
      <c r="R132" s="38"/>
      <c r="S132" s="38"/>
      <c r="T132" s="38"/>
      <c r="U132" s="38"/>
      <c r="V132" s="38"/>
      <c r="W132" s="38"/>
      <c r="X132" s="38"/>
      <c r="Y132" s="38"/>
      <c r="Z132" s="38"/>
    </row>
    <row r="133" spans="1:26" ht="14.25" customHeight="1" x14ac:dyDescent="0.3">
      <c r="A133" s="38"/>
      <c r="B133" s="39"/>
      <c r="C133" s="141"/>
      <c r="D133" s="163"/>
      <c r="E133" s="163"/>
      <c r="F133" s="81"/>
      <c r="G133" s="81"/>
      <c r="H133" s="81"/>
      <c r="I133" s="81"/>
      <c r="J133" s="38"/>
      <c r="K133" s="38"/>
      <c r="L133" s="38"/>
      <c r="M133" s="38"/>
      <c r="N133" s="38"/>
      <c r="O133" s="38"/>
      <c r="P133" s="38"/>
      <c r="Q133" s="38"/>
      <c r="R133" s="38"/>
      <c r="S133" s="38"/>
      <c r="T133" s="38"/>
      <c r="U133" s="38"/>
      <c r="V133" s="38"/>
      <c r="W133" s="38"/>
      <c r="X133" s="38"/>
      <c r="Y133" s="38"/>
      <c r="Z133" s="38"/>
    </row>
    <row r="134" spans="1:26" ht="14.25" customHeight="1" x14ac:dyDescent="0.3">
      <c r="A134" s="38"/>
      <c r="B134" s="39"/>
      <c r="C134" s="141"/>
      <c r="D134" s="163"/>
      <c r="E134" s="163"/>
      <c r="F134" s="81"/>
      <c r="G134" s="81"/>
      <c r="H134" s="81"/>
      <c r="I134" s="81"/>
      <c r="J134" s="38"/>
      <c r="K134" s="38"/>
      <c r="L134" s="38"/>
      <c r="M134" s="38"/>
      <c r="N134" s="38"/>
      <c r="O134" s="38"/>
      <c r="P134" s="38"/>
      <c r="Q134" s="38"/>
      <c r="R134" s="38"/>
      <c r="S134" s="38"/>
      <c r="T134" s="38"/>
      <c r="U134" s="38"/>
      <c r="V134" s="38"/>
      <c r="W134" s="38"/>
      <c r="X134" s="38"/>
      <c r="Y134" s="38"/>
      <c r="Z134" s="38"/>
    </row>
    <row r="135" spans="1:26" ht="14.25" customHeight="1" x14ac:dyDescent="0.3">
      <c r="A135" s="38"/>
      <c r="B135" s="39"/>
      <c r="C135" s="141"/>
      <c r="D135" s="163"/>
      <c r="E135" s="163"/>
      <c r="F135" s="81"/>
      <c r="G135" s="81"/>
      <c r="H135" s="81"/>
      <c r="I135" s="81"/>
      <c r="J135" s="38"/>
      <c r="K135" s="38"/>
      <c r="L135" s="38"/>
      <c r="M135" s="38"/>
      <c r="N135" s="38"/>
      <c r="O135" s="38"/>
      <c r="P135" s="38"/>
      <c r="Q135" s="38"/>
      <c r="R135" s="38"/>
      <c r="S135" s="38"/>
      <c r="T135" s="38"/>
      <c r="U135" s="38"/>
      <c r="V135" s="38"/>
      <c r="W135" s="38"/>
      <c r="X135" s="38"/>
      <c r="Y135" s="38"/>
      <c r="Z135" s="38"/>
    </row>
    <row r="136" spans="1:26" ht="14.25" customHeight="1" x14ac:dyDescent="0.3">
      <c r="A136" s="38"/>
      <c r="B136" s="39"/>
      <c r="C136" s="141"/>
      <c r="D136" s="163"/>
      <c r="E136" s="163"/>
      <c r="F136" s="81"/>
      <c r="G136" s="81"/>
      <c r="H136" s="81"/>
      <c r="I136" s="81"/>
      <c r="J136" s="38"/>
      <c r="K136" s="38"/>
      <c r="L136" s="38"/>
      <c r="M136" s="38"/>
      <c r="N136" s="38"/>
      <c r="O136" s="38"/>
      <c r="P136" s="38"/>
      <c r="Q136" s="38"/>
      <c r="R136" s="38"/>
      <c r="S136" s="38"/>
      <c r="T136" s="38"/>
      <c r="U136" s="38"/>
      <c r="V136" s="38"/>
      <c r="W136" s="38"/>
      <c r="X136" s="38"/>
      <c r="Y136" s="38"/>
      <c r="Z136" s="38"/>
    </row>
    <row r="137" spans="1:26" ht="14.25" customHeight="1" x14ac:dyDescent="0.3">
      <c r="A137" s="38"/>
      <c r="B137" s="39"/>
      <c r="C137" s="141"/>
      <c r="D137" s="163"/>
      <c r="E137" s="163"/>
      <c r="F137" s="81"/>
      <c r="G137" s="81"/>
      <c r="H137" s="81"/>
      <c r="I137" s="81"/>
      <c r="J137" s="38"/>
      <c r="K137" s="38"/>
      <c r="L137" s="38"/>
      <c r="M137" s="38"/>
      <c r="N137" s="38"/>
      <c r="O137" s="38"/>
      <c r="P137" s="38"/>
      <c r="Q137" s="38"/>
      <c r="R137" s="38"/>
      <c r="S137" s="38"/>
      <c r="T137" s="38"/>
      <c r="U137" s="38"/>
      <c r="V137" s="38"/>
      <c r="W137" s="38"/>
      <c r="X137" s="38"/>
      <c r="Y137" s="38"/>
      <c r="Z137" s="38"/>
    </row>
    <row r="138" spans="1:26" ht="14.25" customHeight="1" x14ac:dyDescent="0.3">
      <c r="A138" s="38"/>
      <c r="B138" s="39"/>
      <c r="C138" s="141"/>
      <c r="D138" s="163"/>
      <c r="E138" s="163"/>
      <c r="F138" s="81"/>
      <c r="G138" s="81"/>
      <c r="H138" s="81"/>
      <c r="I138" s="81"/>
      <c r="J138" s="38"/>
      <c r="K138" s="38"/>
      <c r="L138" s="38"/>
      <c r="M138" s="38"/>
      <c r="N138" s="38"/>
      <c r="O138" s="38"/>
      <c r="P138" s="38"/>
      <c r="Q138" s="38"/>
      <c r="R138" s="38"/>
      <c r="S138" s="38"/>
      <c r="T138" s="38"/>
      <c r="U138" s="38"/>
      <c r="V138" s="38"/>
      <c r="W138" s="38"/>
      <c r="X138" s="38"/>
      <c r="Y138" s="38"/>
      <c r="Z138" s="38"/>
    </row>
    <row r="139" spans="1:26" ht="14.25" customHeight="1" x14ac:dyDescent="0.3">
      <c r="A139" s="38"/>
      <c r="B139" s="39"/>
      <c r="C139" s="141"/>
      <c r="D139" s="163"/>
      <c r="E139" s="163"/>
      <c r="F139" s="81"/>
      <c r="G139" s="81"/>
      <c r="H139" s="81"/>
      <c r="I139" s="81"/>
      <c r="J139" s="38"/>
      <c r="K139" s="38"/>
      <c r="L139" s="38"/>
      <c r="M139" s="38"/>
      <c r="N139" s="38"/>
      <c r="O139" s="38"/>
      <c r="P139" s="38"/>
      <c r="Q139" s="38"/>
      <c r="R139" s="38"/>
      <c r="S139" s="38"/>
      <c r="T139" s="38"/>
      <c r="U139" s="38"/>
      <c r="V139" s="38"/>
      <c r="W139" s="38"/>
      <c r="X139" s="38"/>
      <c r="Y139" s="38"/>
      <c r="Z139" s="38"/>
    </row>
    <row r="140" spans="1:26" ht="14.25" customHeight="1" x14ac:dyDescent="0.3">
      <c r="A140" s="38"/>
      <c r="B140" s="39"/>
      <c r="C140" s="141"/>
      <c r="D140" s="163"/>
      <c r="E140" s="163"/>
      <c r="F140" s="81"/>
      <c r="G140" s="81"/>
      <c r="H140" s="81"/>
      <c r="I140" s="81"/>
      <c r="J140" s="38"/>
      <c r="K140" s="38"/>
      <c r="L140" s="38"/>
      <c r="M140" s="38"/>
      <c r="N140" s="38"/>
      <c r="O140" s="38"/>
      <c r="P140" s="38"/>
      <c r="Q140" s="38"/>
      <c r="R140" s="38"/>
      <c r="S140" s="38"/>
      <c r="T140" s="38"/>
      <c r="U140" s="38"/>
      <c r="V140" s="38"/>
      <c r="W140" s="38"/>
      <c r="X140" s="38"/>
      <c r="Y140" s="38"/>
      <c r="Z140" s="38"/>
    </row>
    <row r="141" spans="1:26" ht="14.25" customHeight="1" x14ac:dyDescent="0.3">
      <c r="A141" s="38"/>
      <c r="B141" s="39"/>
      <c r="C141" s="141"/>
      <c r="D141" s="163"/>
      <c r="E141" s="163"/>
      <c r="F141" s="81"/>
      <c r="G141" s="81"/>
      <c r="H141" s="81"/>
      <c r="I141" s="81"/>
      <c r="J141" s="38"/>
      <c r="K141" s="38"/>
      <c r="L141" s="38"/>
      <c r="M141" s="38"/>
      <c r="N141" s="38"/>
      <c r="O141" s="38"/>
      <c r="P141" s="38"/>
      <c r="Q141" s="38"/>
      <c r="R141" s="38"/>
      <c r="S141" s="38"/>
      <c r="T141" s="38"/>
      <c r="U141" s="38"/>
      <c r="V141" s="38"/>
      <c r="W141" s="38"/>
      <c r="X141" s="38"/>
      <c r="Y141" s="38"/>
      <c r="Z141" s="38"/>
    </row>
    <row r="142" spans="1:26" ht="14.25" customHeight="1" x14ac:dyDescent="0.3">
      <c r="A142" s="38"/>
      <c r="B142" s="39"/>
      <c r="C142" s="141"/>
      <c r="D142" s="163"/>
      <c r="E142" s="163"/>
      <c r="F142" s="81"/>
      <c r="G142" s="81"/>
      <c r="H142" s="81"/>
      <c r="I142" s="81"/>
      <c r="J142" s="38"/>
      <c r="K142" s="38"/>
      <c r="L142" s="38"/>
      <c r="M142" s="38"/>
      <c r="N142" s="38"/>
      <c r="O142" s="38"/>
      <c r="P142" s="38"/>
      <c r="Q142" s="38"/>
      <c r="R142" s="38"/>
      <c r="S142" s="38"/>
      <c r="T142" s="38"/>
      <c r="U142" s="38"/>
      <c r="V142" s="38"/>
      <c r="W142" s="38"/>
      <c r="X142" s="38"/>
      <c r="Y142" s="38"/>
      <c r="Z142" s="38"/>
    </row>
    <row r="143" spans="1:26" ht="14.25" customHeight="1" x14ac:dyDescent="0.3">
      <c r="A143" s="38"/>
      <c r="B143" s="39"/>
      <c r="C143" s="141"/>
      <c r="D143" s="163"/>
      <c r="E143" s="163"/>
      <c r="F143" s="81"/>
      <c r="G143" s="81"/>
      <c r="H143" s="81"/>
      <c r="I143" s="81"/>
      <c r="J143" s="38"/>
      <c r="K143" s="38"/>
      <c r="L143" s="38"/>
      <c r="M143" s="38"/>
      <c r="N143" s="38"/>
      <c r="O143" s="38"/>
      <c r="P143" s="38"/>
      <c r="Q143" s="38"/>
      <c r="R143" s="38"/>
      <c r="S143" s="38"/>
      <c r="T143" s="38"/>
      <c r="U143" s="38"/>
      <c r="V143" s="38"/>
      <c r="W143" s="38"/>
      <c r="X143" s="38"/>
      <c r="Y143" s="38"/>
      <c r="Z143" s="38"/>
    </row>
    <row r="144" spans="1:26" ht="14.25" customHeight="1" x14ac:dyDescent="0.3">
      <c r="A144" s="38"/>
      <c r="B144" s="39"/>
      <c r="C144" s="141"/>
      <c r="D144" s="163"/>
      <c r="E144" s="163"/>
      <c r="F144" s="81"/>
      <c r="G144" s="81"/>
      <c r="H144" s="81"/>
      <c r="I144" s="81"/>
      <c r="J144" s="38"/>
      <c r="K144" s="38"/>
      <c r="L144" s="38"/>
      <c r="M144" s="38"/>
      <c r="N144" s="38"/>
      <c r="O144" s="38"/>
      <c r="P144" s="38"/>
      <c r="Q144" s="38"/>
      <c r="R144" s="38"/>
      <c r="S144" s="38"/>
      <c r="T144" s="38"/>
      <c r="U144" s="38"/>
      <c r="V144" s="38"/>
      <c r="W144" s="38"/>
      <c r="X144" s="38"/>
      <c r="Y144" s="38"/>
      <c r="Z144" s="38"/>
    </row>
    <row r="145" spans="1:26" ht="14.25" customHeight="1" x14ac:dyDescent="0.3">
      <c r="A145" s="38"/>
      <c r="B145" s="39"/>
      <c r="C145" s="141"/>
      <c r="D145" s="163"/>
      <c r="E145" s="163"/>
      <c r="F145" s="81"/>
      <c r="G145" s="81"/>
      <c r="H145" s="81"/>
      <c r="I145" s="81"/>
      <c r="J145" s="38"/>
      <c r="K145" s="38"/>
      <c r="L145" s="38"/>
      <c r="M145" s="38"/>
      <c r="N145" s="38"/>
      <c r="O145" s="38"/>
      <c r="P145" s="38"/>
      <c r="Q145" s="38"/>
      <c r="R145" s="38"/>
      <c r="S145" s="38"/>
      <c r="T145" s="38"/>
      <c r="U145" s="38"/>
      <c r="V145" s="38"/>
      <c r="W145" s="38"/>
      <c r="X145" s="38"/>
      <c r="Y145" s="38"/>
      <c r="Z145" s="38"/>
    </row>
    <row r="146" spans="1:26" ht="14.25" customHeight="1" x14ac:dyDescent="0.3">
      <c r="A146" s="38"/>
      <c r="B146" s="39"/>
      <c r="C146" s="141"/>
      <c r="D146" s="163"/>
      <c r="E146" s="163"/>
      <c r="F146" s="81"/>
      <c r="G146" s="81"/>
      <c r="H146" s="81"/>
      <c r="I146" s="81"/>
      <c r="J146" s="38"/>
      <c r="K146" s="38"/>
      <c r="L146" s="38"/>
      <c r="M146" s="38"/>
      <c r="N146" s="38"/>
      <c r="O146" s="38"/>
      <c r="P146" s="38"/>
      <c r="Q146" s="38"/>
      <c r="R146" s="38"/>
      <c r="S146" s="38"/>
      <c r="T146" s="38"/>
      <c r="U146" s="38"/>
      <c r="V146" s="38"/>
      <c r="W146" s="38"/>
      <c r="X146" s="38"/>
      <c r="Y146" s="38"/>
      <c r="Z146" s="38"/>
    </row>
    <row r="147" spans="1:26" ht="14.25" customHeight="1" x14ac:dyDescent="0.3">
      <c r="A147" s="38"/>
      <c r="B147" s="39"/>
      <c r="C147" s="141"/>
      <c r="D147" s="163"/>
      <c r="E147" s="163"/>
      <c r="F147" s="81"/>
      <c r="G147" s="81"/>
      <c r="H147" s="81"/>
      <c r="I147" s="81"/>
      <c r="J147" s="38"/>
      <c r="K147" s="38"/>
      <c r="L147" s="38"/>
      <c r="M147" s="38"/>
      <c r="N147" s="38"/>
      <c r="O147" s="38"/>
      <c r="P147" s="38"/>
      <c r="Q147" s="38"/>
      <c r="R147" s="38"/>
      <c r="S147" s="38"/>
      <c r="T147" s="38"/>
      <c r="U147" s="38"/>
      <c r="V147" s="38"/>
      <c r="W147" s="38"/>
      <c r="X147" s="38"/>
      <c r="Y147" s="38"/>
      <c r="Z147" s="38"/>
    </row>
    <row r="148" spans="1:26" ht="14.25" customHeight="1" x14ac:dyDescent="0.3">
      <c r="A148" s="38"/>
      <c r="B148" s="39"/>
      <c r="C148" s="141"/>
      <c r="D148" s="163"/>
      <c r="E148" s="163"/>
      <c r="F148" s="81"/>
      <c r="G148" s="81"/>
      <c r="H148" s="81"/>
      <c r="I148" s="81"/>
      <c r="J148" s="38"/>
      <c r="K148" s="38"/>
      <c r="L148" s="38"/>
      <c r="M148" s="38"/>
      <c r="N148" s="38"/>
      <c r="O148" s="38"/>
      <c r="P148" s="38"/>
      <c r="Q148" s="38"/>
      <c r="R148" s="38"/>
      <c r="S148" s="38"/>
      <c r="T148" s="38"/>
      <c r="U148" s="38"/>
      <c r="V148" s="38"/>
      <c r="W148" s="38"/>
      <c r="X148" s="38"/>
      <c r="Y148" s="38"/>
      <c r="Z148" s="38"/>
    </row>
    <row r="149" spans="1:26" ht="14.25" customHeight="1" x14ac:dyDescent="0.3">
      <c r="A149" s="38"/>
      <c r="B149" s="39"/>
      <c r="C149" s="141"/>
      <c r="D149" s="163"/>
      <c r="E149" s="163"/>
      <c r="F149" s="81"/>
      <c r="G149" s="81"/>
      <c r="H149" s="81"/>
      <c r="I149" s="81"/>
      <c r="J149" s="38"/>
      <c r="K149" s="38"/>
      <c r="L149" s="38"/>
      <c r="M149" s="38"/>
      <c r="N149" s="38"/>
      <c r="O149" s="38"/>
      <c r="P149" s="38"/>
      <c r="Q149" s="38"/>
      <c r="R149" s="38"/>
      <c r="S149" s="38"/>
      <c r="T149" s="38"/>
      <c r="U149" s="38"/>
      <c r="V149" s="38"/>
      <c r="W149" s="38"/>
      <c r="X149" s="38"/>
      <c r="Y149" s="38"/>
      <c r="Z149" s="38"/>
    </row>
    <row r="150" spans="1:26" ht="14.25" customHeight="1" x14ac:dyDescent="0.3">
      <c r="A150" s="38"/>
      <c r="B150" s="39"/>
      <c r="C150" s="141"/>
      <c r="D150" s="163"/>
      <c r="E150" s="163"/>
      <c r="F150" s="81"/>
      <c r="G150" s="81"/>
      <c r="H150" s="81"/>
      <c r="I150" s="81"/>
      <c r="J150" s="38"/>
      <c r="K150" s="38"/>
      <c r="L150" s="38"/>
      <c r="M150" s="38"/>
      <c r="N150" s="38"/>
      <c r="O150" s="38"/>
      <c r="P150" s="38"/>
      <c r="Q150" s="38"/>
      <c r="R150" s="38"/>
      <c r="S150" s="38"/>
      <c r="T150" s="38"/>
      <c r="U150" s="38"/>
      <c r="V150" s="38"/>
      <c r="W150" s="38"/>
      <c r="X150" s="38"/>
      <c r="Y150" s="38"/>
      <c r="Z150" s="38"/>
    </row>
    <row r="151" spans="1:26" ht="14.25" customHeight="1" x14ac:dyDescent="0.3">
      <c r="A151" s="38"/>
      <c r="B151" s="39"/>
      <c r="C151" s="141"/>
      <c r="D151" s="163"/>
      <c r="E151" s="163"/>
      <c r="F151" s="81"/>
      <c r="G151" s="81"/>
      <c r="H151" s="81"/>
      <c r="I151" s="81"/>
      <c r="J151" s="38"/>
      <c r="K151" s="38"/>
      <c r="L151" s="38"/>
      <c r="M151" s="38"/>
      <c r="N151" s="38"/>
      <c r="O151" s="38"/>
      <c r="P151" s="38"/>
      <c r="Q151" s="38"/>
      <c r="R151" s="38"/>
      <c r="S151" s="38"/>
      <c r="T151" s="38"/>
      <c r="U151" s="38"/>
      <c r="V151" s="38"/>
      <c r="W151" s="38"/>
      <c r="X151" s="38"/>
      <c r="Y151" s="38"/>
      <c r="Z151" s="38"/>
    </row>
    <row r="152" spans="1:26" ht="14.25" customHeight="1" x14ac:dyDescent="0.3">
      <c r="A152" s="38"/>
      <c r="B152" s="39"/>
      <c r="C152" s="141"/>
      <c r="D152" s="163"/>
      <c r="E152" s="163"/>
      <c r="F152" s="81"/>
      <c r="G152" s="81"/>
      <c r="H152" s="81"/>
      <c r="I152" s="81"/>
      <c r="J152" s="38"/>
      <c r="K152" s="38"/>
      <c r="L152" s="38"/>
      <c r="M152" s="38"/>
      <c r="N152" s="38"/>
      <c r="O152" s="38"/>
      <c r="P152" s="38"/>
      <c r="Q152" s="38"/>
      <c r="R152" s="38"/>
      <c r="S152" s="38"/>
      <c r="T152" s="38"/>
      <c r="U152" s="38"/>
      <c r="V152" s="38"/>
      <c r="W152" s="38"/>
      <c r="X152" s="38"/>
      <c r="Y152" s="38"/>
      <c r="Z152" s="38"/>
    </row>
    <row r="153" spans="1:26" ht="14.25" customHeight="1" x14ac:dyDescent="0.3">
      <c r="A153" s="38"/>
      <c r="B153" s="39"/>
      <c r="C153" s="141"/>
      <c r="D153" s="163"/>
      <c r="E153" s="163"/>
      <c r="F153" s="81"/>
      <c r="G153" s="81"/>
      <c r="H153" s="81"/>
      <c r="I153" s="81"/>
      <c r="J153" s="38"/>
      <c r="K153" s="38"/>
      <c r="L153" s="38"/>
      <c r="M153" s="38"/>
      <c r="N153" s="38"/>
      <c r="O153" s="38"/>
      <c r="P153" s="38"/>
      <c r="Q153" s="38"/>
      <c r="R153" s="38"/>
      <c r="S153" s="38"/>
      <c r="T153" s="38"/>
      <c r="U153" s="38"/>
      <c r="V153" s="38"/>
      <c r="W153" s="38"/>
      <c r="X153" s="38"/>
      <c r="Y153" s="38"/>
      <c r="Z153" s="38"/>
    </row>
    <row r="154" spans="1:26" ht="14.25" customHeight="1" x14ac:dyDescent="0.3">
      <c r="A154" s="38"/>
      <c r="B154" s="39"/>
      <c r="C154" s="141"/>
      <c r="D154" s="163"/>
      <c r="E154" s="163"/>
      <c r="F154" s="81"/>
      <c r="G154" s="81"/>
      <c r="H154" s="81"/>
      <c r="I154" s="81"/>
      <c r="J154" s="38"/>
      <c r="K154" s="38"/>
      <c r="L154" s="38"/>
      <c r="M154" s="38"/>
      <c r="N154" s="38"/>
      <c r="O154" s="38"/>
      <c r="P154" s="38"/>
      <c r="Q154" s="38"/>
      <c r="R154" s="38"/>
      <c r="S154" s="38"/>
      <c r="T154" s="38"/>
      <c r="U154" s="38"/>
      <c r="V154" s="38"/>
      <c r="W154" s="38"/>
      <c r="X154" s="38"/>
      <c r="Y154" s="38"/>
      <c r="Z154" s="38"/>
    </row>
    <row r="155" spans="1:26" ht="14.25" customHeight="1" x14ac:dyDescent="0.3">
      <c r="A155" s="38"/>
      <c r="B155" s="39"/>
      <c r="C155" s="141"/>
      <c r="D155" s="163"/>
      <c r="E155" s="163"/>
      <c r="F155" s="81"/>
      <c r="G155" s="81"/>
      <c r="H155" s="81"/>
      <c r="I155" s="81"/>
      <c r="J155" s="38"/>
      <c r="K155" s="38"/>
      <c r="L155" s="38"/>
      <c r="M155" s="38"/>
      <c r="N155" s="38"/>
      <c r="O155" s="38"/>
      <c r="P155" s="38"/>
      <c r="Q155" s="38"/>
      <c r="R155" s="38"/>
      <c r="S155" s="38"/>
      <c r="T155" s="38"/>
      <c r="U155" s="38"/>
      <c r="V155" s="38"/>
      <c r="W155" s="38"/>
      <c r="X155" s="38"/>
      <c r="Y155" s="38"/>
      <c r="Z155" s="38"/>
    </row>
    <row r="156" spans="1:26" ht="14.25" customHeight="1" x14ac:dyDescent="0.3">
      <c r="A156" s="38"/>
      <c r="B156" s="39"/>
      <c r="C156" s="141"/>
      <c r="D156" s="163"/>
      <c r="E156" s="163"/>
      <c r="F156" s="81"/>
      <c r="G156" s="81"/>
      <c r="H156" s="81"/>
      <c r="I156" s="81"/>
      <c r="J156" s="38"/>
      <c r="K156" s="38"/>
      <c r="L156" s="38"/>
      <c r="M156" s="38"/>
      <c r="N156" s="38"/>
      <c r="O156" s="38"/>
      <c r="P156" s="38"/>
      <c r="Q156" s="38"/>
      <c r="R156" s="38"/>
      <c r="S156" s="38"/>
      <c r="T156" s="38"/>
      <c r="U156" s="38"/>
      <c r="V156" s="38"/>
      <c r="W156" s="38"/>
      <c r="X156" s="38"/>
      <c r="Y156" s="38"/>
      <c r="Z156" s="38"/>
    </row>
    <row r="157" spans="1:26" ht="14.25" customHeight="1" x14ac:dyDescent="0.3">
      <c r="A157" s="38"/>
      <c r="B157" s="39"/>
      <c r="C157" s="141"/>
      <c r="D157" s="163"/>
      <c r="E157" s="163"/>
      <c r="F157" s="81"/>
      <c r="G157" s="81"/>
      <c r="H157" s="81"/>
      <c r="I157" s="81"/>
      <c r="J157" s="38"/>
      <c r="K157" s="38"/>
      <c r="L157" s="38"/>
      <c r="M157" s="38"/>
      <c r="N157" s="38"/>
      <c r="O157" s="38"/>
      <c r="P157" s="38"/>
      <c r="Q157" s="38"/>
      <c r="R157" s="38"/>
      <c r="S157" s="38"/>
      <c r="T157" s="38"/>
      <c r="U157" s="38"/>
      <c r="V157" s="38"/>
      <c r="W157" s="38"/>
      <c r="X157" s="38"/>
      <c r="Y157" s="38"/>
      <c r="Z157" s="38"/>
    </row>
    <row r="158" spans="1:26" ht="14.25" customHeight="1" x14ac:dyDescent="0.3">
      <c r="A158" s="38"/>
      <c r="B158" s="39"/>
      <c r="C158" s="141"/>
      <c r="D158" s="163"/>
      <c r="E158" s="163"/>
      <c r="F158" s="81"/>
      <c r="G158" s="81"/>
      <c r="H158" s="81"/>
      <c r="I158" s="81"/>
      <c r="J158" s="38"/>
      <c r="K158" s="38"/>
      <c r="L158" s="38"/>
      <c r="M158" s="38"/>
      <c r="N158" s="38"/>
      <c r="O158" s="38"/>
      <c r="P158" s="38"/>
      <c r="Q158" s="38"/>
      <c r="R158" s="38"/>
      <c r="S158" s="38"/>
      <c r="T158" s="38"/>
      <c r="U158" s="38"/>
      <c r="V158" s="38"/>
      <c r="W158" s="38"/>
      <c r="X158" s="38"/>
      <c r="Y158" s="38"/>
      <c r="Z158" s="38"/>
    </row>
    <row r="159" spans="1:26" ht="14.25" customHeight="1" x14ac:dyDescent="0.3">
      <c r="A159" s="38"/>
      <c r="B159" s="39"/>
      <c r="C159" s="141"/>
      <c r="D159" s="163"/>
      <c r="E159" s="163"/>
      <c r="F159" s="81"/>
      <c r="G159" s="81"/>
      <c r="H159" s="81"/>
      <c r="I159" s="81"/>
      <c r="J159" s="38"/>
      <c r="K159" s="38"/>
      <c r="L159" s="38"/>
      <c r="M159" s="38"/>
      <c r="N159" s="38"/>
      <c r="O159" s="38"/>
      <c r="P159" s="38"/>
      <c r="Q159" s="38"/>
      <c r="R159" s="38"/>
      <c r="S159" s="38"/>
      <c r="T159" s="38"/>
      <c r="U159" s="38"/>
      <c r="V159" s="38"/>
      <c r="W159" s="38"/>
      <c r="X159" s="38"/>
      <c r="Y159" s="38"/>
      <c r="Z159" s="38"/>
    </row>
    <row r="160" spans="1:26" ht="14.25" customHeight="1" x14ac:dyDescent="0.3">
      <c r="A160" s="38"/>
      <c r="B160" s="39"/>
      <c r="C160" s="141"/>
      <c r="D160" s="163"/>
      <c r="E160" s="163"/>
      <c r="F160" s="81"/>
      <c r="G160" s="81"/>
      <c r="H160" s="81"/>
      <c r="I160" s="81"/>
      <c r="J160" s="38"/>
      <c r="K160" s="38"/>
      <c r="L160" s="38"/>
      <c r="M160" s="38"/>
      <c r="N160" s="38"/>
      <c r="O160" s="38"/>
      <c r="P160" s="38"/>
      <c r="Q160" s="38"/>
      <c r="R160" s="38"/>
      <c r="S160" s="38"/>
      <c r="T160" s="38"/>
      <c r="U160" s="38"/>
      <c r="V160" s="38"/>
      <c r="W160" s="38"/>
      <c r="X160" s="38"/>
      <c r="Y160" s="38"/>
      <c r="Z160" s="38"/>
    </row>
    <row r="161" spans="1:26" ht="14.25" customHeight="1" x14ac:dyDescent="0.3">
      <c r="A161" s="38"/>
      <c r="B161" s="39"/>
      <c r="C161" s="141"/>
      <c r="D161" s="163"/>
      <c r="E161" s="163"/>
      <c r="F161" s="81"/>
      <c r="G161" s="81"/>
      <c r="H161" s="81"/>
      <c r="I161" s="81"/>
      <c r="J161" s="38"/>
      <c r="K161" s="38"/>
      <c r="L161" s="38"/>
      <c r="M161" s="38"/>
      <c r="N161" s="38"/>
      <c r="O161" s="38"/>
      <c r="P161" s="38"/>
      <c r="Q161" s="38"/>
      <c r="R161" s="38"/>
      <c r="S161" s="38"/>
      <c r="T161" s="38"/>
      <c r="U161" s="38"/>
      <c r="V161" s="38"/>
      <c r="W161" s="38"/>
      <c r="X161" s="38"/>
      <c r="Y161" s="38"/>
      <c r="Z161" s="38"/>
    </row>
    <row r="162" spans="1:26" ht="14.25" customHeight="1" x14ac:dyDescent="0.3">
      <c r="A162" s="38"/>
      <c r="B162" s="39"/>
      <c r="C162" s="141"/>
      <c r="D162" s="163"/>
      <c r="E162" s="163"/>
      <c r="F162" s="81"/>
      <c r="G162" s="81"/>
      <c r="H162" s="81"/>
      <c r="I162" s="81"/>
      <c r="J162" s="38"/>
      <c r="K162" s="38"/>
      <c r="L162" s="38"/>
      <c r="M162" s="38"/>
      <c r="N162" s="38"/>
      <c r="O162" s="38"/>
      <c r="P162" s="38"/>
      <c r="Q162" s="38"/>
      <c r="R162" s="38"/>
      <c r="S162" s="38"/>
      <c r="T162" s="38"/>
      <c r="U162" s="38"/>
      <c r="V162" s="38"/>
      <c r="W162" s="38"/>
      <c r="X162" s="38"/>
      <c r="Y162" s="38"/>
      <c r="Z162" s="38"/>
    </row>
    <row r="163" spans="1:26" ht="14.25" customHeight="1" x14ac:dyDescent="0.3">
      <c r="A163" s="38"/>
      <c r="B163" s="39"/>
      <c r="C163" s="141"/>
      <c r="D163" s="163"/>
      <c r="E163" s="163"/>
      <c r="F163" s="81"/>
      <c r="G163" s="81"/>
      <c r="H163" s="81"/>
      <c r="I163" s="81"/>
      <c r="J163" s="38"/>
      <c r="K163" s="38"/>
      <c r="L163" s="38"/>
      <c r="M163" s="38"/>
      <c r="N163" s="38"/>
      <c r="O163" s="38"/>
      <c r="P163" s="38"/>
      <c r="Q163" s="38"/>
      <c r="R163" s="38"/>
      <c r="S163" s="38"/>
      <c r="T163" s="38"/>
      <c r="U163" s="38"/>
      <c r="V163" s="38"/>
      <c r="W163" s="38"/>
      <c r="X163" s="38"/>
      <c r="Y163" s="38"/>
      <c r="Z163" s="38"/>
    </row>
    <row r="164" spans="1:26" ht="14.25" customHeight="1" x14ac:dyDescent="0.3">
      <c r="A164" s="38"/>
      <c r="B164" s="39"/>
      <c r="C164" s="141"/>
      <c r="D164" s="163"/>
      <c r="E164" s="163"/>
      <c r="F164" s="81"/>
      <c r="G164" s="81"/>
      <c r="H164" s="81"/>
      <c r="I164" s="81"/>
      <c r="J164" s="38"/>
      <c r="K164" s="38"/>
      <c r="L164" s="38"/>
      <c r="M164" s="38"/>
      <c r="N164" s="38"/>
      <c r="O164" s="38"/>
      <c r="P164" s="38"/>
      <c r="Q164" s="38"/>
      <c r="R164" s="38"/>
      <c r="S164" s="38"/>
      <c r="T164" s="38"/>
      <c r="U164" s="38"/>
      <c r="V164" s="38"/>
      <c r="W164" s="38"/>
      <c r="X164" s="38"/>
      <c r="Y164" s="38"/>
      <c r="Z164" s="38"/>
    </row>
    <row r="165" spans="1:26" ht="14.25" customHeight="1" x14ac:dyDescent="0.3">
      <c r="A165" s="38"/>
      <c r="B165" s="39"/>
      <c r="C165" s="141"/>
      <c r="D165" s="163"/>
      <c r="E165" s="163"/>
      <c r="F165" s="81"/>
      <c r="G165" s="81"/>
      <c r="H165" s="81"/>
      <c r="I165" s="81"/>
      <c r="J165" s="38"/>
      <c r="K165" s="38"/>
      <c r="L165" s="38"/>
      <c r="M165" s="38"/>
      <c r="N165" s="38"/>
      <c r="O165" s="38"/>
      <c r="P165" s="38"/>
      <c r="Q165" s="38"/>
      <c r="R165" s="38"/>
      <c r="S165" s="38"/>
      <c r="T165" s="38"/>
      <c r="U165" s="38"/>
      <c r="V165" s="38"/>
      <c r="W165" s="38"/>
      <c r="X165" s="38"/>
      <c r="Y165" s="38"/>
      <c r="Z165" s="38"/>
    </row>
    <row r="166" spans="1:26" ht="14.25" customHeight="1" x14ac:dyDescent="0.3">
      <c r="A166" s="38"/>
      <c r="B166" s="39"/>
      <c r="C166" s="141"/>
      <c r="D166" s="163"/>
      <c r="E166" s="163"/>
      <c r="F166" s="81"/>
      <c r="G166" s="81"/>
      <c r="H166" s="81"/>
      <c r="I166" s="81"/>
      <c r="J166" s="38"/>
      <c r="K166" s="38"/>
      <c r="L166" s="38"/>
      <c r="M166" s="38"/>
      <c r="N166" s="38"/>
      <c r="O166" s="38"/>
      <c r="P166" s="38"/>
      <c r="Q166" s="38"/>
      <c r="R166" s="38"/>
      <c r="S166" s="38"/>
      <c r="T166" s="38"/>
      <c r="U166" s="38"/>
      <c r="V166" s="38"/>
      <c r="W166" s="38"/>
      <c r="X166" s="38"/>
      <c r="Y166" s="38"/>
      <c r="Z166" s="38"/>
    </row>
    <row r="167" spans="1:26" ht="14.25" customHeight="1" x14ac:dyDescent="0.3">
      <c r="A167" s="38"/>
      <c r="B167" s="39"/>
      <c r="C167" s="141"/>
      <c r="D167" s="163"/>
      <c r="E167" s="163"/>
      <c r="F167" s="81"/>
      <c r="G167" s="81"/>
      <c r="H167" s="81"/>
      <c r="I167" s="81"/>
      <c r="J167" s="38"/>
      <c r="K167" s="38"/>
      <c r="L167" s="38"/>
      <c r="M167" s="38"/>
      <c r="N167" s="38"/>
      <c r="O167" s="38"/>
      <c r="P167" s="38"/>
      <c r="Q167" s="38"/>
      <c r="R167" s="38"/>
      <c r="S167" s="38"/>
      <c r="T167" s="38"/>
      <c r="U167" s="38"/>
      <c r="V167" s="38"/>
      <c r="W167" s="38"/>
      <c r="X167" s="38"/>
      <c r="Y167" s="38"/>
      <c r="Z167" s="38"/>
    </row>
    <row r="168" spans="1:26" ht="14.25" customHeight="1" x14ac:dyDescent="0.3">
      <c r="A168" s="38"/>
      <c r="B168" s="39"/>
      <c r="C168" s="141"/>
      <c r="D168" s="163"/>
      <c r="E168" s="163"/>
      <c r="F168" s="81"/>
      <c r="G168" s="81"/>
      <c r="H168" s="81"/>
      <c r="I168" s="81"/>
      <c r="J168" s="38"/>
      <c r="K168" s="38"/>
      <c r="L168" s="38"/>
      <c r="M168" s="38"/>
      <c r="N168" s="38"/>
      <c r="O168" s="38"/>
      <c r="P168" s="38"/>
      <c r="Q168" s="38"/>
      <c r="R168" s="38"/>
      <c r="S168" s="38"/>
      <c r="T168" s="38"/>
      <c r="U168" s="38"/>
      <c r="V168" s="38"/>
      <c r="W168" s="38"/>
      <c r="X168" s="38"/>
      <c r="Y168" s="38"/>
      <c r="Z168" s="38"/>
    </row>
    <row r="169" spans="1:26" ht="14.25" customHeight="1" x14ac:dyDescent="0.3">
      <c r="A169" s="38"/>
      <c r="B169" s="39"/>
      <c r="C169" s="141"/>
      <c r="D169" s="163"/>
      <c r="E169" s="163"/>
      <c r="F169" s="81"/>
      <c r="G169" s="81"/>
      <c r="H169" s="81"/>
      <c r="I169" s="81"/>
      <c r="J169" s="38"/>
      <c r="K169" s="38"/>
      <c r="L169" s="38"/>
      <c r="M169" s="38"/>
      <c r="N169" s="38"/>
      <c r="O169" s="38"/>
      <c r="P169" s="38"/>
      <c r="Q169" s="38"/>
      <c r="R169" s="38"/>
      <c r="S169" s="38"/>
      <c r="T169" s="38"/>
      <c r="U169" s="38"/>
      <c r="V169" s="38"/>
      <c r="W169" s="38"/>
      <c r="X169" s="38"/>
      <c r="Y169" s="38"/>
      <c r="Z169" s="38"/>
    </row>
    <row r="170" spans="1:26" ht="14.25" customHeight="1" x14ac:dyDescent="0.3">
      <c r="A170" s="38"/>
      <c r="B170" s="39"/>
      <c r="C170" s="141"/>
      <c r="D170" s="163"/>
      <c r="E170" s="163"/>
      <c r="F170" s="81"/>
      <c r="G170" s="81"/>
      <c r="H170" s="81"/>
      <c r="I170" s="81"/>
      <c r="J170" s="38"/>
      <c r="K170" s="38"/>
      <c r="L170" s="38"/>
      <c r="M170" s="38"/>
      <c r="N170" s="38"/>
      <c r="O170" s="38"/>
      <c r="P170" s="38"/>
      <c r="Q170" s="38"/>
      <c r="R170" s="38"/>
      <c r="S170" s="38"/>
      <c r="T170" s="38"/>
      <c r="U170" s="38"/>
      <c r="V170" s="38"/>
      <c r="W170" s="38"/>
      <c r="X170" s="38"/>
      <c r="Y170" s="38"/>
      <c r="Z170" s="38"/>
    </row>
    <row r="171" spans="1:26" ht="14.25" customHeight="1" x14ac:dyDescent="0.3">
      <c r="A171" s="38"/>
      <c r="B171" s="39"/>
      <c r="C171" s="141"/>
      <c r="D171" s="163"/>
      <c r="E171" s="163"/>
      <c r="F171" s="81"/>
      <c r="G171" s="81"/>
      <c r="H171" s="81"/>
      <c r="I171" s="81"/>
      <c r="J171" s="38"/>
      <c r="K171" s="38"/>
      <c r="L171" s="38"/>
      <c r="M171" s="38"/>
      <c r="N171" s="38"/>
      <c r="O171" s="38"/>
      <c r="P171" s="38"/>
      <c r="Q171" s="38"/>
      <c r="R171" s="38"/>
      <c r="S171" s="38"/>
      <c r="T171" s="38"/>
      <c r="U171" s="38"/>
      <c r="V171" s="38"/>
      <c r="W171" s="38"/>
      <c r="X171" s="38"/>
      <c r="Y171" s="38"/>
      <c r="Z171" s="38"/>
    </row>
    <row r="172" spans="1:26" ht="14.25" customHeight="1" x14ac:dyDescent="0.3">
      <c r="A172" s="38"/>
      <c r="B172" s="39"/>
      <c r="C172" s="141"/>
      <c r="D172" s="163"/>
      <c r="E172" s="163"/>
      <c r="F172" s="81"/>
      <c r="G172" s="81"/>
      <c r="H172" s="81"/>
      <c r="I172" s="81"/>
      <c r="J172" s="38"/>
      <c r="K172" s="38"/>
      <c r="L172" s="38"/>
      <c r="M172" s="38"/>
      <c r="N172" s="38"/>
      <c r="O172" s="38"/>
      <c r="P172" s="38"/>
      <c r="Q172" s="38"/>
      <c r="R172" s="38"/>
      <c r="S172" s="38"/>
      <c r="T172" s="38"/>
      <c r="U172" s="38"/>
      <c r="V172" s="38"/>
      <c r="W172" s="38"/>
      <c r="X172" s="38"/>
      <c r="Y172" s="38"/>
      <c r="Z172" s="38"/>
    </row>
    <row r="173" spans="1:26" ht="14.25" customHeight="1" x14ac:dyDescent="0.3">
      <c r="A173" s="38"/>
      <c r="B173" s="39"/>
      <c r="C173" s="141"/>
      <c r="D173" s="163"/>
      <c r="E173" s="163"/>
      <c r="F173" s="81"/>
      <c r="G173" s="81"/>
      <c r="H173" s="81"/>
      <c r="I173" s="81"/>
      <c r="J173" s="38"/>
      <c r="K173" s="38"/>
      <c r="L173" s="38"/>
      <c r="M173" s="38"/>
      <c r="N173" s="38"/>
      <c r="O173" s="38"/>
      <c r="P173" s="38"/>
      <c r="Q173" s="38"/>
      <c r="R173" s="38"/>
      <c r="S173" s="38"/>
      <c r="T173" s="38"/>
      <c r="U173" s="38"/>
      <c r="V173" s="38"/>
      <c r="W173" s="38"/>
      <c r="X173" s="38"/>
      <c r="Y173" s="38"/>
      <c r="Z173" s="38"/>
    </row>
    <row r="174" spans="1:26" ht="14.25" customHeight="1" x14ac:dyDescent="0.3">
      <c r="A174" s="38"/>
      <c r="B174" s="39"/>
      <c r="C174" s="141"/>
      <c r="D174" s="163"/>
      <c r="E174" s="163"/>
      <c r="F174" s="81"/>
      <c r="G174" s="81"/>
      <c r="H174" s="81"/>
      <c r="I174" s="81"/>
      <c r="J174" s="38"/>
      <c r="K174" s="38"/>
      <c r="L174" s="38"/>
      <c r="M174" s="38"/>
      <c r="N174" s="38"/>
      <c r="O174" s="38"/>
      <c r="P174" s="38"/>
      <c r="Q174" s="38"/>
      <c r="R174" s="38"/>
      <c r="S174" s="38"/>
      <c r="T174" s="38"/>
      <c r="U174" s="38"/>
      <c r="V174" s="38"/>
      <c r="W174" s="38"/>
      <c r="X174" s="38"/>
      <c r="Y174" s="38"/>
      <c r="Z174" s="38"/>
    </row>
    <row r="175" spans="1:26" ht="14.25" customHeight="1" x14ac:dyDescent="0.3">
      <c r="A175" s="38"/>
      <c r="B175" s="39"/>
      <c r="C175" s="141"/>
      <c r="D175" s="163"/>
      <c r="E175" s="163"/>
      <c r="F175" s="81"/>
      <c r="G175" s="81"/>
      <c r="H175" s="81"/>
      <c r="I175" s="81"/>
      <c r="J175" s="38"/>
      <c r="K175" s="38"/>
      <c r="L175" s="38"/>
      <c r="M175" s="38"/>
      <c r="N175" s="38"/>
      <c r="O175" s="38"/>
      <c r="P175" s="38"/>
      <c r="Q175" s="38"/>
      <c r="R175" s="38"/>
      <c r="S175" s="38"/>
      <c r="T175" s="38"/>
      <c r="U175" s="38"/>
      <c r="V175" s="38"/>
      <c r="W175" s="38"/>
      <c r="X175" s="38"/>
      <c r="Y175" s="38"/>
      <c r="Z175" s="38"/>
    </row>
    <row r="176" spans="1:26" ht="14.25" customHeight="1" x14ac:dyDescent="0.3">
      <c r="A176" s="38"/>
      <c r="B176" s="39"/>
      <c r="C176" s="141"/>
      <c r="D176" s="163"/>
      <c r="E176" s="163"/>
      <c r="F176" s="81"/>
      <c r="G176" s="81"/>
      <c r="H176" s="81"/>
      <c r="I176" s="81"/>
      <c r="J176" s="38"/>
      <c r="K176" s="38"/>
      <c r="L176" s="38"/>
      <c r="M176" s="38"/>
      <c r="N176" s="38"/>
      <c r="O176" s="38"/>
      <c r="P176" s="38"/>
      <c r="Q176" s="38"/>
      <c r="R176" s="38"/>
      <c r="S176" s="38"/>
      <c r="T176" s="38"/>
      <c r="U176" s="38"/>
      <c r="V176" s="38"/>
      <c r="W176" s="38"/>
      <c r="X176" s="38"/>
      <c r="Y176" s="38"/>
      <c r="Z176" s="38"/>
    </row>
    <row r="177" spans="1:26" ht="14.25" customHeight="1" x14ac:dyDescent="0.3">
      <c r="A177" s="38"/>
      <c r="B177" s="39"/>
      <c r="C177" s="141"/>
      <c r="D177" s="163"/>
      <c r="E177" s="163"/>
      <c r="F177" s="81"/>
      <c r="G177" s="81"/>
      <c r="H177" s="81"/>
      <c r="I177" s="81"/>
      <c r="J177" s="38"/>
      <c r="K177" s="38"/>
      <c r="L177" s="38"/>
      <c r="M177" s="38"/>
      <c r="N177" s="38"/>
      <c r="O177" s="38"/>
      <c r="P177" s="38"/>
      <c r="Q177" s="38"/>
      <c r="R177" s="38"/>
      <c r="S177" s="38"/>
      <c r="T177" s="38"/>
      <c r="U177" s="38"/>
      <c r="V177" s="38"/>
      <c r="W177" s="38"/>
      <c r="X177" s="38"/>
      <c r="Y177" s="38"/>
      <c r="Z177" s="38"/>
    </row>
    <row r="178" spans="1:26" ht="14.25" customHeight="1" x14ac:dyDescent="0.3">
      <c r="A178" s="38"/>
      <c r="B178" s="39"/>
      <c r="C178" s="141"/>
      <c r="D178" s="163"/>
      <c r="E178" s="163"/>
      <c r="F178" s="81"/>
      <c r="G178" s="81"/>
      <c r="H178" s="81"/>
      <c r="I178" s="81"/>
      <c r="J178" s="38"/>
      <c r="K178" s="38"/>
      <c r="L178" s="38"/>
      <c r="M178" s="38"/>
      <c r="N178" s="38"/>
      <c r="O178" s="38"/>
      <c r="P178" s="38"/>
      <c r="Q178" s="38"/>
      <c r="R178" s="38"/>
      <c r="S178" s="38"/>
      <c r="T178" s="38"/>
      <c r="U178" s="38"/>
      <c r="V178" s="38"/>
      <c r="W178" s="38"/>
      <c r="X178" s="38"/>
      <c r="Y178" s="38"/>
      <c r="Z178" s="38"/>
    </row>
    <row r="179" spans="1:26" ht="14.25" customHeight="1" x14ac:dyDescent="0.3">
      <c r="A179" s="38"/>
      <c r="B179" s="39"/>
      <c r="C179" s="141"/>
      <c r="D179" s="163"/>
      <c r="E179" s="163"/>
      <c r="F179" s="81"/>
      <c r="G179" s="81"/>
      <c r="H179" s="81"/>
      <c r="I179" s="81"/>
      <c r="J179" s="38"/>
      <c r="K179" s="38"/>
      <c r="L179" s="38"/>
      <c r="M179" s="38"/>
      <c r="N179" s="38"/>
      <c r="O179" s="38"/>
      <c r="P179" s="38"/>
      <c r="Q179" s="38"/>
      <c r="R179" s="38"/>
      <c r="S179" s="38"/>
      <c r="T179" s="38"/>
      <c r="U179" s="38"/>
      <c r="V179" s="38"/>
      <c r="W179" s="38"/>
      <c r="X179" s="38"/>
      <c r="Y179" s="38"/>
      <c r="Z179" s="38"/>
    </row>
    <row r="180" spans="1:26" ht="14.25" customHeight="1" x14ac:dyDescent="0.3">
      <c r="A180" s="38"/>
      <c r="B180" s="39"/>
      <c r="C180" s="141"/>
      <c r="D180" s="163"/>
      <c r="E180" s="163"/>
      <c r="F180" s="81"/>
      <c r="G180" s="81"/>
      <c r="H180" s="81"/>
      <c r="I180" s="81"/>
      <c r="J180" s="38"/>
      <c r="K180" s="38"/>
      <c r="L180" s="38"/>
      <c r="M180" s="38"/>
      <c r="N180" s="38"/>
      <c r="O180" s="38"/>
      <c r="P180" s="38"/>
      <c r="Q180" s="38"/>
      <c r="R180" s="38"/>
      <c r="S180" s="38"/>
      <c r="T180" s="38"/>
      <c r="U180" s="38"/>
      <c r="V180" s="38"/>
      <c r="W180" s="38"/>
      <c r="X180" s="38"/>
      <c r="Y180" s="38"/>
      <c r="Z180" s="38"/>
    </row>
    <row r="181" spans="1:26" ht="14.25" customHeight="1" x14ac:dyDescent="0.3">
      <c r="A181" s="38"/>
      <c r="B181" s="39"/>
      <c r="C181" s="141"/>
      <c r="D181" s="163"/>
      <c r="E181" s="163"/>
      <c r="F181" s="81"/>
      <c r="G181" s="81"/>
      <c r="H181" s="81"/>
      <c r="I181" s="81"/>
      <c r="J181" s="38"/>
      <c r="K181" s="38"/>
      <c r="L181" s="38"/>
      <c r="M181" s="38"/>
      <c r="N181" s="38"/>
      <c r="O181" s="38"/>
      <c r="P181" s="38"/>
      <c r="Q181" s="38"/>
      <c r="R181" s="38"/>
      <c r="S181" s="38"/>
      <c r="T181" s="38"/>
      <c r="U181" s="38"/>
      <c r="V181" s="38"/>
      <c r="W181" s="38"/>
      <c r="X181" s="38"/>
      <c r="Y181" s="38"/>
      <c r="Z181" s="38"/>
    </row>
    <row r="182" spans="1:26" ht="14.25" customHeight="1" x14ac:dyDescent="0.3">
      <c r="A182" s="38"/>
      <c r="B182" s="39"/>
      <c r="C182" s="141"/>
      <c r="D182" s="163"/>
      <c r="E182" s="163"/>
      <c r="F182" s="81"/>
      <c r="G182" s="81"/>
      <c r="H182" s="81"/>
      <c r="I182" s="81"/>
      <c r="J182" s="38"/>
      <c r="K182" s="38"/>
      <c r="L182" s="38"/>
      <c r="M182" s="38"/>
      <c r="N182" s="38"/>
      <c r="O182" s="38"/>
      <c r="P182" s="38"/>
      <c r="Q182" s="38"/>
      <c r="R182" s="38"/>
      <c r="S182" s="38"/>
      <c r="T182" s="38"/>
      <c r="U182" s="38"/>
      <c r="V182" s="38"/>
      <c r="W182" s="38"/>
      <c r="X182" s="38"/>
      <c r="Y182" s="38"/>
      <c r="Z182" s="38"/>
    </row>
    <row r="183" spans="1:26" ht="14.25" customHeight="1" x14ac:dyDescent="0.3">
      <c r="A183" s="38"/>
      <c r="B183" s="39"/>
      <c r="C183" s="141"/>
      <c r="D183" s="163"/>
      <c r="E183" s="163"/>
      <c r="F183" s="81"/>
      <c r="G183" s="81"/>
      <c r="H183" s="81"/>
      <c r="I183" s="81"/>
      <c r="J183" s="38"/>
      <c r="K183" s="38"/>
      <c r="L183" s="38"/>
      <c r="M183" s="38"/>
      <c r="N183" s="38"/>
      <c r="O183" s="38"/>
      <c r="P183" s="38"/>
      <c r="Q183" s="38"/>
      <c r="R183" s="38"/>
      <c r="S183" s="38"/>
      <c r="T183" s="38"/>
      <c r="U183" s="38"/>
      <c r="V183" s="38"/>
      <c r="W183" s="38"/>
      <c r="X183" s="38"/>
      <c r="Y183" s="38"/>
      <c r="Z183" s="38"/>
    </row>
    <row r="184" spans="1:26" ht="14.25" customHeight="1" x14ac:dyDescent="0.3">
      <c r="A184" s="38"/>
      <c r="B184" s="39"/>
      <c r="C184" s="141"/>
      <c r="D184" s="163"/>
      <c r="E184" s="163"/>
      <c r="F184" s="81"/>
      <c r="G184" s="81"/>
      <c r="H184" s="81"/>
      <c r="I184" s="81"/>
      <c r="J184" s="38"/>
      <c r="K184" s="38"/>
      <c r="L184" s="38"/>
      <c r="M184" s="38"/>
      <c r="N184" s="38"/>
      <c r="O184" s="38"/>
      <c r="P184" s="38"/>
      <c r="Q184" s="38"/>
      <c r="R184" s="38"/>
      <c r="S184" s="38"/>
      <c r="T184" s="38"/>
      <c r="U184" s="38"/>
      <c r="V184" s="38"/>
      <c r="W184" s="38"/>
      <c r="X184" s="38"/>
      <c r="Y184" s="38"/>
      <c r="Z184" s="38"/>
    </row>
    <row r="185" spans="1:26" ht="14.25" customHeight="1" x14ac:dyDescent="0.3">
      <c r="A185" s="38"/>
      <c r="B185" s="39"/>
      <c r="C185" s="141"/>
      <c r="D185" s="163"/>
      <c r="E185" s="163"/>
      <c r="F185" s="81"/>
      <c r="G185" s="81"/>
      <c r="H185" s="81"/>
      <c r="I185" s="81"/>
      <c r="J185" s="38"/>
      <c r="K185" s="38"/>
      <c r="L185" s="38"/>
      <c r="M185" s="38"/>
      <c r="N185" s="38"/>
      <c r="O185" s="38"/>
      <c r="P185" s="38"/>
      <c r="Q185" s="38"/>
      <c r="R185" s="38"/>
      <c r="S185" s="38"/>
      <c r="T185" s="38"/>
      <c r="U185" s="38"/>
      <c r="V185" s="38"/>
      <c r="W185" s="38"/>
      <c r="X185" s="38"/>
      <c r="Y185" s="38"/>
      <c r="Z185" s="38"/>
    </row>
    <row r="186" spans="1:26" ht="14.25" customHeight="1" x14ac:dyDescent="0.3">
      <c r="A186" s="38"/>
      <c r="B186" s="39"/>
      <c r="C186" s="141"/>
      <c r="D186" s="163"/>
      <c r="E186" s="163"/>
      <c r="F186" s="81"/>
      <c r="G186" s="81"/>
      <c r="H186" s="81"/>
      <c r="I186" s="81"/>
      <c r="J186" s="38"/>
      <c r="K186" s="38"/>
      <c r="L186" s="38"/>
      <c r="M186" s="38"/>
      <c r="N186" s="38"/>
      <c r="O186" s="38"/>
      <c r="P186" s="38"/>
      <c r="Q186" s="38"/>
      <c r="R186" s="38"/>
      <c r="S186" s="38"/>
      <c r="T186" s="38"/>
      <c r="U186" s="38"/>
      <c r="V186" s="38"/>
      <c r="W186" s="38"/>
      <c r="X186" s="38"/>
      <c r="Y186" s="38"/>
      <c r="Z186" s="38"/>
    </row>
    <row r="187" spans="1:26" ht="14.25" customHeight="1" x14ac:dyDescent="0.3">
      <c r="A187" s="38"/>
      <c r="B187" s="39"/>
      <c r="C187" s="141"/>
      <c r="D187" s="163"/>
      <c r="E187" s="163"/>
      <c r="F187" s="81"/>
      <c r="G187" s="81"/>
      <c r="H187" s="81"/>
      <c r="I187" s="81"/>
      <c r="J187" s="38"/>
      <c r="K187" s="38"/>
      <c r="L187" s="38"/>
      <c r="M187" s="38"/>
      <c r="N187" s="38"/>
      <c r="O187" s="38"/>
      <c r="P187" s="38"/>
      <c r="Q187" s="38"/>
      <c r="R187" s="38"/>
      <c r="S187" s="38"/>
      <c r="T187" s="38"/>
      <c r="U187" s="38"/>
      <c r="V187" s="38"/>
      <c r="W187" s="38"/>
      <c r="X187" s="38"/>
      <c r="Y187" s="38"/>
      <c r="Z187" s="38"/>
    </row>
    <row r="188" spans="1:26" ht="14.25" customHeight="1" x14ac:dyDescent="0.3">
      <c r="A188" s="38"/>
      <c r="B188" s="39"/>
      <c r="C188" s="141"/>
      <c r="D188" s="163"/>
      <c r="E188" s="163"/>
      <c r="F188" s="81"/>
      <c r="G188" s="81"/>
      <c r="H188" s="81"/>
      <c r="I188" s="81"/>
      <c r="J188" s="38"/>
      <c r="K188" s="38"/>
      <c r="L188" s="38"/>
      <c r="M188" s="38"/>
      <c r="N188" s="38"/>
      <c r="O188" s="38"/>
      <c r="P188" s="38"/>
      <c r="Q188" s="38"/>
      <c r="R188" s="38"/>
      <c r="S188" s="38"/>
      <c r="T188" s="38"/>
      <c r="U188" s="38"/>
      <c r="V188" s="38"/>
      <c r="W188" s="38"/>
      <c r="X188" s="38"/>
      <c r="Y188" s="38"/>
      <c r="Z188" s="38"/>
    </row>
    <row r="189" spans="1:26" ht="14.25" customHeight="1" x14ac:dyDescent="0.3">
      <c r="A189" s="38"/>
      <c r="B189" s="39"/>
      <c r="C189" s="141"/>
      <c r="D189" s="163"/>
      <c r="E189" s="163"/>
      <c r="F189" s="81"/>
      <c r="G189" s="81"/>
      <c r="H189" s="81"/>
      <c r="I189" s="81"/>
      <c r="J189" s="38"/>
      <c r="K189" s="38"/>
      <c r="L189" s="38"/>
      <c r="M189" s="38"/>
      <c r="N189" s="38"/>
      <c r="O189" s="38"/>
      <c r="P189" s="38"/>
      <c r="Q189" s="38"/>
      <c r="R189" s="38"/>
      <c r="S189" s="38"/>
      <c r="T189" s="38"/>
      <c r="U189" s="38"/>
      <c r="V189" s="38"/>
      <c r="W189" s="38"/>
      <c r="X189" s="38"/>
      <c r="Y189" s="38"/>
      <c r="Z189" s="38"/>
    </row>
    <row r="190" spans="1:26" ht="14.25" customHeight="1" x14ac:dyDescent="0.3">
      <c r="A190" s="38"/>
      <c r="B190" s="39"/>
      <c r="C190" s="141"/>
      <c r="D190" s="163"/>
      <c r="E190" s="163"/>
      <c r="F190" s="81"/>
      <c r="G190" s="81"/>
      <c r="H190" s="81"/>
      <c r="I190" s="81"/>
      <c r="J190" s="38"/>
      <c r="K190" s="38"/>
      <c r="L190" s="38"/>
      <c r="M190" s="38"/>
      <c r="N190" s="38"/>
      <c r="O190" s="38"/>
      <c r="P190" s="38"/>
      <c r="Q190" s="38"/>
      <c r="R190" s="38"/>
      <c r="S190" s="38"/>
      <c r="T190" s="38"/>
      <c r="U190" s="38"/>
      <c r="V190" s="38"/>
      <c r="W190" s="38"/>
      <c r="X190" s="38"/>
      <c r="Y190" s="38"/>
      <c r="Z190" s="38"/>
    </row>
    <row r="191" spans="1:26" ht="14.25" customHeight="1" x14ac:dyDescent="0.3">
      <c r="A191" s="38"/>
      <c r="B191" s="39"/>
      <c r="C191" s="141"/>
      <c r="D191" s="163"/>
      <c r="E191" s="163"/>
      <c r="F191" s="81"/>
      <c r="G191" s="81"/>
      <c r="H191" s="81"/>
      <c r="I191" s="81"/>
      <c r="J191" s="38"/>
      <c r="K191" s="38"/>
      <c r="L191" s="38"/>
      <c r="M191" s="38"/>
      <c r="N191" s="38"/>
      <c r="O191" s="38"/>
      <c r="P191" s="38"/>
      <c r="Q191" s="38"/>
      <c r="R191" s="38"/>
      <c r="S191" s="38"/>
      <c r="T191" s="38"/>
      <c r="U191" s="38"/>
      <c r="V191" s="38"/>
      <c r="W191" s="38"/>
      <c r="X191" s="38"/>
      <c r="Y191" s="38"/>
      <c r="Z191" s="38"/>
    </row>
    <row r="192" spans="1:26" ht="14.25" customHeight="1" x14ac:dyDescent="0.3">
      <c r="A192" s="38"/>
      <c r="B192" s="39"/>
      <c r="C192" s="141"/>
      <c r="D192" s="163"/>
      <c r="E192" s="163"/>
      <c r="F192" s="81"/>
      <c r="G192" s="81"/>
      <c r="H192" s="81"/>
      <c r="I192" s="81"/>
      <c r="J192" s="38"/>
      <c r="K192" s="38"/>
      <c r="L192" s="38"/>
      <c r="M192" s="38"/>
      <c r="N192" s="38"/>
      <c r="O192" s="38"/>
      <c r="P192" s="38"/>
      <c r="Q192" s="38"/>
      <c r="R192" s="38"/>
      <c r="S192" s="38"/>
      <c r="T192" s="38"/>
      <c r="U192" s="38"/>
      <c r="V192" s="38"/>
      <c r="W192" s="38"/>
      <c r="X192" s="38"/>
      <c r="Y192" s="38"/>
      <c r="Z192" s="38"/>
    </row>
    <row r="193" spans="1:26" ht="14.25" customHeight="1" x14ac:dyDescent="0.3">
      <c r="A193" s="38"/>
      <c r="B193" s="39"/>
      <c r="C193" s="141"/>
      <c r="D193" s="163"/>
      <c r="E193" s="163"/>
      <c r="F193" s="81"/>
      <c r="G193" s="81"/>
      <c r="H193" s="81"/>
      <c r="I193" s="81"/>
      <c r="J193" s="38"/>
      <c r="K193" s="38"/>
      <c r="L193" s="38"/>
      <c r="M193" s="38"/>
      <c r="N193" s="38"/>
      <c r="O193" s="38"/>
      <c r="P193" s="38"/>
      <c r="Q193" s="38"/>
      <c r="R193" s="38"/>
      <c r="S193" s="38"/>
      <c r="T193" s="38"/>
      <c r="U193" s="38"/>
      <c r="V193" s="38"/>
      <c r="W193" s="38"/>
      <c r="X193" s="38"/>
      <c r="Y193" s="38"/>
      <c r="Z193" s="38"/>
    </row>
    <row r="194" spans="1:26" ht="14.25" customHeight="1" x14ac:dyDescent="0.3">
      <c r="A194" s="38"/>
      <c r="B194" s="39"/>
      <c r="C194" s="141"/>
      <c r="D194" s="163"/>
      <c r="E194" s="163"/>
      <c r="F194" s="81"/>
      <c r="G194" s="81"/>
      <c r="H194" s="81"/>
      <c r="I194" s="81"/>
      <c r="J194" s="38"/>
      <c r="K194" s="38"/>
      <c r="L194" s="38"/>
      <c r="M194" s="38"/>
      <c r="N194" s="38"/>
      <c r="O194" s="38"/>
      <c r="P194" s="38"/>
      <c r="Q194" s="38"/>
      <c r="R194" s="38"/>
      <c r="S194" s="38"/>
      <c r="T194" s="38"/>
      <c r="U194" s="38"/>
      <c r="V194" s="38"/>
      <c r="W194" s="38"/>
      <c r="X194" s="38"/>
      <c r="Y194" s="38"/>
      <c r="Z194" s="38"/>
    </row>
    <row r="195" spans="1:26" ht="14.25" customHeight="1" x14ac:dyDescent="0.3">
      <c r="A195" s="38"/>
      <c r="B195" s="39"/>
      <c r="C195" s="141"/>
      <c r="D195" s="163"/>
      <c r="E195" s="163"/>
      <c r="F195" s="81"/>
      <c r="G195" s="81"/>
      <c r="H195" s="81"/>
      <c r="I195" s="81"/>
      <c r="J195" s="38"/>
      <c r="K195" s="38"/>
      <c r="L195" s="38"/>
      <c r="M195" s="38"/>
      <c r="N195" s="38"/>
      <c r="O195" s="38"/>
      <c r="P195" s="38"/>
      <c r="Q195" s="38"/>
      <c r="R195" s="38"/>
      <c r="S195" s="38"/>
      <c r="T195" s="38"/>
      <c r="U195" s="38"/>
      <c r="V195" s="38"/>
      <c r="W195" s="38"/>
      <c r="X195" s="38"/>
      <c r="Y195" s="38"/>
      <c r="Z195" s="38"/>
    </row>
    <row r="196" spans="1:26" ht="14.25" customHeight="1" x14ac:dyDescent="0.3">
      <c r="A196" s="38"/>
      <c r="B196" s="39"/>
      <c r="C196" s="141"/>
      <c r="D196" s="163"/>
      <c r="E196" s="163"/>
      <c r="F196" s="81"/>
      <c r="G196" s="81"/>
      <c r="H196" s="81"/>
      <c r="I196" s="81"/>
      <c r="J196" s="38"/>
      <c r="K196" s="38"/>
      <c r="L196" s="38"/>
      <c r="M196" s="38"/>
      <c r="N196" s="38"/>
      <c r="O196" s="38"/>
      <c r="P196" s="38"/>
      <c r="Q196" s="38"/>
      <c r="R196" s="38"/>
      <c r="S196" s="38"/>
      <c r="T196" s="38"/>
      <c r="U196" s="38"/>
      <c r="V196" s="38"/>
      <c r="W196" s="38"/>
      <c r="X196" s="38"/>
      <c r="Y196" s="38"/>
      <c r="Z196" s="38"/>
    </row>
    <row r="197" spans="1:26" ht="14.25" customHeight="1" x14ac:dyDescent="0.3">
      <c r="A197" s="38"/>
      <c r="B197" s="39"/>
      <c r="C197" s="141"/>
      <c r="D197" s="163"/>
      <c r="E197" s="163"/>
      <c r="F197" s="81"/>
      <c r="G197" s="81"/>
      <c r="H197" s="81"/>
      <c r="I197" s="81"/>
      <c r="J197" s="38"/>
      <c r="K197" s="38"/>
      <c r="L197" s="38"/>
      <c r="M197" s="38"/>
      <c r="N197" s="38"/>
      <c r="O197" s="38"/>
      <c r="P197" s="38"/>
      <c r="Q197" s="38"/>
      <c r="R197" s="38"/>
      <c r="S197" s="38"/>
      <c r="T197" s="38"/>
      <c r="U197" s="38"/>
      <c r="V197" s="38"/>
      <c r="W197" s="38"/>
      <c r="X197" s="38"/>
      <c r="Y197" s="38"/>
      <c r="Z197" s="38"/>
    </row>
    <row r="198" spans="1:26" ht="14.25" customHeight="1" x14ac:dyDescent="0.3">
      <c r="A198" s="38"/>
      <c r="B198" s="39"/>
      <c r="C198" s="141"/>
      <c r="D198" s="163"/>
      <c r="E198" s="163"/>
      <c r="F198" s="81"/>
      <c r="G198" s="81"/>
      <c r="H198" s="81"/>
      <c r="I198" s="81"/>
      <c r="J198" s="38"/>
      <c r="K198" s="38"/>
      <c r="L198" s="38"/>
      <c r="M198" s="38"/>
      <c r="N198" s="38"/>
      <c r="O198" s="38"/>
      <c r="P198" s="38"/>
      <c r="Q198" s="38"/>
      <c r="R198" s="38"/>
      <c r="S198" s="38"/>
      <c r="T198" s="38"/>
      <c r="U198" s="38"/>
      <c r="V198" s="38"/>
      <c r="W198" s="38"/>
      <c r="X198" s="38"/>
      <c r="Y198" s="38"/>
      <c r="Z198" s="38"/>
    </row>
    <row r="199" spans="1:26" ht="14.25" customHeight="1" x14ac:dyDescent="0.3">
      <c r="A199" s="38"/>
      <c r="B199" s="39"/>
      <c r="C199" s="141"/>
      <c r="D199" s="163"/>
      <c r="E199" s="163"/>
      <c r="F199" s="81"/>
      <c r="G199" s="81"/>
      <c r="H199" s="81"/>
      <c r="I199" s="81"/>
      <c r="J199" s="38"/>
      <c r="K199" s="38"/>
      <c r="L199" s="38"/>
      <c r="M199" s="38"/>
      <c r="N199" s="38"/>
      <c r="O199" s="38"/>
      <c r="P199" s="38"/>
      <c r="Q199" s="38"/>
      <c r="R199" s="38"/>
      <c r="S199" s="38"/>
      <c r="T199" s="38"/>
      <c r="U199" s="38"/>
      <c r="V199" s="38"/>
      <c r="W199" s="38"/>
      <c r="X199" s="38"/>
      <c r="Y199" s="38"/>
      <c r="Z199" s="38"/>
    </row>
    <row r="200" spans="1:26" ht="14.25" customHeight="1" x14ac:dyDescent="0.3">
      <c r="A200" s="38"/>
      <c r="B200" s="39"/>
      <c r="C200" s="141"/>
      <c r="D200" s="163"/>
      <c r="E200" s="163"/>
      <c r="F200" s="81"/>
      <c r="G200" s="81"/>
      <c r="H200" s="81"/>
      <c r="I200" s="81"/>
      <c r="J200" s="38"/>
      <c r="K200" s="38"/>
      <c r="L200" s="38"/>
      <c r="M200" s="38"/>
      <c r="N200" s="38"/>
      <c r="O200" s="38"/>
      <c r="P200" s="38"/>
      <c r="Q200" s="38"/>
      <c r="R200" s="38"/>
      <c r="S200" s="38"/>
      <c r="T200" s="38"/>
      <c r="U200" s="38"/>
      <c r="V200" s="38"/>
      <c r="W200" s="38"/>
      <c r="X200" s="38"/>
      <c r="Y200" s="38"/>
      <c r="Z200" s="38"/>
    </row>
    <row r="201" spans="1:26" ht="14.25" customHeight="1" x14ac:dyDescent="0.3">
      <c r="A201" s="38"/>
      <c r="B201" s="39"/>
      <c r="C201" s="141"/>
      <c r="D201" s="163"/>
      <c r="E201" s="163"/>
      <c r="F201" s="81"/>
      <c r="G201" s="81"/>
      <c r="H201" s="81"/>
      <c r="I201" s="81"/>
      <c r="J201" s="38"/>
      <c r="K201" s="38"/>
      <c r="L201" s="38"/>
      <c r="M201" s="38"/>
      <c r="N201" s="38"/>
      <c r="O201" s="38"/>
      <c r="P201" s="38"/>
      <c r="Q201" s="38"/>
      <c r="R201" s="38"/>
      <c r="S201" s="38"/>
      <c r="T201" s="38"/>
      <c r="U201" s="38"/>
      <c r="V201" s="38"/>
      <c r="W201" s="38"/>
      <c r="X201" s="38"/>
      <c r="Y201" s="38"/>
      <c r="Z201" s="38"/>
    </row>
    <row r="202" spans="1:26" ht="14.25" customHeight="1" x14ac:dyDescent="0.3">
      <c r="A202" s="38"/>
      <c r="B202" s="39"/>
      <c r="C202" s="141"/>
      <c r="D202" s="163"/>
      <c r="E202" s="163"/>
      <c r="F202" s="81"/>
      <c r="G202" s="81"/>
      <c r="H202" s="81"/>
      <c r="I202" s="81"/>
      <c r="J202" s="38"/>
      <c r="K202" s="38"/>
      <c r="L202" s="38"/>
      <c r="M202" s="38"/>
      <c r="N202" s="38"/>
      <c r="O202" s="38"/>
      <c r="P202" s="38"/>
      <c r="Q202" s="38"/>
      <c r="R202" s="38"/>
      <c r="S202" s="38"/>
      <c r="T202" s="38"/>
      <c r="U202" s="38"/>
      <c r="V202" s="38"/>
      <c r="W202" s="38"/>
      <c r="X202" s="38"/>
      <c r="Y202" s="38"/>
      <c r="Z202" s="38"/>
    </row>
    <row r="203" spans="1:26" ht="14.25" customHeight="1" x14ac:dyDescent="0.3">
      <c r="A203" s="38"/>
      <c r="B203" s="39"/>
      <c r="C203" s="141"/>
      <c r="D203" s="163"/>
      <c r="E203" s="163"/>
      <c r="F203" s="81"/>
      <c r="G203" s="81"/>
      <c r="H203" s="81"/>
      <c r="I203" s="81"/>
      <c r="J203" s="38"/>
      <c r="K203" s="38"/>
      <c r="L203" s="38"/>
      <c r="M203" s="38"/>
      <c r="N203" s="38"/>
      <c r="O203" s="38"/>
      <c r="P203" s="38"/>
      <c r="Q203" s="38"/>
      <c r="R203" s="38"/>
      <c r="S203" s="38"/>
      <c r="T203" s="38"/>
      <c r="U203" s="38"/>
      <c r="V203" s="38"/>
      <c r="W203" s="38"/>
      <c r="X203" s="38"/>
      <c r="Y203" s="38"/>
      <c r="Z203" s="38"/>
    </row>
    <row r="204" spans="1:26" ht="14.25" customHeight="1" x14ac:dyDescent="0.3">
      <c r="A204" s="38"/>
      <c r="B204" s="39"/>
      <c r="C204" s="141"/>
      <c r="D204" s="163"/>
      <c r="E204" s="163"/>
      <c r="F204" s="81"/>
      <c r="G204" s="81"/>
      <c r="H204" s="81"/>
      <c r="I204" s="81"/>
      <c r="J204" s="38"/>
      <c r="K204" s="38"/>
      <c r="L204" s="38"/>
      <c r="M204" s="38"/>
      <c r="N204" s="38"/>
      <c r="O204" s="38"/>
      <c r="P204" s="38"/>
      <c r="Q204" s="38"/>
      <c r="R204" s="38"/>
      <c r="S204" s="38"/>
      <c r="T204" s="38"/>
      <c r="U204" s="38"/>
      <c r="V204" s="38"/>
      <c r="W204" s="38"/>
      <c r="X204" s="38"/>
      <c r="Y204" s="38"/>
      <c r="Z204" s="38"/>
    </row>
    <row r="205" spans="1:26" ht="14.25" customHeight="1" x14ac:dyDescent="0.3">
      <c r="A205" s="38"/>
      <c r="B205" s="39"/>
      <c r="C205" s="141"/>
      <c r="D205" s="163"/>
      <c r="E205" s="163"/>
      <c r="F205" s="81"/>
      <c r="G205" s="81"/>
      <c r="H205" s="81"/>
      <c r="I205" s="81"/>
      <c r="J205" s="38"/>
      <c r="K205" s="38"/>
      <c r="L205" s="38"/>
      <c r="M205" s="38"/>
      <c r="N205" s="38"/>
      <c r="O205" s="38"/>
      <c r="P205" s="38"/>
      <c r="Q205" s="38"/>
      <c r="R205" s="38"/>
      <c r="S205" s="38"/>
      <c r="T205" s="38"/>
      <c r="U205" s="38"/>
      <c r="V205" s="38"/>
      <c r="W205" s="38"/>
      <c r="X205" s="38"/>
      <c r="Y205" s="38"/>
      <c r="Z205" s="38"/>
    </row>
    <row r="206" spans="1:26" ht="14.25" customHeight="1" x14ac:dyDescent="0.3">
      <c r="A206" s="38"/>
      <c r="B206" s="39"/>
      <c r="C206" s="141"/>
      <c r="D206" s="163"/>
      <c r="E206" s="163"/>
      <c r="F206" s="81"/>
      <c r="G206" s="81"/>
      <c r="H206" s="81"/>
      <c r="I206" s="81"/>
      <c r="J206" s="38"/>
      <c r="K206" s="38"/>
      <c r="L206" s="38"/>
      <c r="M206" s="38"/>
      <c r="N206" s="38"/>
      <c r="O206" s="38"/>
      <c r="P206" s="38"/>
      <c r="Q206" s="38"/>
      <c r="R206" s="38"/>
      <c r="S206" s="38"/>
      <c r="T206" s="38"/>
      <c r="U206" s="38"/>
      <c r="V206" s="38"/>
      <c r="W206" s="38"/>
      <c r="X206" s="38"/>
      <c r="Y206" s="38"/>
      <c r="Z206" s="38"/>
    </row>
    <row r="207" spans="1:26" ht="14.25" customHeight="1" x14ac:dyDescent="0.3">
      <c r="A207" s="38"/>
      <c r="B207" s="39"/>
      <c r="C207" s="141"/>
      <c r="D207" s="163"/>
      <c r="E207" s="163"/>
      <c r="F207" s="81"/>
      <c r="G207" s="81"/>
      <c r="H207" s="81"/>
      <c r="I207" s="81"/>
      <c r="J207" s="38"/>
      <c r="K207" s="38"/>
      <c r="L207" s="38"/>
      <c r="M207" s="38"/>
      <c r="N207" s="38"/>
      <c r="O207" s="38"/>
      <c r="P207" s="38"/>
      <c r="Q207" s="38"/>
      <c r="R207" s="38"/>
      <c r="S207" s="38"/>
      <c r="T207" s="38"/>
      <c r="U207" s="38"/>
      <c r="V207" s="38"/>
      <c r="W207" s="38"/>
      <c r="X207" s="38"/>
      <c r="Y207" s="38"/>
      <c r="Z207" s="38"/>
    </row>
    <row r="208" spans="1:26" ht="14.25" customHeight="1" x14ac:dyDescent="0.3">
      <c r="A208" s="38"/>
      <c r="B208" s="39"/>
      <c r="C208" s="141"/>
      <c r="D208" s="163"/>
      <c r="E208" s="163"/>
      <c r="F208" s="81"/>
      <c r="G208" s="81"/>
      <c r="H208" s="81"/>
      <c r="I208" s="81"/>
      <c r="J208" s="38"/>
      <c r="K208" s="38"/>
      <c r="L208" s="38"/>
      <c r="M208" s="38"/>
      <c r="N208" s="38"/>
      <c r="O208" s="38"/>
      <c r="P208" s="38"/>
      <c r="Q208" s="38"/>
      <c r="R208" s="38"/>
      <c r="S208" s="38"/>
      <c r="T208" s="38"/>
      <c r="U208" s="38"/>
      <c r="V208" s="38"/>
      <c r="W208" s="38"/>
      <c r="X208" s="38"/>
      <c r="Y208" s="38"/>
      <c r="Z208" s="38"/>
    </row>
    <row r="209" spans="1:26" ht="14.25" customHeight="1" x14ac:dyDescent="0.3">
      <c r="A209" s="38"/>
      <c r="B209" s="39"/>
      <c r="C209" s="141"/>
      <c r="D209" s="163"/>
      <c r="E209" s="163"/>
      <c r="F209" s="81"/>
      <c r="G209" s="81"/>
      <c r="H209" s="81"/>
      <c r="I209" s="81"/>
      <c r="J209" s="38"/>
      <c r="K209" s="38"/>
      <c r="L209" s="38"/>
      <c r="M209" s="38"/>
      <c r="N209" s="38"/>
      <c r="O209" s="38"/>
      <c r="P209" s="38"/>
      <c r="Q209" s="38"/>
      <c r="R209" s="38"/>
      <c r="S209" s="38"/>
      <c r="T209" s="38"/>
      <c r="U209" s="38"/>
      <c r="V209" s="38"/>
      <c r="W209" s="38"/>
      <c r="X209" s="38"/>
      <c r="Y209" s="38"/>
      <c r="Z209" s="38"/>
    </row>
    <row r="210" spans="1:26" ht="14.25" customHeight="1" x14ac:dyDescent="0.3">
      <c r="A210" s="38"/>
      <c r="B210" s="39"/>
      <c r="C210" s="141"/>
      <c r="D210" s="163"/>
      <c r="E210" s="163"/>
      <c r="F210" s="81"/>
      <c r="G210" s="81"/>
      <c r="H210" s="81"/>
      <c r="I210" s="81"/>
      <c r="J210" s="38"/>
      <c r="K210" s="38"/>
      <c r="L210" s="38"/>
      <c r="M210" s="38"/>
      <c r="N210" s="38"/>
      <c r="O210" s="38"/>
      <c r="P210" s="38"/>
      <c r="Q210" s="38"/>
      <c r="R210" s="38"/>
      <c r="S210" s="38"/>
      <c r="T210" s="38"/>
      <c r="U210" s="38"/>
      <c r="V210" s="38"/>
      <c r="W210" s="38"/>
      <c r="X210" s="38"/>
      <c r="Y210" s="38"/>
      <c r="Z210" s="38"/>
    </row>
    <row r="211" spans="1:26" ht="14.25" customHeight="1" x14ac:dyDescent="0.3">
      <c r="A211" s="38"/>
      <c r="B211" s="39"/>
      <c r="C211" s="141"/>
      <c r="D211" s="163"/>
      <c r="E211" s="163"/>
      <c r="F211" s="81"/>
      <c r="G211" s="81"/>
      <c r="H211" s="81"/>
      <c r="I211" s="81"/>
      <c r="J211" s="38"/>
      <c r="K211" s="38"/>
      <c r="L211" s="38"/>
      <c r="M211" s="38"/>
      <c r="N211" s="38"/>
      <c r="O211" s="38"/>
      <c r="P211" s="38"/>
      <c r="Q211" s="38"/>
      <c r="R211" s="38"/>
      <c r="S211" s="38"/>
      <c r="T211" s="38"/>
      <c r="U211" s="38"/>
      <c r="V211" s="38"/>
      <c r="W211" s="38"/>
      <c r="X211" s="38"/>
      <c r="Y211" s="38"/>
      <c r="Z211" s="38"/>
    </row>
    <row r="212" spans="1:26" ht="14.25" customHeight="1" x14ac:dyDescent="0.3">
      <c r="A212" s="38"/>
      <c r="B212" s="39"/>
      <c r="C212" s="141"/>
      <c r="D212" s="163"/>
      <c r="E212" s="163"/>
      <c r="F212" s="81"/>
      <c r="G212" s="81"/>
      <c r="H212" s="81"/>
      <c r="I212" s="81"/>
      <c r="J212" s="38"/>
      <c r="K212" s="38"/>
      <c r="L212" s="38"/>
      <c r="M212" s="38"/>
      <c r="N212" s="38"/>
      <c r="O212" s="38"/>
      <c r="P212" s="38"/>
      <c r="Q212" s="38"/>
      <c r="R212" s="38"/>
      <c r="S212" s="38"/>
      <c r="T212" s="38"/>
      <c r="U212" s="38"/>
      <c r="V212" s="38"/>
      <c r="W212" s="38"/>
      <c r="X212" s="38"/>
      <c r="Y212" s="38"/>
      <c r="Z212" s="38"/>
    </row>
    <row r="213" spans="1:26" ht="14.25" customHeight="1" x14ac:dyDescent="0.3">
      <c r="A213" s="38"/>
      <c r="B213" s="39"/>
      <c r="C213" s="141"/>
      <c r="D213" s="163"/>
      <c r="E213" s="163"/>
      <c r="F213" s="81"/>
      <c r="G213" s="81"/>
      <c r="H213" s="81"/>
      <c r="I213" s="81"/>
      <c r="J213" s="38"/>
      <c r="K213" s="38"/>
      <c r="L213" s="38"/>
      <c r="M213" s="38"/>
      <c r="N213" s="38"/>
      <c r="O213" s="38"/>
      <c r="P213" s="38"/>
      <c r="Q213" s="38"/>
      <c r="R213" s="38"/>
      <c r="S213" s="38"/>
      <c r="T213" s="38"/>
      <c r="U213" s="38"/>
      <c r="V213" s="38"/>
      <c r="W213" s="38"/>
      <c r="X213" s="38"/>
      <c r="Y213" s="38"/>
      <c r="Z213" s="38"/>
    </row>
    <row r="214" spans="1:26" ht="14.25" customHeight="1" x14ac:dyDescent="0.3">
      <c r="A214" s="38"/>
      <c r="B214" s="39"/>
      <c r="C214" s="141"/>
      <c r="D214" s="163"/>
      <c r="E214" s="163"/>
      <c r="F214" s="81"/>
      <c r="G214" s="81"/>
      <c r="H214" s="81"/>
      <c r="I214" s="81"/>
      <c r="J214" s="38"/>
      <c r="K214" s="38"/>
      <c r="L214" s="38"/>
      <c r="M214" s="38"/>
      <c r="N214" s="38"/>
      <c r="O214" s="38"/>
      <c r="P214" s="38"/>
      <c r="Q214" s="38"/>
      <c r="R214" s="38"/>
      <c r="S214" s="38"/>
      <c r="T214" s="38"/>
      <c r="U214" s="38"/>
      <c r="V214" s="38"/>
      <c r="W214" s="38"/>
      <c r="X214" s="38"/>
      <c r="Y214" s="38"/>
      <c r="Z214" s="38"/>
    </row>
    <row r="215" spans="1:26" ht="14.25" customHeight="1" x14ac:dyDescent="0.3">
      <c r="A215" s="38"/>
      <c r="B215" s="39"/>
      <c r="C215" s="141"/>
      <c r="D215" s="163"/>
      <c r="E215" s="163"/>
      <c r="F215" s="81"/>
      <c r="G215" s="81"/>
      <c r="H215" s="81"/>
      <c r="I215" s="81"/>
      <c r="J215" s="38"/>
      <c r="K215" s="38"/>
      <c r="L215" s="38"/>
      <c r="M215" s="38"/>
      <c r="N215" s="38"/>
      <c r="O215" s="38"/>
      <c r="P215" s="38"/>
      <c r="Q215" s="38"/>
      <c r="R215" s="38"/>
      <c r="S215" s="38"/>
      <c r="T215" s="38"/>
      <c r="U215" s="38"/>
      <c r="V215" s="38"/>
      <c r="W215" s="38"/>
      <c r="X215" s="38"/>
      <c r="Y215" s="38"/>
      <c r="Z215" s="38"/>
    </row>
    <row r="216" spans="1:26" ht="14.25" customHeight="1" x14ac:dyDescent="0.3">
      <c r="A216" s="38"/>
      <c r="B216" s="39"/>
      <c r="C216" s="141"/>
      <c r="D216" s="163"/>
      <c r="E216" s="163"/>
      <c r="F216" s="81"/>
      <c r="G216" s="81"/>
      <c r="H216" s="81"/>
      <c r="I216" s="81"/>
      <c r="J216" s="38"/>
      <c r="K216" s="38"/>
      <c r="L216" s="38"/>
      <c r="M216" s="38"/>
      <c r="N216" s="38"/>
      <c r="O216" s="38"/>
      <c r="P216" s="38"/>
      <c r="Q216" s="38"/>
      <c r="R216" s="38"/>
      <c r="S216" s="38"/>
      <c r="T216" s="38"/>
      <c r="U216" s="38"/>
      <c r="V216" s="38"/>
      <c r="W216" s="38"/>
      <c r="X216" s="38"/>
      <c r="Y216" s="38"/>
      <c r="Z216" s="38"/>
    </row>
    <row r="217" spans="1:26" ht="14.25" customHeight="1" x14ac:dyDescent="0.3">
      <c r="A217" s="38"/>
      <c r="B217" s="39"/>
      <c r="C217" s="141"/>
      <c r="D217" s="163"/>
      <c r="E217" s="163"/>
      <c r="F217" s="81"/>
      <c r="G217" s="81"/>
      <c r="H217" s="81"/>
      <c r="I217" s="81"/>
      <c r="J217" s="38"/>
      <c r="K217" s="38"/>
      <c r="L217" s="38"/>
      <c r="M217" s="38"/>
      <c r="N217" s="38"/>
      <c r="O217" s="38"/>
      <c r="P217" s="38"/>
      <c r="Q217" s="38"/>
      <c r="R217" s="38"/>
      <c r="S217" s="38"/>
      <c r="T217" s="38"/>
      <c r="U217" s="38"/>
      <c r="V217" s="38"/>
      <c r="W217" s="38"/>
      <c r="X217" s="38"/>
      <c r="Y217" s="38"/>
      <c r="Z217" s="38"/>
    </row>
    <row r="218" spans="1:26" ht="14.25" customHeight="1" x14ac:dyDescent="0.3">
      <c r="A218" s="38"/>
      <c r="B218" s="39"/>
      <c r="C218" s="141"/>
      <c r="D218" s="163"/>
      <c r="E218" s="163"/>
      <c r="F218" s="81"/>
      <c r="G218" s="81"/>
      <c r="H218" s="81"/>
      <c r="I218" s="81"/>
      <c r="J218" s="38"/>
      <c r="K218" s="38"/>
      <c r="L218" s="38"/>
      <c r="M218" s="38"/>
      <c r="N218" s="38"/>
      <c r="O218" s="38"/>
      <c r="P218" s="38"/>
      <c r="Q218" s="38"/>
      <c r="R218" s="38"/>
      <c r="S218" s="38"/>
      <c r="T218" s="38"/>
      <c r="U218" s="38"/>
      <c r="V218" s="38"/>
      <c r="W218" s="38"/>
      <c r="X218" s="38"/>
      <c r="Y218" s="38"/>
      <c r="Z218" s="38"/>
    </row>
    <row r="219" spans="1:26" ht="14.25" customHeight="1" x14ac:dyDescent="0.3">
      <c r="A219" s="38"/>
      <c r="B219" s="39"/>
      <c r="C219" s="141"/>
      <c r="D219" s="163"/>
      <c r="E219" s="163"/>
      <c r="F219" s="81"/>
      <c r="G219" s="81"/>
      <c r="H219" s="81"/>
      <c r="I219" s="81"/>
      <c r="J219" s="38"/>
      <c r="K219" s="38"/>
      <c r="L219" s="38"/>
      <c r="M219" s="38"/>
      <c r="N219" s="38"/>
      <c r="O219" s="38"/>
      <c r="P219" s="38"/>
      <c r="Q219" s="38"/>
      <c r="R219" s="38"/>
      <c r="S219" s="38"/>
      <c r="T219" s="38"/>
      <c r="U219" s="38"/>
      <c r="V219" s="38"/>
      <c r="W219" s="38"/>
      <c r="X219" s="38"/>
      <c r="Y219" s="38"/>
      <c r="Z219" s="38"/>
    </row>
    <row r="220" spans="1:26" ht="14.25" customHeight="1" x14ac:dyDescent="0.3">
      <c r="A220" s="38"/>
      <c r="B220" s="39"/>
      <c r="C220" s="141"/>
      <c r="D220" s="163"/>
      <c r="E220" s="163"/>
      <c r="F220" s="81"/>
      <c r="G220" s="81"/>
      <c r="H220" s="81"/>
      <c r="I220" s="81"/>
      <c r="J220" s="38"/>
      <c r="K220" s="38"/>
      <c r="L220" s="38"/>
      <c r="M220" s="38"/>
      <c r="N220" s="38"/>
      <c r="O220" s="38"/>
      <c r="P220" s="38"/>
      <c r="Q220" s="38"/>
      <c r="R220" s="38"/>
      <c r="S220" s="38"/>
      <c r="T220" s="38"/>
      <c r="U220" s="38"/>
      <c r="V220" s="38"/>
      <c r="W220" s="38"/>
      <c r="X220" s="38"/>
      <c r="Y220" s="38"/>
      <c r="Z220" s="38"/>
    </row>
    <row r="221" spans="1:26" ht="14.25" customHeight="1" x14ac:dyDescent="0.3">
      <c r="F221" s="155"/>
      <c r="H221" s="155"/>
    </row>
    <row r="222" spans="1:26" ht="14.25" customHeight="1" x14ac:dyDescent="0.3">
      <c r="F222" s="155"/>
      <c r="H222" s="155"/>
    </row>
    <row r="223" spans="1:26" ht="14.25" customHeight="1" x14ac:dyDescent="0.3">
      <c r="F223" s="155"/>
      <c r="H223" s="155"/>
    </row>
    <row r="224" spans="1:26" ht="14.25" customHeight="1" x14ac:dyDescent="0.3">
      <c r="F224" s="155"/>
      <c r="H224" s="155"/>
    </row>
    <row r="225" spans="6:8" ht="14.25" customHeight="1" x14ac:dyDescent="0.3">
      <c r="F225" s="155"/>
      <c r="H225" s="155"/>
    </row>
    <row r="226" spans="6:8" ht="14.25" customHeight="1" x14ac:dyDescent="0.3">
      <c r="F226" s="155"/>
      <c r="H226" s="155"/>
    </row>
    <row r="227" spans="6:8" ht="14.25" customHeight="1" x14ac:dyDescent="0.3">
      <c r="F227" s="155"/>
      <c r="H227" s="155"/>
    </row>
    <row r="228" spans="6:8" ht="14.25" customHeight="1" x14ac:dyDescent="0.3">
      <c r="F228" s="155"/>
      <c r="H228" s="155"/>
    </row>
    <row r="229" spans="6:8" ht="14.25" customHeight="1" x14ac:dyDescent="0.3">
      <c r="F229" s="155"/>
      <c r="H229" s="155"/>
    </row>
    <row r="230" spans="6:8" ht="14.25" customHeight="1" x14ac:dyDescent="0.3">
      <c r="F230" s="155"/>
      <c r="H230" s="155"/>
    </row>
    <row r="231" spans="6:8" ht="14.25" customHeight="1" x14ac:dyDescent="0.3">
      <c r="F231" s="155"/>
      <c r="H231" s="155"/>
    </row>
    <row r="232" spans="6:8" ht="14.25" customHeight="1" x14ac:dyDescent="0.3">
      <c r="F232" s="155"/>
      <c r="H232" s="155"/>
    </row>
    <row r="233" spans="6:8" ht="14.25" customHeight="1" x14ac:dyDescent="0.3">
      <c r="F233" s="155"/>
      <c r="H233" s="155"/>
    </row>
    <row r="234" spans="6:8" ht="14.25" customHeight="1" x14ac:dyDescent="0.3">
      <c r="F234" s="155"/>
      <c r="H234" s="155"/>
    </row>
    <row r="235" spans="6:8" ht="14.25" customHeight="1" x14ac:dyDescent="0.3">
      <c r="F235" s="155"/>
      <c r="H235" s="155"/>
    </row>
    <row r="236" spans="6:8" ht="14.25" customHeight="1" x14ac:dyDescent="0.3">
      <c r="F236" s="155"/>
      <c r="H236" s="155"/>
    </row>
    <row r="237" spans="6:8" ht="14.25" customHeight="1" x14ac:dyDescent="0.3">
      <c r="F237" s="155"/>
      <c r="H237" s="155"/>
    </row>
    <row r="238" spans="6:8" ht="14.25" customHeight="1" x14ac:dyDescent="0.3">
      <c r="F238" s="155"/>
      <c r="H238" s="155"/>
    </row>
    <row r="239" spans="6:8" ht="14.25" customHeight="1" x14ac:dyDescent="0.3">
      <c r="F239" s="155"/>
      <c r="H239" s="155"/>
    </row>
    <row r="240" spans="6:8" ht="14.25" customHeight="1" x14ac:dyDescent="0.3">
      <c r="F240" s="155"/>
      <c r="H240" s="155"/>
    </row>
    <row r="241" spans="6:8" ht="14.25" customHeight="1" x14ac:dyDescent="0.3">
      <c r="F241" s="155"/>
      <c r="H241" s="155"/>
    </row>
    <row r="242" spans="6:8" ht="14.25" customHeight="1" x14ac:dyDescent="0.3">
      <c r="F242" s="155"/>
      <c r="H242" s="155"/>
    </row>
    <row r="243" spans="6:8" ht="14.25" customHeight="1" x14ac:dyDescent="0.3">
      <c r="F243" s="155"/>
      <c r="H243" s="155"/>
    </row>
    <row r="244" spans="6:8" ht="14.25" customHeight="1" x14ac:dyDescent="0.3">
      <c r="F244" s="155"/>
      <c r="H244" s="155"/>
    </row>
    <row r="245" spans="6:8" ht="14.25" customHeight="1" x14ac:dyDescent="0.3">
      <c r="F245" s="155"/>
      <c r="H245" s="155"/>
    </row>
    <row r="246" spans="6:8" ht="14.25" customHeight="1" x14ac:dyDescent="0.3">
      <c r="F246" s="155"/>
      <c r="H246" s="155"/>
    </row>
    <row r="247" spans="6:8" ht="14.25" customHeight="1" x14ac:dyDescent="0.3">
      <c r="F247" s="155"/>
      <c r="H247" s="155"/>
    </row>
    <row r="248" spans="6:8" ht="14.25" customHeight="1" x14ac:dyDescent="0.3">
      <c r="F248" s="155"/>
      <c r="H248" s="155"/>
    </row>
    <row r="249" spans="6:8" ht="14.25" customHeight="1" x14ac:dyDescent="0.3">
      <c r="F249" s="155"/>
      <c r="H249" s="155"/>
    </row>
    <row r="250" spans="6:8" ht="14.25" customHeight="1" x14ac:dyDescent="0.3">
      <c r="F250" s="155"/>
      <c r="H250" s="155"/>
    </row>
    <row r="251" spans="6:8" ht="14.25" customHeight="1" x14ac:dyDescent="0.3">
      <c r="F251" s="155"/>
      <c r="H251" s="155"/>
    </row>
    <row r="252" spans="6:8" ht="14.25" customHeight="1" x14ac:dyDescent="0.3">
      <c r="F252" s="155"/>
      <c r="H252" s="155"/>
    </row>
    <row r="253" spans="6:8" ht="14.25" customHeight="1" x14ac:dyDescent="0.3">
      <c r="F253" s="155"/>
      <c r="H253" s="155"/>
    </row>
    <row r="254" spans="6:8" ht="14.25" customHeight="1" x14ac:dyDescent="0.3">
      <c r="F254" s="155"/>
      <c r="H254" s="155"/>
    </row>
    <row r="255" spans="6:8" ht="14.25" customHeight="1" x14ac:dyDescent="0.3">
      <c r="F255" s="155"/>
      <c r="H255" s="155"/>
    </row>
    <row r="256" spans="6:8" ht="14.25" customHeight="1" x14ac:dyDescent="0.3">
      <c r="F256" s="155"/>
      <c r="H256" s="155"/>
    </row>
    <row r="257" spans="6:8" ht="14.25" customHeight="1" x14ac:dyDescent="0.3">
      <c r="F257" s="155"/>
      <c r="H257" s="155"/>
    </row>
    <row r="258" spans="6:8" ht="14.25" customHeight="1" x14ac:dyDescent="0.3">
      <c r="F258" s="155"/>
      <c r="H258" s="155"/>
    </row>
    <row r="259" spans="6:8" ht="14.25" customHeight="1" x14ac:dyDescent="0.3">
      <c r="F259" s="155"/>
      <c r="H259" s="155"/>
    </row>
    <row r="260" spans="6:8" ht="14.25" customHeight="1" x14ac:dyDescent="0.3">
      <c r="F260" s="155"/>
      <c r="H260" s="155"/>
    </row>
    <row r="261" spans="6:8" ht="14.25" customHeight="1" x14ac:dyDescent="0.3">
      <c r="F261" s="155"/>
      <c r="H261" s="155"/>
    </row>
    <row r="262" spans="6:8" ht="14.25" customHeight="1" x14ac:dyDescent="0.3">
      <c r="F262" s="155"/>
      <c r="H262" s="155"/>
    </row>
    <row r="263" spans="6:8" ht="14.25" customHeight="1" x14ac:dyDescent="0.3">
      <c r="F263" s="155"/>
      <c r="H263" s="155"/>
    </row>
    <row r="264" spans="6:8" ht="14.25" customHeight="1" x14ac:dyDescent="0.3">
      <c r="F264" s="155"/>
      <c r="H264" s="155"/>
    </row>
    <row r="265" spans="6:8" ht="14.25" customHeight="1" x14ac:dyDescent="0.3">
      <c r="F265" s="155"/>
      <c r="H265" s="155"/>
    </row>
    <row r="266" spans="6:8" ht="14.25" customHeight="1" x14ac:dyDescent="0.3">
      <c r="F266" s="155"/>
      <c r="H266" s="155"/>
    </row>
    <row r="267" spans="6:8" ht="14.25" customHeight="1" x14ac:dyDescent="0.3">
      <c r="F267" s="155"/>
      <c r="H267" s="155"/>
    </row>
    <row r="268" spans="6:8" ht="14.25" customHeight="1" x14ac:dyDescent="0.3">
      <c r="F268" s="155"/>
      <c r="H268" s="155"/>
    </row>
    <row r="269" spans="6:8" ht="14.25" customHeight="1" x14ac:dyDescent="0.3">
      <c r="F269" s="155"/>
      <c r="H269" s="155"/>
    </row>
    <row r="270" spans="6:8" ht="14.25" customHeight="1" x14ac:dyDescent="0.3">
      <c r="F270" s="155"/>
      <c r="H270" s="155"/>
    </row>
    <row r="271" spans="6:8" ht="14.25" customHeight="1" x14ac:dyDescent="0.3">
      <c r="F271" s="155"/>
      <c r="H271" s="155"/>
    </row>
    <row r="272" spans="6:8" ht="14.25" customHeight="1" x14ac:dyDescent="0.3">
      <c r="F272" s="155"/>
      <c r="H272" s="155"/>
    </row>
    <row r="273" spans="6:8" ht="14.25" customHeight="1" x14ac:dyDescent="0.3">
      <c r="F273" s="155"/>
      <c r="H273" s="155"/>
    </row>
    <row r="274" spans="6:8" ht="14.25" customHeight="1" x14ac:dyDescent="0.3">
      <c r="F274" s="155"/>
      <c r="H274" s="155"/>
    </row>
    <row r="275" spans="6:8" ht="14.25" customHeight="1" x14ac:dyDescent="0.3">
      <c r="F275" s="155"/>
      <c r="H275" s="155"/>
    </row>
    <row r="276" spans="6:8" ht="14.25" customHeight="1" x14ac:dyDescent="0.3">
      <c r="F276" s="155"/>
      <c r="H276" s="155"/>
    </row>
    <row r="277" spans="6:8" ht="14.25" customHeight="1" x14ac:dyDescent="0.3">
      <c r="F277" s="155"/>
      <c r="H277" s="155"/>
    </row>
    <row r="278" spans="6:8" ht="14.25" customHeight="1" x14ac:dyDescent="0.3">
      <c r="F278" s="155"/>
      <c r="H278" s="155"/>
    </row>
    <row r="279" spans="6:8" ht="14.25" customHeight="1" x14ac:dyDescent="0.3">
      <c r="F279" s="155"/>
      <c r="H279" s="155"/>
    </row>
    <row r="280" spans="6:8" ht="14.25" customHeight="1" x14ac:dyDescent="0.3">
      <c r="F280" s="155"/>
      <c r="H280" s="155"/>
    </row>
    <row r="281" spans="6:8" ht="14.25" customHeight="1" x14ac:dyDescent="0.3">
      <c r="F281" s="155"/>
      <c r="H281" s="155"/>
    </row>
    <row r="282" spans="6:8" ht="14.25" customHeight="1" x14ac:dyDescent="0.3">
      <c r="F282" s="155"/>
      <c r="H282" s="155"/>
    </row>
    <row r="283" spans="6:8" ht="14.25" customHeight="1" x14ac:dyDescent="0.3">
      <c r="F283" s="155"/>
      <c r="H283" s="155"/>
    </row>
    <row r="284" spans="6:8" ht="14.25" customHeight="1" x14ac:dyDescent="0.3">
      <c r="F284" s="155"/>
      <c r="H284" s="155"/>
    </row>
    <row r="285" spans="6:8" ht="14.25" customHeight="1" x14ac:dyDescent="0.3">
      <c r="F285" s="155"/>
      <c r="H285" s="155"/>
    </row>
    <row r="286" spans="6:8" ht="14.25" customHeight="1" x14ac:dyDescent="0.3">
      <c r="F286" s="155"/>
      <c r="H286" s="155"/>
    </row>
    <row r="287" spans="6:8" ht="14.25" customHeight="1" x14ac:dyDescent="0.3">
      <c r="F287" s="155"/>
      <c r="H287" s="155"/>
    </row>
    <row r="288" spans="6:8" ht="14.25" customHeight="1" x14ac:dyDescent="0.3">
      <c r="F288" s="155"/>
      <c r="H288" s="155"/>
    </row>
    <row r="289" spans="6:8" ht="14.25" customHeight="1" x14ac:dyDescent="0.3">
      <c r="F289" s="155"/>
      <c r="H289" s="155"/>
    </row>
    <row r="290" spans="6:8" ht="14.25" customHeight="1" x14ac:dyDescent="0.3">
      <c r="F290" s="155"/>
      <c r="H290" s="155"/>
    </row>
    <row r="291" spans="6:8" ht="14.25" customHeight="1" x14ac:dyDescent="0.3">
      <c r="F291" s="155"/>
      <c r="H291" s="155"/>
    </row>
    <row r="292" spans="6:8" ht="14.25" customHeight="1" x14ac:dyDescent="0.3">
      <c r="F292" s="155"/>
      <c r="H292" s="155"/>
    </row>
    <row r="293" spans="6:8" ht="14.25" customHeight="1" x14ac:dyDescent="0.3">
      <c r="F293" s="155"/>
      <c r="H293" s="155"/>
    </row>
    <row r="294" spans="6:8" ht="14.25" customHeight="1" x14ac:dyDescent="0.3">
      <c r="F294" s="155"/>
      <c r="H294" s="155"/>
    </row>
    <row r="295" spans="6:8" ht="14.25" customHeight="1" x14ac:dyDescent="0.3">
      <c r="F295" s="155"/>
      <c r="H295" s="155"/>
    </row>
    <row r="296" spans="6:8" ht="14.25" customHeight="1" x14ac:dyDescent="0.3">
      <c r="F296" s="155"/>
      <c r="H296" s="155"/>
    </row>
    <row r="297" spans="6:8" ht="14.25" customHeight="1" x14ac:dyDescent="0.3">
      <c r="F297" s="155"/>
      <c r="H297" s="155"/>
    </row>
    <row r="298" spans="6:8" ht="14.25" customHeight="1" x14ac:dyDescent="0.3">
      <c r="F298" s="155"/>
      <c r="H298" s="155"/>
    </row>
    <row r="299" spans="6:8" ht="14.25" customHeight="1" x14ac:dyDescent="0.3">
      <c r="F299" s="155"/>
      <c r="H299" s="155"/>
    </row>
    <row r="300" spans="6:8" ht="14.25" customHeight="1" x14ac:dyDescent="0.3">
      <c r="F300" s="155"/>
      <c r="H300" s="155"/>
    </row>
    <row r="301" spans="6:8" ht="14.25" customHeight="1" x14ac:dyDescent="0.3">
      <c r="F301" s="155"/>
      <c r="H301" s="155"/>
    </row>
    <row r="302" spans="6:8" ht="14.25" customHeight="1" x14ac:dyDescent="0.3">
      <c r="F302" s="155"/>
      <c r="H302" s="155"/>
    </row>
    <row r="303" spans="6:8" ht="14.25" customHeight="1" x14ac:dyDescent="0.3">
      <c r="F303" s="155"/>
      <c r="H303" s="155"/>
    </row>
    <row r="304" spans="6:8" ht="14.25" customHeight="1" x14ac:dyDescent="0.3">
      <c r="F304" s="155"/>
      <c r="H304" s="155"/>
    </row>
    <row r="305" spans="6:8" ht="14.25" customHeight="1" x14ac:dyDescent="0.3">
      <c r="F305" s="155"/>
      <c r="H305" s="155"/>
    </row>
    <row r="306" spans="6:8" ht="14.25" customHeight="1" x14ac:dyDescent="0.3">
      <c r="F306" s="155"/>
      <c r="H306" s="155"/>
    </row>
    <row r="307" spans="6:8" ht="14.25" customHeight="1" x14ac:dyDescent="0.3">
      <c r="F307" s="155"/>
      <c r="H307" s="155"/>
    </row>
    <row r="308" spans="6:8" ht="14.25" customHeight="1" x14ac:dyDescent="0.3">
      <c r="F308" s="155"/>
      <c r="H308" s="155"/>
    </row>
    <row r="309" spans="6:8" ht="14.25" customHeight="1" x14ac:dyDescent="0.3">
      <c r="F309" s="155"/>
      <c r="H309" s="155"/>
    </row>
    <row r="310" spans="6:8" ht="14.25" customHeight="1" x14ac:dyDescent="0.3">
      <c r="F310" s="155"/>
      <c r="H310" s="155"/>
    </row>
    <row r="311" spans="6:8" ht="14.25" customHeight="1" x14ac:dyDescent="0.3">
      <c r="F311" s="155"/>
      <c r="H311" s="155"/>
    </row>
    <row r="312" spans="6:8" ht="14.25" customHeight="1" x14ac:dyDescent="0.3">
      <c r="F312" s="155"/>
      <c r="H312" s="155"/>
    </row>
    <row r="313" spans="6:8" ht="14.25" customHeight="1" x14ac:dyDescent="0.3">
      <c r="F313" s="155"/>
      <c r="H313" s="155"/>
    </row>
    <row r="314" spans="6:8" ht="14.25" customHeight="1" x14ac:dyDescent="0.3">
      <c r="F314" s="155"/>
      <c r="H314" s="155"/>
    </row>
    <row r="315" spans="6:8" ht="14.25" customHeight="1" x14ac:dyDescent="0.3">
      <c r="F315" s="155"/>
      <c r="H315" s="155"/>
    </row>
    <row r="316" spans="6:8" ht="14.25" customHeight="1" x14ac:dyDescent="0.3">
      <c r="F316" s="155"/>
      <c r="H316" s="155"/>
    </row>
    <row r="317" spans="6:8" ht="14.25" customHeight="1" x14ac:dyDescent="0.3">
      <c r="F317" s="155"/>
      <c r="H317" s="155"/>
    </row>
    <row r="318" spans="6:8" ht="14.25" customHeight="1" x14ac:dyDescent="0.3">
      <c r="F318" s="155"/>
      <c r="H318" s="155"/>
    </row>
    <row r="319" spans="6:8" ht="14.25" customHeight="1" x14ac:dyDescent="0.3">
      <c r="F319" s="155"/>
      <c r="H319" s="155"/>
    </row>
    <row r="320" spans="6:8" ht="14.25" customHeight="1" x14ac:dyDescent="0.3">
      <c r="F320" s="155"/>
      <c r="H320" s="155"/>
    </row>
    <row r="321" spans="6:8" ht="14.25" customHeight="1" x14ac:dyDescent="0.3">
      <c r="F321" s="155"/>
      <c r="H321" s="155"/>
    </row>
    <row r="322" spans="6:8" ht="14.25" customHeight="1" x14ac:dyDescent="0.3">
      <c r="F322" s="155"/>
      <c r="H322" s="155"/>
    </row>
    <row r="323" spans="6:8" ht="14.25" customHeight="1" x14ac:dyDescent="0.3">
      <c r="F323" s="155"/>
      <c r="H323" s="155"/>
    </row>
    <row r="324" spans="6:8" ht="14.25" customHeight="1" x14ac:dyDescent="0.3">
      <c r="F324" s="155"/>
      <c r="H324" s="155"/>
    </row>
    <row r="325" spans="6:8" ht="14.25" customHeight="1" x14ac:dyDescent="0.3">
      <c r="F325" s="155"/>
      <c r="H325" s="155"/>
    </row>
    <row r="326" spans="6:8" ht="14.25" customHeight="1" x14ac:dyDescent="0.3">
      <c r="F326" s="155"/>
      <c r="H326" s="155"/>
    </row>
    <row r="327" spans="6:8" ht="14.25" customHeight="1" x14ac:dyDescent="0.3">
      <c r="F327" s="155"/>
      <c r="H327" s="155"/>
    </row>
    <row r="328" spans="6:8" ht="14.25" customHeight="1" x14ac:dyDescent="0.3">
      <c r="F328" s="155"/>
      <c r="H328" s="155"/>
    </row>
    <row r="329" spans="6:8" ht="14.25" customHeight="1" x14ac:dyDescent="0.3">
      <c r="F329" s="155"/>
      <c r="H329" s="155"/>
    </row>
    <row r="330" spans="6:8" ht="14.25" customHeight="1" x14ac:dyDescent="0.3">
      <c r="F330" s="155"/>
      <c r="H330" s="155"/>
    </row>
    <row r="331" spans="6:8" ht="14.25" customHeight="1" x14ac:dyDescent="0.3">
      <c r="F331" s="155"/>
      <c r="H331" s="155"/>
    </row>
    <row r="332" spans="6:8" ht="14.25" customHeight="1" x14ac:dyDescent="0.3">
      <c r="F332" s="155"/>
      <c r="H332" s="155"/>
    </row>
    <row r="333" spans="6:8" ht="14.25" customHeight="1" x14ac:dyDescent="0.3">
      <c r="F333" s="155"/>
      <c r="H333" s="155"/>
    </row>
    <row r="334" spans="6:8" ht="14.25" customHeight="1" x14ac:dyDescent="0.3">
      <c r="F334" s="155"/>
      <c r="H334" s="155"/>
    </row>
    <row r="335" spans="6:8" ht="14.25" customHeight="1" x14ac:dyDescent="0.3">
      <c r="F335" s="155"/>
      <c r="H335" s="155"/>
    </row>
    <row r="336" spans="6:8" ht="14.25" customHeight="1" x14ac:dyDescent="0.3">
      <c r="F336" s="155"/>
      <c r="H336" s="155"/>
    </row>
    <row r="337" spans="6:8" ht="14.25" customHeight="1" x14ac:dyDescent="0.3">
      <c r="F337" s="155"/>
      <c r="H337" s="155"/>
    </row>
    <row r="338" spans="6:8" ht="14.25" customHeight="1" x14ac:dyDescent="0.3">
      <c r="F338" s="155"/>
      <c r="H338" s="155"/>
    </row>
    <row r="339" spans="6:8" ht="14.25" customHeight="1" x14ac:dyDescent="0.3">
      <c r="F339" s="155"/>
      <c r="H339" s="155"/>
    </row>
    <row r="340" spans="6:8" ht="14.25" customHeight="1" x14ac:dyDescent="0.3">
      <c r="F340" s="155"/>
      <c r="H340" s="155"/>
    </row>
    <row r="341" spans="6:8" ht="14.25" customHeight="1" x14ac:dyDescent="0.3">
      <c r="F341" s="155"/>
      <c r="H341" s="155"/>
    </row>
    <row r="342" spans="6:8" ht="14.25" customHeight="1" x14ac:dyDescent="0.3">
      <c r="F342" s="155"/>
      <c r="H342" s="155"/>
    </row>
    <row r="343" spans="6:8" ht="14.25" customHeight="1" x14ac:dyDescent="0.3">
      <c r="F343" s="155"/>
      <c r="H343" s="155"/>
    </row>
    <row r="344" spans="6:8" ht="14.25" customHeight="1" x14ac:dyDescent="0.3">
      <c r="F344" s="155"/>
      <c r="H344" s="155"/>
    </row>
    <row r="345" spans="6:8" ht="14.25" customHeight="1" x14ac:dyDescent="0.3">
      <c r="F345" s="155"/>
      <c r="H345" s="155"/>
    </row>
    <row r="346" spans="6:8" ht="14.25" customHeight="1" x14ac:dyDescent="0.3">
      <c r="F346" s="155"/>
      <c r="H346" s="155"/>
    </row>
    <row r="347" spans="6:8" ht="14.25" customHeight="1" x14ac:dyDescent="0.3">
      <c r="F347" s="155"/>
      <c r="H347" s="155"/>
    </row>
    <row r="348" spans="6:8" ht="14.25" customHeight="1" x14ac:dyDescent="0.3">
      <c r="F348" s="155"/>
      <c r="H348" s="155"/>
    </row>
    <row r="349" spans="6:8" ht="14.25" customHeight="1" x14ac:dyDescent="0.3">
      <c r="F349" s="155"/>
      <c r="H349" s="155"/>
    </row>
    <row r="350" spans="6:8" ht="14.25" customHeight="1" x14ac:dyDescent="0.3">
      <c r="F350" s="155"/>
      <c r="H350" s="155"/>
    </row>
    <row r="351" spans="6:8" ht="14.25" customHeight="1" x14ac:dyDescent="0.3">
      <c r="F351" s="155"/>
      <c r="H351" s="155"/>
    </row>
    <row r="352" spans="6:8" ht="14.25" customHeight="1" x14ac:dyDescent="0.3">
      <c r="F352" s="155"/>
      <c r="H352" s="155"/>
    </row>
    <row r="353" spans="6:8" ht="14.25" customHeight="1" x14ac:dyDescent="0.3">
      <c r="F353" s="155"/>
      <c r="H353" s="155"/>
    </row>
    <row r="354" spans="6:8" ht="14.25" customHeight="1" x14ac:dyDescent="0.3">
      <c r="F354" s="155"/>
      <c r="H354" s="155"/>
    </row>
    <row r="355" spans="6:8" ht="14.25" customHeight="1" x14ac:dyDescent="0.3">
      <c r="F355" s="155"/>
      <c r="H355" s="155"/>
    </row>
    <row r="356" spans="6:8" ht="14.25" customHeight="1" x14ac:dyDescent="0.3">
      <c r="F356" s="155"/>
      <c r="H356" s="155"/>
    </row>
    <row r="357" spans="6:8" ht="14.25" customHeight="1" x14ac:dyDescent="0.3">
      <c r="F357" s="155"/>
      <c r="H357" s="155"/>
    </row>
    <row r="358" spans="6:8" ht="14.25" customHeight="1" x14ac:dyDescent="0.3">
      <c r="F358" s="155"/>
      <c r="H358" s="155"/>
    </row>
    <row r="359" spans="6:8" ht="14.25" customHeight="1" x14ac:dyDescent="0.3">
      <c r="F359" s="155"/>
      <c r="H359" s="155"/>
    </row>
    <row r="360" spans="6:8" ht="14.25" customHeight="1" x14ac:dyDescent="0.3">
      <c r="F360" s="155"/>
      <c r="H360" s="155"/>
    </row>
    <row r="361" spans="6:8" ht="14.25" customHeight="1" x14ac:dyDescent="0.3">
      <c r="F361" s="155"/>
      <c r="H361" s="155"/>
    </row>
    <row r="362" spans="6:8" ht="14.25" customHeight="1" x14ac:dyDescent="0.3">
      <c r="F362" s="155"/>
      <c r="H362" s="155"/>
    </row>
    <row r="363" spans="6:8" ht="14.25" customHeight="1" x14ac:dyDescent="0.3">
      <c r="F363" s="155"/>
      <c r="H363" s="155"/>
    </row>
    <row r="364" spans="6:8" ht="14.25" customHeight="1" x14ac:dyDescent="0.3">
      <c r="F364" s="155"/>
      <c r="H364" s="155"/>
    </row>
    <row r="365" spans="6:8" ht="14.25" customHeight="1" x14ac:dyDescent="0.3">
      <c r="F365" s="155"/>
      <c r="H365" s="155"/>
    </row>
    <row r="366" spans="6:8" ht="14.25" customHeight="1" x14ac:dyDescent="0.3">
      <c r="F366" s="155"/>
      <c r="H366" s="155"/>
    </row>
    <row r="367" spans="6:8" ht="14.25" customHeight="1" x14ac:dyDescent="0.3">
      <c r="F367" s="155"/>
      <c r="H367" s="155"/>
    </row>
    <row r="368" spans="6:8" ht="14.25" customHeight="1" x14ac:dyDescent="0.3">
      <c r="F368" s="155"/>
      <c r="H368" s="155"/>
    </row>
    <row r="369" spans="6:8" ht="14.25" customHeight="1" x14ac:dyDescent="0.3">
      <c r="F369" s="155"/>
      <c r="H369" s="155"/>
    </row>
    <row r="370" spans="6:8" ht="14.25" customHeight="1" x14ac:dyDescent="0.3">
      <c r="F370" s="155"/>
      <c r="H370" s="155"/>
    </row>
    <row r="371" spans="6:8" ht="14.25" customHeight="1" x14ac:dyDescent="0.3">
      <c r="F371" s="155"/>
      <c r="H371" s="155"/>
    </row>
    <row r="372" spans="6:8" ht="14.25" customHeight="1" x14ac:dyDescent="0.3">
      <c r="F372" s="155"/>
      <c r="H372" s="155"/>
    </row>
    <row r="373" spans="6:8" ht="14.25" customHeight="1" x14ac:dyDescent="0.3">
      <c r="F373" s="155"/>
      <c r="H373" s="155"/>
    </row>
    <row r="374" spans="6:8" ht="14.25" customHeight="1" x14ac:dyDescent="0.3">
      <c r="F374" s="155"/>
      <c r="H374" s="155"/>
    </row>
    <row r="375" spans="6:8" ht="14.25" customHeight="1" x14ac:dyDescent="0.3">
      <c r="F375" s="155"/>
      <c r="H375" s="155"/>
    </row>
    <row r="376" spans="6:8" ht="14.25" customHeight="1" x14ac:dyDescent="0.3">
      <c r="F376" s="155"/>
      <c r="H376" s="155"/>
    </row>
    <row r="377" spans="6:8" ht="14.25" customHeight="1" x14ac:dyDescent="0.3">
      <c r="F377" s="155"/>
      <c r="H377" s="155"/>
    </row>
    <row r="378" spans="6:8" ht="14.25" customHeight="1" x14ac:dyDescent="0.3">
      <c r="F378" s="155"/>
      <c r="H378" s="155"/>
    </row>
    <row r="379" spans="6:8" ht="14.25" customHeight="1" x14ac:dyDescent="0.3">
      <c r="F379" s="155"/>
      <c r="H379" s="155"/>
    </row>
    <row r="380" spans="6:8" ht="14.25" customHeight="1" x14ac:dyDescent="0.3">
      <c r="F380" s="155"/>
      <c r="H380" s="155"/>
    </row>
    <row r="381" spans="6:8" ht="14.25" customHeight="1" x14ac:dyDescent="0.3">
      <c r="F381" s="155"/>
      <c r="H381" s="155"/>
    </row>
    <row r="382" spans="6:8" ht="14.25" customHeight="1" x14ac:dyDescent="0.3">
      <c r="F382" s="155"/>
      <c r="H382" s="155"/>
    </row>
    <row r="383" spans="6:8" ht="14.25" customHeight="1" x14ac:dyDescent="0.3">
      <c r="F383" s="155"/>
      <c r="H383" s="155"/>
    </row>
    <row r="384" spans="6:8" ht="14.25" customHeight="1" x14ac:dyDescent="0.3">
      <c r="F384" s="155"/>
      <c r="H384" s="155"/>
    </row>
    <row r="385" spans="6:8" ht="14.25" customHeight="1" x14ac:dyDescent="0.3">
      <c r="F385" s="155"/>
      <c r="H385" s="155"/>
    </row>
    <row r="386" spans="6:8" ht="14.25" customHeight="1" x14ac:dyDescent="0.3">
      <c r="F386" s="155"/>
      <c r="H386" s="155"/>
    </row>
    <row r="387" spans="6:8" ht="14.25" customHeight="1" x14ac:dyDescent="0.3">
      <c r="F387" s="155"/>
      <c r="H387" s="155"/>
    </row>
    <row r="388" spans="6:8" ht="14.25" customHeight="1" x14ac:dyDescent="0.3">
      <c r="F388" s="155"/>
      <c r="H388" s="155"/>
    </row>
    <row r="389" spans="6:8" ht="14.25" customHeight="1" x14ac:dyDescent="0.3">
      <c r="F389" s="155"/>
      <c r="H389" s="155"/>
    </row>
    <row r="390" spans="6:8" ht="14.25" customHeight="1" x14ac:dyDescent="0.3">
      <c r="F390" s="155"/>
      <c r="H390" s="155"/>
    </row>
    <row r="391" spans="6:8" ht="14.25" customHeight="1" x14ac:dyDescent="0.3">
      <c r="F391" s="155"/>
      <c r="H391" s="155"/>
    </row>
    <row r="392" spans="6:8" ht="14.25" customHeight="1" x14ac:dyDescent="0.3">
      <c r="F392" s="155"/>
      <c r="H392" s="155"/>
    </row>
    <row r="393" spans="6:8" ht="14.25" customHeight="1" x14ac:dyDescent="0.3">
      <c r="F393" s="155"/>
      <c r="H393" s="155"/>
    </row>
    <row r="394" spans="6:8" ht="14.25" customHeight="1" x14ac:dyDescent="0.3">
      <c r="F394" s="155"/>
      <c r="H394" s="155"/>
    </row>
    <row r="395" spans="6:8" ht="14.25" customHeight="1" x14ac:dyDescent="0.3">
      <c r="F395" s="155"/>
      <c r="H395" s="155"/>
    </row>
    <row r="396" spans="6:8" ht="14.25" customHeight="1" x14ac:dyDescent="0.3">
      <c r="F396" s="155"/>
      <c r="H396" s="155"/>
    </row>
    <row r="397" spans="6:8" ht="14.25" customHeight="1" x14ac:dyDescent="0.3">
      <c r="F397" s="155"/>
      <c r="H397" s="155"/>
    </row>
    <row r="398" spans="6:8" ht="14.25" customHeight="1" x14ac:dyDescent="0.3">
      <c r="F398" s="155"/>
      <c r="H398" s="155"/>
    </row>
    <row r="399" spans="6:8" ht="14.25" customHeight="1" x14ac:dyDescent="0.3">
      <c r="F399" s="155"/>
      <c r="H399" s="155"/>
    </row>
    <row r="400" spans="6:8" ht="14.25" customHeight="1" x14ac:dyDescent="0.3">
      <c r="F400" s="155"/>
      <c r="H400" s="155"/>
    </row>
    <row r="401" spans="6:8" ht="14.25" customHeight="1" x14ac:dyDescent="0.3">
      <c r="F401" s="155"/>
      <c r="H401" s="155"/>
    </row>
    <row r="402" spans="6:8" ht="14.25" customHeight="1" x14ac:dyDescent="0.3">
      <c r="F402" s="155"/>
      <c r="H402" s="155"/>
    </row>
    <row r="403" spans="6:8" ht="14.25" customHeight="1" x14ac:dyDescent="0.3">
      <c r="F403" s="155"/>
      <c r="H403" s="155"/>
    </row>
    <row r="404" spans="6:8" ht="14.25" customHeight="1" x14ac:dyDescent="0.3">
      <c r="F404" s="155"/>
      <c r="H404" s="155"/>
    </row>
    <row r="405" spans="6:8" ht="14.25" customHeight="1" x14ac:dyDescent="0.3">
      <c r="F405" s="155"/>
      <c r="H405" s="155"/>
    </row>
    <row r="406" spans="6:8" ht="14.25" customHeight="1" x14ac:dyDescent="0.3">
      <c r="F406" s="155"/>
      <c r="H406" s="155"/>
    </row>
    <row r="407" spans="6:8" ht="14.25" customHeight="1" x14ac:dyDescent="0.3">
      <c r="F407" s="155"/>
      <c r="H407" s="155"/>
    </row>
    <row r="408" spans="6:8" ht="14.25" customHeight="1" x14ac:dyDescent="0.3">
      <c r="F408" s="155"/>
      <c r="H408" s="155"/>
    </row>
    <row r="409" spans="6:8" ht="14.25" customHeight="1" x14ac:dyDescent="0.3">
      <c r="F409" s="155"/>
      <c r="H409" s="155"/>
    </row>
    <row r="410" spans="6:8" ht="14.25" customHeight="1" x14ac:dyDescent="0.3">
      <c r="F410" s="155"/>
      <c r="H410" s="155"/>
    </row>
    <row r="411" spans="6:8" ht="14.25" customHeight="1" x14ac:dyDescent="0.3">
      <c r="F411" s="155"/>
      <c r="H411" s="155"/>
    </row>
    <row r="412" spans="6:8" ht="14.25" customHeight="1" x14ac:dyDescent="0.3">
      <c r="F412" s="155"/>
      <c r="H412" s="155"/>
    </row>
    <row r="413" spans="6:8" ht="14.25" customHeight="1" x14ac:dyDescent="0.3">
      <c r="F413" s="155"/>
      <c r="H413" s="155"/>
    </row>
    <row r="414" spans="6:8" ht="14.25" customHeight="1" x14ac:dyDescent="0.3">
      <c r="F414" s="155"/>
      <c r="H414" s="155"/>
    </row>
    <row r="415" spans="6:8" ht="14.25" customHeight="1" x14ac:dyDescent="0.3">
      <c r="F415" s="155"/>
      <c r="H415" s="155"/>
    </row>
    <row r="416" spans="6:8" ht="14.25" customHeight="1" x14ac:dyDescent="0.3">
      <c r="F416" s="155"/>
      <c r="H416" s="155"/>
    </row>
    <row r="417" spans="6:8" ht="14.25" customHeight="1" x14ac:dyDescent="0.3">
      <c r="F417" s="155"/>
      <c r="H417" s="155"/>
    </row>
    <row r="418" spans="6:8" ht="14.25" customHeight="1" x14ac:dyDescent="0.3">
      <c r="F418" s="155"/>
      <c r="H418" s="155"/>
    </row>
    <row r="419" spans="6:8" ht="14.25" customHeight="1" x14ac:dyDescent="0.3">
      <c r="F419" s="155"/>
      <c r="H419" s="155"/>
    </row>
    <row r="420" spans="6:8" ht="14.25" customHeight="1" x14ac:dyDescent="0.3">
      <c r="F420" s="155"/>
      <c r="H420" s="155"/>
    </row>
    <row r="421" spans="6:8" ht="14.25" customHeight="1" x14ac:dyDescent="0.3">
      <c r="F421" s="155"/>
      <c r="H421" s="155"/>
    </row>
    <row r="422" spans="6:8" ht="14.25" customHeight="1" x14ac:dyDescent="0.3">
      <c r="F422" s="155"/>
      <c r="H422" s="155"/>
    </row>
    <row r="423" spans="6:8" ht="14.25" customHeight="1" x14ac:dyDescent="0.3">
      <c r="F423" s="155"/>
      <c r="H423" s="155"/>
    </row>
    <row r="424" spans="6:8" ht="14.25" customHeight="1" x14ac:dyDescent="0.3">
      <c r="F424" s="155"/>
      <c r="H424" s="155"/>
    </row>
    <row r="425" spans="6:8" ht="14.25" customHeight="1" x14ac:dyDescent="0.3">
      <c r="F425" s="155"/>
      <c r="H425" s="155"/>
    </row>
    <row r="426" spans="6:8" ht="14.25" customHeight="1" x14ac:dyDescent="0.3">
      <c r="F426" s="155"/>
      <c r="H426" s="155"/>
    </row>
    <row r="427" spans="6:8" ht="14.25" customHeight="1" x14ac:dyDescent="0.3">
      <c r="F427" s="155"/>
      <c r="H427" s="155"/>
    </row>
    <row r="428" spans="6:8" ht="14.25" customHeight="1" x14ac:dyDescent="0.3">
      <c r="F428" s="155"/>
      <c r="H428" s="155"/>
    </row>
    <row r="429" spans="6:8" ht="14.25" customHeight="1" x14ac:dyDescent="0.3">
      <c r="F429" s="155"/>
      <c r="H429" s="155"/>
    </row>
    <row r="430" spans="6:8" ht="14.25" customHeight="1" x14ac:dyDescent="0.3">
      <c r="F430" s="155"/>
      <c r="H430" s="155"/>
    </row>
    <row r="431" spans="6:8" ht="14.25" customHeight="1" x14ac:dyDescent="0.3">
      <c r="F431" s="155"/>
      <c r="H431" s="155"/>
    </row>
    <row r="432" spans="6:8" ht="14.25" customHeight="1" x14ac:dyDescent="0.3">
      <c r="F432" s="155"/>
      <c r="H432" s="155"/>
    </row>
    <row r="433" spans="6:8" ht="14.25" customHeight="1" x14ac:dyDescent="0.3">
      <c r="F433" s="155"/>
      <c r="H433" s="155"/>
    </row>
    <row r="434" spans="6:8" ht="14.25" customHeight="1" x14ac:dyDescent="0.3">
      <c r="F434" s="155"/>
      <c r="H434" s="155"/>
    </row>
    <row r="435" spans="6:8" ht="14.25" customHeight="1" x14ac:dyDescent="0.3">
      <c r="F435" s="155"/>
      <c r="H435" s="155"/>
    </row>
    <row r="436" spans="6:8" ht="14.25" customHeight="1" x14ac:dyDescent="0.3">
      <c r="F436" s="155"/>
      <c r="H436" s="155"/>
    </row>
    <row r="437" spans="6:8" ht="14.25" customHeight="1" x14ac:dyDescent="0.3">
      <c r="F437" s="155"/>
      <c r="H437" s="155"/>
    </row>
    <row r="438" spans="6:8" ht="14.25" customHeight="1" x14ac:dyDescent="0.3">
      <c r="F438" s="155"/>
      <c r="H438" s="155"/>
    </row>
    <row r="439" spans="6:8" ht="14.25" customHeight="1" x14ac:dyDescent="0.3">
      <c r="F439" s="155"/>
      <c r="H439" s="155"/>
    </row>
    <row r="440" spans="6:8" ht="14.25" customHeight="1" x14ac:dyDescent="0.3">
      <c r="F440" s="155"/>
      <c r="H440" s="155"/>
    </row>
    <row r="441" spans="6:8" ht="14.25" customHeight="1" x14ac:dyDescent="0.3">
      <c r="F441" s="155"/>
      <c r="H441" s="155"/>
    </row>
    <row r="442" spans="6:8" ht="14.25" customHeight="1" x14ac:dyDescent="0.3">
      <c r="F442" s="155"/>
      <c r="H442" s="155"/>
    </row>
    <row r="443" spans="6:8" ht="14.25" customHeight="1" x14ac:dyDescent="0.3">
      <c r="F443" s="155"/>
      <c r="H443" s="155"/>
    </row>
    <row r="444" spans="6:8" ht="14.25" customHeight="1" x14ac:dyDescent="0.3">
      <c r="F444" s="155"/>
      <c r="H444" s="155"/>
    </row>
    <row r="445" spans="6:8" ht="14.25" customHeight="1" x14ac:dyDescent="0.3">
      <c r="F445" s="155"/>
      <c r="H445" s="155"/>
    </row>
    <row r="446" spans="6:8" ht="14.25" customHeight="1" x14ac:dyDescent="0.3">
      <c r="F446" s="155"/>
      <c r="H446" s="155"/>
    </row>
    <row r="447" spans="6:8" ht="14.25" customHeight="1" x14ac:dyDescent="0.3">
      <c r="F447" s="155"/>
      <c r="H447" s="155"/>
    </row>
    <row r="448" spans="6:8" ht="14.25" customHeight="1" x14ac:dyDescent="0.3">
      <c r="F448" s="155"/>
      <c r="H448" s="155"/>
    </row>
    <row r="449" spans="6:8" ht="14.25" customHeight="1" x14ac:dyDescent="0.3">
      <c r="F449" s="155"/>
      <c r="H449" s="155"/>
    </row>
    <row r="450" spans="6:8" ht="14.25" customHeight="1" x14ac:dyDescent="0.3">
      <c r="F450" s="155"/>
      <c r="H450" s="155"/>
    </row>
    <row r="451" spans="6:8" ht="14.25" customHeight="1" x14ac:dyDescent="0.3">
      <c r="F451" s="155"/>
      <c r="H451" s="155"/>
    </row>
    <row r="452" spans="6:8" ht="14.25" customHeight="1" x14ac:dyDescent="0.3">
      <c r="F452" s="155"/>
      <c r="H452" s="155"/>
    </row>
    <row r="453" spans="6:8" ht="14.25" customHeight="1" x14ac:dyDescent="0.3">
      <c r="F453" s="155"/>
      <c r="H453" s="155"/>
    </row>
    <row r="454" spans="6:8" ht="14.25" customHeight="1" x14ac:dyDescent="0.3">
      <c r="F454" s="155"/>
      <c r="H454" s="155"/>
    </row>
    <row r="455" spans="6:8" ht="14.25" customHeight="1" x14ac:dyDescent="0.3">
      <c r="F455" s="155"/>
      <c r="H455" s="155"/>
    </row>
    <row r="456" spans="6:8" ht="14.25" customHeight="1" x14ac:dyDescent="0.3">
      <c r="F456" s="155"/>
      <c r="H456" s="155"/>
    </row>
    <row r="457" spans="6:8" ht="14.25" customHeight="1" x14ac:dyDescent="0.3">
      <c r="F457" s="155"/>
      <c r="H457" s="155"/>
    </row>
    <row r="458" spans="6:8" ht="14.25" customHeight="1" x14ac:dyDescent="0.3">
      <c r="F458" s="155"/>
      <c r="H458" s="155"/>
    </row>
    <row r="459" spans="6:8" ht="14.25" customHeight="1" x14ac:dyDescent="0.3">
      <c r="F459" s="155"/>
      <c r="H459" s="155"/>
    </row>
    <row r="460" spans="6:8" ht="14.25" customHeight="1" x14ac:dyDescent="0.3">
      <c r="F460" s="155"/>
      <c r="H460" s="155"/>
    </row>
    <row r="461" spans="6:8" ht="14.25" customHeight="1" x14ac:dyDescent="0.3">
      <c r="F461" s="155"/>
      <c r="H461" s="155"/>
    </row>
    <row r="462" spans="6:8" ht="14.25" customHeight="1" x14ac:dyDescent="0.3">
      <c r="F462" s="155"/>
      <c r="H462" s="155"/>
    </row>
    <row r="463" spans="6:8" ht="14.25" customHeight="1" x14ac:dyDescent="0.3">
      <c r="F463" s="155"/>
      <c r="H463" s="155"/>
    </row>
    <row r="464" spans="6:8" ht="14.25" customHeight="1" x14ac:dyDescent="0.3">
      <c r="F464" s="155"/>
      <c r="H464" s="155"/>
    </row>
    <row r="465" spans="6:8" ht="14.25" customHeight="1" x14ac:dyDescent="0.3">
      <c r="F465" s="155"/>
      <c r="H465" s="155"/>
    </row>
    <row r="466" spans="6:8" ht="14.25" customHeight="1" x14ac:dyDescent="0.3">
      <c r="F466" s="155"/>
      <c r="H466" s="155"/>
    </row>
    <row r="467" spans="6:8" ht="14.25" customHeight="1" x14ac:dyDescent="0.3">
      <c r="F467" s="155"/>
      <c r="H467" s="155"/>
    </row>
    <row r="468" spans="6:8" ht="14.25" customHeight="1" x14ac:dyDescent="0.3">
      <c r="F468" s="155"/>
      <c r="H468" s="155"/>
    </row>
    <row r="469" spans="6:8" ht="14.25" customHeight="1" x14ac:dyDescent="0.3">
      <c r="F469" s="155"/>
      <c r="H469" s="155"/>
    </row>
    <row r="470" spans="6:8" ht="14.25" customHeight="1" x14ac:dyDescent="0.3">
      <c r="F470" s="155"/>
      <c r="H470" s="155"/>
    </row>
    <row r="471" spans="6:8" ht="14.25" customHeight="1" x14ac:dyDescent="0.3">
      <c r="F471" s="155"/>
      <c r="H471" s="155"/>
    </row>
    <row r="472" spans="6:8" ht="14.25" customHeight="1" x14ac:dyDescent="0.3">
      <c r="F472" s="155"/>
      <c r="H472" s="155"/>
    </row>
    <row r="473" spans="6:8" ht="14.25" customHeight="1" x14ac:dyDescent="0.3">
      <c r="F473" s="155"/>
      <c r="H473" s="155"/>
    </row>
    <row r="474" spans="6:8" ht="14.25" customHeight="1" x14ac:dyDescent="0.3">
      <c r="F474" s="155"/>
      <c r="H474" s="155"/>
    </row>
    <row r="475" spans="6:8" ht="14.25" customHeight="1" x14ac:dyDescent="0.3">
      <c r="F475" s="155"/>
      <c r="H475" s="155"/>
    </row>
    <row r="476" spans="6:8" ht="14.25" customHeight="1" x14ac:dyDescent="0.3">
      <c r="F476" s="155"/>
      <c r="H476" s="155"/>
    </row>
    <row r="477" spans="6:8" ht="14.25" customHeight="1" x14ac:dyDescent="0.3">
      <c r="F477" s="155"/>
      <c r="H477" s="155"/>
    </row>
    <row r="478" spans="6:8" ht="14.25" customHeight="1" x14ac:dyDescent="0.3">
      <c r="F478" s="155"/>
      <c r="H478" s="155"/>
    </row>
    <row r="479" spans="6:8" ht="14.25" customHeight="1" x14ac:dyDescent="0.3">
      <c r="F479" s="155"/>
      <c r="H479" s="155"/>
    </row>
    <row r="480" spans="6:8" ht="14.25" customHeight="1" x14ac:dyDescent="0.3">
      <c r="F480" s="155"/>
      <c r="H480" s="155"/>
    </row>
    <row r="481" spans="6:8" ht="14.25" customHeight="1" x14ac:dyDescent="0.3">
      <c r="F481" s="155"/>
      <c r="H481" s="155"/>
    </row>
    <row r="482" spans="6:8" ht="14.25" customHeight="1" x14ac:dyDescent="0.3">
      <c r="F482" s="155"/>
      <c r="H482" s="155"/>
    </row>
    <row r="483" spans="6:8" ht="14.25" customHeight="1" x14ac:dyDescent="0.3">
      <c r="F483" s="155"/>
      <c r="H483" s="155"/>
    </row>
    <row r="484" spans="6:8" ht="14.25" customHeight="1" x14ac:dyDescent="0.3">
      <c r="F484" s="155"/>
      <c r="H484" s="155"/>
    </row>
    <row r="485" spans="6:8" ht="14.25" customHeight="1" x14ac:dyDescent="0.3">
      <c r="F485" s="155"/>
      <c r="H485" s="155"/>
    </row>
    <row r="486" spans="6:8" ht="14.25" customHeight="1" x14ac:dyDescent="0.3">
      <c r="F486" s="155"/>
      <c r="H486" s="155"/>
    </row>
    <row r="487" spans="6:8" ht="14.25" customHeight="1" x14ac:dyDescent="0.3">
      <c r="F487" s="155"/>
      <c r="H487" s="155"/>
    </row>
    <row r="488" spans="6:8" ht="14.25" customHeight="1" x14ac:dyDescent="0.3">
      <c r="F488" s="155"/>
      <c r="H488" s="155"/>
    </row>
    <row r="489" spans="6:8" ht="14.25" customHeight="1" x14ac:dyDescent="0.3">
      <c r="F489" s="155"/>
      <c r="H489" s="155"/>
    </row>
    <row r="490" spans="6:8" ht="14.25" customHeight="1" x14ac:dyDescent="0.3">
      <c r="F490" s="155"/>
      <c r="H490" s="155"/>
    </row>
    <row r="491" spans="6:8" ht="14.25" customHeight="1" x14ac:dyDescent="0.3">
      <c r="F491" s="155"/>
      <c r="H491" s="155"/>
    </row>
    <row r="492" spans="6:8" ht="14.25" customHeight="1" x14ac:dyDescent="0.3">
      <c r="F492" s="155"/>
      <c r="H492" s="155"/>
    </row>
    <row r="493" spans="6:8" ht="14.25" customHeight="1" x14ac:dyDescent="0.3">
      <c r="F493" s="155"/>
      <c r="H493" s="155"/>
    </row>
    <row r="494" spans="6:8" ht="14.25" customHeight="1" x14ac:dyDescent="0.3">
      <c r="F494" s="155"/>
      <c r="H494" s="155"/>
    </row>
    <row r="495" spans="6:8" ht="14.25" customHeight="1" x14ac:dyDescent="0.3">
      <c r="F495" s="155"/>
      <c r="H495" s="155"/>
    </row>
    <row r="496" spans="6:8" ht="14.25" customHeight="1" x14ac:dyDescent="0.3">
      <c r="F496" s="155"/>
      <c r="H496" s="155"/>
    </row>
    <row r="497" spans="6:8" ht="14.25" customHeight="1" x14ac:dyDescent="0.3">
      <c r="F497" s="155"/>
      <c r="H497" s="155"/>
    </row>
    <row r="498" spans="6:8" ht="14.25" customHeight="1" x14ac:dyDescent="0.3">
      <c r="F498" s="155"/>
      <c r="H498" s="155"/>
    </row>
    <row r="499" spans="6:8" ht="14.25" customHeight="1" x14ac:dyDescent="0.3">
      <c r="F499" s="155"/>
      <c r="H499" s="155"/>
    </row>
    <row r="500" spans="6:8" ht="14.25" customHeight="1" x14ac:dyDescent="0.3">
      <c r="F500" s="155"/>
      <c r="H500" s="155"/>
    </row>
    <row r="501" spans="6:8" ht="14.25" customHeight="1" x14ac:dyDescent="0.3">
      <c r="F501" s="155"/>
      <c r="H501" s="155"/>
    </row>
    <row r="502" spans="6:8" ht="14.25" customHeight="1" x14ac:dyDescent="0.3">
      <c r="F502" s="155"/>
      <c r="H502" s="155"/>
    </row>
    <row r="503" spans="6:8" ht="14.25" customHeight="1" x14ac:dyDescent="0.3">
      <c r="F503" s="155"/>
      <c r="H503" s="155"/>
    </row>
    <row r="504" spans="6:8" ht="14.25" customHeight="1" x14ac:dyDescent="0.3">
      <c r="F504" s="155"/>
      <c r="H504" s="155"/>
    </row>
    <row r="505" spans="6:8" ht="14.25" customHeight="1" x14ac:dyDescent="0.3">
      <c r="F505" s="155"/>
      <c r="H505" s="155"/>
    </row>
    <row r="506" spans="6:8" ht="14.25" customHeight="1" x14ac:dyDescent="0.3">
      <c r="F506" s="155"/>
      <c r="H506" s="155"/>
    </row>
    <row r="507" spans="6:8" ht="14.25" customHeight="1" x14ac:dyDescent="0.3">
      <c r="F507" s="155"/>
      <c r="H507" s="155"/>
    </row>
    <row r="508" spans="6:8" ht="14.25" customHeight="1" x14ac:dyDescent="0.3">
      <c r="F508" s="155"/>
      <c r="H508" s="155"/>
    </row>
    <row r="509" spans="6:8" ht="14.25" customHeight="1" x14ac:dyDescent="0.3">
      <c r="F509" s="155"/>
      <c r="H509" s="155"/>
    </row>
    <row r="510" spans="6:8" ht="14.25" customHeight="1" x14ac:dyDescent="0.3">
      <c r="F510" s="155"/>
      <c r="H510" s="155"/>
    </row>
    <row r="511" spans="6:8" ht="14.25" customHeight="1" x14ac:dyDescent="0.3">
      <c r="F511" s="155"/>
      <c r="H511" s="155"/>
    </row>
    <row r="512" spans="6:8" ht="14.25" customHeight="1" x14ac:dyDescent="0.3">
      <c r="F512" s="155"/>
      <c r="H512" s="155"/>
    </row>
    <row r="513" spans="6:8" ht="14.25" customHeight="1" x14ac:dyDescent="0.3">
      <c r="F513" s="155"/>
      <c r="H513" s="155"/>
    </row>
    <row r="514" spans="6:8" ht="14.25" customHeight="1" x14ac:dyDescent="0.3">
      <c r="F514" s="155"/>
      <c r="H514" s="155"/>
    </row>
    <row r="515" spans="6:8" ht="14.25" customHeight="1" x14ac:dyDescent="0.3">
      <c r="F515" s="155"/>
      <c r="H515" s="155"/>
    </row>
    <row r="516" spans="6:8" ht="14.25" customHeight="1" x14ac:dyDescent="0.3">
      <c r="F516" s="155"/>
      <c r="H516" s="155"/>
    </row>
    <row r="517" spans="6:8" ht="14.25" customHeight="1" x14ac:dyDescent="0.3">
      <c r="F517" s="155"/>
      <c r="H517" s="155"/>
    </row>
    <row r="518" spans="6:8" ht="14.25" customHeight="1" x14ac:dyDescent="0.3">
      <c r="F518" s="155"/>
      <c r="H518" s="155"/>
    </row>
    <row r="519" spans="6:8" ht="14.25" customHeight="1" x14ac:dyDescent="0.3">
      <c r="F519" s="155"/>
      <c r="H519" s="155"/>
    </row>
    <row r="520" spans="6:8" ht="14.25" customHeight="1" x14ac:dyDescent="0.3">
      <c r="F520" s="155"/>
      <c r="H520" s="155"/>
    </row>
    <row r="521" spans="6:8" ht="14.25" customHeight="1" x14ac:dyDescent="0.3">
      <c r="F521" s="155"/>
      <c r="H521" s="155"/>
    </row>
    <row r="522" spans="6:8" ht="14.25" customHeight="1" x14ac:dyDescent="0.3">
      <c r="F522" s="155"/>
      <c r="H522" s="155"/>
    </row>
    <row r="523" spans="6:8" ht="14.25" customHeight="1" x14ac:dyDescent="0.3">
      <c r="F523" s="155"/>
      <c r="H523" s="155"/>
    </row>
    <row r="524" spans="6:8" ht="14.25" customHeight="1" x14ac:dyDescent="0.3">
      <c r="F524" s="155"/>
      <c r="H524" s="155"/>
    </row>
    <row r="525" spans="6:8" ht="14.25" customHeight="1" x14ac:dyDescent="0.3">
      <c r="F525" s="155"/>
      <c r="H525" s="155"/>
    </row>
    <row r="526" spans="6:8" ht="14.25" customHeight="1" x14ac:dyDescent="0.3">
      <c r="F526" s="155"/>
      <c r="H526" s="155"/>
    </row>
    <row r="527" spans="6:8" ht="14.25" customHeight="1" x14ac:dyDescent="0.3">
      <c r="F527" s="155"/>
      <c r="H527" s="155"/>
    </row>
    <row r="528" spans="6:8" ht="14.25" customHeight="1" x14ac:dyDescent="0.3">
      <c r="F528" s="155"/>
      <c r="H528" s="155"/>
    </row>
    <row r="529" spans="6:8" ht="14.25" customHeight="1" x14ac:dyDescent="0.3">
      <c r="F529" s="155"/>
      <c r="H529" s="155"/>
    </row>
    <row r="530" spans="6:8" ht="14.25" customHeight="1" x14ac:dyDescent="0.3">
      <c r="F530" s="155"/>
      <c r="H530" s="155"/>
    </row>
    <row r="531" spans="6:8" ht="14.25" customHeight="1" x14ac:dyDescent="0.3">
      <c r="F531" s="155"/>
      <c r="H531" s="155"/>
    </row>
    <row r="532" spans="6:8" ht="14.25" customHeight="1" x14ac:dyDescent="0.3">
      <c r="F532" s="155"/>
      <c r="H532" s="155"/>
    </row>
    <row r="533" spans="6:8" ht="14.25" customHeight="1" x14ac:dyDescent="0.3">
      <c r="F533" s="155"/>
      <c r="H533" s="155"/>
    </row>
    <row r="534" spans="6:8" ht="14.25" customHeight="1" x14ac:dyDescent="0.3">
      <c r="F534" s="155"/>
      <c r="H534" s="155"/>
    </row>
    <row r="535" spans="6:8" ht="14.25" customHeight="1" x14ac:dyDescent="0.3">
      <c r="F535" s="155"/>
      <c r="H535" s="155"/>
    </row>
    <row r="536" spans="6:8" ht="14.25" customHeight="1" x14ac:dyDescent="0.3">
      <c r="F536" s="155"/>
      <c r="H536" s="155"/>
    </row>
    <row r="537" spans="6:8" ht="14.25" customHeight="1" x14ac:dyDescent="0.3">
      <c r="F537" s="155"/>
      <c r="H537" s="155"/>
    </row>
    <row r="538" spans="6:8" ht="14.25" customHeight="1" x14ac:dyDescent="0.3">
      <c r="F538" s="155"/>
      <c r="H538" s="155"/>
    </row>
    <row r="539" spans="6:8" ht="14.25" customHeight="1" x14ac:dyDescent="0.3">
      <c r="F539" s="155"/>
      <c r="H539" s="155"/>
    </row>
    <row r="540" spans="6:8" ht="14.25" customHeight="1" x14ac:dyDescent="0.3">
      <c r="F540" s="155"/>
      <c r="H540" s="155"/>
    </row>
    <row r="541" spans="6:8" ht="14.25" customHeight="1" x14ac:dyDescent="0.3">
      <c r="F541" s="155"/>
      <c r="H541" s="155"/>
    </row>
    <row r="542" spans="6:8" ht="14.25" customHeight="1" x14ac:dyDescent="0.3">
      <c r="F542" s="155"/>
      <c r="H542" s="155"/>
    </row>
    <row r="543" spans="6:8" ht="14.25" customHeight="1" x14ac:dyDescent="0.3">
      <c r="F543" s="155"/>
      <c r="H543" s="155"/>
    </row>
    <row r="544" spans="6:8" ht="14.25" customHeight="1" x14ac:dyDescent="0.3">
      <c r="F544" s="155"/>
      <c r="H544" s="155"/>
    </row>
    <row r="545" spans="6:8" ht="14.25" customHeight="1" x14ac:dyDescent="0.3">
      <c r="F545" s="155"/>
      <c r="H545" s="155"/>
    </row>
    <row r="546" spans="6:8" ht="14.25" customHeight="1" x14ac:dyDescent="0.3">
      <c r="F546" s="155"/>
      <c r="H546" s="155"/>
    </row>
    <row r="547" spans="6:8" ht="14.25" customHeight="1" x14ac:dyDescent="0.3">
      <c r="F547" s="155"/>
      <c r="H547" s="155"/>
    </row>
    <row r="548" spans="6:8" ht="14.25" customHeight="1" x14ac:dyDescent="0.3">
      <c r="F548" s="155"/>
      <c r="H548" s="155"/>
    </row>
    <row r="549" spans="6:8" ht="14.25" customHeight="1" x14ac:dyDescent="0.3">
      <c r="F549" s="155"/>
      <c r="H549" s="155"/>
    </row>
    <row r="550" spans="6:8" ht="14.25" customHeight="1" x14ac:dyDescent="0.3">
      <c r="F550" s="155"/>
      <c r="H550" s="155"/>
    </row>
    <row r="551" spans="6:8" ht="14.25" customHeight="1" x14ac:dyDescent="0.3">
      <c r="F551" s="155"/>
      <c r="H551" s="155"/>
    </row>
    <row r="552" spans="6:8" ht="14.25" customHeight="1" x14ac:dyDescent="0.3">
      <c r="F552" s="155"/>
      <c r="H552" s="155"/>
    </row>
    <row r="553" spans="6:8" ht="14.25" customHeight="1" x14ac:dyDescent="0.3">
      <c r="F553" s="155"/>
      <c r="H553" s="155"/>
    </row>
    <row r="554" spans="6:8" ht="14.25" customHeight="1" x14ac:dyDescent="0.3">
      <c r="F554" s="155"/>
      <c r="H554" s="155"/>
    </row>
    <row r="555" spans="6:8" ht="14.25" customHeight="1" x14ac:dyDescent="0.3">
      <c r="F555" s="155"/>
      <c r="H555" s="155"/>
    </row>
    <row r="556" spans="6:8" ht="14.25" customHeight="1" x14ac:dyDescent="0.3">
      <c r="F556" s="155"/>
      <c r="H556" s="155"/>
    </row>
    <row r="557" spans="6:8" ht="14.25" customHeight="1" x14ac:dyDescent="0.3">
      <c r="F557" s="155"/>
      <c r="H557" s="155"/>
    </row>
    <row r="558" spans="6:8" ht="14.25" customHeight="1" x14ac:dyDescent="0.3">
      <c r="F558" s="155"/>
      <c r="H558" s="155"/>
    </row>
    <row r="559" spans="6:8" ht="14.25" customHeight="1" x14ac:dyDescent="0.3">
      <c r="F559" s="155"/>
      <c r="H559" s="155"/>
    </row>
    <row r="560" spans="6:8" ht="14.25" customHeight="1" x14ac:dyDescent="0.3">
      <c r="F560" s="155"/>
      <c r="H560" s="155"/>
    </row>
    <row r="561" spans="6:8" ht="14.25" customHeight="1" x14ac:dyDescent="0.3">
      <c r="F561" s="155"/>
      <c r="H561" s="155"/>
    </row>
    <row r="562" spans="6:8" ht="14.25" customHeight="1" x14ac:dyDescent="0.3">
      <c r="F562" s="155"/>
      <c r="H562" s="155"/>
    </row>
    <row r="563" spans="6:8" ht="14.25" customHeight="1" x14ac:dyDescent="0.3">
      <c r="F563" s="155"/>
      <c r="H563" s="155"/>
    </row>
    <row r="564" spans="6:8" ht="14.25" customHeight="1" x14ac:dyDescent="0.3">
      <c r="F564" s="155"/>
      <c r="H564" s="155"/>
    </row>
    <row r="565" spans="6:8" ht="14.25" customHeight="1" x14ac:dyDescent="0.3">
      <c r="F565" s="155"/>
      <c r="H565" s="155"/>
    </row>
    <row r="566" spans="6:8" ht="14.25" customHeight="1" x14ac:dyDescent="0.3">
      <c r="F566" s="155"/>
      <c r="H566" s="155"/>
    </row>
    <row r="567" spans="6:8" ht="14.25" customHeight="1" x14ac:dyDescent="0.3">
      <c r="F567" s="155"/>
      <c r="H567" s="155"/>
    </row>
    <row r="568" spans="6:8" ht="14.25" customHeight="1" x14ac:dyDescent="0.3">
      <c r="F568" s="155"/>
      <c r="H568" s="155"/>
    </row>
    <row r="569" spans="6:8" ht="14.25" customHeight="1" x14ac:dyDescent="0.3">
      <c r="F569" s="155"/>
      <c r="H569" s="155"/>
    </row>
    <row r="570" spans="6:8" ht="14.25" customHeight="1" x14ac:dyDescent="0.3">
      <c r="F570" s="155"/>
      <c r="H570" s="155"/>
    </row>
    <row r="571" spans="6:8" ht="14.25" customHeight="1" x14ac:dyDescent="0.3">
      <c r="F571" s="155"/>
      <c r="H571" s="155"/>
    </row>
    <row r="572" spans="6:8" ht="14.25" customHeight="1" x14ac:dyDescent="0.3">
      <c r="F572" s="155"/>
      <c r="H572" s="155"/>
    </row>
    <row r="573" spans="6:8" ht="14.25" customHeight="1" x14ac:dyDescent="0.3">
      <c r="F573" s="155"/>
      <c r="H573" s="155"/>
    </row>
    <row r="574" spans="6:8" ht="14.25" customHeight="1" x14ac:dyDescent="0.3">
      <c r="F574" s="155"/>
      <c r="H574" s="155"/>
    </row>
    <row r="575" spans="6:8" ht="14.25" customHeight="1" x14ac:dyDescent="0.3">
      <c r="F575" s="155"/>
      <c r="H575" s="155"/>
    </row>
    <row r="576" spans="6:8" ht="14.25" customHeight="1" x14ac:dyDescent="0.3">
      <c r="F576" s="155"/>
      <c r="H576" s="155"/>
    </row>
    <row r="577" spans="6:8" ht="14.25" customHeight="1" x14ac:dyDescent="0.3">
      <c r="F577" s="155"/>
      <c r="H577" s="155"/>
    </row>
    <row r="578" spans="6:8" ht="14.25" customHeight="1" x14ac:dyDescent="0.3">
      <c r="F578" s="155"/>
      <c r="H578" s="155"/>
    </row>
    <row r="579" spans="6:8" ht="14.25" customHeight="1" x14ac:dyDescent="0.3">
      <c r="F579" s="155"/>
      <c r="H579" s="155"/>
    </row>
    <row r="580" spans="6:8" ht="14.25" customHeight="1" x14ac:dyDescent="0.3">
      <c r="F580" s="155"/>
      <c r="H580" s="155"/>
    </row>
    <row r="581" spans="6:8" ht="14.25" customHeight="1" x14ac:dyDescent="0.3">
      <c r="F581" s="155"/>
      <c r="H581" s="155"/>
    </row>
    <row r="582" spans="6:8" ht="14.25" customHeight="1" x14ac:dyDescent="0.3">
      <c r="F582" s="155"/>
      <c r="H582" s="155"/>
    </row>
    <row r="583" spans="6:8" ht="14.25" customHeight="1" x14ac:dyDescent="0.3">
      <c r="F583" s="155"/>
      <c r="H583" s="155"/>
    </row>
    <row r="584" spans="6:8" ht="14.25" customHeight="1" x14ac:dyDescent="0.3">
      <c r="F584" s="155"/>
      <c r="H584" s="155"/>
    </row>
    <row r="585" spans="6:8" ht="14.25" customHeight="1" x14ac:dyDescent="0.3">
      <c r="F585" s="155"/>
      <c r="H585" s="155"/>
    </row>
    <row r="586" spans="6:8" ht="14.25" customHeight="1" x14ac:dyDescent="0.3">
      <c r="F586" s="155"/>
      <c r="H586" s="155"/>
    </row>
    <row r="587" spans="6:8" ht="14.25" customHeight="1" x14ac:dyDescent="0.3">
      <c r="F587" s="155"/>
      <c r="H587" s="155"/>
    </row>
    <row r="588" spans="6:8" ht="14.25" customHeight="1" x14ac:dyDescent="0.3">
      <c r="F588" s="155"/>
      <c r="H588" s="155"/>
    </row>
    <row r="589" spans="6:8" ht="14.25" customHeight="1" x14ac:dyDescent="0.3">
      <c r="F589" s="155"/>
      <c r="H589" s="155"/>
    </row>
    <row r="590" spans="6:8" ht="14.25" customHeight="1" x14ac:dyDescent="0.3">
      <c r="F590" s="155"/>
      <c r="H590" s="155"/>
    </row>
    <row r="591" spans="6:8" ht="14.25" customHeight="1" x14ac:dyDescent="0.3">
      <c r="F591" s="155"/>
      <c r="H591" s="155"/>
    </row>
    <row r="592" spans="6:8" ht="14.25" customHeight="1" x14ac:dyDescent="0.3">
      <c r="F592" s="155"/>
      <c r="H592" s="155"/>
    </row>
    <row r="593" spans="6:8" ht="14.25" customHeight="1" x14ac:dyDescent="0.3">
      <c r="F593" s="155"/>
      <c r="H593" s="155"/>
    </row>
    <row r="594" spans="6:8" ht="14.25" customHeight="1" x14ac:dyDescent="0.3">
      <c r="F594" s="155"/>
      <c r="H594" s="155"/>
    </row>
    <row r="595" spans="6:8" ht="14.25" customHeight="1" x14ac:dyDescent="0.3">
      <c r="F595" s="155"/>
      <c r="H595" s="155"/>
    </row>
    <row r="596" spans="6:8" ht="14.25" customHeight="1" x14ac:dyDescent="0.3">
      <c r="F596" s="155"/>
      <c r="H596" s="155"/>
    </row>
    <row r="597" spans="6:8" ht="14.25" customHeight="1" x14ac:dyDescent="0.3">
      <c r="F597" s="155"/>
      <c r="H597" s="155"/>
    </row>
    <row r="598" spans="6:8" ht="14.25" customHeight="1" x14ac:dyDescent="0.3">
      <c r="F598" s="155"/>
      <c r="H598" s="155"/>
    </row>
    <row r="599" spans="6:8" ht="14.25" customHeight="1" x14ac:dyDescent="0.3">
      <c r="F599" s="155"/>
      <c r="H599" s="155"/>
    </row>
    <row r="600" spans="6:8" ht="14.25" customHeight="1" x14ac:dyDescent="0.3">
      <c r="F600" s="155"/>
      <c r="H600" s="155"/>
    </row>
    <row r="601" spans="6:8" ht="14.25" customHeight="1" x14ac:dyDescent="0.3">
      <c r="F601" s="155"/>
      <c r="H601" s="155"/>
    </row>
    <row r="602" spans="6:8" ht="14.25" customHeight="1" x14ac:dyDescent="0.3">
      <c r="F602" s="155"/>
      <c r="H602" s="155"/>
    </row>
    <row r="603" spans="6:8" ht="14.25" customHeight="1" x14ac:dyDescent="0.3">
      <c r="F603" s="155"/>
      <c r="H603" s="155"/>
    </row>
    <row r="604" spans="6:8" ht="14.25" customHeight="1" x14ac:dyDescent="0.3">
      <c r="F604" s="155"/>
      <c r="H604" s="155"/>
    </row>
    <row r="605" spans="6:8" ht="14.25" customHeight="1" x14ac:dyDescent="0.3">
      <c r="F605" s="155"/>
      <c r="H605" s="155"/>
    </row>
    <row r="606" spans="6:8" ht="14.25" customHeight="1" x14ac:dyDescent="0.3">
      <c r="F606" s="155"/>
      <c r="H606" s="155"/>
    </row>
    <row r="607" spans="6:8" ht="14.25" customHeight="1" x14ac:dyDescent="0.3">
      <c r="F607" s="155"/>
      <c r="H607" s="155"/>
    </row>
    <row r="608" spans="6:8" ht="14.25" customHeight="1" x14ac:dyDescent="0.3">
      <c r="F608" s="155"/>
      <c r="H608" s="155"/>
    </row>
    <row r="609" spans="6:8" ht="14.25" customHeight="1" x14ac:dyDescent="0.3">
      <c r="F609" s="155"/>
      <c r="H609" s="155"/>
    </row>
    <row r="610" spans="6:8" ht="14.25" customHeight="1" x14ac:dyDescent="0.3">
      <c r="F610" s="155"/>
      <c r="H610" s="155"/>
    </row>
    <row r="611" spans="6:8" ht="14.25" customHeight="1" x14ac:dyDescent="0.3">
      <c r="F611" s="155"/>
      <c r="H611" s="155"/>
    </row>
    <row r="612" spans="6:8" ht="14.25" customHeight="1" x14ac:dyDescent="0.3">
      <c r="F612" s="155"/>
      <c r="H612" s="155"/>
    </row>
    <row r="613" spans="6:8" ht="14.25" customHeight="1" x14ac:dyDescent="0.3">
      <c r="F613" s="155"/>
      <c r="H613" s="155"/>
    </row>
    <row r="614" spans="6:8" ht="14.25" customHeight="1" x14ac:dyDescent="0.3">
      <c r="F614" s="155"/>
      <c r="H614" s="155"/>
    </row>
    <row r="615" spans="6:8" ht="14.25" customHeight="1" x14ac:dyDescent="0.3">
      <c r="F615" s="155"/>
      <c r="H615" s="155"/>
    </row>
    <row r="616" spans="6:8" ht="14.25" customHeight="1" x14ac:dyDescent="0.3">
      <c r="F616" s="155"/>
      <c r="H616" s="155"/>
    </row>
    <row r="617" spans="6:8" ht="14.25" customHeight="1" x14ac:dyDescent="0.3">
      <c r="F617" s="155"/>
      <c r="H617" s="155"/>
    </row>
    <row r="618" spans="6:8" ht="14.25" customHeight="1" x14ac:dyDescent="0.3">
      <c r="F618" s="155"/>
      <c r="H618" s="155"/>
    </row>
    <row r="619" spans="6:8" ht="14.25" customHeight="1" x14ac:dyDescent="0.3">
      <c r="F619" s="155"/>
      <c r="H619" s="155"/>
    </row>
    <row r="620" spans="6:8" ht="14.25" customHeight="1" x14ac:dyDescent="0.3">
      <c r="F620" s="155"/>
      <c r="H620" s="155"/>
    </row>
    <row r="621" spans="6:8" ht="14.25" customHeight="1" x14ac:dyDescent="0.3">
      <c r="F621" s="155"/>
      <c r="H621" s="155"/>
    </row>
    <row r="622" spans="6:8" ht="14.25" customHeight="1" x14ac:dyDescent="0.3">
      <c r="F622" s="155"/>
      <c r="H622" s="155"/>
    </row>
    <row r="623" spans="6:8" ht="14.25" customHeight="1" x14ac:dyDescent="0.3">
      <c r="F623" s="155"/>
      <c r="H623" s="155"/>
    </row>
    <row r="624" spans="6:8" ht="14.25" customHeight="1" x14ac:dyDescent="0.3">
      <c r="F624" s="155"/>
      <c r="H624" s="155"/>
    </row>
    <row r="625" spans="6:8" ht="14.25" customHeight="1" x14ac:dyDescent="0.3">
      <c r="F625" s="155"/>
      <c r="H625" s="155"/>
    </row>
    <row r="626" spans="6:8" ht="14.25" customHeight="1" x14ac:dyDescent="0.3">
      <c r="F626" s="155"/>
      <c r="H626" s="155"/>
    </row>
    <row r="627" spans="6:8" ht="14.25" customHeight="1" x14ac:dyDescent="0.3">
      <c r="F627" s="155"/>
      <c r="H627" s="155"/>
    </row>
    <row r="628" spans="6:8" ht="14.25" customHeight="1" x14ac:dyDescent="0.3">
      <c r="F628" s="155"/>
      <c r="H628" s="155"/>
    </row>
    <row r="629" spans="6:8" ht="14.25" customHeight="1" x14ac:dyDescent="0.3">
      <c r="F629" s="155"/>
      <c r="H629" s="155"/>
    </row>
    <row r="630" spans="6:8" ht="14.25" customHeight="1" x14ac:dyDescent="0.3">
      <c r="F630" s="155"/>
      <c r="H630" s="155"/>
    </row>
    <row r="631" spans="6:8" ht="14.25" customHeight="1" x14ac:dyDescent="0.3">
      <c r="F631" s="155"/>
      <c r="H631" s="155"/>
    </row>
    <row r="632" spans="6:8" ht="14.25" customHeight="1" x14ac:dyDescent="0.3">
      <c r="F632" s="155"/>
      <c r="H632" s="155"/>
    </row>
    <row r="633" spans="6:8" ht="14.25" customHeight="1" x14ac:dyDescent="0.3">
      <c r="F633" s="155"/>
      <c r="H633" s="155"/>
    </row>
    <row r="634" spans="6:8" ht="14.25" customHeight="1" x14ac:dyDescent="0.3">
      <c r="F634" s="155"/>
      <c r="H634" s="155"/>
    </row>
    <row r="635" spans="6:8" ht="14.25" customHeight="1" x14ac:dyDescent="0.3">
      <c r="F635" s="155"/>
      <c r="H635" s="155"/>
    </row>
    <row r="636" spans="6:8" ht="14.25" customHeight="1" x14ac:dyDescent="0.3">
      <c r="F636" s="155"/>
      <c r="H636" s="155"/>
    </row>
    <row r="637" spans="6:8" ht="14.25" customHeight="1" x14ac:dyDescent="0.3">
      <c r="F637" s="155"/>
      <c r="H637" s="155"/>
    </row>
    <row r="638" spans="6:8" ht="14.25" customHeight="1" x14ac:dyDescent="0.3">
      <c r="F638" s="155"/>
      <c r="H638" s="155"/>
    </row>
    <row r="639" spans="6:8" ht="14.25" customHeight="1" x14ac:dyDescent="0.3">
      <c r="F639" s="155"/>
      <c r="H639" s="155"/>
    </row>
    <row r="640" spans="6:8" ht="14.25" customHeight="1" x14ac:dyDescent="0.3">
      <c r="F640" s="155"/>
      <c r="H640" s="155"/>
    </row>
    <row r="641" spans="6:8" ht="14.25" customHeight="1" x14ac:dyDescent="0.3">
      <c r="F641" s="155"/>
      <c r="H641" s="155"/>
    </row>
    <row r="642" spans="6:8" ht="14.25" customHeight="1" x14ac:dyDescent="0.3">
      <c r="F642" s="155"/>
      <c r="H642" s="155"/>
    </row>
    <row r="643" spans="6:8" ht="14.25" customHeight="1" x14ac:dyDescent="0.3">
      <c r="F643" s="155"/>
      <c r="H643" s="155"/>
    </row>
    <row r="644" spans="6:8" ht="14.25" customHeight="1" x14ac:dyDescent="0.3">
      <c r="F644" s="155"/>
      <c r="H644" s="155"/>
    </row>
    <row r="645" spans="6:8" ht="14.25" customHeight="1" x14ac:dyDescent="0.3">
      <c r="F645" s="155"/>
      <c r="H645" s="155"/>
    </row>
    <row r="646" spans="6:8" ht="14.25" customHeight="1" x14ac:dyDescent="0.3">
      <c r="F646" s="155"/>
      <c r="H646" s="155"/>
    </row>
    <row r="647" spans="6:8" ht="14.25" customHeight="1" x14ac:dyDescent="0.3">
      <c r="F647" s="155"/>
      <c r="H647" s="155"/>
    </row>
    <row r="648" spans="6:8" ht="14.25" customHeight="1" x14ac:dyDescent="0.3">
      <c r="F648" s="155"/>
      <c r="H648" s="155"/>
    </row>
    <row r="649" spans="6:8" ht="14.25" customHeight="1" x14ac:dyDescent="0.3">
      <c r="F649" s="155"/>
      <c r="H649" s="155"/>
    </row>
    <row r="650" spans="6:8" ht="14.25" customHeight="1" x14ac:dyDescent="0.3">
      <c r="F650" s="155"/>
      <c r="H650" s="155"/>
    </row>
    <row r="651" spans="6:8" ht="14.25" customHeight="1" x14ac:dyDescent="0.3">
      <c r="F651" s="155"/>
      <c r="H651" s="155"/>
    </row>
    <row r="652" spans="6:8" ht="14.25" customHeight="1" x14ac:dyDescent="0.3">
      <c r="F652" s="155"/>
      <c r="H652" s="155"/>
    </row>
    <row r="653" spans="6:8" ht="14.25" customHeight="1" x14ac:dyDescent="0.3">
      <c r="F653" s="155"/>
      <c r="H653" s="155"/>
    </row>
    <row r="654" spans="6:8" ht="14.25" customHeight="1" x14ac:dyDescent="0.3">
      <c r="F654" s="155"/>
      <c r="H654" s="155"/>
    </row>
    <row r="655" spans="6:8" ht="14.25" customHeight="1" x14ac:dyDescent="0.3">
      <c r="F655" s="155"/>
      <c r="H655" s="155"/>
    </row>
    <row r="656" spans="6:8" ht="14.25" customHeight="1" x14ac:dyDescent="0.3">
      <c r="F656" s="155"/>
      <c r="H656" s="155"/>
    </row>
    <row r="657" spans="6:8" ht="14.25" customHeight="1" x14ac:dyDescent="0.3">
      <c r="F657" s="155"/>
      <c r="H657" s="155"/>
    </row>
    <row r="658" spans="6:8" ht="14.25" customHeight="1" x14ac:dyDescent="0.3">
      <c r="F658" s="155"/>
      <c r="H658" s="155"/>
    </row>
    <row r="659" spans="6:8" ht="14.25" customHeight="1" x14ac:dyDescent="0.3">
      <c r="F659" s="155"/>
      <c r="H659" s="155"/>
    </row>
    <row r="660" spans="6:8" ht="14.25" customHeight="1" x14ac:dyDescent="0.3">
      <c r="F660" s="155"/>
      <c r="H660" s="155"/>
    </row>
    <row r="661" spans="6:8" ht="14.25" customHeight="1" x14ac:dyDescent="0.3">
      <c r="F661" s="155"/>
      <c r="H661" s="155"/>
    </row>
    <row r="662" spans="6:8" ht="14.25" customHeight="1" x14ac:dyDescent="0.3">
      <c r="F662" s="155"/>
      <c r="H662" s="155"/>
    </row>
    <row r="663" spans="6:8" ht="14.25" customHeight="1" x14ac:dyDescent="0.3">
      <c r="F663" s="155"/>
      <c r="H663" s="155"/>
    </row>
    <row r="664" spans="6:8" ht="14.25" customHeight="1" x14ac:dyDescent="0.3">
      <c r="F664" s="155"/>
      <c r="H664" s="155"/>
    </row>
    <row r="665" spans="6:8" ht="14.25" customHeight="1" x14ac:dyDescent="0.3">
      <c r="F665" s="155"/>
      <c r="H665" s="155"/>
    </row>
    <row r="666" spans="6:8" ht="14.25" customHeight="1" x14ac:dyDescent="0.3">
      <c r="F666" s="155"/>
      <c r="H666" s="155"/>
    </row>
    <row r="667" spans="6:8" ht="14.25" customHeight="1" x14ac:dyDescent="0.3">
      <c r="F667" s="155"/>
      <c r="H667" s="155"/>
    </row>
    <row r="668" spans="6:8" ht="14.25" customHeight="1" x14ac:dyDescent="0.3">
      <c r="F668" s="155"/>
      <c r="H668" s="155"/>
    </row>
    <row r="669" spans="6:8" ht="14.25" customHeight="1" x14ac:dyDescent="0.3">
      <c r="F669" s="155"/>
      <c r="H669" s="155"/>
    </row>
    <row r="670" spans="6:8" ht="14.25" customHeight="1" x14ac:dyDescent="0.3">
      <c r="F670" s="155"/>
      <c r="H670" s="155"/>
    </row>
    <row r="671" spans="6:8" ht="14.25" customHeight="1" x14ac:dyDescent="0.3">
      <c r="F671" s="155"/>
      <c r="H671" s="155"/>
    </row>
    <row r="672" spans="6:8" ht="14.25" customHeight="1" x14ac:dyDescent="0.3">
      <c r="F672" s="155"/>
      <c r="H672" s="155"/>
    </row>
    <row r="673" spans="6:8" ht="14.25" customHeight="1" x14ac:dyDescent="0.3">
      <c r="F673" s="155"/>
      <c r="H673" s="155"/>
    </row>
    <row r="674" spans="6:8" ht="14.25" customHeight="1" x14ac:dyDescent="0.3">
      <c r="F674" s="155"/>
      <c r="H674" s="155"/>
    </row>
    <row r="675" spans="6:8" ht="14.25" customHeight="1" x14ac:dyDescent="0.3">
      <c r="F675" s="155"/>
      <c r="H675" s="155"/>
    </row>
    <row r="676" spans="6:8" ht="14.25" customHeight="1" x14ac:dyDescent="0.3">
      <c r="F676" s="155"/>
      <c r="H676" s="155"/>
    </row>
    <row r="677" spans="6:8" ht="14.25" customHeight="1" x14ac:dyDescent="0.3">
      <c r="F677" s="155"/>
      <c r="H677" s="155"/>
    </row>
    <row r="678" spans="6:8" ht="14.25" customHeight="1" x14ac:dyDescent="0.3">
      <c r="F678" s="155"/>
      <c r="H678" s="155"/>
    </row>
    <row r="679" spans="6:8" ht="14.25" customHeight="1" x14ac:dyDescent="0.3">
      <c r="F679" s="155"/>
      <c r="H679" s="155"/>
    </row>
    <row r="680" spans="6:8" ht="14.25" customHeight="1" x14ac:dyDescent="0.3">
      <c r="F680" s="155"/>
      <c r="H680" s="155"/>
    </row>
    <row r="681" spans="6:8" ht="14.25" customHeight="1" x14ac:dyDescent="0.3">
      <c r="F681" s="155"/>
      <c r="H681" s="155"/>
    </row>
    <row r="682" spans="6:8" ht="14.25" customHeight="1" x14ac:dyDescent="0.3">
      <c r="F682" s="155"/>
      <c r="H682" s="155"/>
    </row>
    <row r="683" spans="6:8" ht="14.25" customHeight="1" x14ac:dyDescent="0.3">
      <c r="F683" s="155"/>
      <c r="H683" s="155"/>
    </row>
    <row r="684" spans="6:8" ht="14.25" customHeight="1" x14ac:dyDescent="0.3">
      <c r="F684" s="155"/>
      <c r="H684" s="155"/>
    </row>
    <row r="685" spans="6:8" ht="14.25" customHeight="1" x14ac:dyDescent="0.3">
      <c r="F685" s="155"/>
      <c r="H685" s="155"/>
    </row>
    <row r="686" spans="6:8" ht="14.25" customHeight="1" x14ac:dyDescent="0.3">
      <c r="F686" s="155"/>
      <c r="H686" s="155"/>
    </row>
    <row r="687" spans="6:8" ht="14.25" customHeight="1" x14ac:dyDescent="0.3">
      <c r="F687" s="155"/>
      <c r="H687" s="155"/>
    </row>
    <row r="688" spans="6:8" ht="14.25" customHeight="1" x14ac:dyDescent="0.3">
      <c r="F688" s="155"/>
      <c r="H688" s="155"/>
    </row>
    <row r="689" spans="6:8" ht="14.25" customHeight="1" x14ac:dyDescent="0.3">
      <c r="F689" s="155"/>
      <c r="H689" s="155"/>
    </row>
    <row r="690" spans="6:8" ht="14.25" customHeight="1" x14ac:dyDescent="0.3">
      <c r="F690" s="155"/>
      <c r="H690" s="155"/>
    </row>
    <row r="691" spans="6:8" ht="14.25" customHeight="1" x14ac:dyDescent="0.3">
      <c r="F691" s="155"/>
      <c r="H691" s="155"/>
    </row>
    <row r="692" spans="6:8" ht="14.25" customHeight="1" x14ac:dyDescent="0.3">
      <c r="F692" s="155"/>
      <c r="H692" s="155"/>
    </row>
    <row r="693" spans="6:8" ht="14.25" customHeight="1" x14ac:dyDescent="0.3">
      <c r="F693" s="155"/>
      <c r="H693" s="155"/>
    </row>
    <row r="694" spans="6:8" ht="14.25" customHeight="1" x14ac:dyDescent="0.3">
      <c r="F694" s="155"/>
      <c r="H694" s="155"/>
    </row>
    <row r="695" spans="6:8" ht="14.25" customHeight="1" x14ac:dyDescent="0.3">
      <c r="F695" s="155"/>
      <c r="H695" s="155"/>
    </row>
    <row r="696" spans="6:8" ht="14.25" customHeight="1" x14ac:dyDescent="0.3">
      <c r="F696" s="155"/>
      <c r="H696" s="155"/>
    </row>
    <row r="697" spans="6:8" ht="14.25" customHeight="1" x14ac:dyDescent="0.3">
      <c r="F697" s="155"/>
      <c r="H697" s="155"/>
    </row>
    <row r="698" spans="6:8" ht="14.25" customHeight="1" x14ac:dyDescent="0.3">
      <c r="F698" s="155"/>
      <c r="H698" s="155"/>
    </row>
    <row r="699" spans="6:8" ht="14.25" customHeight="1" x14ac:dyDescent="0.3">
      <c r="F699" s="155"/>
      <c r="H699" s="155"/>
    </row>
    <row r="700" spans="6:8" ht="14.25" customHeight="1" x14ac:dyDescent="0.3">
      <c r="F700" s="155"/>
      <c r="H700" s="155"/>
    </row>
    <row r="701" spans="6:8" ht="14.25" customHeight="1" x14ac:dyDescent="0.3">
      <c r="F701" s="155"/>
      <c r="H701" s="155"/>
    </row>
    <row r="702" spans="6:8" ht="14.25" customHeight="1" x14ac:dyDescent="0.3">
      <c r="F702" s="155"/>
      <c r="H702" s="155"/>
    </row>
    <row r="703" spans="6:8" ht="14.25" customHeight="1" x14ac:dyDescent="0.3">
      <c r="F703" s="155"/>
      <c r="H703" s="155"/>
    </row>
    <row r="704" spans="6:8" ht="14.25" customHeight="1" x14ac:dyDescent="0.3">
      <c r="F704" s="155"/>
      <c r="H704" s="155"/>
    </row>
    <row r="705" spans="6:8" ht="14.25" customHeight="1" x14ac:dyDescent="0.3">
      <c r="F705" s="155"/>
      <c r="H705" s="155"/>
    </row>
    <row r="706" spans="6:8" ht="14.25" customHeight="1" x14ac:dyDescent="0.3">
      <c r="F706" s="155"/>
      <c r="H706" s="155"/>
    </row>
    <row r="707" spans="6:8" ht="14.25" customHeight="1" x14ac:dyDescent="0.3">
      <c r="F707" s="155"/>
      <c r="H707" s="155"/>
    </row>
    <row r="708" spans="6:8" ht="14.25" customHeight="1" x14ac:dyDescent="0.3">
      <c r="F708" s="155"/>
      <c r="H708" s="155"/>
    </row>
    <row r="709" spans="6:8" ht="14.25" customHeight="1" x14ac:dyDescent="0.3">
      <c r="F709" s="155"/>
      <c r="H709" s="155"/>
    </row>
    <row r="710" spans="6:8" ht="14.25" customHeight="1" x14ac:dyDescent="0.3">
      <c r="F710" s="155"/>
      <c r="H710" s="155"/>
    </row>
    <row r="711" spans="6:8" ht="14.25" customHeight="1" x14ac:dyDescent="0.3">
      <c r="F711" s="155"/>
      <c r="H711" s="155"/>
    </row>
    <row r="712" spans="6:8" ht="14.25" customHeight="1" x14ac:dyDescent="0.3">
      <c r="F712" s="155"/>
      <c r="H712" s="155"/>
    </row>
    <row r="713" spans="6:8" ht="14.25" customHeight="1" x14ac:dyDescent="0.3">
      <c r="F713" s="155"/>
      <c r="H713" s="155"/>
    </row>
    <row r="714" spans="6:8" ht="14.25" customHeight="1" x14ac:dyDescent="0.3">
      <c r="F714" s="155"/>
      <c r="H714" s="155"/>
    </row>
    <row r="715" spans="6:8" ht="14.25" customHeight="1" x14ac:dyDescent="0.3">
      <c r="F715" s="155"/>
      <c r="H715" s="155"/>
    </row>
    <row r="716" spans="6:8" ht="14.25" customHeight="1" x14ac:dyDescent="0.3">
      <c r="F716" s="155"/>
      <c r="H716" s="155"/>
    </row>
    <row r="717" spans="6:8" ht="14.25" customHeight="1" x14ac:dyDescent="0.3">
      <c r="F717" s="155"/>
      <c r="H717" s="155"/>
    </row>
    <row r="718" spans="6:8" ht="14.25" customHeight="1" x14ac:dyDescent="0.3">
      <c r="F718" s="155"/>
      <c r="H718" s="155"/>
    </row>
    <row r="719" spans="6:8" ht="14.25" customHeight="1" x14ac:dyDescent="0.3">
      <c r="F719" s="155"/>
      <c r="H719" s="155"/>
    </row>
    <row r="720" spans="6:8" ht="14.25" customHeight="1" x14ac:dyDescent="0.3">
      <c r="F720" s="155"/>
      <c r="H720" s="155"/>
    </row>
    <row r="721" spans="6:8" ht="14.25" customHeight="1" x14ac:dyDescent="0.3">
      <c r="F721" s="155"/>
      <c r="H721" s="155"/>
    </row>
    <row r="722" spans="6:8" ht="14.25" customHeight="1" x14ac:dyDescent="0.3">
      <c r="F722" s="155"/>
      <c r="H722" s="155"/>
    </row>
    <row r="723" spans="6:8" ht="14.25" customHeight="1" x14ac:dyDescent="0.3">
      <c r="F723" s="155"/>
      <c r="H723" s="155"/>
    </row>
    <row r="724" spans="6:8" ht="14.25" customHeight="1" x14ac:dyDescent="0.3">
      <c r="F724" s="155"/>
      <c r="H724" s="155"/>
    </row>
    <row r="725" spans="6:8" ht="14.25" customHeight="1" x14ac:dyDescent="0.3">
      <c r="F725" s="155"/>
      <c r="H725" s="155"/>
    </row>
    <row r="726" spans="6:8" ht="14.25" customHeight="1" x14ac:dyDescent="0.3">
      <c r="F726" s="155"/>
      <c r="H726" s="155"/>
    </row>
    <row r="727" spans="6:8" ht="14.25" customHeight="1" x14ac:dyDescent="0.3">
      <c r="F727" s="155"/>
      <c r="H727" s="155"/>
    </row>
    <row r="728" spans="6:8" ht="14.25" customHeight="1" x14ac:dyDescent="0.3">
      <c r="F728" s="155"/>
      <c r="H728" s="155"/>
    </row>
    <row r="729" spans="6:8" ht="14.25" customHeight="1" x14ac:dyDescent="0.3">
      <c r="F729" s="155"/>
      <c r="H729" s="155"/>
    </row>
    <row r="730" spans="6:8" ht="14.25" customHeight="1" x14ac:dyDescent="0.3">
      <c r="F730" s="155"/>
      <c r="H730" s="155"/>
    </row>
    <row r="731" spans="6:8" ht="14.25" customHeight="1" x14ac:dyDescent="0.3">
      <c r="F731" s="155"/>
      <c r="H731" s="155"/>
    </row>
    <row r="732" spans="6:8" ht="14.25" customHeight="1" x14ac:dyDescent="0.3">
      <c r="F732" s="155"/>
      <c r="H732" s="155"/>
    </row>
    <row r="733" spans="6:8" ht="14.25" customHeight="1" x14ac:dyDescent="0.3">
      <c r="F733" s="155"/>
      <c r="H733" s="155"/>
    </row>
    <row r="734" spans="6:8" ht="14.25" customHeight="1" x14ac:dyDescent="0.3">
      <c r="F734" s="155"/>
      <c r="H734" s="155"/>
    </row>
    <row r="735" spans="6:8" ht="14.25" customHeight="1" x14ac:dyDescent="0.3">
      <c r="F735" s="155"/>
      <c r="H735" s="155"/>
    </row>
    <row r="736" spans="6:8" ht="14.25" customHeight="1" x14ac:dyDescent="0.3">
      <c r="F736" s="155"/>
      <c r="H736" s="155"/>
    </row>
    <row r="737" spans="6:8" ht="14.25" customHeight="1" x14ac:dyDescent="0.3">
      <c r="F737" s="155"/>
      <c r="H737" s="155"/>
    </row>
    <row r="738" spans="6:8" ht="14.25" customHeight="1" x14ac:dyDescent="0.3">
      <c r="F738" s="155"/>
      <c r="H738" s="155"/>
    </row>
    <row r="739" spans="6:8" ht="14.25" customHeight="1" x14ac:dyDescent="0.3">
      <c r="F739" s="155"/>
      <c r="H739" s="155"/>
    </row>
    <row r="740" spans="6:8" ht="14.25" customHeight="1" x14ac:dyDescent="0.3">
      <c r="F740" s="155"/>
      <c r="H740" s="155"/>
    </row>
    <row r="741" spans="6:8" ht="14.25" customHeight="1" x14ac:dyDescent="0.3">
      <c r="F741" s="155"/>
      <c r="H741" s="155"/>
    </row>
    <row r="742" spans="6:8" ht="14.25" customHeight="1" x14ac:dyDescent="0.3">
      <c r="F742" s="155"/>
      <c r="H742" s="155"/>
    </row>
    <row r="743" spans="6:8" ht="14.25" customHeight="1" x14ac:dyDescent="0.3">
      <c r="F743" s="155"/>
      <c r="H743" s="155"/>
    </row>
    <row r="744" spans="6:8" ht="14.25" customHeight="1" x14ac:dyDescent="0.3">
      <c r="F744" s="155"/>
      <c r="H744" s="155"/>
    </row>
    <row r="745" spans="6:8" ht="14.25" customHeight="1" x14ac:dyDescent="0.3">
      <c r="F745" s="155"/>
      <c r="H745" s="155"/>
    </row>
    <row r="746" spans="6:8" ht="14.25" customHeight="1" x14ac:dyDescent="0.3">
      <c r="F746" s="155"/>
      <c r="H746" s="155"/>
    </row>
    <row r="747" spans="6:8" ht="14.25" customHeight="1" x14ac:dyDescent="0.3">
      <c r="F747" s="155"/>
      <c r="H747" s="155"/>
    </row>
    <row r="748" spans="6:8" ht="14.25" customHeight="1" x14ac:dyDescent="0.3">
      <c r="F748" s="155"/>
      <c r="H748" s="155"/>
    </row>
    <row r="749" spans="6:8" ht="14.25" customHeight="1" x14ac:dyDescent="0.3">
      <c r="F749" s="155"/>
      <c r="H749" s="155"/>
    </row>
    <row r="750" spans="6:8" ht="14.25" customHeight="1" x14ac:dyDescent="0.3">
      <c r="F750" s="155"/>
      <c r="H750" s="155"/>
    </row>
    <row r="751" spans="6:8" ht="14.25" customHeight="1" x14ac:dyDescent="0.3">
      <c r="F751" s="155"/>
      <c r="H751" s="155"/>
    </row>
    <row r="752" spans="6:8" ht="14.25" customHeight="1" x14ac:dyDescent="0.3">
      <c r="F752" s="155"/>
      <c r="H752" s="155"/>
    </row>
    <row r="753" spans="6:8" ht="14.25" customHeight="1" x14ac:dyDescent="0.3">
      <c r="F753" s="155"/>
      <c r="H753" s="155"/>
    </row>
    <row r="754" spans="6:8" ht="14.25" customHeight="1" x14ac:dyDescent="0.3">
      <c r="F754" s="155"/>
      <c r="H754" s="155"/>
    </row>
    <row r="755" spans="6:8" ht="14.25" customHeight="1" x14ac:dyDescent="0.3">
      <c r="F755" s="155"/>
      <c r="H755" s="155"/>
    </row>
    <row r="756" spans="6:8" ht="14.25" customHeight="1" x14ac:dyDescent="0.3">
      <c r="F756" s="155"/>
      <c r="H756" s="155"/>
    </row>
    <row r="757" spans="6:8" ht="14.25" customHeight="1" x14ac:dyDescent="0.3">
      <c r="F757" s="155"/>
      <c r="H757" s="155"/>
    </row>
    <row r="758" spans="6:8" ht="14.25" customHeight="1" x14ac:dyDescent="0.3">
      <c r="F758" s="155"/>
      <c r="H758" s="155"/>
    </row>
    <row r="759" spans="6:8" ht="14.25" customHeight="1" x14ac:dyDescent="0.3">
      <c r="F759" s="155"/>
      <c r="H759" s="155"/>
    </row>
    <row r="760" spans="6:8" ht="14.25" customHeight="1" x14ac:dyDescent="0.3">
      <c r="F760" s="155"/>
      <c r="H760" s="155"/>
    </row>
    <row r="761" spans="6:8" ht="14.25" customHeight="1" x14ac:dyDescent="0.3">
      <c r="F761" s="155"/>
      <c r="H761" s="155"/>
    </row>
    <row r="762" spans="6:8" ht="14.25" customHeight="1" x14ac:dyDescent="0.3">
      <c r="F762" s="155"/>
      <c r="H762" s="155"/>
    </row>
    <row r="763" spans="6:8" ht="14.25" customHeight="1" x14ac:dyDescent="0.3">
      <c r="F763" s="155"/>
      <c r="H763" s="155"/>
    </row>
    <row r="764" spans="6:8" ht="14.25" customHeight="1" x14ac:dyDescent="0.3">
      <c r="F764" s="155"/>
      <c r="H764" s="155"/>
    </row>
    <row r="765" spans="6:8" ht="14.25" customHeight="1" x14ac:dyDescent="0.3">
      <c r="F765" s="155"/>
      <c r="H765" s="155"/>
    </row>
    <row r="766" spans="6:8" ht="14.25" customHeight="1" x14ac:dyDescent="0.3">
      <c r="F766" s="155"/>
      <c r="H766" s="155"/>
    </row>
    <row r="767" spans="6:8" ht="14.25" customHeight="1" x14ac:dyDescent="0.3">
      <c r="F767" s="155"/>
      <c r="H767" s="155"/>
    </row>
    <row r="768" spans="6:8" ht="14.25" customHeight="1" x14ac:dyDescent="0.3">
      <c r="F768" s="155"/>
      <c r="H768" s="155"/>
    </row>
    <row r="769" spans="6:8" ht="14.25" customHeight="1" x14ac:dyDescent="0.3">
      <c r="F769" s="155"/>
      <c r="H769" s="155"/>
    </row>
    <row r="770" spans="6:8" ht="14.25" customHeight="1" x14ac:dyDescent="0.3">
      <c r="F770" s="155"/>
      <c r="H770" s="155"/>
    </row>
    <row r="771" spans="6:8" ht="14.25" customHeight="1" x14ac:dyDescent="0.3">
      <c r="F771" s="155"/>
      <c r="H771" s="155"/>
    </row>
    <row r="772" spans="6:8" ht="14.25" customHeight="1" x14ac:dyDescent="0.3">
      <c r="F772" s="155"/>
      <c r="H772" s="155"/>
    </row>
    <row r="773" spans="6:8" ht="14.25" customHeight="1" x14ac:dyDescent="0.3">
      <c r="F773" s="155"/>
      <c r="H773" s="155"/>
    </row>
    <row r="774" spans="6:8" ht="14.25" customHeight="1" x14ac:dyDescent="0.3">
      <c r="F774" s="155"/>
      <c r="H774" s="155"/>
    </row>
    <row r="775" spans="6:8" ht="14.25" customHeight="1" x14ac:dyDescent="0.3">
      <c r="F775" s="155"/>
      <c r="H775" s="155"/>
    </row>
    <row r="776" spans="6:8" ht="14.25" customHeight="1" x14ac:dyDescent="0.3">
      <c r="F776" s="155"/>
      <c r="H776" s="155"/>
    </row>
    <row r="777" spans="6:8" ht="14.25" customHeight="1" x14ac:dyDescent="0.3">
      <c r="F777" s="155"/>
      <c r="H777" s="155"/>
    </row>
    <row r="778" spans="6:8" ht="14.25" customHeight="1" x14ac:dyDescent="0.3">
      <c r="F778" s="155"/>
      <c r="H778" s="155"/>
    </row>
    <row r="779" spans="6:8" ht="14.25" customHeight="1" x14ac:dyDescent="0.3">
      <c r="F779" s="155"/>
      <c r="H779" s="155"/>
    </row>
    <row r="780" spans="6:8" ht="14.25" customHeight="1" x14ac:dyDescent="0.3">
      <c r="F780" s="155"/>
      <c r="H780" s="155"/>
    </row>
    <row r="781" spans="6:8" ht="14.25" customHeight="1" x14ac:dyDescent="0.3">
      <c r="F781" s="155"/>
      <c r="H781" s="155"/>
    </row>
    <row r="782" spans="6:8" ht="14.25" customHeight="1" x14ac:dyDescent="0.3">
      <c r="F782" s="155"/>
      <c r="H782" s="155"/>
    </row>
    <row r="783" spans="6:8" ht="14.25" customHeight="1" x14ac:dyDescent="0.3">
      <c r="F783" s="155"/>
      <c r="H783" s="155"/>
    </row>
    <row r="784" spans="6:8" ht="14.25" customHeight="1" x14ac:dyDescent="0.3">
      <c r="F784" s="155"/>
      <c r="H784" s="155"/>
    </row>
    <row r="785" spans="6:8" ht="14.25" customHeight="1" x14ac:dyDescent="0.3">
      <c r="F785" s="155"/>
      <c r="H785" s="155"/>
    </row>
    <row r="786" spans="6:8" ht="14.25" customHeight="1" x14ac:dyDescent="0.3">
      <c r="F786" s="155"/>
      <c r="H786" s="155"/>
    </row>
    <row r="787" spans="6:8" ht="14.25" customHeight="1" x14ac:dyDescent="0.3">
      <c r="F787" s="155"/>
      <c r="H787" s="155"/>
    </row>
    <row r="788" spans="6:8" ht="14.25" customHeight="1" x14ac:dyDescent="0.3">
      <c r="F788" s="155"/>
      <c r="H788" s="155"/>
    </row>
    <row r="789" spans="6:8" ht="14.25" customHeight="1" x14ac:dyDescent="0.3">
      <c r="F789" s="155"/>
      <c r="H789" s="155"/>
    </row>
    <row r="790" spans="6:8" ht="14.25" customHeight="1" x14ac:dyDescent="0.3">
      <c r="F790" s="155"/>
      <c r="H790" s="155"/>
    </row>
    <row r="791" spans="6:8" ht="14.25" customHeight="1" x14ac:dyDescent="0.3">
      <c r="F791" s="155"/>
      <c r="H791" s="155"/>
    </row>
    <row r="792" spans="6:8" ht="14.25" customHeight="1" x14ac:dyDescent="0.3">
      <c r="F792" s="155"/>
      <c r="H792" s="155"/>
    </row>
    <row r="793" spans="6:8" ht="14.25" customHeight="1" x14ac:dyDescent="0.3">
      <c r="F793" s="155"/>
      <c r="H793" s="155"/>
    </row>
    <row r="794" spans="6:8" ht="14.25" customHeight="1" x14ac:dyDescent="0.3">
      <c r="F794" s="155"/>
      <c r="H794" s="155"/>
    </row>
    <row r="795" spans="6:8" ht="14.25" customHeight="1" x14ac:dyDescent="0.3">
      <c r="F795" s="155"/>
      <c r="H795" s="155"/>
    </row>
    <row r="796" spans="6:8" ht="14.25" customHeight="1" x14ac:dyDescent="0.3">
      <c r="F796" s="155"/>
      <c r="H796" s="155"/>
    </row>
    <row r="797" spans="6:8" ht="14.25" customHeight="1" x14ac:dyDescent="0.3">
      <c r="F797" s="155"/>
      <c r="H797" s="155"/>
    </row>
    <row r="798" spans="6:8" ht="14.25" customHeight="1" x14ac:dyDescent="0.3">
      <c r="F798" s="155"/>
      <c r="H798" s="155"/>
    </row>
    <row r="799" spans="6:8" ht="14.25" customHeight="1" x14ac:dyDescent="0.3">
      <c r="F799" s="155"/>
      <c r="H799" s="155"/>
    </row>
    <row r="800" spans="6:8" ht="14.25" customHeight="1" x14ac:dyDescent="0.3">
      <c r="F800" s="155"/>
      <c r="H800" s="155"/>
    </row>
    <row r="801" spans="6:8" ht="14.25" customHeight="1" x14ac:dyDescent="0.3">
      <c r="F801" s="155"/>
      <c r="H801" s="155"/>
    </row>
    <row r="802" spans="6:8" ht="14.25" customHeight="1" x14ac:dyDescent="0.3">
      <c r="F802" s="155"/>
      <c r="H802" s="155"/>
    </row>
    <row r="803" spans="6:8" ht="14.25" customHeight="1" x14ac:dyDescent="0.3">
      <c r="F803" s="155"/>
      <c r="H803" s="155"/>
    </row>
    <row r="804" spans="6:8" ht="14.25" customHeight="1" x14ac:dyDescent="0.3">
      <c r="F804" s="155"/>
      <c r="H804" s="155"/>
    </row>
    <row r="805" spans="6:8" ht="14.25" customHeight="1" x14ac:dyDescent="0.3">
      <c r="F805" s="155"/>
      <c r="H805" s="155"/>
    </row>
    <row r="806" spans="6:8" ht="14.25" customHeight="1" x14ac:dyDescent="0.3">
      <c r="F806" s="155"/>
      <c r="H806" s="155"/>
    </row>
    <row r="807" spans="6:8" ht="14.25" customHeight="1" x14ac:dyDescent="0.3">
      <c r="F807" s="155"/>
      <c r="H807" s="155"/>
    </row>
    <row r="808" spans="6:8" ht="14.25" customHeight="1" x14ac:dyDescent="0.3">
      <c r="F808" s="155"/>
      <c r="H808" s="155"/>
    </row>
    <row r="809" spans="6:8" ht="14.25" customHeight="1" x14ac:dyDescent="0.3">
      <c r="F809" s="155"/>
      <c r="H809" s="155"/>
    </row>
    <row r="810" spans="6:8" ht="14.25" customHeight="1" x14ac:dyDescent="0.3">
      <c r="F810" s="155"/>
      <c r="H810" s="155"/>
    </row>
    <row r="811" spans="6:8" ht="14.25" customHeight="1" x14ac:dyDescent="0.3">
      <c r="F811" s="155"/>
      <c r="H811" s="155"/>
    </row>
    <row r="812" spans="6:8" ht="14.25" customHeight="1" x14ac:dyDescent="0.3">
      <c r="F812" s="155"/>
      <c r="H812" s="155"/>
    </row>
    <row r="813" spans="6:8" ht="14.25" customHeight="1" x14ac:dyDescent="0.3">
      <c r="F813" s="155"/>
      <c r="H813" s="155"/>
    </row>
    <row r="814" spans="6:8" ht="14.25" customHeight="1" x14ac:dyDescent="0.3">
      <c r="F814" s="155"/>
      <c r="H814" s="155"/>
    </row>
    <row r="815" spans="6:8" ht="14.25" customHeight="1" x14ac:dyDescent="0.3">
      <c r="F815" s="155"/>
      <c r="H815" s="155"/>
    </row>
    <row r="816" spans="6:8" ht="14.25" customHeight="1" x14ac:dyDescent="0.3">
      <c r="F816" s="155"/>
      <c r="H816" s="155"/>
    </row>
    <row r="817" spans="6:8" ht="14.25" customHeight="1" x14ac:dyDescent="0.3">
      <c r="F817" s="155"/>
      <c r="H817" s="155"/>
    </row>
    <row r="818" spans="6:8" ht="14.25" customHeight="1" x14ac:dyDescent="0.3">
      <c r="F818" s="155"/>
      <c r="H818" s="155"/>
    </row>
    <row r="819" spans="6:8" ht="14.25" customHeight="1" x14ac:dyDescent="0.3">
      <c r="F819" s="155"/>
      <c r="H819" s="155"/>
    </row>
    <row r="820" spans="6:8" ht="14.25" customHeight="1" x14ac:dyDescent="0.3">
      <c r="F820" s="155"/>
      <c r="H820" s="155"/>
    </row>
    <row r="821" spans="6:8" ht="14.25" customHeight="1" x14ac:dyDescent="0.3">
      <c r="F821" s="155"/>
      <c r="H821" s="155"/>
    </row>
    <row r="822" spans="6:8" ht="14.25" customHeight="1" x14ac:dyDescent="0.3">
      <c r="F822" s="155"/>
      <c r="H822" s="155"/>
    </row>
    <row r="823" spans="6:8" ht="14.25" customHeight="1" x14ac:dyDescent="0.3">
      <c r="F823" s="155"/>
      <c r="H823" s="155"/>
    </row>
    <row r="824" spans="6:8" ht="14.25" customHeight="1" x14ac:dyDescent="0.3">
      <c r="F824" s="155"/>
      <c r="H824" s="155"/>
    </row>
    <row r="825" spans="6:8" ht="14.25" customHeight="1" x14ac:dyDescent="0.3">
      <c r="F825" s="155"/>
      <c r="H825" s="155"/>
    </row>
    <row r="826" spans="6:8" ht="14.25" customHeight="1" x14ac:dyDescent="0.3">
      <c r="F826" s="155"/>
      <c r="H826" s="155"/>
    </row>
    <row r="827" spans="6:8" ht="14.25" customHeight="1" x14ac:dyDescent="0.3">
      <c r="F827" s="155"/>
      <c r="H827" s="155"/>
    </row>
    <row r="828" spans="6:8" ht="14.25" customHeight="1" x14ac:dyDescent="0.3">
      <c r="F828" s="155"/>
      <c r="H828" s="155"/>
    </row>
    <row r="829" spans="6:8" ht="14.25" customHeight="1" x14ac:dyDescent="0.3">
      <c r="F829" s="155"/>
      <c r="H829" s="155"/>
    </row>
    <row r="830" spans="6:8" ht="14.25" customHeight="1" x14ac:dyDescent="0.3">
      <c r="F830" s="155"/>
      <c r="H830" s="155"/>
    </row>
    <row r="831" spans="6:8" ht="14.25" customHeight="1" x14ac:dyDescent="0.3">
      <c r="F831" s="155"/>
      <c r="H831" s="155"/>
    </row>
    <row r="832" spans="6:8" ht="14.25" customHeight="1" x14ac:dyDescent="0.3">
      <c r="F832" s="155"/>
      <c r="H832" s="155"/>
    </row>
    <row r="833" spans="6:8" ht="14.25" customHeight="1" x14ac:dyDescent="0.3">
      <c r="F833" s="155"/>
      <c r="H833" s="155"/>
    </row>
    <row r="834" spans="6:8" ht="14.25" customHeight="1" x14ac:dyDescent="0.3">
      <c r="F834" s="155"/>
      <c r="H834" s="155"/>
    </row>
    <row r="835" spans="6:8" ht="14.25" customHeight="1" x14ac:dyDescent="0.3">
      <c r="F835" s="155"/>
      <c r="H835" s="155"/>
    </row>
    <row r="836" spans="6:8" ht="14.25" customHeight="1" x14ac:dyDescent="0.3">
      <c r="F836" s="155"/>
      <c r="H836" s="155"/>
    </row>
    <row r="837" spans="6:8" ht="14.25" customHeight="1" x14ac:dyDescent="0.3">
      <c r="F837" s="155"/>
      <c r="H837" s="155"/>
    </row>
    <row r="838" spans="6:8" ht="14.25" customHeight="1" x14ac:dyDescent="0.3">
      <c r="F838" s="155"/>
      <c r="H838" s="155"/>
    </row>
    <row r="839" spans="6:8" ht="14.25" customHeight="1" x14ac:dyDescent="0.3">
      <c r="F839" s="155"/>
      <c r="H839" s="155"/>
    </row>
    <row r="840" spans="6:8" ht="14.25" customHeight="1" x14ac:dyDescent="0.3">
      <c r="F840" s="155"/>
      <c r="H840" s="155"/>
    </row>
    <row r="841" spans="6:8" ht="14.25" customHeight="1" x14ac:dyDescent="0.3">
      <c r="F841" s="155"/>
      <c r="H841" s="155"/>
    </row>
    <row r="842" spans="6:8" ht="14.25" customHeight="1" x14ac:dyDescent="0.3">
      <c r="F842" s="155"/>
      <c r="H842" s="155"/>
    </row>
    <row r="843" spans="6:8" ht="14.25" customHeight="1" x14ac:dyDescent="0.3">
      <c r="F843" s="155"/>
      <c r="H843" s="155"/>
    </row>
    <row r="844" spans="6:8" ht="14.25" customHeight="1" x14ac:dyDescent="0.3">
      <c r="F844" s="155"/>
      <c r="H844" s="155"/>
    </row>
    <row r="845" spans="6:8" ht="14.25" customHeight="1" x14ac:dyDescent="0.3">
      <c r="F845" s="155"/>
      <c r="H845" s="155"/>
    </row>
    <row r="846" spans="6:8" ht="14.25" customHeight="1" x14ac:dyDescent="0.3">
      <c r="F846" s="155"/>
      <c r="H846" s="155"/>
    </row>
    <row r="847" spans="6:8" ht="14.25" customHeight="1" x14ac:dyDescent="0.3">
      <c r="F847" s="155"/>
      <c r="H847" s="155"/>
    </row>
    <row r="848" spans="6:8" ht="14.25" customHeight="1" x14ac:dyDescent="0.3">
      <c r="F848" s="155"/>
      <c r="H848" s="155"/>
    </row>
    <row r="849" spans="6:8" ht="14.25" customHeight="1" x14ac:dyDescent="0.3">
      <c r="F849" s="155"/>
      <c r="H849" s="155"/>
    </row>
    <row r="850" spans="6:8" ht="14.25" customHeight="1" x14ac:dyDescent="0.3">
      <c r="F850" s="155"/>
      <c r="H850" s="155"/>
    </row>
    <row r="851" spans="6:8" ht="14.25" customHeight="1" x14ac:dyDescent="0.3">
      <c r="F851" s="155"/>
      <c r="H851" s="155"/>
    </row>
    <row r="852" spans="6:8" ht="14.25" customHeight="1" x14ac:dyDescent="0.3">
      <c r="F852" s="155"/>
      <c r="H852" s="155"/>
    </row>
    <row r="853" spans="6:8" ht="14.25" customHeight="1" x14ac:dyDescent="0.3">
      <c r="F853" s="155"/>
      <c r="H853" s="155"/>
    </row>
    <row r="854" spans="6:8" ht="14.25" customHeight="1" x14ac:dyDescent="0.3">
      <c r="F854" s="155"/>
      <c r="H854" s="155"/>
    </row>
    <row r="855" spans="6:8" ht="14.25" customHeight="1" x14ac:dyDescent="0.3">
      <c r="F855" s="155"/>
      <c r="H855" s="155"/>
    </row>
    <row r="856" spans="6:8" ht="14.25" customHeight="1" x14ac:dyDescent="0.3">
      <c r="F856" s="155"/>
      <c r="H856" s="155"/>
    </row>
    <row r="857" spans="6:8" ht="14.25" customHeight="1" x14ac:dyDescent="0.3">
      <c r="F857" s="155"/>
      <c r="H857" s="155"/>
    </row>
    <row r="858" spans="6:8" ht="14.25" customHeight="1" x14ac:dyDescent="0.3">
      <c r="F858" s="155"/>
      <c r="H858" s="155"/>
    </row>
    <row r="859" spans="6:8" ht="14.25" customHeight="1" x14ac:dyDescent="0.3">
      <c r="F859" s="155"/>
      <c r="H859" s="155"/>
    </row>
    <row r="860" spans="6:8" ht="14.25" customHeight="1" x14ac:dyDescent="0.3">
      <c r="F860" s="155"/>
      <c r="H860" s="155"/>
    </row>
    <row r="861" spans="6:8" ht="14.25" customHeight="1" x14ac:dyDescent="0.3">
      <c r="F861" s="155"/>
      <c r="H861" s="155"/>
    </row>
    <row r="862" spans="6:8" ht="14.25" customHeight="1" x14ac:dyDescent="0.3">
      <c r="F862" s="155"/>
      <c r="H862" s="155"/>
    </row>
    <row r="863" spans="6:8" ht="14.25" customHeight="1" x14ac:dyDescent="0.3">
      <c r="F863" s="155"/>
      <c r="H863" s="155"/>
    </row>
    <row r="864" spans="6:8" ht="14.25" customHeight="1" x14ac:dyDescent="0.3">
      <c r="F864" s="155"/>
      <c r="H864" s="155"/>
    </row>
    <row r="865" spans="6:8" ht="14.25" customHeight="1" x14ac:dyDescent="0.3">
      <c r="F865" s="155"/>
      <c r="H865" s="155"/>
    </row>
    <row r="866" spans="6:8" ht="14.25" customHeight="1" x14ac:dyDescent="0.3">
      <c r="F866" s="155"/>
      <c r="H866" s="155"/>
    </row>
    <row r="867" spans="6:8" ht="14.25" customHeight="1" x14ac:dyDescent="0.3">
      <c r="F867" s="155"/>
      <c r="H867" s="155"/>
    </row>
    <row r="868" spans="6:8" ht="14.25" customHeight="1" x14ac:dyDescent="0.3">
      <c r="F868" s="155"/>
      <c r="H868" s="155"/>
    </row>
    <row r="869" spans="6:8" ht="14.25" customHeight="1" x14ac:dyDescent="0.3">
      <c r="F869" s="155"/>
      <c r="H869" s="155"/>
    </row>
    <row r="870" spans="6:8" ht="14.25" customHeight="1" x14ac:dyDescent="0.3">
      <c r="F870" s="155"/>
      <c r="H870" s="155"/>
    </row>
    <row r="871" spans="6:8" ht="14.25" customHeight="1" x14ac:dyDescent="0.3">
      <c r="F871" s="155"/>
      <c r="H871" s="155"/>
    </row>
    <row r="872" spans="6:8" ht="14.25" customHeight="1" x14ac:dyDescent="0.3">
      <c r="F872" s="155"/>
      <c r="H872" s="155"/>
    </row>
    <row r="873" spans="6:8" ht="14.25" customHeight="1" x14ac:dyDescent="0.3">
      <c r="F873" s="155"/>
      <c r="H873" s="155"/>
    </row>
    <row r="874" spans="6:8" ht="14.25" customHeight="1" x14ac:dyDescent="0.3">
      <c r="F874" s="155"/>
      <c r="H874" s="155"/>
    </row>
    <row r="875" spans="6:8" ht="14.25" customHeight="1" x14ac:dyDescent="0.3">
      <c r="F875" s="155"/>
      <c r="H875" s="155"/>
    </row>
    <row r="876" spans="6:8" ht="14.25" customHeight="1" x14ac:dyDescent="0.3">
      <c r="F876" s="155"/>
      <c r="H876" s="155"/>
    </row>
    <row r="877" spans="6:8" ht="14.25" customHeight="1" x14ac:dyDescent="0.3">
      <c r="F877" s="155"/>
      <c r="H877" s="155"/>
    </row>
    <row r="878" spans="6:8" ht="14.25" customHeight="1" x14ac:dyDescent="0.3">
      <c r="F878" s="155"/>
      <c r="H878" s="155"/>
    </row>
    <row r="879" spans="6:8" ht="14.25" customHeight="1" x14ac:dyDescent="0.3">
      <c r="F879" s="155"/>
      <c r="H879" s="155"/>
    </row>
    <row r="880" spans="6:8" ht="14.25" customHeight="1" x14ac:dyDescent="0.3">
      <c r="F880" s="155"/>
      <c r="H880" s="155"/>
    </row>
    <row r="881" spans="6:8" ht="14.25" customHeight="1" x14ac:dyDescent="0.3">
      <c r="F881" s="155"/>
      <c r="H881" s="155"/>
    </row>
    <row r="882" spans="6:8" ht="14.25" customHeight="1" x14ac:dyDescent="0.3">
      <c r="F882" s="155"/>
      <c r="H882" s="155"/>
    </row>
    <row r="883" spans="6:8" ht="14.25" customHeight="1" x14ac:dyDescent="0.3">
      <c r="F883" s="155"/>
      <c r="H883" s="155"/>
    </row>
    <row r="884" spans="6:8" ht="14.25" customHeight="1" x14ac:dyDescent="0.3">
      <c r="F884" s="155"/>
      <c r="H884" s="155"/>
    </row>
    <row r="885" spans="6:8" ht="14.25" customHeight="1" x14ac:dyDescent="0.3">
      <c r="F885" s="155"/>
      <c r="H885" s="155"/>
    </row>
    <row r="886" spans="6:8" ht="14.25" customHeight="1" x14ac:dyDescent="0.3">
      <c r="F886" s="155"/>
      <c r="H886" s="155"/>
    </row>
    <row r="887" spans="6:8" ht="14.25" customHeight="1" x14ac:dyDescent="0.3">
      <c r="F887" s="155"/>
      <c r="H887" s="155"/>
    </row>
    <row r="888" spans="6:8" ht="14.25" customHeight="1" x14ac:dyDescent="0.3">
      <c r="F888" s="155"/>
      <c r="H888" s="155"/>
    </row>
    <row r="889" spans="6:8" ht="14.25" customHeight="1" x14ac:dyDescent="0.3">
      <c r="F889" s="155"/>
      <c r="H889" s="155"/>
    </row>
    <row r="890" spans="6:8" ht="14.25" customHeight="1" x14ac:dyDescent="0.3">
      <c r="F890" s="155"/>
      <c r="H890" s="155"/>
    </row>
    <row r="891" spans="6:8" ht="14.25" customHeight="1" x14ac:dyDescent="0.3">
      <c r="F891" s="155"/>
      <c r="H891" s="155"/>
    </row>
    <row r="892" spans="6:8" ht="14.25" customHeight="1" x14ac:dyDescent="0.3">
      <c r="F892" s="155"/>
      <c r="H892" s="155"/>
    </row>
    <row r="893" spans="6:8" ht="14.25" customHeight="1" x14ac:dyDescent="0.3">
      <c r="F893" s="155"/>
      <c r="H893" s="155"/>
    </row>
    <row r="894" spans="6:8" ht="14.25" customHeight="1" x14ac:dyDescent="0.3">
      <c r="F894" s="155"/>
      <c r="H894" s="155"/>
    </row>
    <row r="895" spans="6:8" ht="14.25" customHeight="1" x14ac:dyDescent="0.3">
      <c r="F895" s="155"/>
      <c r="H895" s="155"/>
    </row>
    <row r="896" spans="6:8" ht="14.25" customHeight="1" x14ac:dyDescent="0.3">
      <c r="F896" s="155"/>
      <c r="H896" s="155"/>
    </row>
    <row r="897" spans="6:8" ht="14.25" customHeight="1" x14ac:dyDescent="0.3">
      <c r="F897" s="155"/>
      <c r="H897" s="155"/>
    </row>
    <row r="898" spans="6:8" ht="14.25" customHeight="1" x14ac:dyDescent="0.3">
      <c r="F898" s="155"/>
      <c r="H898" s="155"/>
    </row>
    <row r="899" spans="6:8" ht="14.25" customHeight="1" x14ac:dyDescent="0.3">
      <c r="F899" s="155"/>
      <c r="H899" s="155"/>
    </row>
    <row r="900" spans="6:8" ht="14.25" customHeight="1" x14ac:dyDescent="0.3">
      <c r="F900" s="155"/>
      <c r="H900" s="155"/>
    </row>
    <row r="901" spans="6:8" ht="14.25" customHeight="1" x14ac:dyDescent="0.3">
      <c r="F901" s="155"/>
      <c r="H901" s="155"/>
    </row>
    <row r="902" spans="6:8" ht="14.25" customHeight="1" x14ac:dyDescent="0.3">
      <c r="F902" s="155"/>
      <c r="H902" s="155"/>
    </row>
    <row r="903" spans="6:8" ht="14.25" customHeight="1" x14ac:dyDescent="0.3">
      <c r="F903" s="155"/>
      <c r="H903" s="155"/>
    </row>
    <row r="904" spans="6:8" ht="14.25" customHeight="1" x14ac:dyDescent="0.3">
      <c r="F904" s="155"/>
      <c r="H904" s="155"/>
    </row>
    <row r="905" spans="6:8" ht="14.25" customHeight="1" x14ac:dyDescent="0.3">
      <c r="F905" s="155"/>
      <c r="H905" s="155"/>
    </row>
    <row r="906" spans="6:8" ht="14.25" customHeight="1" x14ac:dyDescent="0.3">
      <c r="F906" s="155"/>
      <c r="H906" s="155"/>
    </row>
    <row r="907" spans="6:8" ht="14.25" customHeight="1" x14ac:dyDescent="0.3">
      <c r="F907" s="155"/>
      <c r="H907" s="155"/>
    </row>
    <row r="908" spans="6:8" ht="14.25" customHeight="1" x14ac:dyDescent="0.3">
      <c r="F908" s="155"/>
      <c r="H908" s="155"/>
    </row>
    <row r="909" spans="6:8" ht="14.25" customHeight="1" x14ac:dyDescent="0.3">
      <c r="F909" s="155"/>
      <c r="H909" s="155"/>
    </row>
    <row r="910" spans="6:8" ht="14.25" customHeight="1" x14ac:dyDescent="0.3">
      <c r="F910" s="155"/>
      <c r="H910" s="155"/>
    </row>
    <row r="911" spans="6:8" ht="14.25" customHeight="1" x14ac:dyDescent="0.3">
      <c r="F911" s="155"/>
      <c r="H911" s="155"/>
    </row>
    <row r="912" spans="6:8" ht="14.25" customHeight="1" x14ac:dyDescent="0.3">
      <c r="F912" s="155"/>
      <c r="H912" s="155"/>
    </row>
    <row r="913" spans="6:8" ht="14.25" customHeight="1" x14ac:dyDescent="0.3">
      <c r="F913" s="155"/>
      <c r="H913" s="155"/>
    </row>
    <row r="914" spans="6:8" ht="14.25" customHeight="1" x14ac:dyDescent="0.3">
      <c r="F914" s="155"/>
      <c r="H914" s="155"/>
    </row>
    <row r="915" spans="6:8" ht="14.25" customHeight="1" x14ac:dyDescent="0.3">
      <c r="F915" s="155"/>
      <c r="H915" s="155"/>
    </row>
    <row r="916" spans="6:8" ht="14.25" customHeight="1" x14ac:dyDescent="0.3">
      <c r="F916" s="155"/>
      <c r="H916" s="155"/>
    </row>
    <row r="917" spans="6:8" ht="14.25" customHeight="1" x14ac:dyDescent="0.3">
      <c r="F917" s="155"/>
      <c r="H917" s="155"/>
    </row>
    <row r="918" spans="6:8" ht="14.25" customHeight="1" x14ac:dyDescent="0.3">
      <c r="F918" s="155"/>
      <c r="H918" s="155"/>
    </row>
    <row r="919" spans="6:8" ht="14.25" customHeight="1" x14ac:dyDescent="0.3">
      <c r="F919" s="155"/>
      <c r="H919" s="155"/>
    </row>
    <row r="920" spans="6:8" ht="14.25" customHeight="1" x14ac:dyDescent="0.3">
      <c r="F920" s="155"/>
      <c r="H920" s="155"/>
    </row>
    <row r="921" spans="6:8" ht="14.25" customHeight="1" x14ac:dyDescent="0.3">
      <c r="F921" s="155"/>
      <c r="H921" s="155"/>
    </row>
    <row r="922" spans="6:8" ht="14.25" customHeight="1" x14ac:dyDescent="0.3">
      <c r="F922" s="155"/>
      <c r="H922" s="155"/>
    </row>
    <row r="923" spans="6:8" ht="14.25" customHeight="1" x14ac:dyDescent="0.3">
      <c r="F923" s="155"/>
      <c r="H923" s="155"/>
    </row>
    <row r="924" spans="6:8" ht="14.25" customHeight="1" x14ac:dyDescent="0.3">
      <c r="F924" s="155"/>
      <c r="H924" s="155"/>
    </row>
    <row r="925" spans="6:8" ht="14.25" customHeight="1" x14ac:dyDescent="0.3">
      <c r="F925" s="155"/>
      <c r="H925" s="155"/>
    </row>
    <row r="926" spans="6:8" ht="14.25" customHeight="1" x14ac:dyDescent="0.3">
      <c r="F926" s="155"/>
      <c r="H926" s="155"/>
    </row>
    <row r="927" spans="6:8" ht="14.25" customHeight="1" x14ac:dyDescent="0.3">
      <c r="F927" s="155"/>
      <c r="H927" s="155"/>
    </row>
    <row r="928" spans="6:8" ht="14.25" customHeight="1" x14ac:dyDescent="0.3">
      <c r="F928" s="155"/>
      <c r="H928" s="155"/>
    </row>
    <row r="929" spans="6:8" ht="14.25" customHeight="1" x14ac:dyDescent="0.3">
      <c r="F929" s="155"/>
      <c r="H929" s="155"/>
    </row>
    <row r="930" spans="6:8" ht="14.25" customHeight="1" x14ac:dyDescent="0.3">
      <c r="F930" s="155"/>
      <c r="H930" s="155"/>
    </row>
    <row r="931" spans="6:8" ht="14.25" customHeight="1" x14ac:dyDescent="0.3">
      <c r="F931" s="155"/>
      <c r="H931" s="155"/>
    </row>
    <row r="932" spans="6:8" ht="14.25" customHeight="1" x14ac:dyDescent="0.3">
      <c r="F932" s="155"/>
      <c r="H932" s="155"/>
    </row>
    <row r="933" spans="6:8" ht="14.25" customHeight="1" x14ac:dyDescent="0.3">
      <c r="F933" s="155"/>
      <c r="H933" s="155"/>
    </row>
    <row r="934" spans="6:8" ht="14.25" customHeight="1" x14ac:dyDescent="0.3">
      <c r="F934" s="155"/>
      <c r="H934" s="155"/>
    </row>
    <row r="935" spans="6:8" ht="14.25" customHeight="1" x14ac:dyDescent="0.3">
      <c r="F935" s="155"/>
      <c r="H935" s="155"/>
    </row>
    <row r="936" spans="6:8" ht="14.25" customHeight="1" x14ac:dyDescent="0.3">
      <c r="F936" s="155"/>
      <c r="H936" s="155"/>
    </row>
    <row r="937" spans="6:8" ht="14.25" customHeight="1" x14ac:dyDescent="0.3">
      <c r="F937" s="155"/>
      <c r="H937" s="155"/>
    </row>
    <row r="938" spans="6:8" ht="14.25" customHeight="1" x14ac:dyDescent="0.3">
      <c r="F938" s="155"/>
      <c r="H938" s="155"/>
    </row>
    <row r="939" spans="6:8" ht="14.25" customHeight="1" x14ac:dyDescent="0.3">
      <c r="F939" s="155"/>
      <c r="H939" s="155"/>
    </row>
    <row r="940" spans="6:8" ht="14.25" customHeight="1" x14ac:dyDescent="0.3">
      <c r="F940" s="155"/>
      <c r="H940" s="155"/>
    </row>
    <row r="941" spans="6:8" ht="14.25" customHeight="1" x14ac:dyDescent="0.3">
      <c r="F941" s="155"/>
      <c r="H941" s="155"/>
    </row>
    <row r="942" spans="6:8" ht="14.25" customHeight="1" x14ac:dyDescent="0.3">
      <c r="F942" s="155"/>
      <c r="H942" s="155"/>
    </row>
    <row r="943" spans="6:8" ht="14.25" customHeight="1" x14ac:dyDescent="0.3">
      <c r="F943" s="155"/>
      <c r="H943" s="155"/>
    </row>
    <row r="944" spans="6:8" ht="14.25" customHeight="1" x14ac:dyDescent="0.3">
      <c r="F944" s="155"/>
      <c r="H944" s="155"/>
    </row>
    <row r="945" spans="6:8" ht="14.25" customHeight="1" x14ac:dyDescent="0.3">
      <c r="F945" s="155"/>
      <c r="H945" s="155"/>
    </row>
    <row r="946" spans="6:8" ht="14.25" customHeight="1" x14ac:dyDescent="0.3">
      <c r="F946" s="155"/>
      <c r="H946" s="155"/>
    </row>
    <row r="947" spans="6:8" ht="14.25" customHeight="1" x14ac:dyDescent="0.3">
      <c r="F947" s="155"/>
      <c r="H947" s="155"/>
    </row>
    <row r="948" spans="6:8" ht="14.25" customHeight="1" x14ac:dyDescent="0.3">
      <c r="F948" s="155"/>
      <c r="H948" s="155"/>
    </row>
    <row r="949" spans="6:8" ht="14.25" customHeight="1" x14ac:dyDescent="0.3">
      <c r="F949" s="155"/>
      <c r="H949" s="155"/>
    </row>
    <row r="950" spans="6:8" ht="14.25" customHeight="1" x14ac:dyDescent="0.3">
      <c r="F950" s="155"/>
      <c r="H950" s="155"/>
    </row>
    <row r="951" spans="6:8" ht="14.25" customHeight="1" x14ac:dyDescent="0.3">
      <c r="F951" s="155"/>
      <c r="H951" s="155"/>
    </row>
    <row r="952" spans="6:8" ht="14.25" customHeight="1" x14ac:dyDescent="0.3">
      <c r="F952" s="155"/>
      <c r="H952" s="155"/>
    </row>
    <row r="953" spans="6:8" ht="14.25" customHeight="1" x14ac:dyDescent="0.3">
      <c r="F953" s="155"/>
      <c r="H953" s="155"/>
    </row>
    <row r="954" spans="6:8" ht="14.25" customHeight="1" x14ac:dyDescent="0.3">
      <c r="F954" s="155"/>
      <c r="H954" s="155"/>
    </row>
    <row r="955" spans="6:8" ht="14.25" customHeight="1" x14ac:dyDescent="0.3">
      <c r="F955" s="155"/>
      <c r="H955" s="155"/>
    </row>
    <row r="956" spans="6:8" ht="14.25" customHeight="1" x14ac:dyDescent="0.3">
      <c r="F956" s="155"/>
      <c r="H956" s="155"/>
    </row>
    <row r="957" spans="6:8" ht="14.25" customHeight="1" x14ac:dyDescent="0.3">
      <c r="F957" s="155"/>
      <c r="H957" s="155"/>
    </row>
    <row r="958" spans="6:8" ht="14.25" customHeight="1" x14ac:dyDescent="0.3">
      <c r="F958" s="155"/>
      <c r="H958" s="155"/>
    </row>
    <row r="959" spans="6:8" ht="14.25" customHeight="1" x14ac:dyDescent="0.3">
      <c r="F959" s="155"/>
      <c r="H959" s="155"/>
    </row>
    <row r="960" spans="6:8" ht="14.25" customHeight="1" x14ac:dyDescent="0.3">
      <c r="F960" s="155"/>
      <c r="H960" s="155"/>
    </row>
    <row r="961" spans="6:8" ht="14.25" customHeight="1" x14ac:dyDescent="0.3">
      <c r="F961" s="155"/>
      <c r="H961" s="155"/>
    </row>
    <row r="962" spans="6:8" ht="14.25" customHeight="1" x14ac:dyDescent="0.3">
      <c r="F962" s="155"/>
      <c r="H962" s="155"/>
    </row>
    <row r="963" spans="6:8" ht="14.25" customHeight="1" x14ac:dyDescent="0.3">
      <c r="F963" s="155"/>
      <c r="H963" s="155"/>
    </row>
    <row r="964" spans="6:8" ht="14.25" customHeight="1" x14ac:dyDescent="0.3">
      <c r="F964" s="155"/>
      <c r="H964" s="155"/>
    </row>
    <row r="965" spans="6:8" ht="14.25" customHeight="1" x14ac:dyDescent="0.3">
      <c r="F965" s="155"/>
      <c r="H965" s="155"/>
    </row>
    <row r="966" spans="6:8" ht="14.25" customHeight="1" x14ac:dyDescent="0.3">
      <c r="F966" s="155"/>
      <c r="H966" s="155"/>
    </row>
    <row r="967" spans="6:8" ht="14.25" customHeight="1" x14ac:dyDescent="0.3">
      <c r="F967" s="155"/>
      <c r="H967" s="155"/>
    </row>
    <row r="968" spans="6:8" ht="14.25" customHeight="1" x14ac:dyDescent="0.3">
      <c r="F968" s="155"/>
      <c r="H968" s="155"/>
    </row>
    <row r="969" spans="6:8" ht="14.25" customHeight="1" x14ac:dyDescent="0.3">
      <c r="F969" s="155"/>
      <c r="H969" s="155"/>
    </row>
    <row r="970" spans="6:8" ht="14.25" customHeight="1" x14ac:dyDescent="0.3">
      <c r="F970" s="155"/>
      <c r="H970" s="155"/>
    </row>
    <row r="971" spans="6:8" ht="14.25" customHeight="1" x14ac:dyDescent="0.3">
      <c r="F971" s="155"/>
      <c r="H971" s="155"/>
    </row>
    <row r="972" spans="6:8" ht="14.25" customHeight="1" x14ac:dyDescent="0.3">
      <c r="F972" s="155"/>
      <c r="H972" s="155"/>
    </row>
    <row r="973" spans="6:8" ht="14.25" customHeight="1" x14ac:dyDescent="0.3">
      <c r="F973" s="155"/>
      <c r="H973" s="155"/>
    </row>
    <row r="974" spans="6:8" ht="14.25" customHeight="1" x14ac:dyDescent="0.3">
      <c r="F974" s="155"/>
      <c r="H974" s="155"/>
    </row>
    <row r="975" spans="6:8" ht="14.25" customHeight="1" x14ac:dyDescent="0.3">
      <c r="F975" s="155"/>
      <c r="H975" s="155"/>
    </row>
    <row r="976" spans="6:8" ht="14.25" customHeight="1" x14ac:dyDescent="0.3">
      <c r="F976" s="155"/>
      <c r="H976" s="155"/>
    </row>
    <row r="977" spans="6:8" ht="14.25" customHeight="1" x14ac:dyDescent="0.3">
      <c r="F977" s="155"/>
      <c r="H977" s="155"/>
    </row>
    <row r="978" spans="6:8" ht="14.25" customHeight="1" x14ac:dyDescent="0.3">
      <c r="F978" s="155"/>
      <c r="H978" s="155"/>
    </row>
    <row r="979" spans="6:8" ht="14.25" customHeight="1" x14ac:dyDescent="0.3">
      <c r="F979" s="155"/>
      <c r="H979" s="155"/>
    </row>
    <row r="980" spans="6:8" ht="14.25" customHeight="1" x14ac:dyDescent="0.3">
      <c r="F980" s="155"/>
      <c r="H980" s="155"/>
    </row>
    <row r="981" spans="6:8" ht="14.25" customHeight="1" x14ac:dyDescent="0.3">
      <c r="F981" s="155"/>
      <c r="H981" s="155"/>
    </row>
    <row r="982" spans="6:8" ht="14.25" customHeight="1" x14ac:dyDescent="0.3">
      <c r="F982" s="155"/>
      <c r="H982" s="155"/>
    </row>
    <row r="983" spans="6:8" ht="14.25" customHeight="1" x14ac:dyDescent="0.3">
      <c r="F983" s="155"/>
      <c r="H983" s="155"/>
    </row>
    <row r="984" spans="6:8" ht="14.25" customHeight="1" x14ac:dyDescent="0.3">
      <c r="F984" s="155"/>
      <c r="H984" s="155"/>
    </row>
    <row r="985" spans="6:8" ht="14.25" customHeight="1" x14ac:dyDescent="0.3">
      <c r="F985" s="155"/>
      <c r="H985" s="155"/>
    </row>
    <row r="986" spans="6:8" ht="14.25" customHeight="1" x14ac:dyDescent="0.3">
      <c r="F986" s="155"/>
      <c r="H986" s="155"/>
    </row>
    <row r="987" spans="6:8" ht="14.25" customHeight="1" x14ac:dyDescent="0.3">
      <c r="F987" s="155"/>
      <c r="H987" s="155"/>
    </row>
    <row r="988" spans="6:8" ht="14.25" customHeight="1" x14ac:dyDescent="0.3">
      <c r="F988" s="155"/>
      <c r="H988" s="155"/>
    </row>
    <row r="989" spans="6:8" ht="14.25" customHeight="1" x14ac:dyDescent="0.3">
      <c r="F989" s="155"/>
      <c r="H989" s="155"/>
    </row>
    <row r="990" spans="6:8" ht="14.25" customHeight="1" x14ac:dyDescent="0.3">
      <c r="F990" s="155"/>
      <c r="H990" s="155"/>
    </row>
    <row r="991" spans="6:8" ht="14.25" customHeight="1" x14ac:dyDescent="0.3">
      <c r="F991" s="155"/>
      <c r="H991" s="155"/>
    </row>
    <row r="992" spans="6:8" ht="14.25" customHeight="1" x14ac:dyDescent="0.3">
      <c r="F992" s="155"/>
      <c r="H992" s="155"/>
    </row>
    <row r="993" spans="6:8" ht="14.25" customHeight="1" x14ac:dyDescent="0.3">
      <c r="F993" s="155"/>
      <c r="H993" s="155"/>
    </row>
    <row r="994" spans="6:8" ht="14.25" customHeight="1" x14ac:dyDescent="0.3">
      <c r="F994" s="155"/>
      <c r="H994" s="155"/>
    </row>
    <row r="995" spans="6:8" ht="14.25" customHeight="1" x14ac:dyDescent="0.3">
      <c r="F995" s="155"/>
      <c r="H995" s="155"/>
    </row>
    <row r="996" spans="6:8" ht="14.25" customHeight="1" x14ac:dyDescent="0.3">
      <c r="F996" s="155"/>
      <c r="H996" s="155"/>
    </row>
    <row r="997" spans="6:8" ht="14.25" customHeight="1" x14ac:dyDescent="0.3">
      <c r="F997" s="155"/>
      <c r="H997" s="155"/>
    </row>
    <row r="998" spans="6:8" ht="14.25" customHeight="1" x14ac:dyDescent="0.3">
      <c r="F998" s="155"/>
      <c r="H998" s="155"/>
    </row>
    <row r="999" spans="6:8" ht="14.25" customHeight="1" x14ac:dyDescent="0.3">
      <c r="F999" s="155"/>
      <c r="H999" s="155"/>
    </row>
    <row r="1000" spans="6:8" ht="14.25" customHeight="1" x14ac:dyDescent="0.3">
      <c r="F1000" s="155"/>
      <c r="H1000" s="155"/>
    </row>
  </sheetData>
  <pageMargins left="0.23622047244094491" right="0.23622047244094491" top="0.74803149606299213" bottom="0.74803149606299213" header="0" footer="0"/>
  <pageSetup scale="8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1000"/>
  <sheetViews>
    <sheetView workbookViewId="0"/>
  </sheetViews>
  <sheetFormatPr defaultColWidth="14.44140625" defaultRowHeight="15" customHeight="1" x14ac:dyDescent="0.3"/>
  <cols>
    <col min="1" max="1" width="12.33203125" customWidth="1"/>
    <col min="2" max="2" width="35.6640625" customWidth="1"/>
    <col min="3" max="3" width="9.5546875" customWidth="1"/>
    <col min="4" max="23" width="8.6640625" customWidth="1"/>
  </cols>
  <sheetData>
    <row r="1" spans="1:26" ht="14.4" x14ac:dyDescent="0.3">
      <c r="A1" s="184">
        <v>1</v>
      </c>
      <c r="B1" s="185" t="s">
        <v>1691</v>
      </c>
      <c r="C1" s="185"/>
      <c r="D1" s="185"/>
      <c r="E1" s="185"/>
      <c r="F1" s="185"/>
      <c r="G1" s="185"/>
      <c r="H1" s="185"/>
      <c r="I1" s="185"/>
      <c r="J1" s="185"/>
      <c r="K1" s="185"/>
      <c r="L1" s="185"/>
      <c r="M1" s="185"/>
      <c r="N1" s="185"/>
      <c r="O1" s="185"/>
      <c r="P1" s="185"/>
      <c r="Q1" s="185"/>
      <c r="R1" s="185"/>
      <c r="S1" s="185"/>
      <c r="T1" s="185"/>
      <c r="U1" s="185"/>
      <c r="V1" s="185"/>
      <c r="W1" s="185"/>
      <c r="X1" s="185"/>
      <c r="Y1" s="185"/>
      <c r="Z1" s="185"/>
    </row>
    <row r="2" spans="1:26" ht="14.4" x14ac:dyDescent="0.3">
      <c r="A2" s="185" t="s">
        <v>1692</v>
      </c>
      <c r="B2" s="185" t="s">
        <v>72</v>
      </c>
      <c r="C2" s="185"/>
      <c r="D2" s="185"/>
      <c r="E2" s="185"/>
      <c r="F2" s="185"/>
      <c r="G2" s="185"/>
      <c r="H2" s="185"/>
      <c r="I2" s="185"/>
      <c r="J2" s="185"/>
      <c r="K2" s="185"/>
      <c r="L2" s="185"/>
      <c r="M2" s="185"/>
      <c r="N2" s="185"/>
      <c r="O2" s="185"/>
      <c r="P2" s="185"/>
      <c r="Q2" s="185"/>
      <c r="R2" s="185"/>
      <c r="S2" s="185"/>
      <c r="T2" s="185"/>
      <c r="U2" s="185"/>
      <c r="V2" s="185"/>
      <c r="W2" s="185"/>
      <c r="X2" s="185"/>
      <c r="Y2" s="185"/>
      <c r="Z2" s="185"/>
    </row>
    <row r="3" spans="1:26" ht="14.4" x14ac:dyDescent="0.3">
      <c r="A3" s="185" t="s">
        <v>1693</v>
      </c>
      <c r="B3" s="185" t="s">
        <v>1694</v>
      </c>
      <c r="C3" s="185"/>
      <c r="D3" s="185"/>
      <c r="E3" s="185"/>
      <c r="F3" s="185"/>
      <c r="G3" s="185"/>
      <c r="H3" s="185"/>
      <c r="I3" s="185"/>
      <c r="J3" s="185"/>
      <c r="K3" s="185"/>
      <c r="L3" s="185"/>
      <c r="M3" s="185"/>
      <c r="N3" s="185"/>
      <c r="O3" s="185"/>
      <c r="P3" s="185"/>
      <c r="Q3" s="185"/>
      <c r="R3" s="185"/>
      <c r="S3" s="185"/>
      <c r="T3" s="185"/>
      <c r="U3" s="185"/>
      <c r="V3" s="185"/>
      <c r="W3" s="185"/>
      <c r="X3" s="185"/>
      <c r="Y3" s="185"/>
      <c r="Z3" s="185"/>
    </row>
    <row r="4" spans="1:26" ht="14.4" x14ac:dyDescent="0.3">
      <c r="A4" s="185" t="s">
        <v>1695</v>
      </c>
      <c r="B4" s="185" t="s">
        <v>1696</v>
      </c>
      <c r="C4" s="185"/>
      <c r="D4" s="185"/>
      <c r="E4" s="185"/>
      <c r="F4" s="185"/>
      <c r="G4" s="185"/>
      <c r="H4" s="185"/>
      <c r="I4" s="185"/>
      <c r="J4" s="185"/>
      <c r="K4" s="185"/>
      <c r="L4" s="185"/>
      <c r="M4" s="185"/>
      <c r="N4" s="185"/>
      <c r="O4" s="185"/>
      <c r="P4" s="185"/>
      <c r="Q4" s="185"/>
      <c r="R4" s="185"/>
      <c r="S4" s="185"/>
      <c r="T4" s="185"/>
      <c r="U4" s="185"/>
      <c r="V4" s="185"/>
      <c r="W4" s="185"/>
      <c r="X4" s="185"/>
      <c r="Y4" s="185"/>
      <c r="Z4" s="185"/>
    </row>
    <row r="5" spans="1:26" ht="14.4" x14ac:dyDescent="0.3">
      <c r="A5" s="23" t="s">
        <v>1697</v>
      </c>
      <c r="B5" s="23" t="s">
        <v>1698</v>
      </c>
      <c r="C5" s="23" t="str">
        <f t="shared" ref="C5:C13" si="0">A5&amp;" - "&amp;B5</f>
        <v>1.1.1.01.0001 - Mensalidades</v>
      </c>
    </row>
    <row r="6" spans="1:26" ht="14.4" x14ac:dyDescent="0.3">
      <c r="A6" s="23" t="s">
        <v>1699</v>
      </c>
      <c r="B6" s="23" t="s">
        <v>1700</v>
      </c>
      <c r="C6" s="23" t="str">
        <f t="shared" si="0"/>
        <v>1.1.1.01.0002 - Doações</v>
      </c>
    </row>
    <row r="7" spans="1:26" ht="14.4" x14ac:dyDescent="0.3">
      <c r="A7" s="23" t="s">
        <v>1701</v>
      </c>
      <c r="B7" s="23" t="s">
        <v>1702</v>
      </c>
      <c r="C7" s="23" t="str">
        <f t="shared" si="0"/>
        <v>1.1.1.01.0003 - Dízimos</v>
      </c>
    </row>
    <row r="8" spans="1:26" ht="14.4" x14ac:dyDescent="0.3">
      <c r="A8" s="23" t="s">
        <v>1703</v>
      </c>
      <c r="B8" s="23" t="s">
        <v>1704</v>
      </c>
      <c r="C8" s="23" t="str">
        <f t="shared" si="0"/>
        <v>1.1.1.01.0004 - Contribuição Plantio</v>
      </c>
    </row>
    <row r="9" spans="1:26" ht="14.4" x14ac:dyDescent="0.3">
      <c r="A9" s="23" t="s">
        <v>1705</v>
      </c>
      <c r="B9" s="23" t="s">
        <v>1706</v>
      </c>
      <c r="C9" s="23" t="str">
        <f t="shared" si="0"/>
        <v>1.1.1.01.0005 - Contribuição Festividades</v>
      </c>
    </row>
    <row r="10" spans="1:26" ht="14.4" x14ac:dyDescent="0.3">
      <c r="A10" s="23" t="s">
        <v>1707</v>
      </c>
      <c r="B10" s="23" t="s">
        <v>1708</v>
      </c>
      <c r="C10" s="23" t="str">
        <f t="shared" si="0"/>
        <v>1.1.1.01.0006 - Contribuição Alimentação</v>
      </c>
    </row>
    <row r="11" spans="1:26" ht="14.4" x14ac:dyDescent="0.3">
      <c r="A11" s="23" t="s">
        <v>1709</v>
      </c>
      <c r="B11" s="23" t="s">
        <v>1710</v>
      </c>
      <c r="C11" s="23" t="str">
        <f t="shared" si="0"/>
        <v>1.1.1.01.0007 - Contribuição Preparo</v>
      </c>
    </row>
    <row r="12" spans="1:26" ht="14.4" x14ac:dyDescent="0.3">
      <c r="A12" s="23" t="s">
        <v>1711</v>
      </c>
      <c r="B12" s="23" t="s">
        <v>1712</v>
      </c>
      <c r="C12" s="23" t="str">
        <f t="shared" si="0"/>
        <v>1.1.1.01.0008 - Contribuição Segurança</v>
      </c>
    </row>
    <row r="13" spans="1:26" ht="14.4" x14ac:dyDescent="0.3">
      <c r="A13" s="23" t="s">
        <v>1713</v>
      </c>
      <c r="B13" s="23" t="s">
        <v>1714</v>
      </c>
      <c r="C13" s="23" t="str">
        <f t="shared" si="0"/>
        <v>1.1.1.01.0009 - Outras Receitas de Associados</v>
      </c>
    </row>
    <row r="14" spans="1:26" ht="14.4" x14ac:dyDescent="0.3">
      <c r="A14" s="185" t="s">
        <v>1715</v>
      </c>
      <c r="B14" s="185" t="s">
        <v>1716</v>
      </c>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row>
    <row r="15" spans="1:26" ht="14.4" x14ac:dyDescent="0.3">
      <c r="A15" s="23" t="s">
        <v>1717</v>
      </c>
      <c r="B15" s="23" t="s">
        <v>1718</v>
      </c>
      <c r="C15" s="23" t="str">
        <f t="shared" ref="C15:C22" si="1">A15&amp;" - "&amp;B15</f>
        <v>1.1.1.02.0001 - Fundo Participação</v>
      </c>
    </row>
    <row r="16" spans="1:26" ht="14.4" x14ac:dyDescent="0.3">
      <c r="A16" s="23" t="s">
        <v>1719</v>
      </c>
      <c r="B16" s="23" t="s">
        <v>1720</v>
      </c>
      <c r="C16" s="23" t="str">
        <f t="shared" si="1"/>
        <v>1.1.1.02.0002 - Fundo de Saúde</v>
      </c>
    </row>
    <row r="17" spans="1:26" ht="14.4" x14ac:dyDescent="0.3">
      <c r="A17" s="23" t="s">
        <v>1721</v>
      </c>
      <c r="B17" s="23" t="s">
        <v>1722</v>
      </c>
      <c r="C17" s="23" t="str">
        <f t="shared" si="1"/>
        <v>1.1.1.02.0003 - Fundo Ambiental</v>
      </c>
    </row>
    <row r="18" spans="1:26" ht="14.4" x14ac:dyDescent="0.3">
      <c r="A18" s="23" t="s">
        <v>1723</v>
      </c>
      <c r="B18" s="23" t="s">
        <v>1724</v>
      </c>
      <c r="C18" s="23" t="str">
        <f t="shared" si="1"/>
        <v>1.1.1.02.0004 - Fundo Beneficente</v>
      </c>
    </row>
    <row r="19" spans="1:26" ht="14.4" x14ac:dyDescent="0.3">
      <c r="A19" s="23" t="s">
        <v>1725</v>
      </c>
      <c r="B19" s="23" t="s">
        <v>1726</v>
      </c>
      <c r="C19" s="23" t="str">
        <f t="shared" si="1"/>
        <v>1.1.1.02.0005 - Fundo Regional</v>
      </c>
    </row>
    <row r="20" spans="1:26" ht="14.4" x14ac:dyDescent="0.3">
      <c r="A20" s="23" t="s">
        <v>1727</v>
      </c>
      <c r="B20" s="23" t="s">
        <v>1728</v>
      </c>
      <c r="C20" s="23" t="str">
        <f t="shared" si="1"/>
        <v>1.1.1.02.0006 - Mensalidades Novo Encanto</v>
      </c>
    </row>
    <row r="21" spans="1:26" ht="15.75" customHeight="1" x14ac:dyDescent="0.3">
      <c r="A21" s="23" t="s">
        <v>1729</v>
      </c>
      <c r="B21" s="23" t="s">
        <v>1730</v>
      </c>
      <c r="C21" s="23" t="str">
        <f t="shared" si="1"/>
        <v>1.1.1.02.0007 - Mensalidades Casa da União</v>
      </c>
    </row>
    <row r="22" spans="1:26" ht="15.75" customHeight="1" x14ac:dyDescent="0.3">
      <c r="A22" s="23" t="s">
        <v>1731</v>
      </c>
      <c r="B22" s="23" t="s">
        <v>1732</v>
      </c>
      <c r="C22" s="23" t="str">
        <f t="shared" si="1"/>
        <v>1.1.1.02.0008 - Contribuição Eventos/Encontros</v>
      </c>
    </row>
    <row r="23" spans="1:26" ht="15.75" customHeight="1" x14ac:dyDescent="0.3">
      <c r="A23" s="185" t="s">
        <v>1733</v>
      </c>
      <c r="B23" s="185" t="s">
        <v>1734</v>
      </c>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row>
    <row r="24" spans="1:26" ht="15.75" customHeight="1" x14ac:dyDescent="0.3">
      <c r="A24" s="23" t="s">
        <v>1735</v>
      </c>
      <c r="B24" s="23" t="s">
        <v>1736</v>
      </c>
      <c r="C24" s="23" t="str">
        <f t="shared" ref="C24:C29" si="2">A24&amp;" - "&amp;B24</f>
        <v>1.1.1.03.0001 - Bazar</v>
      </c>
    </row>
    <row r="25" spans="1:26" ht="15.75" customHeight="1" x14ac:dyDescent="0.3">
      <c r="A25" s="23" t="s">
        <v>1737</v>
      </c>
      <c r="B25" s="23" t="s">
        <v>1738</v>
      </c>
      <c r="C25" s="23" t="str">
        <f t="shared" si="2"/>
        <v>1.1.1.03.0002 - Alugueis</v>
      </c>
    </row>
    <row r="26" spans="1:26" ht="15.75" customHeight="1" x14ac:dyDescent="0.3">
      <c r="A26" s="23" t="s">
        <v>1739</v>
      </c>
      <c r="B26" s="23" t="s">
        <v>1740</v>
      </c>
      <c r="C26" s="23" t="str">
        <f t="shared" si="2"/>
        <v>1.1.1.03.0003 - Encontros</v>
      </c>
    </row>
    <row r="27" spans="1:26" ht="15.75" customHeight="1" x14ac:dyDescent="0.3">
      <c r="A27" s="23" t="s">
        <v>1741</v>
      </c>
      <c r="B27" s="23" t="s">
        <v>1742</v>
      </c>
      <c r="C27" s="23" t="str">
        <f t="shared" si="2"/>
        <v>1.1.1.03.0004 - Promoções</v>
      </c>
    </row>
    <row r="28" spans="1:26" ht="15.75" customHeight="1" x14ac:dyDescent="0.3">
      <c r="A28" s="23" t="s">
        <v>1743</v>
      </c>
      <c r="B28" s="23" t="s">
        <v>1744</v>
      </c>
      <c r="C28" s="23" t="str">
        <f t="shared" si="2"/>
        <v>1.1.1.03.0005 - Cantina</v>
      </c>
    </row>
    <row r="29" spans="1:26" ht="15.75" customHeight="1" x14ac:dyDescent="0.3">
      <c r="A29" s="23" t="s">
        <v>1745</v>
      </c>
      <c r="B29" s="23" t="s">
        <v>1746</v>
      </c>
      <c r="C29" s="23" t="str">
        <f t="shared" si="2"/>
        <v>1.1.1.03.0006 - Outras Receitas Administrativas</v>
      </c>
    </row>
    <row r="30" spans="1:26" ht="15.75" customHeight="1" x14ac:dyDescent="0.3">
      <c r="A30" s="185" t="s">
        <v>1747</v>
      </c>
      <c r="B30" s="185" t="s">
        <v>1748</v>
      </c>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row>
    <row r="31" spans="1:26" ht="15.75" customHeight="1" x14ac:dyDescent="0.3">
      <c r="A31" s="23" t="s">
        <v>1749</v>
      </c>
      <c r="B31" s="23" t="s">
        <v>1750</v>
      </c>
      <c r="C31" s="23" t="str">
        <f t="shared" ref="C31:C33" si="3">A31&amp;" - "&amp;B31</f>
        <v>1.1.1.04.0001 - Reembolso de Funcionários</v>
      </c>
    </row>
    <row r="32" spans="1:26" ht="15.75" customHeight="1" x14ac:dyDescent="0.3">
      <c r="A32" s="23" t="s">
        <v>1751</v>
      </c>
      <c r="B32" s="23" t="s">
        <v>1752</v>
      </c>
      <c r="C32" s="23" t="str">
        <f t="shared" si="3"/>
        <v>1.1.1.04.0002 - Desconto de Faltas</v>
      </c>
    </row>
    <row r="33" spans="1:26" ht="15.75" customHeight="1" x14ac:dyDescent="0.3">
      <c r="A33" s="23" t="s">
        <v>1753</v>
      </c>
      <c r="B33" s="23" t="s">
        <v>1754</v>
      </c>
      <c r="C33" s="23" t="str">
        <f t="shared" si="3"/>
        <v>1.1.1.04.0003 - Desconto de Aviso Prévio</v>
      </c>
    </row>
    <row r="34" spans="1:26" ht="15.75" customHeight="1" x14ac:dyDescent="0.3">
      <c r="A34" s="185" t="s">
        <v>1755</v>
      </c>
      <c r="B34" s="185" t="s">
        <v>1756</v>
      </c>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row>
    <row r="35" spans="1:26" ht="15.75" customHeight="1" x14ac:dyDescent="0.3">
      <c r="A35" s="23" t="s">
        <v>1757</v>
      </c>
      <c r="B35" s="23" t="s">
        <v>1758</v>
      </c>
      <c r="C35" s="23" t="str">
        <f t="shared" ref="C35:C36" si="4">A35&amp;" - "&amp;B35</f>
        <v>1.1.1.05.0001 - Rendimentos de Poupança</v>
      </c>
    </row>
    <row r="36" spans="1:26" ht="15.75" customHeight="1" x14ac:dyDescent="0.3">
      <c r="A36" s="23" t="s">
        <v>1759</v>
      </c>
      <c r="B36" s="23" t="s">
        <v>1760</v>
      </c>
      <c r="C36" s="23" t="str">
        <f t="shared" si="4"/>
        <v>1.1.1.05.0002 - Rendimentos de Aplicações</v>
      </c>
    </row>
    <row r="37" spans="1:26" ht="15.75" customHeight="1" x14ac:dyDescent="0.3">
      <c r="A37" s="185" t="s">
        <v>1761</v>
      </c>
      <c r="B37" s="185" t="s">
        <v>1642</v>
      </c>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row>
    <row r="38" spans="1:26" ht="15.75" customHeight="1" x14ac:dyDescent="0.3">
      <c r="A38" s="23" t="s">
        <v>1762</v>
      </c>
      <c r="B38" s="23" t="s">
        <v>1763</v>
      </c>
      <c r="C38" s="23" t="str">
        <f>A38&amp;" - "&amp;B38</f>
        <v>1.1.1.06.0001 - Empréstimos</v>
      </c>
    </row>
    <row r="39" spans="1:26" ht="15.75" customHeight="1" x14ac:dyDescent="0.3">
      <c r="A39" s="184">
        <v>2</v>
      </c>
      <c r="B39" s="185" t="s">
        <v>1764</v>
      </c>
      <c r="C39" s="185"/>
      <c r="D39" s="185"/>
      <c r="E39" s="185"/>
      <c r="F39" s="185"/>
      <c r="G39" s="185"/>
      <c r="H39" s="185"/>
      <c r="I39" s="185"/>
      <c r="J39" s="185"/>
      <c r="K39" s="185"/>
      <c r="L39" s="185"/>
      <c r="M39" s="185"/>
      <c r="N39" s="185"/>
      <c r="O39" s="185"/>
      <c r="P39" s="185"/>
      <c r="Q39" s="185"/>
      <c r="R39" s="185"/>
      <c r="S39" s="185"/>
      <c r="T39" s="185"/>
      <c r="U39" s="185"/>
      <c r="V39" s="185"/>
      <c r="W39" s="185"/>
      <c r="X39" s="185"/>
      <c r="Y39" s="185"/>
      <c r="Z39" s="185"/>
    </row>
    <row r="40" spans="1:26" ht="15.75" customHeight="1" x14ac:dyDescent="0.3">
      <c r="A40" s="185" t="s">
        <v>1765</v>
      </c>
      <c r="B40" s="185" t="s">
        <v>269</v>
      </c>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row>
    <row r="41" spans="1:26" ht="15.75" customHeight="1" x14ac:dyDescent="0.3">
      <c r="A41" s="185" t="s">
        <v>1766</v>
      </c>
      <c r="B41" s="185" t="s">
        <v>1767</v>
      </c>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row>
    <row r="42" spans="1:26" ht="15.75" customHeight="1" x14ac:dyDescent="0.3">
      <c r="A42" s="185" t="s">
        <v>1768</v>
      </c>
      <c r="B42" s="185" t="s">
        <v>1769</v>
      </c>
      <c r="C42" s="185"/>
      <c r="D42" s="185"/>
      <c r="E42" s="185"/>
      <c r="F42" s="185"/>
      <c r="G42" s="185"/>
      <c r="H42" s="185"/>
      <c r="I42" s="185"/>
      <c r="J42" s="185"/>
      <c r="K42" s="185"/>
      <c r="L42" s="185"/>
      <c r="M42" s="185"/>
      <c r="N42" s="185"/>
      <c r="O42" s="185"/>
      <c r="P42" s="185"/>
      <c r="Q42" s="185"/>
      <c r="R42" s="185"/>
      <c r="S42" s="185"/>
      <c r="T42" s="185"/>
      <c r="U42" s="185"/>
      <c r="V42" s="185"/>
      <c r="W42" s="185"/>
      <c r="X42" s="185"/>
      <c r="Y42" s="185"/>
      <c r="Z42" s="185"/>
    </row>
    <row r="43" spans="1:26" ht="15.75" customHeight="1" x14ac:dyDescent="0.3">
      <c r="A43" s="23" t="s">
        <v>1770</v>
      </c>
      <c r="B43" s="23" t="s">
        <v>1771</v>
      </c>
      <c r="C43" s="23" t="str">
        <f t="shared" ref="C43:C64" si="5">A43&amp;" - "&amp;B43</f>
        <v>2.1.1.01.0001 - Salários e Ordenados</v>
      </c>
    </row>
    <row r="44" spans="1:26" ht="15.75" customHeight="1" x14ac:dyDescent="0.3">
      <c r="A44" s="23" t="s">
        <v>1772</v>
      </c>
      <c r="B44" s="23" t="s">
        <v>280</v>
      </c>
      <c r="C44" s="23" t="str">
        <f t="shared" si="5"/>
        <v>2.1.1.01.0002 - Férias</v>
      </c>
    </row>
    <row r="45" spans="1:26" ht="15.75" customHeight="1" x14ac:dyDescent="0.3">
      <c r="A45" s="23" t="s">
        <v>1773</v>
      </c>
      <c r="B45" s="23" t="s">
        <v>1595</v>
      </c>
      <c r="C45" s="23" t="str">
        <f t="shared" si="5"/>
        <v>2.1.1.01.0003 - 13° Salário</v>
      </c>
    </row>
    <row r="46" spans="1:26" ht="15.75" customHeight="1" x14ac:dyDescent="0.3">
      <c r="A46" s="23" t="s">
        <v>1774</v>
      </c>
      <c r="B46" s="23" t="s">
        <v>1775</v>
      </c>
      <c r="C46" s="23" t="str">
        <f t="shared" si="5"/>
        <v>2.1.1.01.0004 - PIS sobre Folha</v>
      </c>
    </row>
    <row r="47" spans="1:26" ht="15.75" customHeight="1" x14ac:dyDescent="0.3">
      <c r="A47" s="23" t="s">
        <v>1776</v>
      </c>
      <c r="B47" s="23" t="s">
        <v>1777</v>
      </c>
      <c r="C47" s="23" t="str">
        <f t="shared" si="5"/>
        <v>2.1.1.01.0005 - Indenizações e Aviso Prévio</v>
      </c>
    </row>
    <row r="48" spans="1:26" ht="15.75" customHeight="1" x14ac:dyDescent="0.3">
      <c r="A48" s="23" t="s">
        <v>1778</v>
      </c>
      <c r="B48" s="23" t="s">
        <v>1779</v>
      </c>
      <c r="C48" s="23" t="str">
        <f t="shared" si="5"/>
        <v>2.1.1.01.0006 - Plano de Saúde</v>
      </c>
    </row>
    <row r="49" spans="1:3" ht="15.75" customHeight="1" x14ac:dyDescent="0.3">
      <c r="A49" s="23" t="s">
        <v>1780</v>
      </c>
      <c r="B49" s="23" t="s">
        <v>1781</v>
      </c>
      <c r="C49" s="23" t="str">
        <f t="shared" si="5"/>
        <v>2.1.1.01.0007 - Plano Odontológico</v>
      </c>
    </row>
    <row r="50" spans="1:3" ht="15.75" customHeight="1" x14ac:dyDescent="0.3">
      <c r="A50" s="23" t="s">
        <v>1782</v>
      </c>
      <c r="B50" s="23" t="s">
        <v>1783</v>
      </c>
      <c r="C50" s="23" t="str">
        <f t="shared" si="5"/>
        <v>2.1.1.01.0008 - Seguro de Vida</v>
      </c>
    </row>
    <row r="51" spans="1:3" ht="15.75" customHeight="1" x14ac:dyDescent="0.3">
      <c r="A51" s="23" t="s">
        <v>1784</v>
      </c>
      <c r="B51" s="23" t="s">
        <v>737</v>
      </c>
      <c r="C51" s="23" t="str">
        <f t="shared" si="5"/>
        <v>2.1.1.01.0009 - FGTS</v>
      </c>
    </row>
    <row r="52" spans="1:3" ht="15.75" customHeight="1" x14ac:dyDescent="0.3">
      <c r="A52" s="23" t="s">
        <v>1785</v>
      </c>
      <c r="B52" s="23" t="s">
        <v>1786</v>
      </c>
      <c r="C52" s="23" t="str">
        <f t="shared" si="5"/>
        <v>2.1.1.01.0010 - INSS</v>
      </c>
    </row>
    <row r="53" spans="1:3" ht="15.75" customHeight="1" x14ac:dyDescent="0.3">
      <c r="A53" s="23" t="s">
        <v>1787</v>
      </c>
      <c r="B53" s="23" t="s">
        <v>1788</v>
      </c>
      <c r="C53" s="23" t="str">
        <f t="shared" si="5"/>
        <v>2.1.1.01.0011 - FGTS Rescisório</v>
      </c>
    </row>
    <row r="54" spans="1:3" ht="15.75" customHeight="1" x14ac:dyDescent="0.3">
      <c r="A54" s="23" t="s">
        <v>1789</v>
      </c>
      <c r="B54" s="23" t="s">
        <v>1790</v>
      </c>
      <c r="C54" s="23" t="str">
        <f t="shared" si="5"/>
        <v>2.1.1.01.0012 - INSS Patronal</v>
      </c>
    </row>
    <row r="55" spans="1:3" ht="15.75" customHeight="1" x14ac:dyDescent="0.3">
      <c r="A55" s="23" t="s">
        <v>1791</v>
      </c>
      <c r="B55" s="23" t="s">
        <v>1792</v>
      </c>
      <c r="C55" s="23" t="str">
        <f t="shared" si="5"/>
        <v>2.1.1.01.0013 - FGTS s/ Férias</v>
      </c>
    </row>
    <row r="56" spans="1:3" ht="15.75" customHeight="1" x14ac:dyDescent="0.3">
      <c r="A56" s="23" t="s">
        <v>1793</v>
      </c>
      <c r="B56" s="23" t="s">
        <v>1794</v>
      </c>
      <c r="C56" s="23" t="str">
        <f t="shared" si="5"/>
        <v>2.1.1.01.0014 - INSS s/ Férias</v>
      </c>
    </row>
    <row r="57" spans="1:3" ht="15.75" customHeight="1" x14ac:dyDescent="0.3">
      <c r="A57" s="23" t="s">
        <v>1795</v>
      </c>
      <c r="B57" s="23" t="s">
        <v>1796</v>
      </c>
      <c r="C57" s="23" t="str">
        <f t="shared" si="5"/>
        <v>2.1.1.01.0015 - FGTS s/ 13° Salário</v>
      </c>
    </row>
    <row r="58" spans="1:3" ht="15.75" customHeight="1" x14ac:dyDescent="0.3">
      <c r="A58" s="23" t="s">
        <v>1797</v>
      </c>
      <c r="B58" s="23" t="s">
        <v>1798</v>
      </c>
      <c r="C58" s="23" t="str">
        <f t="shared" si="5"/>
        <v>2.1.1.01.0016 - INSS s/ 13° Salário</v>
      </c>
    </row>
    <row r="59" spans="1:3" ht="15.75" customHeight="1" x14ac:dyDescent="0.3">
      <c r="A59" s="23" t="s">
        <v>1799</v>
      </c>
      <c r="B59" s="23" t="s">
        <v>1800</v>
      </c>
      <c r="C59" s="23" t="str">
        <f t="shared" si="5"/>
        <v>2.1.1.01.0017 - Vale Alimentação</v>
      </c>
    </row>
    <row r="60" spans="1:3" ht="15.75" customHeight="1" x14ac:dyDescent="0.3">
      <c r="A60" s="23" t="s">
        <v>1801</v>
      </c>
      <c r="B60" s="23" t="s">
        <v>1802</v>
      </c>
      <c r="C60" s="23" t="str">
        <f t="shared" si="5"/>
        <v>2.1.1.01.0018 - Vale Transporte</v>
      </c>
    </row>
    <row r="61" spans="1:3" ht="15.75" customHeight="1" x14ac:dyDescent="0.3">
      <c r="A61" s="23" t="s">
        <v>1803</v>
      </c>
      <c r="B61" s="23" t="s">
        <v>1804</v>
      </c>
      <c r="C61" s="23" t="str">
        <f t="shared" si="5"/>
        <v>2.1.1.01.0019 - Contribuição Sindical</v>
      </c>
    </row>
    <row r="62" spans="1:3" ht="15.75" customHeight="1" x14ac:dyDescent="0.3">
      <c r="A62" s="23" t="s">
        <v>1805</v>
      </c>
      <c r="B62" s="23" t="s">
        <v>1806</v>
      </c>
      <c r="C62" s="23" t="str">
        <f t="shared" si="5"/>
        <v>2.1.1.01.0020 - Prêmios e Gratificações</v>
      </c>
    </row>
    <row r="63" spans="1:3" ht="15.75" customHeight="1" x14ac:dyDescent="0.3">
      <c r="A63" s="23" t="s">
        <v>1807</v>
      </c>
      <c r="B63" s="23" t="s">
        <v>1808</v>
      </c>
      <c r="C63" s="23" t="str">
        <f t="shared" si="5"/>
        <v>2.1.1.01.0021 - Bolsa Auxílio</v>
      </c>
    </row>
    <row r="64" spans="1:3" ht="15.75" customHeight="1" x14ac:dyDescent="0.3">
      <c r="A64" s="23" t="s">
        <v>1809</v>
      </c>
      <c r="B64" s="23" t="s">
        <v>1810</v>
      </c>
      <c r="C64" s="23" t="str">
        <f t="shared" si="5"/>
        <v>2.1.1.01.0022 - IRRF</v>
      </c>
    </row>
    <row r="65" spans="1:26" ht="15.75" customHeight="1" x14ac:dyDescent="0.3">
      <c r="A65" s="185" t="s">
        <v>1811</v>
      </c>
      <c r="B65" s="185" t="s">
        <v>1812</v>
      </c>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row>
    <row r="66" spans="1:26" ht="15.75" customHeight="1" x14ac:dyDescent="0.3">
      <c r="A66" s="23" t="s">
        <v>1813</v>
      </c>
      <c r="B66" s="23" t="s">
        <v>1718</v>
      </c>
      <c r="C66" s="23" t="str">
        <f t="shared" ref="C66:C77" si="6">A66&amp;" - "&amp;B66</f>
        <v>2.1.1.02.0001 - Fundo Participação</v>
      </c>
    </row>
    <row r="67" spans="1:26" ht="15.75" customHeight="1" x14ac:dyDescent="0.3">
      <c r="A67" s="23" t="s">
        <v>1814</v>
      </c>
      <c r="B67" s="23" t="s">
        <v>1720</v>
      </c>
      <c r="C67" s="23" t="str">
        <f t="shared" si="6"/>
        <v>2.1.1.02.0002 - Fundo de Saúde</v>
      </c>
    </row>
    <row r="68" spans="1:26" ht="15.75" customHeight="1" x14ac:dyDescent="0.3">
      <c r="A68" s="23" t="s">
        <v>1815</v>
      </c>
      <c r="B68" s="23" t="s">
        <v>1722</v>
      </c>
      <c r="C68" s="23" t="str">
        <f t="shared" si="6"/>
        <v>2.1.1.02.0003 - Fundo Ambiental</v>
      </c>
    </row>
    <row r="69" spans="1:26" ht="15.75" customHeight="1" x14ac:dyDescent="0.3">
      <c r="A69" s="23" t="s">
        <v>1816</v>
      </c>
      <c r="B69" s="23" t="s">
        <v>1724</v>
      </c>
      <c r="C69" s="23" t="str">
        <f t="shared" si="6"/>
        <v>2.1.1.02.0004 - Fundo Beneficente</v>
      </c>
    </row>
    <row r="70" spans="1:26" ht="15.75" customHeight="1" x14ac:dyDescent="0.3">
      <c r="A70" s="23" t="s">
        <v>1817</v>
      </c>
      <c r="B70" s="23" t="s">
        <v>1726</v>
      </c>
      <c r="C70" s="23" t="str">
        <f t="shared" si="6"/>
        <v>2.1.1.02.0005 - Fundo Regional</v>
      </c>
    </row>
    <row r="71" spans="1:26" ht="15.75" customHeight="1" x14ac:dyDescent="0.3">
      <c r="A71" s="23" t="s">
        <v>1818</v>
      </c>
      <c r="B71" s="23" t="s">
        <v>1728</v>
      </c>
      <c r="C71" s="23" t="str">
        <f t="shared" si="6"/>
        <v>2.1.1.02.0006 - Mensalidades Novo Encanto</v>
      </c>
    </row>
    <row r="72" spans="1:26" ht="15.75" customHeight="1" x14ac:dyDescent="0.3">
      <c r="A72" s="23" t="s">
        <v>1819</v>
      </c>
      <c r="B72" s="23" t="s">
        <v>1730</v>
      </c>
      <c r="C72" s="23" t="str">
        <f t="shared" si="6"/>
        <v>2.1.1.02.0007 - Mensalidades Casa da União</v>
      </c>
    </row>
    <row r="73" spans="1:26" ht="15.75" customHeight="1" x14ac:dyDescent="0.3">
      <c r="A73" s="23" t="s">
        <v>1820</v>
      </c>
      <c r="B73" s="23" t="s">
        <v>1700</v>
      </c>
      <c r="C73" s="23" t="str">
        <f t="shared" si="6"/>
        <v>2.1.1.02.0008 - Doações</v>
      </c>
    </row>
    <row r="74" spans="1:26" ht="15.75" customHeight="1" x14ac:dyDescent="0.3">
      <c r="A74" s="23" t="s">
        <v>1821</v>
      </c>
      <c r="B74" s="23" t="s">
        <v>1822</v>
      </c>
      <c r="C74" s="23" t="str">
        <f t="shared" si="6"/>
        <v>2.1.1.02.0009 - Repasses</v>
      </c>
    </row>
    <row r="75" spans="1:26" ht="15.75" customHeight="1" x14ac:dyDescent="0.3">
      <c r="A75" s="23" t="s">
        <v>1823</v>
      </c>
      <c r="B75" s="23" t="s">
        <v>1824</v>
      </c>
      <c r="C75" s="23" t="str">
        <f t="shared" si="6"/>
        <v>2.1.1.02.0010 - Associação Prosperar</v>
      </c>
    </row>
    <row r="76" spans="1:26" ht="15.75" customHeight="1" x14ac:dyDescent="0.3">
      <c r="A76" s="23" t="s">
        <v>1825</v>
      </c>
      <c r="B76" s="23" t="s">
        <v>1826</v>
      </c>
      <c r="C76" s="23" t="str">
        <f t="shared" si="6"/>
        <v>2.1.1.02.0011 - Eventos/Encontros</v>
      </c>
    </row>
    <row r="77" spans="1:26" ht="15.75" customHeight="1" x14ac:dyDescent="0.3">
      <c r="A77" s="23" t="s">
        <v>1827</v>
      </c>
      <c r="B77" s="23" t="s">
        <v>1828</v>
      </c>
      <c r="C77" s="23" t="str">
        <f t="shared" si="6"/>
        <v>2.1.1.02.0012 - Departamentos</v>
      </c>
    </row>
    <row r="78" spans="1:26" ht="15.75" customHeight="1" x14ac:dyDescent="0.3">
      <c r="A78" s="185" t="s">
        <v>1829</v>
      </c>
      <c r="B78" s="185" t="s">
        <v>1830</v>
      </c>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spans="1:26" ht="15.75" customHeight="1" x14ac:dyDescent="0.3">
      <c r="A79" s="23" t="s">
        <v>1831</v>
      </c>
      <c r="B79" s="23" t="s">
        <v>307</v>
      </c>
      <c r="C79" s="23" t="str">
        <f t="shared" ref="C79:C117" si="7">A79&amp;" - "&amp;B79</f>
        <v>2.1.1.03.0001 - Energia Elétrica</v>
      </c>
    </row>
    <row r="80" spans="1:26" ht="15.75" customHeight="1" x14ac:dyDescent="0.3">
      <c r="A80" s="23" t="s">
        <v>1832</v>
      </c>
      <c r="B80" s="23" t="s">
        <v>1833</v>
      </c>
      <c r="C80" s="23" t="str">
        <f t="shared" si="7"/>
        <v>2.1.1.03.0002 - Água</v>
      </c>
    </row>
    <row r="81" spans="1:3" ht="15.75" customHeight="1" x14ac:dyDescent="0.3">
      <c r="A81" s="23" t="s">
        <v>1834</v>
      </c>
      <c r="B81" s="23" t="s">
        <v>1835</v>
      </c>
      <c r="C81" s="23" t="str">
        <f t="shared" si="7"/>
        <v>2.1.1.03.0003 - Telefone</v>
      </c>
    </row>
    <row r="82" spans="1:3" ht="15.75" customHeight="1" x14ac:dyDescent="0.3">
      <c r="A82" s="23" t="s">
        <v>1836</v>
      </c>
      <c r="B82" s="23" t="s">
        <v>1837</v>
      </c>
      <c r="C82" s="23" t="str">
        <f t="shared" si="7"/>
        <v>2.1.1.03.0004 - Celular</v>
      </c>
    </row>
    <row r="83" spans="1:3" ht="15.75" customHeight="1" x14ac:dyDescent="0.3">
      <c r="A83" s="23" t="s">
        <v>1838</v>
      </c>
      <c r="B83" s="23" t="s">
        <v>314</v>
      </c>
      <c r="C83" s="23" t="str">
        <f t="shared" si="7"/>
        <v>2.1.1.03.0005 - Internet</v>
      </c>
    </row>
    <row r="84" spans="1:3" ht="15.75" customHeight="1" x14ac:dyDescent="0.3">
      <c r="A84" s="23" t="s">
        <v>1839</v>
      </c>
      <c r="B84" s="23" t="s">
        <v>1840</v>
      </c>
      <c r="C84" s="23" t="str">
        <f t="shared" si="7"/>
        <v>2.1.1.03.0006 - Combustíveis e Lubrificantes</v>
      </c>
    </row>
    <row r="85" spans="1:3" ht="15.75" customHeight="1" x14ac:dyDescent="0.3">
      <c r="A85" s="23" t="s">
        <v>1841</v>
      </c>
      <c r="B85" s="23" t="s">
        <v>1842</v>
      </c>
      <c r="C85" s="23" t="str">
        <f t="shared" si="7"/>
        <v>2.1.1.03.0007 - Material de Expediente</v>
      </c>
    </row>
    <row r="86" spans="1:3" ht="15.75" customHeight="1" x14ac:dyDescent="0.3">
      <c r="A86" s="23" t="s">
        <v>1843</v>
      </c>
      <c r="B86" s="23" t="s">
        <v>1844</v>
      </c>
      <c r="C86" s="23" t="str">
        <f t="shared" si="7"/>
        <v>2.1.1.03.0008 - Despesas Postais</v>
      </c>
    </row>
    <row r="87" spans="1:3" ht="15.75" customHeight="1" x14ac:dyDescent="0.3">
      <c r="A87" s="23" t="s">
        <v>1845</v>
      </c>
      <c r="B87" s="23" t="s">
        <v>1846</v>
      </c>
      <c r="C87" s="23" t="str">
        <f t="shared" si="7"/>
        <v>2.1.1.03.0009 - Despesas c/Cartório</v>
      </c>
    </row>
    <row r="88" spans="1:3" ht="15.75" customHeight="1" x14ac:dyDescent="0.3">
      <c r="A88" s="23" t="s">
        <v>1847</v>
      </c>
      <c r="B88" s="23" t="s">
        <v>1848</v>
      </c>
      <c r="C88" s="23" t="str">
        <f t="shared" si="7"/>
        <v>2.1.1.03.0010 - Despesas Gráficas</v>
      </c>
    </row>
    <row r="89" spans="1:3" ht="15.75" customHeight="1" x14ac:dyDescent="0.3">
      <c r="A89" s="23" t="s">
        <v>1849</v>
      </c>
      <c r="B89" s="23" t="s">
        <v>1850</v>
      </c>
      <c r="C89" s="23" t="str">
        <f t="shared" si="7"/>
        <v>2.1.1.03.0011 - Fretes</v>
      </c>
    </row>
    <row r="90" spans="1:3" ht="15.75" customHeight="1" x14ac:dyDescent="0.3">
      <c r="A90" s="23" t="s">
        <v>1851</v>
      </c>
      <c r="B90" s="23" t="s">
        <v>817</v>
      </c>
      <c r="C90" s="23" t="str">
        <f t="shared" si="7"/>
        <v>2.1.1.03.0012 - Segurança</v>
      </c>
    </row>
    <row r="91" spans="1:3" ht="15.75" customHeight="1" x14ac:dyDescent="0.3">
      <c r="A91" s="23" t="s">
        <v>1852</v>
      </c>
      <c r="B91" s="23" t="s">
        <v>1853</v>
      </c>
      <c r="C91" s="23" t="str">
        <f t="shared" si="7"/>
        <v>2.1.1.03.0013 - Aluguel ou Arrendamento</v>
      </c>
    </row>
    <row r="92" spans="1:3" ht="15.75" customHeight="1" x14ac:dyDescent="0.3">
      <c r="A92" s="23" t="s">
        <v>1854</v>
      </c>
      <c r="B92" s="23" t="s">
        <v>1855</v>
      </c>
      <c r="C92" s="23" t="str">
        <f t="shared" si="7"/>
        <v>2.1.1.03.0014 - Honorários Contábeis</v>
      </c>
    </row>
    <row r="93" spans="1:3" ht="15.75" customHeight="1" x14ac:dyDescent="0.3">
      <c r="A93" s="23" t="s">
        <v>1856</v>
      </c>
      <c r="B93" s="23" t="s">
        <v>1857</v>
      </c>
      <c r="C93" s="23" t="str">
        <f t="shared" si="7"/>
        <v>2.1.1.03.0015 - Serviços Prestados PJ</v>
      </c>
    </row>
    <row r="94" spans="1:3" ht="15.75" customHeight="1" x14ac:dyDescent="0.3">
      <c r="A94" s="23" t="s">
        <v>1858</v>
      </c>
      <c r="B94" s="23" t="s">
        <v>1859</v>
      </c>
      <c r="C94" s="23" t="str">
        <f t="shared" si="7"/>
        <v>2.1.1.03.0016 - Serviços Prestados PF</v>
      </c>
    </row>
    <row r="95" spans="1:3" ht="15.75" customHeight="1" x14ac:dyDescent="0.3">
      <c r="A95" s="23" t="s">
        <v>1860</v>
      </c>
      <c r="B95" s="23" t="s">
        <v>1861</v>
      </c>
      <c r="C95" s="23" t="str">
        <f t="shared" si="7"/>
        <v>2.1.1.03.0017 - ISS Autônomos</v>
      </c>
    </row>
    <row r="96" spans="1:3" ht="15.75" customHeight="1" x14ac:dyDescent="0.3">
      <c r="A96" s="23" t="s">
        <v>1862</v>
      </c>
      <c r="B96" s="23" t="s">
        <v>1863</v>
      </c>
      <c r="C96" s="23" t="str">
        <f t="shared" si="7"/>
        <v>2.1.1.03.0018 - Manutenção Predial</v>
      </c>
    </row>
    <row r="97" spans="1:3" ht="15.75" customHeight="1" x14ac:dyDescent="0.3">
      <c r="A97" s="23" t="s">
        <v>1864</v>
      </c>
      <c r="B97" s="23" t="s">
        <v>1865</v>
      </c>
      <c r="C97" s="23" t="str">
        <f t="shared" si="7"/>
        <v>2.1.1.03.0019 - Manutenção de Sistemas</v>
      </c>
    </row>
    <row r="98" spans="1:3" ht="15.75" customHeight="1" x14ac:dyDescent="0.3">
      <c r="A98" s="23" t="s">
        <v>1866</v>
      </c>
      <c r="B98" s="23" t="s">
        <v>1867</v>
      </c>
      <c r="C98" s="23" t="str">
        <f t="shared" si="7"/>
        <v>2.1.1.03.0020 - Manuntenção de Máq e Equipamentos</v>
      </c>
    </row>
    <row r="99" spans="1:3" ht="15.75" customHeight="1" x14ac:dyDescent="0.3">
      <c r="A99" s="23" t="s">
        <v>1868</v>
      </c>
      <c r="B99" s="23" t="s">
        <v>1869</v>
      </c>
      <c r="C99" s="23" t="str">
        <f t="shared" si="7"/>
        <v>2.1.1.03.0021 - Equipamento de Informática</v>
      </c>
    </row>
    <row r="100" spans="1:3" ht="15.75" customHeight="1" x14ac:dyDescent="0.3">
      <c r="A100" s="23" t="s">
        <v>1870</v>
      </c>
      <c r="B100" s="23" t="s">
        <v>1871</v>
      </c>
      <c r="C100" s="23" t="str">
        <f t="shared" si="7"/>
        <v>2.1.1.03.0022 - Material Uso e Consumo</v>
      </c>
    </row>
    <row r="101" spans="1:3" ht="15.75" customHeight="1" x14ac:dyDescent="0.3">
      <c r="A101" s="23" t="s">
        <v>1872</v>
      </c>
      <c r="B101" s="23" t="s">
        <v>1873</v>
      </c>
      <c r="C101" s="23" t="str">
        <f t="shared" si="7"/>
        <v>2.1.1.03.0023 - Material de Limpeza e Conservação</v>
      </c>
    </row>
    <row r="102" spans="1:3" ht="15.75" customHeight="1" x14ac:dyDescent="0.3">
      <c r="A102" s="23" t="s">
        <v>1874</v>
      </c>
      <c r="B102" s="23" t="s">
        <v>362</v>
      </c>
      <c r="C102" s="23" t="str">
        <f t="shared" si="7"/>
        <v>2.1.1.03.0024 - Alimentação</v>
      </c>
    </row>
    <row r="103" spans="1:3" ht="15.75" customHeight="1" x14ac:dyDescent="0.3">
      <c r="A103" s="23" t="s">
        <v>1875</v>
      </c>
      <c r="B103" s="23" t="s">
        <v>1876</v>
      </c>
      <c r="C103" s="23" t="str">
        <f t="shared" si="7"/>
        <v>2.1.1.03.0025 - Viagens e Estadias</v>
      </c>
    </row>
    <row r="104" spans="1:3" ht="15.75" customHeight="1" x14ac:dyDescent="0.3">
      <c r="A104" s="23" t="s">
        <v>1877</v>
      </c>
      <c r="B104" s="23" t="s">
        <v>1878</v>
      </c>
      <c r="C104" s="23" t="str">
        <f t="shared" si="7"/>
        <v>2.1.1.03.0026 - Plantio</v>
      </c>
    </row>
    <row r="105" spans="1:3" ht="15.75" customHeight="1" x14ac:dyDescent="0.3">
      <c r="A105" s="23" t="s">
        <v>1879</v>
      </c>
      <c r="B105" s="23" t="s">
        <v>1880</v>
      </c>
      <c r="C105" s="23" t="str">
        <f t="shared" si="7"/>
        <v>2.1.1.03.0027 - Preparo</v>
      </c>
    </row>
    <row r="106" spans="1:3" ht="15.75" customHeight="1" x14ac:dyDescent="0.3">
      <c r="A106" s="23" t="s">
        <v>1881</v>
      </c>
      <c r="B106" s="23" t="s">
        <v>1882</v>
      </c>
      <c r="C106" s="23" t="str">
        <f t="shared" si="7"/>
        <v>2.1.1.03.0028 - Consórcios</v>
      </c>
    </row>
    <row r="107" spans="1:3" ht="15.75" customHeight="1" x14ac:dyDescent="0.3">
      <c r="A107" s="23" t="s">
        <v>1883</v>
      </c>
      <c r="B107" s="23" t="s">
        <v>246</v>
      </c>
      <c r="C107" s="23" t="str">
        <f t="shared" si="7"/>
        <v>2.1.1.03.0029 - Festividades</v>
      </c>
    </row>
    <row r="108" spans="1:3" ht="15.75" customHeight="1" x14ac:dyDescent="0.3">
      <c r="A108" s="23" t="s">
        <v>1884</v>
      </c>
      <c r="B108" s="23" t="s">
        <v>1742</v>
      </c>
      <c r="C108" s="23" t="str">
        <f t="shared" si="7"/>
        <v>2.1.1.03.0030 - Promoções</v>
      </c>
    </row>
    <row r="109" spans="1:3" ht="15.75" customHeight="1" x14ac:dyDescent="0.3">
      <c r="A109" s="23" t="s">
        <v>1885</v>
      </c>
      <c r="B109" s="23" t="s">
        <v>1886</v>
      </c>
      <c r="C109" s="23" t="str">
        <f t="shared" si="7"/>
        <v>2.1.1.03.0031 - Depreciação</v>
      </c>
    </row>
    <row r="110" spans="1:3" ht="15.75" customHeight="1" x14ac:dyDescent="0.3">
      <c r="A110" s="23" t="s">
        <v>1887</v>
      </c>
      <c r="B110" s="23" t="s">
        <v>1888</v>
      </c>
      <c r="C110" s="23" t="str">
        <f t="shared" si="7"/>
        <v>2.1.1.03.0032 - Amortização</v>
      </c>
    </row>
    <row r="111" spans="1:3" ht="15.75" customHeight="1" x14ac:dyDescent="0.3">
      <c r="A111" s="23" t="s">
        <v>1889</v>
      </c>
      <c r="B111" s="23" t="s">
        <v>1890</v>
      </c>
      <c r="C111" s="23" t="str">
        <f t="shared" si="7"/>
        <v>2.1.1.03.0033 - Custas Processuais</v>
      </c>
    </row>
    <row r="112" spans="1:3" ht="15.75" customHeight="1" x14ac:dyDescent="0.3">
      <c r="A112" s="23" t="s">
        <v>1891</v>
      </c>
      <c r="B112" s="23" t="s">
        <v>1892</v>
      </c>
      <c r="C112" s="23" t="str">
        <f t="shared" si="7"/>
        <v>2.1.1.03.0034 - Acordo Judicial</v>
      </c>
    </row>
    <row r="113" spans="1:26" ht="15.75" customHeight="1" x14ac:dyDescent="0.3">
      <c r="A113" s="23" t="s">
        <v>1893</v>
      </c>
      <c r="B113" s="23" t="s">
        <v>1894</v>
      </c>
      <c r="C113" s="23" t="str">
        <f t="shared" si="7"/>
        <v>2.1.1.03.0035 - TLF Alvará</v>
      </c>
    </row>
    <row r="114" spans="1:26" ht="15.75" customHeight="1" x14ac:dyDescent="0.3">
      <c r="A114" s="23" t="s">
        <v>1895</v>
      </c>
      <c r="B114" s="23" t="s">
        <v>1896</v>
      </c>
      <c r="C114" s="23" t="str">
        <f t="shared" si="7"/>
        <v>2.1.1.03.0036 - Gás de Cozinha</v>
      </c>
    </row>
    <row r="115" spans="1:26" ht="15.75" customHeight="1" x14ac:dyDescent="0.3">
      <c r="A115" s="23" t="s">
        <v>1897</v>
      </c>
      <c r="B115" s="23" t="s">
        <v>1898</v>
      </c>
      <c r="C115" s="23" t="str">
        <f t="shared" si="7"/>
        <v>2.1.1.03.0037 - Alimentação Preparo</v>
      </c>
    </row>
    <row r="116" spans="1:26" ht="15.75" customHeight="1" x14ac:dyDescent="0.3">
      <c r="A116" s="23" t="s">
        <v>1899</v>
      </c>
      <c r="B116" s="23" t="s">
        <v>1900</v>
      </c>
      <c r="C116" s="23" t="str">
        <f t="shared" si="7"/>
        <v>2.1.1.03.0038 - Bens de Pequeno Valor</v>
      </c>
    </row>
    <row r="117" spans="1:26" ht="15.75" customHeight="1" x14ac:dyDescent="0.3">
      <c r="A117" s="23" t="s">
        <v>1901</v>
      </c>
      <c r="B117" s="23" t="s">
        <v>1902</v>
      </c>
      <c r="C117" s="23" t="str">
        <f t="shared" si="7"/>
        <v>2.1.1.03.0039 - Outras Despesas Administrativas</v>
      </c>
    </row>
    <row r="118" spans="1:26" ht="15.75" customHeight="1" x14ac:dyDescent="0.3">
      <c r="A118" s="185" t="s">
        <v>1903</v>
      </c>
      <c r="B118" s="185" t="s">
        <v>1904</v>
      </c>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spans="1:26" ht="15.75" customHeight="1" x14ac:dyDescent="0.3">
      <c r="A119" s="23" t="s">
        <v>1905</v>
      </c>
      <c r="B119" s="23" t="s">
        <v>1906</v>
      </c>
      <c r="C119" s="23" t="str">
        <f t="shared" ref="C119:C125" si="8">A119&amp;" - "&amp;B119</f>
        <v>2.1.1.04.0001 - Taxas Diversas</v>
      </c>
    </row>
    <row r="120" spans="1:26" ht="15.75" customHeight="1" x14ac:dyDescent="0.3">
      <c r="A120" s="23" t="s">
        <v>1907</v>
      </c>
      <c r="B120" s="23" t="s">
        <v>1908</v>
      </c>
      <c r="C120" s="23" t="str">
        <f t="shared" si="8"/>
        <v>2.1.1.04.0002 - Tarifas Bancárias</v>
      </c>
    </row>
    <row r="121" spans="1:26" ht="15.75" customHeight="1" x14ac:dyDescent="0.3">
      <c r="A121" s="23" t="s">
        <v>1909</v>
      </c>
      <c r="B121" s="23" t="s">
        <v>1910</v>
      </c>
      <c r="C121" s="23" t="str">
        <f t="shared" si="8"/>
        <v>2.1.1.04.0003 - Taxas Municipais</v>
      </c>
    </row>
    <row r="122" spans="1:26" ht="15.75" customHeight="1" x14ac:dyDescent="0.3">
      <c r="A122" s="23" t="s">
        <v>1911</v>
      </c>
      <c r="B122" s="23" t="s">
        <v>1912</v>
      </c>
      <c r="C122" s="23" t="str">
        <f t="shared" si="8"/>
        <v>2.1.1.04.0004 - Multa/Juros Diversos</v>
      </c>
    </row>
    <row r="123" spans="1:26" ht="15.75" customHeight="1" x14ac:dyDescent="0.3">
      <c r="A123" s="23" t="s">
        <v>1913</v>
      </c>
      <c r="B123" s="23" t="s">
        <v>1914</v>
      </c>
      <c r="C123" s="23" t="str">
        <f t="shared" si="8"/>
        <v>2.1.1.04.0005 - Multa/Juros s/ Empréstimos</v>
      </c>
    </row>
    <row r="124" spans="1:26" ht="15.75" customHeight="1" x14ac:dyDescent="0.3">
      <c r="A124" s="23" t="s">
        <v>1915</v>
      </c>
      <c r="B124" s="23" t="s">
        <v>1916</v>
      </c>
      <c r="C124" s="23" t="str">
        <f t="shared" si="8"/>
        <v>2.1.1.04.0006 - IR s/ Aplicação Financeira</v>
      </c>
    </row>
    <row r="125" spans="1:26" ht="15.75" customHeight="1" x14ac:dyDescent="0.3">
      <c r="A125" s="23" t="s">
        <v>1917</v>
      </c>
      <c r="B125" s="23" t="s">
        <v>1918</v>
      </c>
      <c r="C125" s="23" t="str">
        <f t="shared" si="8"/>
        <v>2.1.1.04.0007 - IOF s/ Aplicação Financeira</v>
      </c>
    </row>
    <row r="126" spans="1:26" ht="15.75" customHeight="1" x14ac:dyDescent="0.3">
      <c r="A126" s="185" t="s">
        <v>1919</v>
      </c>
      <c r="B126" s="185" t="s">
        <v>1920</v>
      </c>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spans="1:26" ht="15.75" customHeight="1" x14ac:dyDescent="0.3">
      <c r="A127" s="23" t="s">
        <v>1921</v>
      </c>
      <c r="B127" s="23" t="s">
        <v>1922</v>
      </c>
      <c r="C127" s="23" t="str">
        <f t="shared" ref="C127:C132" si="9">A127&amp;" - "&amp;B127</f>
        <v>2.1.1.05.0001 - Adiantamento a Terceiros</v>
      </c>
    </row>
    <row r="128" spans="1:26" ht="15.75" customHeight="1" x14ac:dyDescent="0.3">
      <c r="A128" s="23" t="s">
        <v>1923</v>
      </c>
      <c r="B128" s="23" t="s">
        <v>1924</v>
      </c>
      <c r="C128" s="23" t="str">
        <f t="shared" si="9"/>
        <v>2.1.1.05.0002 - Adiantamento Presidente</v>
      </c>
    </row>
    <row r="129" spans="1:26" ht="15.75" customHeight="1" x14ac:dyDescent="0.3">
      <c r="A129" s="23" t="s">
        <v>1925</v>
      </c>
      <c r="B129" s="23" t="s">
        <v>1926</v>
      </c>
      <c r="C129" s="23" t="str">
        <f t="shared" si="9"/>
        <v>2.1.1.05.0003 - Adiantamento Organ</v>
      </c>
    </row>
    <row r="130" spans="1:26" ht="15.75" customHeight="1" x14ac:dyDescent="0.3">
      <c r="A130" s="23" t="s">
        <v>1927</v>
      </c>
      <c r="B130" s="23" t="s">
        <v>1928</v>
      </c>
      <c r="C130" s="23" t="str">
        <f t="shared" si="9"/>
        <v>2.1.1.05.0004 - Adiantamento aos Departamentos</v>
      </c>
    </row>
    <row r="131" spans="1:26" ht="15.75" customHeight="1" x14ac:dyDescent="0.3">
      <c r="A131" s="23" t="s">
        <v>1929</v>
      </c>
      <c r="B131" s="23" t="s">
        <v>1930</v>
      </c>
      <c r="C131" s="23" t="str">
        <f t="shared" si="9"/>
        <v>2.1.1.05.0005 - Adiantamento a Empregados</v>
      </c>
    </row>
    <row r="132" spans="1:26" ht="15.75" customHeight="1" x14ac:dyDescent="0.3">
      <c r="A132" s="23" t="s">
        <v>1931</v>
      </c>
      <c r="B132" s="23" t="s">
        <v>1932</v>
      </c>
      <c r="C132" s="23" t="str">
        <f t="shared" si="9"/>
        <v>2.1.1.05.0006 - Adiantamento a Fornecedores</v>
      </c>
    </row>
    <row r="133" spans="1:26" ht="15.75" customHeight="1" x14ac:dyDescent="0.3">
      <c r="A133" s="185" t="s">
        <v>1933</v>
      </c>
      <c r="B133" s="185" t="s">
        <v>1934</v>
      </c>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spans="1:26" ht="15.75" customHeight="1" x14ac:dyDescent="0.3">
      <c r="A134" s="23" t="s">
        <v>1935</v>
      </c>
      <c r="B134" s="23" t="s">
        <v>1936</v>
      </c>
      <c r="C134" s="23" t="str">
        <f t="shared" ref="C134:C140" si="10">A134&amp;" - "&amp;B134</f>
        <v>2.1.1.06.0001 - Móveis e Utensílios</v>
      </c>
    </row>
    <row r="135" spans="1:26" ht="15.75" customHeight="1" x14ac:dyDescent="0.3">
      <c r="A135" s="23" t="s">
        <v>1937</v>
      </c>
      <c r="B135" s="23" t="s">
        <v>1938</v>
      </c>
      <c r="C135" s="23" t="str">
        <f t="shared" si="10"/>
        <v>2.1.1.06.0002 - Máquinas e Equipamentos</v>
      </c>
    </row>
    <row r="136" spans="1:26" ht="15.75" customHeight="1" x14ac:dyDescent="0.3">
      <c r="A136" s="23" t="s">
        <v>1939</v>
      </c>
      <c r="B136" s="23" t="s">
        <v>1940</v>
      </c>
      <c r="C136" s="23" t="str">
        <f t="shared" si="10"/>
        <v>2.1.1.06.0003 - Aparelhos Eletrônicos</v>
      </c>
    </row>
    <row r="137" spans="1:26" ht="15.75" customHeight="1" x14ac:dyDescent="0.3">
      <c r="A137" s="23" t="s">
        <v>1941</v>
      </c>
      <c r="B137" s="23" t="s">
        <v>1942</v>
      </c>
      <c r="C137" s="23" t="str">
        <f t="shared" si="10"/>
        <v>2.1.1.06.0004 - Ferramentas</v>
      </c>
    </row>
    <row r="138" spans="1:26" ht="15.75" customHeight="1" x14ac:dyDescent="0.3">
      <c r="A138" s="23" t="s">
        <v>1943</v>
      </c>
      <c r="B138" s="23" t="s">
        <v>1944</v>
      </c>
      <c r="C138" s="23" t="str">
        <f t="shared" si="10"/>
        <v>2.1.1.06.0005 - Sistemas</v>
      </c>
    </row>
    <row r="139" spans="1:26" ht="15.75" customHeight="1" x14ac:dyDescent="0.3">
      <c r="A139" s="23" t="s">
        <v>1945</v>
      </c>
      <c r="B139" s="23" t="s">
        <v>1946</v>
      </c>
      <c r="C139" s="23" t="str">
        <f t="shared" si="10"/>
        <v>2.1.1.06.0006 - Agrícola</v>
      </c>
    </row>
    <row r="140" spans="1:26" ht="15.75" customHeight="1" x14ac:dyDescent="0.3">
      <c r="A140" s="23" t="s">
        <v>1947</v>
      </c>
      <c r="B140" s="23" t="s">
        <v>1948</v>
      </c>
      <c r="C140" s="23" t="str">
        <f t="shared" si="10"/>
        <v>2.1.1.06.0007 - Outros</v>
      </c>
    </row>
    <row r="141" spans="1:26" ht="15.75" customHeight="1" x14ac:dyDescent="0.3">
      <c r="A141" s="185" t="s">
        <v>1949</v>
      </c>
      <c r="B141" s="185" t="s">
        <v>1950</v>
      </c>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spans="1:26" ht="15.75" customHeight="1" x14ac:dyDescent="0.3">
      <c r="A142" s="23" t="s">
        <v>1951</v>
      </c>
      <c r="B142" s="23" t="s">
        <v>1952</v>
      </c>
      <c r="C142" s="23" t="str">
        <f t="shared" ref="C142:C145" si="11">A142&amp;" - "&amp;B142</f>
        <v>2.1.1.07.0001 - Construções em Andamento</v>
      </c>
    </row>
    <row r="143" spans="1:26" ht="15.75" customHeight="1" x14ac:dyDescent="0.3">
      <c r="A143" s="23" t="s">
        <v>1953</v>
      </c>
      <c r="B143" s="23" t="s">
        <v>1954</v>
      </c>
      <c r="C143" s="23" t="str">
        <f t="shared" si="11"/>
        <v>2.1.1.07.0002 - Benfeitoria em Imóveis de Terceiro</v>
      </c>
    </row>
    <row r="144" spans="1:26" ht="15.75" customHeight="1" x14ac:dyDescent="0.3">
      <c r="A144" s="23" t="s">
        <v>1955</v>
      </c>
      <c r="B144" s="23" t="s">
        <v>1956</v>
      </c>
      <c r="C144" s="23" t="str">
        <f t="shared" si="11"/>
        <v>2.1.1.07.0003 - Edificações</v>
      </c>
    </row>
    <row r="145" spans="1:3" ht="15.75" customHeight="1" x14ac:dyDescent="0.3">
      <c r="A145" s="23" t="s">
        <v>1957</v>
      </c>
      <c r="B145" s="23" t="s">
        <v>1958</v>
      </c>
      <c r="C145" s="23" t="str">
        <f t="shared" si="11"/>
        <v>2.1.1.07.0004 - Terrenos</v>
      </c>
    </row>
    <row r="146" spans="1:3" ht="15.75" customHeight="1" x14ac:dyDescent="0.3"/>
    <row r="147" spans="1:3" ht="15.75" customHeight="1" x14ac:dyDescent="0.3"/>
    <row r="148" spans="1:3" ht="15.75" customHeight="1" x14ac:dyDescent="0.3"/>
    <row r="149" spans="1:3" ht="15.75" customHeight="1" x14ac:dyDescent="0.3"/>
    <row r="150" spans="1:3" ht="15.75" customHeight="1" x14ac:dyDescent="0.3"/>
    <row r="151" spans="1:3" ht="15.75" customHeight="1" x14ac:dyDescent="0.3"/>
    <row r="152" spans="1:3" ht="15.75" customHeight="1" x14ac:dyDescent="0.3"/>
    <row r="153" spans="1:3" ht="15.75" customHeight="1" x14ac:dyDescent="0.3"/>
    <row r="154" spans="1:3" ht="15.75" customHeight="1" x14ac:dyDescent="0.3"/>
    <row r="155" spans="1:3" ht="15.75" customHeight="1" x14ac:dyDescent="0.3"/>
    <row r="156" spans="1:3" ht="15.75" customHeight="1" x14ac:dyDescent="0.3"/>
    <row r="157" spans="1:3" ht="15.75" customHeight="1" x14ac:dyDescent="0.3"/>
    <row r="158" spans="1:3" ht="15.75" customHeight="1" x14ac:dyDescent="0.3"/>
    <row r="159" spans="1:3" ht="15.75" customHeight="1" x14ac:dyDescent="0.3"/>
    <row r="160" spans="1: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36</vt:i4>
      </vt:variant>
    </vt:vector>
  </HeadingPairs>
  <TitlesOfParts>
    <vt:vector size="36" baseType="lpstr">
      <vt:lpstr>Entenda a planilha</vt:lpstr>
      <vt:lpstr>Caixa</vt:lpstr>
      <vt:lpstr>Distrib. Valores</vt:lpstr>
      <vt:lpstr>Dinheiro</vt:lpstr>
      <vt:lpstr>Mov. entre Contas</vt:lpstr>
      <vt:lpstr>2023-DEZ-RECEITAS</vt:lpstr>
      <vt:lpstr>2023-DEZ-DESPESAS</vt:lpstr>
      <vt:lpstr>JAN-Receitas</vt:lpstr>
      <vt:lpstr>JAN-Despesas</vt:lpstr>
      <vt:lpstr>FEV-Receitas</vt:lpstr>
      <vt:lpstr>FEV-Despesas</vt:lpstr>
      <vt:lpstr>MAR-Receitas</vt:lpstr>
      <vt:lpstr>MAR-Despesas</vt:lpstr>
      <vt:lpstr>ABR-Receitas</vt:lpstr>
      <vt:lpstr>ABR-Despesas</vt:lpstr>
      <vt:lpstr>MAI-Receitas</vt:lpstr>
      <vt:lpstr>MAI-Despesas</vt:lpstr>
      <vt:lpstr>2024-ORÇAMENTO</vt:lpstr>
      <vt:lpstr>JUN-Receitas</vt:lpstr>
      <vt:lpstr>JUN-Despesas</vt:lpstr>
      <vt:lpstr>JUL-Receitas</vt:lpstr>
      <vt:lpstr>JUL-Despesas</vt:lpstr>
      <vt:lpstr>AGO-Receitas</vt:lpstr>
      <vt:lpstr>AGO-Despesas</vt:lpstr>
      <vt:lpstr>SET-Receitas</vt:lpstr>
      <vt:lpstr>SET-Despesas</vt:lpstr>
      <vt:lpstr>OUT-Receitas</vt:lpstr>
      <vt:lpstr>OUT-Despesas</vt:lpstr>
      <vt:lpstr>NOV-Receitas</vt:lpstr>
      <vt:lpstr>NOV-Despesas</vt:lpstr>
      <vt:lpstr>DEZ-Receitas</vt:lpstr>
      <vt:lpstr>DEZ-Despesas</vt:lpstr>
      <vt:lpstr>2024-Realizado anual</vt:lpstr>
      <vt:lpstr>Reunião de Diretoria</vt:lpstr>
      <vt:lpstr>SUC</vt:lpstr>
      <vt:lpstr>Plano de contas DG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Teixeira</dc:creator>
  <cp:lastModifiedBy>Wallace Teixeira</cp:lastModifiedBy>
  <dcterms:created xsi:type="dcterms:W3CDTF">2023-10-25T18:59:06Z</dcterms:created>
  <dcterms:modified xsi:type="dcterms:W3CDTF">2025-08-16T20:38:47Z</dcterms:modified>
</cp:coreProperties>
</file>