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9035" windowHeight="11760" activeTab="5"/>
  </bookViews>
  <sheets>
    <sheet name="Example 3.1" sheetId="1" r:id="rId1"/>
    <sheet name="Example 3.2" sheetId="2" r:id="rId2"/>
    <sheet name="Example 3.3" sheetId="3" r:id="rId3"/>
    <sheet name="Graphics" sheetId="8" r:id="rId4"/>
    <sheet name="Yields" sheetId="7" r:id="rId5"/>
    <sheet name="Example 3.5" sheetId="9" r:id="rId6"/>
    <sheet name="Short rates" sheetId="6" r:id="rId7"/>
    <sheet name="Forward rates" sheetId="5" r:id="rId8"/>
    <sheet name="Example 3.4" sheetId="4" r:id="rId9"/>
  </sheets>
  <definedNames>
    <definedName name="A">'Example 3.5'!$A$18:$B$19</definedName>
    <definedName name="b">'Example 3.5'!$D$18:$D$19</definedName>
  </definedNames>
  <calcPr calcId="125725" iterateDelta="1.0000000000000001E-5"/>
</workbook>
</file>

<file path=xl/calcChain.xml><?xml version="1.0" encoding="utf-8"?>
<calcChain xmlns="http://schemas.openxmlformats.org/spreadsheetml/2006/main">
  <c r="K4" i="9"/>
  <c r="K5"/>
  <c r="K6"/>
  <c r="K7"/>
  <c r="K8"/>
  <c r="K9"/>
  <c r="K10"/>
  <c r="K11"/>
  <c r="K12"/>
  <c r="K3"/>
  <c r="C3"/>
  <c r="E3" s="1"/>
  <c r="C4"/>
  <c r="H4" s="1"/>
  <c r="C5"/>
  <c r="H5" s="1"/>
  <c r="C6"/>
  <c r="H6" s="1"/>
  <c r="C7"/>
  <c r="D18" s="1"/>
  <c r="D19" s="1"/>
  <c r="C8"/>
  <c r="C9"/>
  <c r="C10"/>
  <c r="F10" s="1"/>
  <c r="C11"/>
  <c r="C12"/>
  <c r="F12" s="1"/>
  <c r="C30" i="4"/>
  <c r="D30"/>
  <c r="E30"/>
  <c r="F30"/>
  <c r="G30"/>
  <c r="H30"/>
  <c r="B30"/>
  <c r="B2" i="8"/>
  <c r="H8" i="9" l="1"/>
  <c r="I8"/>
  <c r="I9"/>
  <c r="H9"/>
  <c r="E11"/>
  <c r="E7"/>
  <c r="F8"/>
  <c r="F6"/>
  <c r="I6"/>
  <c r="F11"/>
  <c r="F9"/>
  <c r="F7"/>
  <c r="I7"/>
  <c r="F5"/>
  <c r="I5"/>
  <c r="F4"/>
  <c r="I4"/>
  <c r="F3"/>
  <c r="I3"/>
  <c r="E12"/>
  <c r="E10"/>
  <c r="E9"/>
  <c r="E8"/>
  <c r="H7"/>
  <c r="E6"/>
  <c r="E5"/>
  <c r="E4"/>
  <c r="H3"/>
  <c r="H13" s="1"/>
  <c r="D2" i="8"/>
  <c r="E2"/>
  <c r="F2"/>
  <c r="G2"/>
  <c r="H2"/>
  <c r="I2"/>
  <c r="J2"/>
  <c r="K2"/>
  <c r="L2"/>
  <c r="M2"/>
  <c r="N2"/>
  <c r="O2"/>
  <c r="P2"/>
  <c r="Q2"/>
  <c r="R2"/>
  <c r="S2"/>
  <c r="T2"/>
  <c r="U2"/>
  <c r="V2"/>
  <c r="W2"/>
  <c r="X2"/>
  <c r="Y2"/>
  <c r="Z2"/>
  <c r="AA2"/>
  <c r="AB2"/>
  <c r="AC2"/>
  <c r="AD2"/>
  <c r="AE2"/>
  <c r="AF2"/>
  <c r="C2"/>
  <c r="AD2" i="7"/>
  <c r="AD3"/>
  <c r="AD4"/>
  <c r="AD5"/>
  <c r="AD6"/>
  <c r="AD7"/>
  <c r="AD8"/>
  <c r="AD9"/>
  <c r="AD10"/>
  <c r="AD11"/>
  <c r="AD12"/>
  <c r="AD13"/>
  <c r="AD14"/>
  <c r="AD15"/>
  <c r="AD16"/>
  <c r="AD17"/>
  <c r="AD18"/>
  <c r="AD19"/>
  <c r="AD20"/>
  <c r="AD21"/>
  <c r="AD22"/>
  <c r="AD23"/>
  <c r="AD24"/>
  <c r="AD25"/>
  <c r="AD26"/>
  <c r="AD27"/>
  <c r="AD28"/>
  <c r="AD29"/>
  <c r="AD30"/>
  <c r="AD31"/>
  <c r="AD32"/>
  <c r="AD33"/>
  <c r="AD34"/>
  <c r="AD35"/>
  <c r="AD36"/>
  <c r="AD37"/>
  <c r="AD38"/>
  <c r="AD39"/>
  <c r="AD40"/>
  <c r="AD41"/>
  <c r="AD42"/>
  <c r="AD43"/>
  <c r="AD44"/>
  <c r="AD45"/>
  <c r="AD46"/>
  <c r="AD47"/>
  <c r="AD48"/>
  <c r="AD49"/>
  <c r="AC2"/>
  <c r="AC3"/>
  <c r="AC4"/>
  <c r="AC5"/>
  <c r="AC6"/>
  <c r="AC7"/>
  <c r="AC8"/>
  <c r="AC9"/>
  <c r="AC10"/>
  <c r="AC11"/>
  <c r="AC12"/>
  <c r="AC13"/>
  <c r="AC14"/>
  <c r="AC15"/>
  <c r="AC16"/>
  <c r="AC17"/>
  <c r="AC18"/>
  <c r="AC19"/>
  <c r="AC20"/>
  <c r="AC21"/>
  <c r="AC22"/>
  <c r="AC23"/>
  <c r="AC24"/>
  <c r="AC25"/>
  <c r="AC26"/>
  <c r="AC27"/>
  <c r="AC28"/>
  <c r="AC29"/>
  <c r="AC30"/>
  <c r="AC31"/>
  <c r="AC32"/>
  <c r="AC33"/>
  <c r="AC34"/>
  <c r="AC35"/>
  <c r="AC36"/>
  <c r="AC37"/>
  <c r="AC38"/>
  <c r="AC39"/>
  <c r="AC40"/>
  <c r="AC41"/>
  <c r="AC42"/>
  <c r="AC43"/>
  <c r="AC44"/>
  <c r="AC45"/>
  <c r="AC46"/>
  <c r="AC47"/>
  <c r="AC48"/>
  <c r="AC49"/>
  <c r="AB2"/>
  <c r="AB3"/>
  <c r="AB4"/>
  <c r="AB5"/>
  <c r="AB6"/>
  <c r="AB7"/>
  <c r="AB8"/>
  <c r="AB9"/>
  <c r="AB10"/>
  <c r="AB11"/>
  <c r="AB12"/>
  <c r="AB13"/>
  <c r="AB14"/>
  <c r="AB15"/>
  <c r="AB16"/>
  <c r="AB17"/>
  <c r="AB18"/>
  <c r="AB19"/>
  <c r="AB20"/>
  <c r="AB21"/>
  <c r="AB22"/>
  <c r="AB23"/>
  <c r="AB24"/>
  <c r="AB25"/>
  <c r="AB26"/>
  <c r="AB27"/>
  <c r="AB28"/>
  <c r="AB29"/>
  <c r="AB30"/>
  <c r="AB31"/>
  <c r="AB32"/>
  <c r="AB33"/>
  <c r="AB34"/>
  <c r="AB35"/>
  <c r="AB36"/>
  <c r="AB37"/>
  <c r="AB38"/>
  <c r="AB39"/>
  <c r="AB40"/>
  <c r="AB41"/>
  <c r="AB42"/>
  <c r="AB43"/>
  <c r="AB44"/>
  <c r="AB45"/>
  <c r="AB46"/>
  <c r="AB47"/>
  <c r="AB48"/>
  <c r="AB49"/>
  <c r="AA2"/>
  <c r="AA3"/>
  <c r="AA4"/>
  <c r="AA5"/>
  <c r="AA6"/>
  <c r="AA7"/>
  <c r="AA8"/>
  <c r="AA9"/>
  <c r="AA10"/>
  <c r="AA11"/>
  <c r="AA12"/>
  <c r="AA13"/>
  <c r="AA14"/>
  <c r="AA15"/>
  <c r="AA16"/>
  <c r="AA17"/>
  <c r="AA18"/>
  <c r="AA19"/>
  <c r="AA20"/>
  <c r="AA21"/>
  <c r="AA22"/>
  <c r="AA23"/>
  <c r="AA24"/>
  <c r="AA25"/>
  <c r="AA26"/>
  <c r="AA27"/>
  <c r="AA28"/>
  <c r="AA29"/>
  <c r="AA30"/>
  <c r="AA31"/>
  <c r="AA32"/>
  <c r="AA33"/>
  <c r="AA34"/>
  <c r="AA35"/>
  <c r="AA36"/>
  <c r="AA37"/>
  <c r="AA38"/>
  <c r="AA39"/>
  <c r="AA40"/>
  <c r="AA41"/>
  <c r="AA42"/>
  <c r="AA43"/>
  <c r="AA44"/>
  <c r="AA45"/>
  <c r="AA46"/>
  <c r="AA47"/>
  <c r="AA48"/>
  <c r="AA49"/>
  <c r="Z2"/>
  <c r="Z3"/>
  <c r="Z4"/>
  <c r="Z5"/>
  <c r="Z6"/>
  <c r="Z7"/>
  <c r="Z8"/>
  <c r="Z9"/>
  <c r="Z10"/>
  <c r="Z11"/>
  <c r="Z12"/>
  <c r="Z13"/>
  <c r="Z14"/>
  <c r="Z15"/>
  <c r="Z16"/>
  <c r="Z17"/>
  <c r="Z18"/>
  <c r="Z19"/>
  <c r="Z20"/>
  <c r="Z21"/>
  <c r="Z22"/>
  <c r="Z23"/>
  <c r="Z24"/>
  <c r="Z25"/>
  <c r="Z26"/>
  <c r="Z27"/>
  <c r="Z28"/>
  <c r="Z29"/>
  <c r="Z30"/>
  <c r="Z31"/>
  <c r="Z32"/>
  <c r="Z33"/>
  <c r="Z34"/>
  <c r="Z35"/>
  <c r="Z36"/>
  <c r="Z37"/>
  <c r="Z38"/>
  <c r="Z39"/>
  <c r="Z40"/>
  <c r="Z41"/>
  <c r="Z42"/>
  <c r="Z43"/>
  <c r="Z44"/>
  <c r="Z45"/>
  <c r="Z46"/>
  <c r="Z47"/>
  <c r="Z48"/>
  <c r="Z49"/>
  <c r="Y2"/>
  <c r="Y3"/>
  <c r="Y4"/>
  <c r="Y5"/>
  <c r="Y6"/>
  <c r="Y7"/>
  <c r="Y8"/>
  <c r="Y9"/>
  <c r="Y10"/>
  <c r="Y11"/>
  <c r="Y12"/>
  <c r="Y13"/>
  <c r="Y14"/>
  <c r="Y15"/>
  <c r="Y16"/>
  <c r="Y17"/>
  <c r="Y18"/>
  <c r="Y19"/>
  <c r="Y20"/>
  <c r="Y21"/>
  <c r="Y22"/>
  <c r="Y23"/>
  <c r="Y24"/>
  <c r="Y25"/>
  <c r="Y26"/>
  <c r="Y27"/>
  <c r="Y28"/>
  <c r="Y29"/>
  <c r="Y30"/>
  <c r="Y31"/>
  <c r="Y32"/>
  <c r="Y33"/>
  <c r="Y34"/>
  <c r="Y35"/>
  <c r="Y36"/>
  <c r="Y37"/>
  <c r="Y38"/>
  <c r="Y39"/>
  <c r="Y40"/>
  <c r="Y41"/>
  <c r="Y42"/>
  <c r="Y43"/>
  <c r="Y44"/>
  <c r="Y45"/>
  <c r="Y46"/>
  <c r="Y47"/>
  <c r="Y48"/>
  <c r="Y49"/>
  <c r="X2"/>
  <c r="X3"/>
  <c r="X4"/>
  <c r="X5"/>
  <c r="X6"/>
  <c r="X7"/>
  <c r="X8"/>
  <c r="X9"/>
  <c r="X10"/>
  <c r="X11"/>
  <c r="X12"/>
  <c r="X13"/>
  <c r="X14"/>
  <c r="X15"/>
  <c r="X16"/>
  <c r="X17"/>
  <c r="X18"/>
  <c r="X19"/>
  <c r="X20"/>
  <c r="X21"/>
  <c r="X22"/>
  <c r="X23"/>
  <c r="X24"/>
  <c r="X25"/>
  <c r="X26"/>
  <c r="X27"/>
  <c r="X28"/>
  <c r="X29"/>
  <c r="X30"/>
  <c r="X31"/>
  <c r="X32"/>
  <c r="X33"/>
  <c r="X34"/>
  <c r="X35"/>
  <c r="X36"/>
  <c r="X37"/>
  <c r="X38"/>
  <c r="X39"/>
  <c r="X40"/>
  <c r="X41"/>
  <c r="X42"/>
  <c r="X43"/>
  <c r="X44"/>
  <c r="X45"/>
  <c r="X46"/>
  <c r="X47"/>
  <c r="X48"/>
  <c r="X49"/>
  <c r="W2"/>
  <c r="W3"/>
  <c r="W4"/>
  <c r="W5"/>
  <c r="W6"/>
  <c r="W7"/>
  <c r="W8"/>
  <c r="W9"/>
  <c r="W10"/>
  <c r="W11"/>
  <c r="W12"/>
  <c r="W13"/>
  <c r="W14"/>
  <c r="W15"/>
  <c r="W16"/>
  <c r="W17"/>
  <c r="W18"/>
  <c r="W19"/>
  <c r="W20"/>
  <c r="W21"/>
  <c r="W22"/>
  <c r="W23"/>
  <c r="W24"/>
  <c r="W25"/>
  <c r="W26"/>
  <c r="W27"/>
  <c r="W28"/>
  <c r="W29"/>
  <c r="W30"/>
  <c r="W31"/>
  <c r="W32"/>
  <c r="W33"/>
  <c r="W34"/>
  <c r="W35"/>
  <c r="W36"/>
  <c r="W37"/>
  <c r="W38"/>
  <c r="W39"/>
  <c r="W40"/>
  <c r="W41"/>
  <c r="W42"/>
  <c r="W43"/>
  <c r="W44"/>
  <c r="W45"/>
  <c r="W46"/>
  <c r="W47"/>
  <c r="W48"/>
  <c r="W49"/>
  <c r="V2"/>
  <c r="V3"/>
  <c r="V4"/>
  <c r="V5"/>
  <c r="V6"/>
  <c r="V7"/>
  <c r="V8"/>
  <c r="V9"/>
  <c r="V10"/>
  <c r="V11"/>
  <c r="V12"/>
  <c r="V13"/>
  <c r="V14"/>
  <c r="V15"/>
  <c r="V16"/>
  <c r="V17"/>
  <c r="V18"/>
  <c r="V19"/>
  <c r="V20"/>
  <c r="V21"/>
  <c r="V22"/>
  <c r="V23"/>
  <c r="V24"/>
  <c r="V25"/>
  <c r="V26"/>
  <c r="V27"/>
  <c r="V28"/>
  <c r="V29"/>
  <c r="V30"/>
  <c r="V31"/>
  <c r="V32"/>
  <c r="V33"/>
  <c r="V34"/>
  <c r="V35"/>
  <c r="V36"/>
  <c r="V37"/>
  <c r="V38"/>
  <c r="V39"/>
  <c r="V40"/>
  <c r="V41"/>
  <c r="V42"/>
  <c r="V43"/>
  <c r="V44"/>
  <c r="V45"/>
  <c r="V46"/>
  <c r="V47"/>
  <c r="V48"/>
  <c r="V49"/>
  <c r="T2"/>
  <c r="T3"/>
  <c r="T4"/>
  <c r="T5"/>
  <c r="T6"/>
  <c r="T7"/>
  <c r="T8"/>
  <c r="T9"/>
  <c r="T10"/>
  <c r="T11"/>
  <c r="T12"/>
  <c r="T13"/>
  <c r="T14"/>
  <c r="T15"/>
  <c r="T16"/>
  <c r="T17"/>
  <c r="T18"/>
  <c r="T19"/>
  <c r="T20"/>
  <c r="T21"/>
  <c r="T22"/>
  <c r="T23"/>
  <c r="T24"/>
  <c r="T25"/>
  <c r="T26"/>
  <c r="T27"/>
  <c r="T28"/>
  <c r="T29"/>
  <c r="T30"/>
  <c r="T31"/>
  <c r="T32"/>
  <c r="T33"/>
  <c r="T34"/>
  <c r="T35"/>
  <c r="T36"/>
  <c r="T37"/>
  <c r="T38"/>
  <c r="T39"/>
  <c r="T40"/>
  <c r="T41"/>
  <c r="T42"/>
  <c r="T43"/>
  <c r="T44"/>
  <c r="T45"/>
  <c r="T46"/>
  <c r="T47"/>
  <c r="T48"/>
  <c r="T49"/>
  <c r="S2"/>
  <c r="S3"/>
  <c r="S4"/>
  <c r="S5"/>
  <c r="S6"/>
  <c r="S7"/>
  <c r="S8"/>
  <c r="S9"/>
  <c r="S10"/>
  <c r="S11"/>
  <c r="S12"/>
  <c r="S13"/>
  <c r="S14"/>
  <c r="S15"/>
  <c r="S16"/>
  <c r="S17"/>
  <c r="S18"/>
  <c r="S19"/>
  <c r="S20"/>
  <c r="S21"/>
  <c r="S22"/>
  <c r="S23"/>
  <c r="S24"/>
  <c r="S25"/>
  <c r="S26"/>
  <c r="S27"/>
  <c r="S28"/>
  <c r="S29"/>
  <c r="S30"/>
  <c r="S31"/>
  <c r="S32"/>
  <c r="S33"/>
  <c r="S34"/>
  <c r="S35"/>
  <c r="S36"/>
  <c r="S37"/>
  <c r="S38"/>
  <c r="S39"/>
  <c r="S40"/>
  <c r="S41"/>
  <c r="S42"/>
  <c r="S43"/>
  <c r="S44"/>
  <c r="S45"/>
  <c r="S46"/>
  <c r="S47"/>
  <c r="S48"/>
  <c r="S49"/>
  <c r="R2"/>
  <c r="R3"/>
  <c r="R4"/>
  <c r="R5"/>
  <c r="R6"/>
  <c r="R7"/>
  <c r="R8"/>
  <c r="R9"/>
  <c r="R10"/>
  <c r="R11"/>
  <c r="R12"/>
  <c r="R13"/>
  <c r="R14"/>
  <c r="R15"/>
  <c r="R16"/>
  <c r="R17"/>
  <c r="R18"/>
  <c r="R19"/>
  <c r="R20"/>
  <c r="R21"/>
  <c r="R22"/>
  <c r="R23"/>
  <c r="R24"/>
  <c r="R25"/>
  <c r="R26"/>
  <c r="R27"/>
  <c r="R28"/>
  <c r="R29"/>
  <c r="R30"/>
  <c r="R31"/>
  <c r="R32"/>
  <c r="R33"/>
  <c r="R34"/>
  <c r="R35"/>
  <c r="R36"/>
  <c r="R37"/>
  <c r="R38"/>
  <c r="R39"/>
  <c r="R40"/>
  <c r="R41"/>
  <c r="R42"/>
  <c r="R43"/>
  <c r="R44"/>
  <c r="R45"/>
  <c r="R46"/>
  <c r="R47"/>
  <c r="R48"/>
  <c r="R49"/>
  <c r="Q2"/>
  <c r="Q3"/>
  <c r="Q4"/>
  <c r="Q5"/>
  <c r="Q6"/>
  <c r="Q7"/>
  <c r="Q8"/>
  <c r="Q9"/>
  <c r="Q10"/>
  <c r="Q11"/>
  <c r="Q12"/>
  <c r="Q13"/>
  <c r="Q14"/>
  <c r="Q15"/>
  <c r="Q16"/>
  <c r="Q17"/>
  <c r="Q18"/>
  <c r="Q19"/>
  <c r="Q20"/>
  <c r="Q21"/>
  <c r="Q22"/>
  <c r="Q23"/>
  <c r="Q24"/>
  <c r="Q25"/>
  <c r="Q26"/>
  <c r="Q27"/>
  <c r="Q28"/>
  <c r="Q29"/>
  <c r="Q30"/>
  <c r="Q31"/>
  <c r="Q32"/>
  <c r="Q33"/>
  <c r="Q34"/>
  <c r="Q35"/>
  <c r="Q36"/>
  <c r="Q37"/>
  <c r="Q38"/>
  <c r="Q39"/>
  <c r="Q40"/>
  <c r="Q41"/>
  <c r="Q42"/>
  <c r="Q43"/>
  <c r="Q44"/>
  <c r="Q45"/>
  <c r="Q46"/>
  <c r="Q47"/>
  <c r="Q48"/>
  <c r="Q49"/>
  <c r="P2"/>
  <c r="P3"/>
  <c r="P4"/>
  <c r="P5"/>
  <c r="P6"/>
  <c r="P7"/>
  <c r="P8"/>
  <c r="P9"/>
  <c r="P10"/>
  <c r="P11"/>
  <c r="P12"/>
  <c r="P13"/>
  <c r="P14"/>
  <c r="P15"/>
  <c r="P16"/>
  <c r="P17"/>
  <c r="P18"/>
  <c r="P19"/>
  <c r="P20"/>
  <c r="P21"/>
  <c r="P22"/>
  <c r="P23"/>
  <c r="P24"/>
  <c r="P25"/>
  <c r="P26"/>
  <c r="P27"/>
  <c r="P28"/>
  <c r="P29"/>
  <c r="P30"/>
  <c r="P31"/>
  <c r="P32"/>
  <c r="P33"/>
  <c r="P34"/>
  <c r="P35"/>
  <c r="P36"/>
  <c r="P37"/>
  <c r="P38"/>
  <c r="P39"/>
  <c r="P40"/>
  <c r="P41"/>
  <c r="P42"/>
  <c r="P43"/>
  <c r="P44"/>
  <c r="P45"/>
  <c r="P46"/>
  <c r="P47"/>
  <c r="P48"/>
  <c r="P49"/>
  <c r="O2"/>
  <c r="O3"/>
  <c r="O4"/>
  <c r="O5"/>
  <c r="O6"/>
  <c r="O7"/>
  <c r="O8"/>
  <c r="O9"/>
  <c r="O10"/>
  <c r="O11"/>
  <c r="O12"/>
  <c r="O13"/>
  <c r="O14"/>
  <c r="O15"/>
  <c r="O16"/>
  <c r="O17"/>
  <c r="O18"/>
  <c r="O19"/>
  <c r="O20"/>
  <c r="O21"/>
  <c r="O22"/>
  <c r="O23"/>
  <c r="O24"/>
  <c r="O25"/>
  <c r="O26"/>
  <c r="O27"/>
  <c r="O28"/>
  <c r="O29"/>
  <c r="O30"/>
  <c r="O31"/>
  <c r="O32"/>
  <c r="O33"/>
  <c r="O34"/>
  <c r="O35"/>
  <c r="O36"/>
  <c r="O37"/>
  <c r="O38"/>
  <c r="O39"/>
  <c r="O40"/>
  <c r="O41"/>
  <c r="O42"/>
  <c r="O43"/>
  <c r="O44"/>
  <c r="O45"/>
  <c r="O46"/>
  <c r="O47"/>
  <c r="O48"/>
  <c r="O49"/>
  <c r="N2"/>
  <c r="N3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M2"/>
  <c r="M3"/>
  <c r="M4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L2"/>
  <c r="L3"/>
  <c r="L4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J2"/>
  <c r="J3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I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G49"/>
  <c r="E49"/>
  <c r="G48"/>
  <c r="E48"/>
  <c r="G47"/>
  <c r="E47"/>
  <c r="G46"/>
  <c r="E46"/>
  <c r="G45"/>
  <c r="E45"/>
  <c r="G44"/>
  <c r="E44"/>
  <c r="G43"/>
  <c r="E43"/>
  <c r="G42"/>
  <c r="E42"/>
  <c r="G41"/>
  <c r="E41"/>
  <c r="G40"/>
  <c r="E40"/>
  <c r="G39"/>
  <c r="E39"/>
  <c r="G38"/>
  <c r="E38"/>
  <c r="G37"/>
  <c r="E37"/>
  <c r="G36"/>
  <c r="E36"/>
  <c r="G35"/>
  <c r="E35"/>
  <c r="G34"/>
  <c r="E34"/>
  <c r="G33"/>
  <c r="E33"/>
  <c r="G32"/>
  <c r="E32"/>
  <c r="G31"/>
  <c r="E31"/>
  <c r="G30"/>
  <c r="E30"/>
  <c r="G29"/>
  <c r="E29"/>
  <c r="G28"/>
  <c r="E28"/>
  <c r="G27"/>
  <c r="E27"/>
  <c r="G26"/>
  <c r="E26"/>
  <c r="G25"/>
  <c r="E25"/>
  <c r="G24"/>
  <c r="E24"/>
  <c r="G23"/>
  <c r="E23"/>
  <c r="G22"/>
  <c r="E22"/>
  <c r="G21"/>
  <c r="E21"/>
  <c r="G20"/>
  <c r="E20"/>
  <c r="G19"/>
  <c r="E19"/>
  <c r="G18"/>
  <c r="E18"/>
  <c r="G17"/>
  <c r="E17"/>
  <c r="G16"/>
  <c r="E16"/>
  <c r="G15"/>
  <c r="E15"/>
  <c r="G14"/>
  <c r="E14"/>
  <c r="G13"/>
  <c r="E13"/>
  <c r="G12"/>
  <c r="E12"/>
  <c r="G11"/>
  <c r="E11"/>
  <c r="G10"/>
  <c r="E10"/>
  <c r="G9"/>
  <c r="E9"/>
  <c r="G8"/>
  <c r="E8"/>
  <c r="G7"/>
  <c r="E7"/>
  <c r="G6"/>
  <c r="E6"/>
  <c r="G5"/>
  <c r="E5"/>
  <c r="G4"/>
  <c r="E4"/>
  <c r="G3"/>
  <c r="E3"/>
  <c r="G2"/>
  <c r="E2"/>
  <c r="H17" i="4"/>
  <c r="G17" s="1"/>
  <c r="F17" s="1"/>
  <c r="E17" s="1"/>
  <c r="D17" s="1"/>
  <c r="C17" s="1"/>
  <c r="G16"/>
  <c r="F16"/>
  <c r="E16"/>
  <c r="D16"/>
  <c r="C16"/>
  <c r="C23"/>
  <c r="D23"/>
  <c r="E23"/>
  <c r="F23"/>
  <c r="G23"/>
  <c r="B23"/>
  <c r="H23" s="1"/>
  <c r="D22"/>
  <c r="E22"/>
  <c r="F22"/>
  <c r="G22"/>
  <c r="C22"/>
  <c r="G5"/>
  <c r="F5"/>
  <c r="E6" s="1"/>
  <c r="E5"/>
  <c r="D5"/>
  <c r="C6" s="1"/>
  <c r="C5"/>
  <c r="B5"/>
  <c r="F6" s="1"/>
  <c r="L3" i="6"/>
  <c r="K4" s="1"/>
  <c r="K3"/>
  <c r="J4" s="1"/>
  <c r="J3"/>
  <c r="I4" s="1"/>
  <c r="G3"/>
  <c r="F4" s="1"/>
  <c r="E3"/>
  <c r="D4" s="1"/>
  <c r="C5" s="1"/>
  <c r="C3"/>
  <c r="B4" s="1"/>
  <c r="B3"/>
  <c r="J2"/>
  <c r="I3" s="1"/>
  <c r="H4" s="1"/>
  <c r="G5" s="1"/>
  <c r="I2"/>
  <c r="H3" s="1"/>
  <c r="G4" s="1"/>
  <c r="F5" s="1"/>
  <c r="G2"/>
  <c r="F3" s="1"/>
  <c r="E4" s="1"/>
  <c r="D5" s="1"/>
  <c r="E2"/>
  <c r="D3" s="1"/>
  <c r="C4" s="1"/>
  <c r="B5" s="1"/>
  <c r="R21" i="5"/>
  <c r="Q22" s="1"/>
  <c r="Q21"/>
  <c r="P22" s="1"/>
  <c r="P21"/>
  <c r="O22" s="1"/>
  <c r="M21"/>
  <c r="L22" s="1"/>
  <c r="K21"/>
  <c r="J22" s="1"/>
  <c r="I21"/>
  <c r="H22" s="1"/>
  <c r="H21"/>
  <c r="P20"/>
  <c r="O21" s="1"/>
  <c r="N22" s="1"/>
  <c r="M23" s="1"/>
  <c r="O20"/>
  <c r="N21" s="1"/>
  <c r="M22" s="1"/>
  <c r="M20"/>
  <c r="L21" s="1"/>
  <c r="K22" s="1"/>
  <c r="J23" s="1"/>
  <c r="K20"/>
  <c r="J21" s="1"/>
  <c r="I22" s="1"/>
  <c r="F20"/>
  <c r="E21" s="1"/>
  <c r="E20"/>
  <c r="D21" s="1"/>
  <c r="C20"/>
  <c r="B21" s="1"/>
  <c r="G19"/>
  <c r="F21" s="1"/>
  <c r="F19"/>
  <c r="E19"/>
  <c r="D19"/>
  <c r="C21" s="1"/>
  <c r="B22" s="1"/>
  <c r="C19"/>
  <c r="B19"/>
  <c r="G21" s="1"/>
  <c r="F22" s="1"/>
  <c r="E23" s="1"/>
  <c r="L5"/>
  <c r="K5"/>
  <c r="J5"/>
  <c r="G5"/>
  <c r="E5"/>
  <c r="C5"/>
  <c r="B5"/>
  <c r="J4"/>
  <c r="I5" s="1"/>
  <c r="I4"/>
  <c r="H5" s="1"/>
  <c r="G4"/>
  <c r="F5" s="1"/>
  <c r="E4"/>
  <c r="D5" s="1"/>
  <c r="G3" i="3"/>
  <c r="F3"/>
  <c r="E3"/>
  <c r="D3"/>
  <c r="C3"/>
  <c r="B4" s="1"/>
  <c r="B3"/>
  <c r="C4" s="1"/>
  <c r="C7" i="2"/>
  <c r="F7" i="1"/>
  <c r="F8"/>
  <c r="F9"/>
  <c r="F10"/>
  <c r="F11"/>
  <c r="F12"/>
  <c r="F13"/>
  <c r="F14"/>
  <c r="F15"/>
  <c r="F6"/>
  <c r="E6"/>
  <c r="D6"/>
  <c r="A8"/>
  <c r="A9" s="1"/>
  <c r="A10" s="1"/>
  <c r="A11" s="1"/>
  <c r="A12" s="1"/>
  <c r="A13" s="1"/>
  <c r="A14" s="1"/>
  <c r="A15" s="1"/>
  <c r="E15" s="1"/>
  <c r="A7"/>
  <c r="E7" s="1"/>
  <c r="B18" i="9" l="1"/>
  <c r="C6" i="5"/>
  <c r="B7" s="1"/>
  <c r="H6"/>
  <c r="F6"/>
  <c r="E7" s="1"/>
  <c r="D6"/>
  <c r="G6"/>
  <c r="E6"/>
  <c r="B6"/>
  <c r="I7" s="1"/>
  <c r="J6"/>
  <c r="K6"/>
  <c r="J7" s="1"/>
  <c r="I6"/>
  <c r="F13" i="9"/>
  <c r="I13"/>
  <c r="I14" s="1"/>
  <c r="B19" s="1"/>
  <c r="E13"/>
  <c r="AE3" i="8"/>
  <c r="AC3"/>
  <c r="AA3"/>
  <c r="AD3"/>
  <c r="AB3"/>
  <c r="Z3"/>
  <c r="X3"/>
  <c r="V3"/>
  <c r="T3"/>
  <c r="R3"/>
  <c r="P3"/>
  <c r="N3"/>
  <c r="L3"/>
  <c r="J3"/>
  <c r="H3"/>
  <c r="F3"/>
  <c r="D3"/>
  <c r="Y3"/>
  <c r="W3"/>
  <c r="U3"/>
  <c r="S3"/>
  <c r="Q3"/>
  <c r="O3"/>
  <c r="M3"/>
  <c r="K3"/>
  <c r="I3"/>
  <c r="G3"/>
  <c r="E3"/>
  <c r="C3"/>
  <c r="AD4" s="1"/>
  <c r="B6" i="4"/>
  <c r="E7" s="1"/>
  <c r="D6"/>
  <c r="E6" i="6"/>
  <c r="B6"/>
  <c r="H5"/>
  <c r="G6" s="1"/>
  <c r="F7" s="1"/>
  <c r="J5"/>
  <c r="I6" s="1"/>
  <c r="H7" s="1"/>
  <c r="C6"/>
  <c r="B7" s="1"/>
  <c r="F6"/>
  <c r="E7" s="1"/>
  <c r="D8" s="1"/>
  <c r="E5"/>
  <c r="D6" s="1"/>
  <c r="C7" s="1"/>
  <c r="B8" s="1"/>
  <c r="I5"/>
  <c r="H6" s="1"/>
  <c r="G7" s="1"/>
  <c r="F8" s="1"/>
  <c r="E9" s="1"/>
  <c r="D22" i="5"/>
  <c r="C23" s="1"/>
  <c r="B24" s="1"/>
  <c r="G23"/>
  <c r="F24" s="1"/>
  <c r="E25" s="1"/>
  <c r="F7"/>
  <c r="C7"/>
  <c r="E22"/>
  <c r="D23" s="1"/>
  <c r="C24" s="1"/>
  <c r="B25" s="1"/>
  <c r="C22"/>
  <c r="B23" s="1"/>
  <c r="D24" s="1"/>
  <c r="C25" s="1"/>
  <c r="B26" s="1"/>
  <c r="H23"/>
  <c r="G24" s="1"/>
  <c r="F25" s="1"/>
  <c r="E26" s="1"/>
  <c r="L23"/>
  <c r="G22"/>
  <c r="F23" s="1"/>
  <c r="E24" s="1"/>
  <c r="D25" s="1"/>
  <c r="C26" s="1"/>
  <c r="I23"/>
  <c r="N23"/>
  <c r="M24" s="1"/>
  <c r="P23"/>
  <c r="L24"/>
  <c r="K23"/>
  <c r="O23"/>
  <c r="N24" s="1"/>
  <c r="D4" i="3"/>
  <c r="C5" s="1"/>
  <c r="F4"/>
  <c r="E5" s="1"/>
  <c r="E4"/>
  <c r="D5" s="1"/>
  <c r="B5"/>
  <c r="H6" i="1"/>
  <c r="H15"/>
  <c r="H7"/>
  <c r="D15"/>
  <c r="D14"/>
  <c r="D13"/>
  <c r="D12"/>
  <c r="D11"/>
  <c r="D10"/>
  <c r="D9"/>
  <c r="D8"/>
  <c r="D7"/>
  <c r="G15"/>
  <c r="G13"/>
  <c r="G11"/>
  <c r="G9"/>
  <c r="G7"/>
  <c r="E14"/>
  <c r="H14" s="1"/>
  <c r="E13"/>
  <c r="H13" s="1"/>
  <c r="E12"/>
  <c r="H12" s="1"/>
  <c r="E11"/>
  <c r="H11" s="1"/>
  <c r="E10"/>
  <c r="H10" s="1"/>
  <c r="E9"/>
  <c r="H9" s="1"/>
  <c r="E8"/>
  <c r="H8" s="1"/>
  <c r="G6"/>
  <c r="G16" s="1"/>
  <c r="G14"/>
  <c r="G12"/>
  <c r="G10"/>
  <c r="G8"/>
  <c r="A18" i="9" l="1"/>
  <c r="H8" i="5"/>
  <c r="I8"/>
  <c r="D8"/>
  <c r="C9" s="1"/>
  <c r="H7"/>
  <c r="G8" s="1"/>
  <c r="D7"/>
  <c r="C8" s="1"/>
  <c r="G7"/>
  <c r="F8" s="1"/>
  <c r="E9" s="1"/>
  <c r="E8"/>
  <c r="B8"/>
  <c r="F14" i="9"/>
  <c r="A19" s="1"/>
  <c r="D4" i="8"/>
  <c r="H4"/>
  <c r="L4"/>
  <c r="P4"/>
  <c r="T4"/>
  <c r="X4"/>
  <c r="C4"/>
  <c r="G4"/>
  <c r="K4"/>
  <c r="O4"/>
  <c r="S4"/>
  <c r="R5" s="1"/>
  <c r="W4"/>
  <c r="AA4"/>
  <c r="AB4"/>
  <c r="F4"/>
  <c r="J4"/>
  <c r="N4"/>
  <c r="R4"/>
  <c r="V4"/>
  <c r="U5" s="1"/>
  <c r="Z4"/>
  <c r="E4"/>
  <c r="I4"/>
  <c r="M4"/>
  <c r="L5" s="1"/>
  <c r="Q4"/>
  <c r="U4"/>
  <c r="Y4"/>
  <c r="AC4"/>
  <c r="AB5" s="1"/>
  <c r="B7" i="4"/>
  <c r="D8" s="1"/>
  <c r="C7"/>
  <c r="D7"/>
  <c r="C8" s="1"/>
  <c r="E8" i="6"/>
  <c r="D9" s="1"/>
  <c r="D7"/>
  <c r="C8" s="1"/>
  <c r="B9" s="1"/>
  <c r="D10" s="1"/>
  <c r="C11" s="1"/>
  <c r="C9"/>
  <c r="B10" s="1"/>
  <c r="G8"/>
  <c r="F9" s="1"/>
  <c r="M25" i="5"/>
  <c r="L25"/>
  <c r="D27"/>
  <c r="D26"/>
  <c r="C27" s="1"/>
  <c r="J24"/>
  <c r="I25" s="1"/>
  <c r="O24"/>
  <c r="N25" s="1"/>
  <c r="H24"/>
  <c r="G25" s="1"/>
  <c r="F26" s="1"/>
  <c r="E27" s="1"/>
  <c r="K24"/>
  <c r="J25" s="1"/>
  <c r="I24"/>
  <c r="H25" s="1"/>
  <c r="G26" s="1"/>
  <c r="F27" s="1"/>
  <c r="E28" s="1"/>
  <c r="B27"/>
  <c r="B6" i="3"/>
  <c r="D6"/>
  <c r="C6"/>
  <c r="H16" i="1"/>
  <c r="G18" i="9" l="1" a="1"/>
  <c r="G18" s="1"/>
  <c r="G9" i="5"/>
  <c r="D9"/>
  <c r="H9"/>
  <c r="B9"/>
  <c r="B10" s="1"/>
  <c r="F9"/>
  <c r="T5" i="8"/>
  <c r="D5"/>
  <c r="Z5"/>
  <c r="C5"/>
  <c r="J5"/>
  <c r="X5"/>
  <c r="P5"/>
  <c r="H5"/>
  <c r="Y5"/>
  <c r="Q5"/>
  <c r="I5"/>
  <c r="AA5"/>
  <c r="Z6" s="1"/>
  <c r="M5"/>
  <c r="E5"/>
  <c r="AC5"/>
  <c r="V5"/>
  <c r="U6" s="1"/>
  <c r="N5"/>
  <c r="F5"/>
  <c r="W5"/>
  <c r="O5"/>
  <c r="N6" s="1"/>
  <c r="G5"/>
  <c r="S5"/>
  <c r="K5"/>
  <c r="Q6"/>
  <c r="B9" i="4"/>
  <c r="B8"/>
  <c r="C9" s="1"/>
  <c r="B10" s="1"/>
  <c r="E10" i="6"/>
  <c r="D11" s="1"/>
  <c r="C12" s="1"/>
  <c r="C10"/>
  <c r="B11" s="1"/>
  <c r="B12" s="1"/>
  <c r="M26" i="5"/>
  <c r="L27" s="1"/>
  <c r="H26"/>
  <c r="G27" s="1"/>
  <c r="F28" s="1"/>
  <c r="L26"/>
  <c r="K27" s="1"/>
  <c r="D28"/>
  <c r="B28"/>
  <c r="D29" s="1"/>
  <c r="C30" s="1"/>
  <c r="C28"/>
  <c r="B29" s="1"/>
  <c r="K25"/>
  <c r="J26" s="1"/>
  <c r="I27" s="1"/>
  <c r="I26"/>
  <c r="H27" s="1"/>
  <c r="G28" s="1"/>
  <c r="F29" s="1"/>
  <c r="E30" s="1"/>
  <c r="K26"/>
  <c r="J27" s="1"/>
  <c r="B7" i="3"/>
  <c r="C7"/>
  <c r="B8" s="1"/>
  <c r="G19" i="9" l="1"/>
  <c r="G20" s="1"/>
  <c r="D10" i="5"/>
  <c r="C11" s="1"/>
  <c r="C10"/>
  <c r="B11" s="1"/>
  <c r="E10"/>
  <c r="D11" s="1"/>
  <c r="F10"/>
  <c r="E11" s="1"/>
  <c r="G10"/>
  <c r="F11" s="1"/>
  <c r="S6" i="8"/>
  <c r="G6"/>
  <c r="AA6"/>
  <c r="C6"/>
  <c r="T7" s="1"/>
  <c r="J6"/>
  <c r="F6"/>
  <c r="Y6"/>
  <c r="K6"/>
  <c r="J7" s="1"/>
  <c r="T6"/>
  <c r="M6"/>
  <c r="L6"/>
  <c r="E6"/>
  <c r="D7" s="1"/>
  <c r="X6"/>
  <c r="I6"/>
  <c r="D6"/>
  <c r="P6"/>
  <c r="O7" s="1"/>
  <c r="W6"/>
  <c r="R6"/>
  <c r="V6"/>
  <c r="AB6"/>
  <c r="AA7" s="1"/>
  <c r="H6"/>
  <c r="O6"/>
  <c r="B13" i="6"/>
  <c r="I28" i="5"/>
  <c r="H29" s="1"/>
  <c r="G30" s="1"/>
  <c r="H28"/>
  <c r="G29" s="1"/>
  <c r="F30" s="1"/>
  <c r="C29"/>
  <c r="B30" s="1"/>
  <c r="B31" s="1"/>
  <c r="J28"/>
  <c r="I29" s="1"/>
  <c r="E29"/>
  <c r="D30" s="1"/>
  <c r="C31" s="1"/>
  <c r="K28"/>
  <c r="J29" s="1"/>
  <c r="N7" i="8" l="1"/>
  <c r="Y7"/>
  <c r="E12" i="5"/>
  <c r="B12"/>
  <c r="C13" s="1"/>
  <c r="C12"/>
  <c r="D12"/>
  <c r="I7" i="8"/>
  <c r="E7"/>
  <c r="X7"/>
  <c r="R7"/>
  <c r="P7"/>
  <c r="L7"/>
  <c r="Z7"/>
  <c r="H7"/>
  <c r="F7"/>
  <c r="S7"/>
  <c r="M7"/>
  <c r="G7"/>
  <c r="Q7"/>
  <c r="U7"/>
  <c r="W7"/>
  <c r="V7"/>
  <c r="C7"/>
  <c r="K7"/>
  <c r="F31" i="5"/>
  <c r="E32" s="1"/>
  <c r="I30"/>
  <c r="D31"/>
  <c r="C32" s="1"/>
  <c r="H30"/>
  <c r="G31" s="1"/>
  <c r="F32" s="1"/>
  <c r="E31"/>
  <c r="D32" s="1"/>
  <c r="B32"/>
  <c r="B13" l="1"/>
  <c r="B14" s="1"/>
  <c r="D13"/>
  <c r="C14" s="1"/>
  <c r="B15" s="1"/>
  <c r="V8" i="8"/>
  <c r="S8"/>
  <c r="J8"/>
  <c r="H8"/>
  <c r="Q8"/>
  <c r="U8"/>
  <c r="W8"/>
  <c r="I8"/>
  <c r="L8"/>
  <c r="T8"/>
  <c r="N8"/>
  <c r="G8"/>
  <c r="X8"/>
  <c r="Z8"/>
  <c r="M8"/>
  <c r="P8"/>
  <c r="F8"/>
  <c r="O8"/>
  <c r="C8"/>
  <c r="M9" s="1"/>
  <c r="Y8"/>
  <c r="K8"/>
  <c r="D8"/>
  <c r="R8"/>
  <c r="E8"/>
  <c r="E33" i="5"/>
  <c r="H31"/>
  <c r="G32" s="1"/>
  <c r="F33" s="1"/>
  <c r="C33"/>
  <c r="B33"/>
  <c r="D33"/>
  <c r="Q9" i="8" l="1"/>
  <c r="V9"/>
  <c r="X9"/>
  <c r="Y9"/>
  <c r="W9"/>
  <c r="C9"/>
  <c r="H9"/>
  <c r="K9"/>
  <c r="F9"/>
  <c r="N9"/>
  <c r="S9"/>
  <c r="L9"/>
  <c r="R9"/>
  <c r="I9"/>
  <c r="H10" s="1"/>
  <c r="D9"/>
  <c r="P9"/>
  <c r="O9"/>
  <c r="J9"/>
  <c r="I10" s="1"/>
  <c r="G9"/>
  <c r="T9"/>
  <c r="U9"/>
  <c r="E9"/>
  <c r="D10" s="1"/>
  <c r="E34" i="5"/>
  <c r="C34"/>
  <c r="B35" s="1"/>
  <c r="B34"/>
  <c r="D34"/>
  <c r="C35" s="1"/>
  <c r="B36" s="1"/>
  <c r="M10" i="8" l="1"/>
  <c r="K10"/>
  <c r="N10"/>
  <c r="E10"/>
  <c r="W10"/>
  <c r="S10"/>
  <c r="X10"/>
  <c r="T10"/>
  <c r="U10"/>
  <c r="G10"/>
  <c r="V10"/>
  <c r="Q10"/>
  <c r="J10"/>
  <c r="L10"/>
  <c r="C10"/>
  <c r="F10"/>
  <c r="P10"/>
  <c r="R10"/>
  <c r="O10"/>
  <c r="D35" i="5"/>
  <c r="C36" s="1"/>
  <c r="B37" s="1"/>
  <c r="L11" i="8" l="1"/>
  <c r="M11"/>
  <c r="J11"/>
  <c r="D11"/>
  <c r="H11"/>
  <c r="G11"/>
  <c r="R11"/>
  <c r="K11"/>
  <c r="I11"/>
  <c r="V11"/>
  <c r="U11"/>
  <c r="Q11"/>
  <c r="T11"/>
  <c r="P11"/>
  <c r="O11"/>
  <c r="W11"/>
  <c r="S11"/>
  <c r="C11"/>
  <c r="I12" s="1"/>
  <c r="E11"/>
  <c r="F11"/>
  <c r="N11"/>
  <c r="G12" l="1"/>
  <c r="C12"/>
  <c r="Q12"/>
  <c r="M12"/>
  <c r="E12"/>
  <c r="R12"/>
  <c r="S12"/>
  <c r="H12"/>
  <c r="F12"/>
  <c r="T12"/>
  <c r="S13" s="1"/>
  <c r="N12"/>
  <c r="D12"/>
  <c r="V12"/>
  <c r="P12"/>
  <c r="K12"/>
  <c r="L12"/>
  <c r="J12"/>
  <c r="O12"/>
  <c r="U12"/>
  <c r="Q13" l="1"/>
  <c r="K13"/>
  <c r="T13"/>
  <c r="F13"/>
  <c r="C13"/>
  <c r="R14" s="1"/>
  <c r="U13"/>
  <c r="M13"/>
  <c r="R13"/>
  <c r="P13"/>
  <c r="O14" s="1"/>
  <c r="I13"/>
  <c r="H13"/>
  <c r="O13"/>
  <c r="L13"/>
  <c r="K14" s="1"/>
  <c r="N13"/>
  <c r="J13"/>
  <c r="D13"/>
  <c r="G13"/>
  <c r="F14" s="1"/>
  <c r="E13"/>
  <c r="Q14" l="1"/>
  <c r="S14"/>
  <c r="G14"/>
  <c r="H14"/>
  <c r="M14"/>
  <c r="P14"/>
  <c r="C14"/>
  <c r="J15" s="1"/>
  <c r="N14"/>
  <c r="T14"/>
  <c r="E14"/>
  <c r="L14"/>
  <c r="J14"/>
  <c r="D14"/>
  <c r="I14"/>
  <c r="E15" l="1"/>
  <c r="K15"/>
  <c r="G15"/>
  <c r="D15"/>
  <c r="F15"/>
  <c r="L15"/>
  <c r="P15"/>
  <c r="R15"/>
  <c r="Q15"/>
  <c r="S15"/>
  <c r="O15"/>
  <c r="M15"/>
  <c r="N15"/>
  <c r="H15"/>
  <c r="C15"/>
  <c r="I15"/>
  <c r="L16" l="1"/>
  <c r="E16"/>
  <c r="C16"/>
  <c r="D16"/>
  <c r="K16"/>
  <c r="H16"/>
  <c r="J16"/>
  <c r="I17" s="1"/>
  <c r="I16"/>
  <c r="G16"/>
  <c r="N16"/>
  <c r="R16"/>
  <c r="Q17" s="1"/>
  <c r="M16"/>
  <c r="Q16"/>
  <c r="F16"/>
  <c r="E17" s="1"/>
  <c r="O16"/>
  <c r="N17" s="1"/>
  <c r="P16"/>
  <c r="O17" l="1"/>
  <c r="K17"/>
  <c r="L17"/>
  <c r="F17"/>
  <c r="M17"/>
  <c r="D17"/>
  <c r="G17"/>
  <c r="H17"/>
  <c r="P17"/>
  <c r="C17"/>
  <c r="J17"/>
  <c r="J18" l="1"/>
  <c r="C18"/>
  <c r="I19" s="1"/>
  <c r="K18"/>
  <c r="H18"/>
  <c r="D18"/>
  <c r="P18"/>
  <c r="N18"/>
  <c r="G18"/>
  <c r="O18"/>
  <c r="I18"/>
  <c r="H19" s="1"/>
  <c r="F18"/>
  <c r="E18"/>
  <c r="M18"/>
  <c r="L18"/>
  <c r="K19" l="1"/>
  <c r="O19"/>
  <c r="C19"/>
  <c r="J19"/>
  <c r="E19"/>
  <c r="N19"/>
  <c r="M20" s="1"/>
  <c r="G19"/>
  <c r="D19"/>
  <c r="C20" s="1"/>
  <c r="F19"/>
  <c r="E20" s="1"/>
  <c r="M19"/>
  <c r="L20" s="1"/>
  <c r="L19"/>
  <c r="H20"/>
  <c r="G20"/>
  <c r="N20"/>
  <c r="F20"/>
  <c r="J20"/>
  <c r="I20"/>
  <c r="K20"/>
  <c r="D20" l="1"/>
  <c r="C21" s="1"/>
  <c r="L21"/>
  <c r="F21"/>
  <c r="J21"/>
  <c r="D21"/>
  <c r="K21"/>
  <c r="I21"/>
  <c r="E21"/>
  <c r="G21"/>
  <c r="H21"/>
  <c r="M21"/>
  <c r="I22" l="1"/>
  <c r="E22"/>
  <c r="L22"/>
  <c r="G22"/>
  <c r="J22"/>
  <c r="H22"/>
  <c r="C22"/>
  <c r="F22"/>
  <c r="K22"/>
  <c r="D22"/>
  <c r="E23" l="1"/>
  <c r="C23"/>
  <c r="F23"/>
  <c r="G23"/>
  <c r="I23"/>
  <c r="K23"/>
  <c r="D23"/>
  <c r="H23"/>
  <c r="J23"/>
  <c r="F24" l="1"/>
  <c r="G24"/>
  <c r="I24"/>
  <c r="E24"/>
  <c r="H24"/>
  <c r="D24"/>
  <c r="C24"/>
  <c r="J24"/>
  <c r="I25" l="1"/>
  <c r="H25"/>
  <c r="E25"/>
  <c r="D25"/>
  <c r="F25"/>
  <c r="G25"/>
  <c r="C25"/>
  <c r="D26" l="1"/>
  <c r="F26"/>
  <c r="H26"/>
  <c r="G26"/>
  <c r="E26"/>
  <c r="C26"/>
  <c r="F27" s="1"/>
  <c r="E27" l="1"/>
  <c r="C27"/>
  <c r="E28" s="1"/>
  <c r="G27"/>
  <c r="D27"/>
  <c r="F28" l="1"/>
  <c r="C28"/>
  <c r="D29" s="1"/>
  <c r="D28"/>
  <c r="C29" l="1"/>
  <c r="C30" s="1"/>
  <c r="E29"/>
  <c r="D30" l="1"/>
  <c r="C31" s="1"/>
</calcChain>
</file>

<file path=xl/sharedStrings.xml><?xml version="1.0" encoding="utf-8"?>
<sst xmlns="http://schemas.openxmlformats.org/spreadsheetml/2006/main" count="70" uniqueCount="53">
  <si>
    <t>Coupon</t>
  </si>
  <si>
    <t>Time</t>
  </si>
  <si>
    <t>Flows</t>
  </si>
  <si>
    <t>Total</t>
  </si>
  <si>
    <t>Year</t>
  </si>
  <si>
    <t>Yieldj</t>
  </si>
  <si>
    <r>
      <t>Yield</t>
    </r>
    <r>
      <rPr>
        <vertAlign val="subscript"/>
        <sz val="11"/>
        <color theme="1"/>
        <rFont val="Calibri"/>
        <family val="2"/>
      </rPr>
      <t>i</t>
    </r>
  </si>
  <si>
    <t>i</t>
  </si>
  <si>
    <t>j</t>
  </si>
  <si>
    <t>Calculate the forward rate.</t>
  </si>
  <si>
    <t>Spot</t>
  </si>
  <si>
    <t>Forward</t>
  </si>
  <si>
    <t>Maturity</t>
  </si>
  <si>
    <t>Spot Rate</t>
  </si>
  <si>
    <t>Forward Implied</t>
  </si>
  <si>
    <t>Short Rates</t>
  </si>
  <si>
    <t>(Single Period)</t>
  </si>
  <si>
    <t>Cash flow</t>
  </si>
  <si>
    <t>Discount</t>
  </si>
  <si>
    <t>Cash Flow</t>
  </si>
  <si>
    <t xml:space="preserve">PV </t>
  </si>
  <si>
    <t>Period</t>
  </si>
  <si>
    <t>Run PV</t>
  </si>
  <si>
    <t>Week of</t>
  </si>
  <si>
    <t>DATE</t>
  </si>
  <si>
    <t>Table 3:1 Fixed vs. Floating Discount Factors</t>
  </si>
  <si>
    <r>
      <t>Yield</t>
    </r>
    <r>
      <rPr>
        <b/>
        <vertAlign val="subscript"/>
        <sz val="11"/>
        <color theme="1"/>
        <rFont val="Times New Roman"/>
        <family val="1"/>
      </rPr>
      <t>C</t>
    </r>
  </si>
  <si>
    <r>
      <t>Yield</t>
    </r>
    <r>
      <rPr>
        <b/>
        <vertAlign val="subscript"/>
        <sz val="11"/>
        <color theme="1"/>
        <rFont val="Times New Roman"/>
        <family val="1"/>
      </rPr>
      <t>S</t>
    </r>
  </si>
  <si>
    <r>
      <t>Discount</t>
    </r>
    <r>
      <rPr>
        <b/>
        <vertAlign val="subscript"/>
        <sz val="11"/>
        <color theme="1"/>
        <rFont val="Times New Roman"/>
        <family val="1"/>
      </rPr>
      <t>C</t>
    </r>
  </si>
  <si>
    <r>
      <t>Discount</t>
    </r>
    <r>
      <rPr>
        <b/>
        <vertAlign val="subscript"/>
        <sz val="11"/>
        <color theme="1"/>
        <rFont val="Times New Roman"/>
        <family val="1"/>
      </rPr>
      <t>S</t>
    </r>
  </si>
  <si>
    <r>
      <t>Present Value</t>
    </r>
    <r>
      <rPr>
        <b/>
        <vertAlign val="subscript"/>
        <sz val="11"/>
        <color theme="1"/>
        <rFont val="Times New Roman"/>
        <family val="1"/>
      </rPr>
      <t>C</t>
    </r>
  </si>
  <si>
    <r>
      <t>Present Value</t>
    </r>
    <r>
      <rPr>
        <b/>
        <vertAlign val="subscript"/>
        <sz val="11"/>
        <color theme="1"/>
        <rFont val="Times New Roman"/>
        <family val="1"/>
      </rPr>
      <t>S</t>
    </r>
  </si>
  <si>
    <t>Table 3.2: Estimating Short Rates</t>
  </si>
  <si>
    <t xml:space="preserve">Table 3.3: Running PV </t>
  </si>
  <si>
    <t xml:space="preserve">Table 3.4:  The Treasury Curve on 6 Jan 2010 </t>
  </si>
  <si>
    <t xml:space="preserve">Table 3.5:  Implied Short Rates on 6 Jan 2010 </t>
  </si>
  <si>
    <t xml:space="preserve">Year </t>
  </si>
  <si>
    <t xml:space="preserve">Spot </t>
  </si>
  <si>
    <t>Bond A</t>
  </si>
  <si>
    <t>Bond B</t>
  </si>
  <si>
    <t>Sums</t>
  </si>
  <si>
    <t>A</t>
  </si>
  <si>
    <t>x</t>
  </si>
  <si>
    <t>b</t>
  </si>
  <si>
    <r>
      <t>PV</t>
    </r>
    <r>
      <rPr>
        <vertAlign val="subscript"/>
        <sz val="11"/>
        <color theme="1"/>
        <rFont val="Times New Roman"/>
        <family val="1"/>
      </rPr>
      <t>A</t>
    </r>
  </si>
  <si>
    <r>
      <t>PV'</t>
    </r>
    <r>
      <rPr>
        <vertAlign val="subscript"/>
        <sz val="11"/>
        <color theme="1"/>
        <rFont val="Times New Roman"/>
        <family val="1"/>
      </rPr>
      <t>A</t>
    </r>
  </si>
  <si>
    <r>
      <t>PV</t>
    </r>
    <r>
      <rPr>
        <vertAlign val="subscript"/>
        <sz val="11"/>
        <color theme="1"/>
        <rFont val="Times New Roman"/>
        <family val="1"/>
      </rPr>
      <t>B</t>
    </r>
  </si>
  <si>
    <r>
      <t>PV'</t>
    </r>
    <r>
      <rPr>
        <vertAlign val="subscript"/>
        <sz val="11"/>
        <color theme="1"/>
        <rFont val="Times New Roman"/>
        <family val="1"/>
      </rPr>
      <t>B</t>
    </r>
  </si>
  <si>
    <r>
      <t>D</t>
    </r>
    <r>
      <rPr>
        <b/>
        <vertAlign val="subscript"/>
        <sz val="11"/>
        <color theme="1"/>
        <rFont val="Times New Roman"/>
        <family val="1"/>
      </rPr>
      <t>Q</t>
    </r>
  </si>
  <si>
    <r>
      <t>x = A</t>
    </r>
    <r>
      <rPr>
        <b/>
        <vertAlign val="superscript"/>
        <sz val="11"/>
        <color theme="1"/>
        <rFont val="Times New Roman"/>
        <family val="1"/>
      </rPr>
      <t xml:space="preserve">-1 </t>
    </r>
    <r>
      <rPr>
        <b/>
        <sz val="11"/>
        <color theme="1"/>
        <rFont val="Times New Roman"/>
        <family val="1"/>
      </rPr>
      <t>b</t>
    </r>
  </si>
  <si>
    <t xml:space="preserve">Parallel Shift </t>
  </si>
  <si>
    <r>
      <t>x</t>
    </r>
    <r>
      <rPr>
        <b/>
        <vertAlign val="subscript"/>
        <sz val="11"/>
        <color theme="1"/>
        <rFont val="Times New Roman"/>
        <family val="1"/>
      </rPr>
      <t>A</t>
    </r>
  </si>
  <si>
    <r>
      <t>x</t>
    </r>
    <r>
      <rPr>
        <b/>
        <vertAlign val="subscript"/>
        <sz val="11"/>
        <color theme="1"/>
        <rFont val="Times New Roman"/>
        <family val="1"/>
      </rPr>
      <t>b</t>
    </r>
  </si>
</sst>
</file>

<file path=xl/styles.xml><?xml version="1.0" encoding="utf-8"?>
<styleSheet xmlns="http://schemas.openxmlformats.org/spreadsheetml/2006/main">
  <numFmts count="9">
    <numFmt numFmtId="43" formatCode="_(* #,##0.00_);_(* \(#,##0.00\);_(* &quot;-&quot;??_);_(@_)"/>
    <numFmt numFmtId="164" formatCode="0.0000"/>
    <numFmt numFmtId="165" formatCode="0.000"/>
    <numFmt numFmtId="166" formatCode="_(* #,##0.0000_);_(* \(#,##0.0000\);_(* &quot;-&quot;??_);_(@_)"/>
    <numFmt numFmtId="167" formatCode="0.0%"/>
    <numFmt numFmtId="168" formatCode="#,##0.0000_);\(#,##0.0000\)"/>
    <numFmt numFmtId="169" formatCode="_(* #,##0.000_);_(* \(#,##0.000\);_(* &quot;-&quot;??_);_(@_)"/>
    <numFmt numFmtId="170" formatCode="mm/dd/yy"/>
    <numFmt numFmtId="171" formatCode="&quot;$&quot;#,##0.00"/>
  </numFmts>
  <fonts count="22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sz val="11"/>
      <color theme="0"/>
      <name val="Calibri"/>
      <family val="2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vertAlign val="subscript"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name val="Calibri"/>
      <family val="2"/>
    </font>
    <font>
      <b/>
      <sz val="11"/>
      <name val="Times New Roman"/>
      <family val="1"/>
    </font>
    <font>
      <b/>
      <i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0"/>
      <name val="Times New Roman"/>
      <family val="1"/>
    </font>
    <font>
      <sz val="10"/>
      <color indexed="9"/>
      <name val="Times New Roman"/>
      <family val="1"/>
    </font>
    <font>
      <sz val="10"/>
      <name val="Times New Roman"/>
      <family val="1"/>
    </font>
    <font>
      <sz val="10"/>
      <color theme="0"/>
      <name val="Times New Roman"/>
      <family val="1"/>
    </font>
    <font>
      <vertAlign val="subscript"/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0" xfId="0" applyAlignment="1">
      <alignment horizontal="center"/>
    </xf>
    <xf numFmtId="0" fontId="0" fillId="0" borderId="7" xfId="0" applyBorder="1"/>
    <xf numFmtId="0" fontId="0" fillId="0" borderId="0" xfId="0" applyBorder="1"/>
    <xf numFmtId="165" fontId="2" fillId="0" borderId="11" xfId="0" applyNumberFormat="1" applyFont="1" applyBorder="1"/>
    <xf numFmtId="165" fontId="0" fillId="0" borderId="0" xfId="0" applyNumberFormat="1" applyFont="1" applyBorder="1"/>
    <xf numFmtId="0" fontId="4" fillId="3" borderId="0" xfId="0" applyFont="1" applyFill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2" fontId="0" fillId="7" borderId="0" xfId="0" applyNumberForma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170" fontId="4" fillId="0" borderId="0" xfId="0" applyNumberFormat="1" applyFont="1" applyFill="1" applyAlignment="1">
      <alignment horizontal="center"/>
    </xf>
    <xf numFmtId="15" fontId="4" fillId="0" borderId="0" xfId="0" applyNumberFormat="1" applyFont="1" applyFill="1" applyAlignment="1">
      <alignment horizontal="center"/>
    </xf>
    <xf numFmtId="14" fontId="6" fillId="9" borderId="0" xfId="0" applyNumberFormat="1" applyFont="1" applyFill="1" applyAlignment="1">
      <alignment horizontal="center"/>
    </xf>
    <xf numFmtId="0" fontId="6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165" fontId="0" fillId="0" borderId="0" xfId="0" applyNumberFormat="1"/>
    <xf numFmtId="0" fontId="4" fillId="11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7" fillId="0" borderId="0" xfId="0" applyFont="1"/>
    <xf numFmtId="0" fontId="8" fillId="12" borderId="1" xfId="0" applyFont="1" applyFill="1" applyBorder="1" applyAlignment="1">
      <alignment horizontal="center"/>
    </xf>
    <xf numFmtId="0" fontId="8" fillId="12" borderId="5" xfId="0" applyFont="1" applyFill="1" applyBorder="1" applyAlignment="1">
      <alignment horizontal="center"/>
    </xf>
    <xf numFmtId="0" fontId="8" fillId="12" borderId="2" xfId="0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164" fontId="10" fillId="0" borderId="0" xfId="0" applyNumberFormat="1" applyFont="1" applyBorder="1" applyAlignment="1">
      <alignment horizontal="center"/>
    </xf>
    <xf numFmtId="3" fontId="10" fillId="0" borderId="0" xfId="0" applyNumberFormat="1" applyFont="1" applyBorder="1" applyAlignment="1">
      <alignment horizontal="center"/>
    </xf>
    <xf numFmtId="4" fontId="10" fillId="0" borderId="0" xfId="0" applyNumberFormat="1" applyFont="1" applyBorder="1" applyAlignment="1">
      <alignment horizontal="center"/>
    </xf>
    <xf numFmtId="4" fontId="10" fillId="0" borderId="7" xfId="0" applyNumberFormat="1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164" fontId="10" fillId="0" borderId="14" xfId="0" applyNumberFormat="1" applyFont="1" applyBorder="1" applyAlignment="1">
      <alignment horizontal="center"/>
    </xf>
    <xf numFmtId="3" fontId="10" fillId="0" borderId="14" xfId="0" applyNumberFormat="1" applyFont="1" applyBorder="1" applyAlignment="1">
      <alignment horizontal="center"/>
    </xf>
    <xf numFmtId="4" fontId="10" fillId="0" borderId="14" xfId="0" applyNumberFormat="1" applyFont="1" applyBorder="1" applyAlignment="1">
      <alignment horizontal="center"/>
    </xf>
    <xf numFmtId="4" fontId="10" fillId="0" borderId="16" xfId="0" applyNumberFormat="1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4" fontId="8" fillId="0" borderId="8" xfId="0" applyNumberFormat="1" applyFont="1" applyBorder="1" applyAlignment="1">
      <alignment horizontal="center"/>
    </xf>
    <xf numFmtId="4" fontId="8" fillId="0" borderId="4" xfId="0" applyNumberFormat="1" applyFont="1" applyBorder="1" applyAlignment="1">
      <alignment horizontal="center"/>
    </xf>
    <xf numFmtId="0" fontId="11" fillId="12" borderId="0" xfId="0" applyFont="1" applyFill="1"/>
    <xf numFmtId="0" fontId="2" fillId="13" borderId="0" xfId="0" applyFont="1" applyFill="1"/>
    <xf numFmtId="0" fontId="2" fillId="0" borderId="0" xfId="0" applyFont="1"/>
    <xf numFmtId="0" fontId="11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2" fillId="0" borderId="12" xfId="0" applyFont="1" applyBorder="1"/>
    <xf numFmtId="0" fontId="2" fillId="12" borderId="13" xfId="0" applyFont="1" applyFill="1" applyBorder="1" applyAlignment="1">
      <alignment horizontal="center"/>
    </xf>
    <xf numFmtId="0" fontId="2" fillId="12" borderId="14" xfId="0" applyFont="1" applyFill="1" applyBorder="1" applyAlignment="1">
      <alignment horizontal="center"/>
    </xf>
    <xf numFmtId="0" fontId="12" fillId="12" borderId="0" xfId="0" applyFont="1" applyFill="1"/>
    <xf numFmtId="0" fontId="12" fillId="12" borderId="0" xfId="0" applyFont="1" applyFill="1" applyAlignment="1">
      <alignment horizontal="center"/>
    </xf>
    <xf numFmtId="0" fontId="8" fillId="13" borderId="0" xfId="0" applyFont="1" applyFill="1"/>
    <xf numFmtId="0" fontId="10" fillId="13" borderId="0" xfId="0" applyFont="1" applyFill="1" applyAlignment="1">
      <alignment horizontal="center"/>
    </xf>
    <xf numFmtId="0" fontId="8" fillId="0" borderId="0" xfId="0" applyFont="1"/>
    <xf numFmtId="165" fontId="13" fillId="4" borderId="0" xfId="0" applyNumberFormat="1" applyFont="1" applyFill="1" applyAlignment="1">
      <alignment horizontal="center"/>
    </xf>
    <xf numFmtId="165" fontId="10" fillId="0" borderId="0" xfId="0" applyNumberFormat="1" applyFont="1" applyFill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/>
    <xf numFmtId="0" fontId="10" fillId="0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16" fillId="3" borderId="0" xfId="0" applyFont="1" applyFill="1" applyAlignment="1">
      <alignment horizontal="center"/>
    </xf>
    <xf numFmtId="166" fontId="10" fillId="4" borderId="0" xfId="1" applyNumberFormat="1" applyFont="1" applyFill="1" applyAlignment="1">
      <alignment horizontal="center"/>
    </xf>
    <xf numFmtId="166" fontId="10" fillId="5" borderId="0" xfId="1" applyNumberFormat="1" applyFont="1" applyFill="1" applyAlignment="1">
      <alignment horizontal="center"/>
    </xf>
    <xf numFmtId="168" fontId="10" fillId="5" borderId="0" xfId="0" applyNumberFormat="1" applyFont="1" applyFill="1" applyAlignment="1">
      <alignment horizontal="center"/>
    </xf>
    <xf numFmtId="0" fontId="17" fillId="4" borderId="0" xfId="0" applyFont="1" applyFill="1" applyAlignment="1">
      <alignment horizontal="center"/>
    </xf>
    <xf numFmtId="0" fontId="10" fillId="4" borderId="0" xfId="0" applyFont="1" applyFill="1" applyAlignment="1">
      <alignment horizontal="center"/>
    </xf>
    <xf numFmtId="166" fontId="10" fillId="0" borderId="0" xfId="1" applyNumberFormat="1" applyFont="1" applyAlignment="1">
      <alignment horizontal="center"/>
    </xf>
    <xf numFmtId="167" fontId="10" fillId="0" borderId="0" xfId="2" applyNumberFormat="1" applyFont="1" applyAlignment="1">
      <alignment horizontal="center"/>
    </xf>
    <xf numFmtId="15" fontId="10" fillId="0" borderId="0" xfId="0" applyNumberFormat="1" applyFont="1" applyAlignment="1">
      <alignment horizontal="center"/>
    </xf>
    <xf numFmtId="169" fontId="10" fillId="0" borderId="0" xfId="1" applyNumberFormat="1" applyFont="1" applyAlignment="1">
      <alignment horizontal="center"/>
    </xf>
    <xf numFmtId="168" fontId="10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0" fontId="18" fillId="6" borderId="0" xfId="0" applyFont="1" applyFill="1" applyAlignment="1">
      <alignment horizontal="center"/>
    </xf>
    <xf numFmtId="0" fontId="16" fillId="6" borderId="0" xfId="0" applyFont="1" applyFill="1" applyAlignment="1">
      <alignment horizontal="center"/>
    </xf>
    <xf numFmtId="164" fontId="10" fillId="4" borderId="0" xfId="0" applyNumberFormat="1" applyFont="1" applyFill="1" applyAlignment="1">
      <alignment horizontal="center"/>
    </xf>
    <xf numFmtId="164" fontId="10" fillId="5" borderId="0" xfId="0" applyNumberFormat="1" applyFont="1" applyFill="1" applyAlignment="1">
      <alignment horizontal="center"/>
    </xf>
    <xf numFmtId="164" fontId="10" fillId="0" borderId="0" xfId="0" applyNumberFormat="1" applyFont="1" applyAlignment="1">
      <alignment horizontal="center"/>
    </xf>
    <xf numFmtId="0" fontId="17" fillId="12" borderId="0" xfId="0" applyFont="1" applyFill="1" applyAlignment="1">
      <alignment horizontal="center"/>
    </xf>
    <xf numFmtId="0" fontId="14" fillId="0" borderId="0" xfId="0" applyFont="1"/>
    <xf numFmtId="165" fontId="10" fillId="12" borderId="0" xfId="1" applyNumberFormat="1" applyFont="1" applyFill="1" applyAlignment="1">
      <alignment horizontal="center"/>
    </xf>
    <xf numFmtId="165" fontId="10" fillId="13" borderId="0" xfId="1" applyNumberFormat="1" applyFont="1" applyFill="1" applyAlignment="1">
      <alignment horizontal="center"/>
    </xf>
    <xf numFmtId="165" fontId="10" fillId="13" borderId="0" xfId="0" applyNumberFormat="1" applyFont="1" applyFill="1" applyAlignment="1">
      <alignment horizontal="center"/>
    </xf>
    <xf numFmtId="165" fontId="17" fillId="12" borderId="0" xfId="0" applyNumberFormat="1" applyFont="1" applyFill="1" applyAlignment="1">
      <alignment horizontal="center"/>
    </xf>
    <xf numFmtId="165" fontId="10" fillId="12" borderId="0" xfId="0" applyNumberFormat="1" applyFont="1" applyFill="1" applyAlignment="1">
      <alignment horizontal="center"/>
    </xf>
    <xf numFmtId="165" fontId="10" fillId="0" borderId="0" xfId="1" applyNumberFormat="1" applyFont="1" applyAlignment="1">
      <alignment horizontal="center"/>
    </xf>
    <xf numFmtId="165" fontId="10" fillId="0" borderId="0" xfId="0" applyNumberFormat="1" applyFont="1" applyAlignment="1">
      <alignment horizontal="center"/>
    </xf>
    <xf numFmtId="165" fontId="10" fillId="0" borderId="0" xfId="2" applyNumberFormat="1" applyFont="1" applyAlignment="1">
      <alignment horizontal="center"/>
    </xf>
    <xf numFmtId="0" fontId="10" fillId="12" borderId="14" xfId="0" applyFont="1" applyFill="1" applyBorder="1" applyAlignment="1">
      <alignment horizontal="center"/>
    </xf>
    <xf numFmtId="2" fontId="10" fillId="0" borderId="0" xfId="0" applyNumberFormat="1" applyFont="1" applyAlignment="1">
      <alignment horizontal="center"/>
    </xf>
    <xf numFmtId="0" fontId="10" fillId="0" borderId="14" xfId="0" applyFont="1" applyBorder="1" applyAlignment="1">
      <alignment horizontal="center"/>
    </xf>
    <xf numFmtId="165" fontId="10" fillId="0" borderId="14" xfId="0" applyNumberFormat="1" applyFont="1" applyBorder="1" applyAlignment="1">
      <alignment horizontal="center"/>
    </xf>
    <xf numFmtId="2" fontId="10" fillId="0" borderId="14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2" fontId="8" fillId="0" borderId="0" xfId="0" applyNumberFormat="1" applyFont="1" applyAlignment="1">
      <alignment horizontal="center"/>
    </xf>
    <xf numFmtId="165" fontId="8" fillId="0" borderId="0" xfId="0" applyNumberFormat="1" applyFont="1" applyAlignment="1">
      <alignment horizontal="center"/>
    </xf>
    <xf numFmtId="2" fontId="13" fillId="0" borderId="0" xfId="0" applyNumberFormat="1" applyFont="1" applyAlignment="1">
      <alignment horizontal="center"/>
    </xf>
    <xf numFmtId="0" fontId="10" fillId="12" borderId="0" xfId="0" applyFont="1" applyFill="1" applyAlignment="1">
      <alignment horizontal="center"/>
    </xf>
    <xf numFmtId="171" fontId="10" fillId="12" borderId="0" xfId="0" applyNumberFormat="1" applyFont="1" applyFill="1" applyAlignment="1">
      <alignment horizontal="center"/>
    </xf>
    <xf numFmtId="2" fontId="10" fillId="12" borderId="0" xfId="0" applyNumberFormat="1" applyFont="1" applyFill="1" applyAlignment="1">
      <alignment horizontal="center"/>
    </xf>
    <xf numFmtId="0" fontId="14" fillId="0" borderId="0" xfId="0" applyFont="1" applyAlignment="1">
      <alignment horizontal="right"/>
    </xf>
    <xf numFmtId="0" fontId="14" fillId="0" borderId="0" xfId="0" applyFont="1" applyAlignment="1">
      <alignment horizontal="center"/>
    </xf>
    <xf numFmtId="171" fontId="21" fillId="0" borderId="0" xfId="0" applyNumberFormat="1" applyFont="1" applyAlignment="1">
      <alignment horizontal="center"/>
    </xf>
    <xf numFmtId="3" fontId="8" fillId="0" borderId="0" xfId="0" applyNumberFormat="1" applyFont="1" applyAlignment="1">
      <alignment horizontal="center"/>
    </xf>
    <xf numFmtId="0" fontId="8" fillId="12" borderId="0" xfId="0" applyFont="1" applyFill="1"/>
    <xf numFmtId="0" fontId="2" fillId="0" borderId="9" xfId="0" applyFont="1" applyBorder="1" applyAlignment="1"/>
    <xf numFmtId="0" fontId="2" fillId="0" borderId="10" xfId="0" applyFont="1" applyBorder="1" applyAlignme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Graphics!$C$1:$AF$1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Graphics!$C$2:$AF$2</c:f>
              <c:numCache>
                <c:formatCode>0.000</c:formatCode>
                <c:ptCount val="30"/>
                <c:pt idx="0">
                  <c:v>3.26</c:v>
                </c:pt>
                <c:pt idx="1">
                  <c:v>3.12</c:v>
                </c:pt>
                <c:pt idx="2">
                  <c:v>3.13</c:v>
                </c:pt>
                <c:pt idx="3">
                  <c:v>3.31</c:v>
                </c:pt>
                <c:pt idx="4">
                  <c:v>3.49</c:v>
                </c:pt>
                <c:pt idx="5">
                  <c:v>3.6150000000000002</c:v>
                </c:pt>
                <c:pt idx="6">
                  <c:v>3.74</c:v>
                </c:pt>
                <c:pt idx="7">
                  <c:v>3.86</c:v>
                </c:pt>
                <c:pt idx="8">
                  <c:v>3.98</c:v>
                </c:pt>
                <c:pt idx="9">
                  <c:v>4.0999999999999996</c:v>
                </c:pt>
                <c:pt idx="10">
                  <c:v>4.1469999999999994</c:v>
                </c:pt>
                <c:pt idx="11">
                  <c:v>4.194</c:v>
                </c:pt>
                <c:pt idx="12">
                  <c:v>4.2409999999999997</c:v>
                </c:pt>
                <c:pt idx="13">
                  <c:v>4.2880000000000003</c:v>
                </c:pt>
                <c:pt idx="14">
                  <c:v>4.335</c:v>
                </c:pt>
                <c:pt idx="15">
                  <c:v>4.3819999999999997</c:v>
                </c:pt>
                <c:pt idx="16">
                  <c:v>4.4290000000000003</c:v>
                </c:pt>
                <c:pt idx="17">
                  <c:v>4.476</c:v>
                </c:pt>
                <c:pt idx="18">
                  <c:v>4.5230000000000006</c:v>
                </c:pt>
                <c:pt idx="19">
                  <c:v>4.57</c:v>
                </c:pt>
                <c:pt idx="20">
                  <c:v>4.5259999999999998</c:v>
                </c:pt>
                <c:pt idx="21">
                  <c:v>4.5220000000000002</c:v>
                </c:pt>
                <c:pt idx="22">
                  <c:v>4.5180000000000007</c:v>
                </c:pt>
                <c:pt idx="23">
                  <c:v>4.5140000000000002</c:v>
                </c:pt>
                <c:pt idx="24">
                  <c:v>4.51</c:v>
                </c:pt>
                <c:pt idx="25">
                  <c:v>4.5060000000000002</c:v>
                </c:pt>
                <c:pt idx="26">
                  <c:v>4.5020000000000007</c:v>
                </c:pt>
                <c:pt idx="27">
                  <c:v>4.4980000000000002</c:v>
                </c:pt>
                <c:pt idx="28">
                  <c:v>4.4939999999999998</c:v>
                </c:pt>
                <c:pt idx="29">
                  <c:v>4.53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xVal>
            <c:numRef>
              <c:f>Graphics!$C$1:$AF$1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Graphics!$C$3:$AF$3</c:f>
              <c:numCache>
                <c:formatCode>0.000</c:formatCode>
                <c:ptCount val="30"/>
                <c:pt idx="0">
                  <c:v>2.9800000000000004</c:v>
                </c:pt>
                <c:pt idx="1">
                  <c:v>3.0650000000000004</c:v>
                </c:pt>
                <c:pt idx="2">
                  <c:v>3.3266666666666667</c:v>
                </c:pt>
                <c:pt idx="3">
                  <c:v>3.5475000000000008</c:v>
                </c:pt>
                <c:pt idx="4">
                  <c:v>3.6859999999999999</c:v>
                </c:pt>
                <c:pt idx="5">
                  <c:v>3.8200000000000003</c:v>
                </c:pt>
                <c:pt idx="6">
                  <c:v>3.9457142857142853</c:v>
                </c:pt>
                <c:pt idx="7">
                  <c:v>4.07</c:v>
                </c:pt>
                <c:pt idx="8">
                  <c:v>4.1933333333333334</c:v>
                </c:pt>
                <c:pt idx="9">
                  <c:v>4.2356999999999996</c:v>
                </c:pt>
                <c:pt idx="10">
                  <c:v>4.2789090909090914</c:v>
                </c:pt>
                <c:pt idx="11">
                  <c:v>4.3227500000000001</c:v>
                </c:pt>
                <c:pt idx="12">
                  <c:v>4.3670769230769233</c:v>
                </c:pt>
                <c:pt idx="13">
                  <c:v>4.4117857142857151</c:v>
                </c:pt>
                <c:pt idx="14">
                  <c:v>4.4567999999999994</c:v>
                </c:pt>
                <c:pt idx="15">
                  <c:v>4.5020625000000001</c:v>
                </c:pt>
                <c:pt idx="16">
                  <c:v>4.5475294117647058</c:v>
                </c:pt>
                <c:pt idx="17">
                  <c:v>4.5931666666666668</c:v>
                </c:pt>
                <c:pt idx="18">
                  <c:v>4.6389473684210527</c:v>
                </c:pt>
                <c:pt idx="19">
                  <c:v>4.5892999999999997</c:v>
                </c:pt>
                <c:pt idx="20">
                  <c:v>4.5820952380952384</c:v>
                </c:pt>
                <c:pt idx="21">
                  <c:v>4.5751818181818189</c:v>
                </c:pt>
                <c:pt idx="22">
                  <c:v>4.5685217391304347</c:v>
                </c:pt>
                <c:pt idx="23">
                  <c:v>4.5620833333333328</c:v>
                </c:pt>
                <c:pt idx="24">
                  <c:v>4.5558399999999999</c:v>
                </c:pt>
                <c:pt idx="25">
                  <c:v>4.5497692307692308</c:v>
                </c:pt>
                <c:pt idx="26">
                  <c:v>4.5438518518518514</c:v>
                </c:pt>
                <c:pt idx="27">
                  <c:v>4.5380714285714285</c:v>
                </c:pt>
                <c:pt idx="28">
                  <c:v>4.5737931034482759</c:v>
                </c:pt>
              </c:numCache>
            </c:numRef>
          </c:yVal>
          <c:smooth val="1"/>
        </c:ser>
        <c:axId val="129256832"/>
        <c:axId val="129258624"/>
      </c:scatterChart>
      <c:valAx>
        <c:axId val="129256832"/>
        <c:scaling>
          <c:orientation val="minMax"/>
        </c:scaling>
        <c:axPos val="b"/>
        <c:numFmt formatCode="General" sourceLinked="1"/>
        <c:tickLblPos val="nextTo"/>
        <c:crossAx val="129258624"/>
        <c:crosses val="autoZero"/>
        <c:crossBetween val="midCat"/>
      </c:valAx>
      <c:valAx>
        <c:axId val="129258624"/>
        <c:scaling>
          <c:orientation val="minMax"/>
        </c:scaling>
        <c:axPos val="l"/>
        <c:majorGridlines/>
        <c:numFmt formatCode="0.000" sourceLinked="1"/>
        <c:tickLblPos val="nextTo"/>
        <c:crossAx val="129256832"/>
        <c:crosses val="autoZero"/>
        <c:crossBetween val="midCat"/>
      </c:valAx>
    </c:plotArea>
    <c:plotVisOnly val="1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137583</xdr:colOff>
      <xdr:row>25</xdr:row>
      <xdr:rowOff>5291</xdr:rowOff>
    </xdr:from>
    <xdr:to>
      <xdr:col>25</xdr:col>
      <xdr:colOff>423333</xdr:colOff>
      <xdr:row>54</xdr:row>
      <xdr:rowOff>116416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57149</xdr:colOff>
      <xdr:row>18</xdr:row>
      <xdr:rowOff>161926</xdr:rowOff>
    </xdr:from>
    <xdr:to>
      <xdr:col>5</xdr:col>
      <xdr:colOff>219074</xdr:colOff>
      <xdr:row>20</xdr:row>
      <xdr:rowOff>28577</xdr:rowOff>
    </xdr:to>
    <xdr:cxnSp macro="">
      <xdr:nvCxnSpPr>
        <xdr:cNvPr id="3" name="Straight Arrow Connector 2"/>
        <xdr:cNvCxnSpPr/>
      </xdr:nvCxnSpPr>
      <xdr:spPr>
        <a:xfrm rot="5400000" flipH="1" flipV="1">
          <a:off x="3476624" y="3724276"/>
          <a:ext cx="276226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H16"/>
  <sheetViews>
    <sheetView showGridLines="0" workbookViewId="0">
      <selection activeCell="K34" sqref="K34"/>
    </sheetView>
  </sheetViews>
  <sheetFormatPr defaultRowHeight="15"/>
  <cols>
    <col min="4" max="4" width="13.5703125" bestFit="1" customWidth="1"/>
    <col min="5" max="5" width="9.42578125" bestFit="1" customWidth="1"/>
    <col min="6" max="6" width="9.140625" bestFit="1" customWidth="1"/>
    <col min="7" max="8" width="14.28515625" bestFit="1" customWidth="1"/>
    <col min="11" max="11" width="13.5703125" bestFit="1" customWidth="1"/>
  </cols>
  <sheetData>
    <row r="1" spans="1:8" ht="15.75" thickBot="1">
      <c r="A1" s="3" t="s">
        <v>0</v>
      </c>
      <c r="B1" s="4">
        <v>2000000</v>
      </c>
    </row>
    <row r="3" spans="1:8" ht="15.75">
      <c r="A3" s="28" t="s">
        <v>25</v>
      </c>
    </row>
    <row r="4" spans="1:8" ht="15.75" thickBot="1"/>
    <row r="5" spans="1:8" ht="17.25">
      <c r="A5" s="29" t="s">
        <v>1</v>
      </c>
      <c r="B5" s="30" t="s">
        <v>26</v>
      </c>
      <c r="C5" s="30" t="s">
        <v>27</v>
      </c>
      <c r="D5" s="30" t="s">
        <v>28</v>
      </c>
      <c r="E5" s="30" t="s">
        <v>29</v>
      </c>
      <c r="F5" s="30" t="s">
        <v>2</v>
      </c>
      <c r="G5" s="30" t="s">
        <v>30</v>
      </c>
      <c r="H5" s="31" t="s">
        <v>31</v>
      </c>
    </row>
    <row r="6" spans="1:8">
      <c r="A6" s="32">
        <v>1</v>
      </c>
      <c r="B6" s="33">
        <v>0.04</v>
      </c>
      <c r="C6" s="33">
        <v>3.09E-2</v>
      </c>
      <c r="D6" s="33">
        <f>(1+B6)^-A6</f>
        <v>0.96153846153846145</v>
      </c>
      <c r="E6" s="33">
        <f>(1+C6)^-A6</f>
        <v>0.97002619070714913</v>
      </c>
      <c r="F6" s="34">
        <f>$B$1</f>
        <v>2000000</v>
      </c>
      <c r="G6" s="35">
        <f>F6*D6</f>
        <v>1923076.923076923</v>
      </c>
      <c r="H6" s="36">
        <f>F6*E6</f>
        <v>1940052.3814142982</v>
      </c>
    </row>
    <row r="7" spans="1:8">
      <c r="A7" s="32">
        <f>A6+1</f>
        <v>2</v>
      </c>
      <c r="B7" s="33">
        <v>0.04</v>
      </c>
      <c r="C7" s="33">
        <v>3.4500000000000003E-2</v>
      </c>
      <c r="D7" s="33">
        <f t="shared" ref="D7:D15" si="0">(1+B7)^-A7</f>
        <v>0.92455621301775137</v>
      </c>
      <c r="E7" s="33">
        <f t="shared" ref="E7:E15" si="1">(1+C7)^-A7</f>
        <v>0.93441329707498266</v>
      </c>
      <c r="F7" s="34">
        <f t="shared" ref="F7:F15" si="2">$B$1</f>
        <v>2000000</v>
      </c>
      <c r="G7" s="35">
        <f t="shared" ref="G7:G15" si="3">F7*D7</f>
        <v>1849112.4260355027</v>
      </c>
      <c r="H7" s="36">
        <f t="shared" ref="H7:H15" si="4">F7*E7</f>
        <v>1868826.5941499653</v>
      </c>
    </row>
    <row r="8" spans="1:8">
      <c r="A8" s="32">
        <f t="shared" ref="A8:A15" si="5">A7+1</f>
        <v>3</v>
      </c>
      <c r="B8" s="33">
        <v>0.04</v>
      </c>
      <c r="C8" s="33">
        <v>3.6200000000000003E-2</v>
      </c>
      <c r="D8" s="33">
        <f t="shared" si="0"/>
        <v>0.88899635867091487</v>
      </c>
      <c r="E8" s="33">
        <f t="shared" si="1"/>
        <v>0.89881277426358575</v>
      </c>
      <c r="F8" s="34">
        <f t="shared" si="2"/>
        <v>2000000</v>
      </c>
      <c r="G8" s="35">
        <f t="shared" si="3"/>
        <v>1777992.7173418298</v>
      </c>
      <c r="H8" s="36">
        <f t="shared" si="4"/>
        <v>1797625.5485271716</v>
      </c>
    </row>
    <row r="9" spans="1:8">
      <c r="A9" s="32">
        <f t="shared" si="5"/>
        <v>4</v>
      </c>
      <c r="B9" s="33">
        <v>0.04</v>
      </c>
      <c r="C9" s="33">
        <v>3.7400000000000003E-2</v>
      </c>
      <c r="D9" s="33">
        <f t="shared" si="0"/>
        <v>0.85480419102972571</v>
      </c>
      <c r="E9" s="33">
        <f t="shared" si="1"/>
        <v>0.86340592650164161</v>
      </c>
      <c r="F9" s="34">
        <f t="shared" si="2"/>
        <v>2000000</v>
      </c>
      <c r="G9" s="35">
        <f t="shared" si="3"/>
        <v>1709608.3820594514</v>
      </c>
      <c r="H9" s="36">
        <f t="shared" si="4"/>
        <v>1726811.8530032833</v>
      </c>
    </row>
    <row r="10" spans="1:8">
      <c r="A10" s="32">
        <f t="shared" si="5"/>
        <v>5</v>
      </c>
      <c r="B10" s="33">
        <v>0.04</v>
      </c>
      <c r="C10" s="33">
        <v>3.8600000000000002E-2</v>
      </c>
      <c r="D10" s="33">
        <f t="shared" si="0"/>
        <v>0.82192710675935154</v>
      </c>
      <c r="E10" s="33">
        <f t="shared" si="1"/>
        <v>0.82748172038805101</v>
      </c>
      <c r="F10" s="34">
        <f t="shared" si="2"/>
        <v>2000000</v>
      </c>
      <c r="G10" s="35">
        <f t="shared" si="3"/>
        <v>1643854.2135187031</v>
      </c>
      <c r="H10" s="36">
        <f t="shared" si="4"/>
        <v>1654963.440776102</v>
      </c>
    </row>
    <row r="11" spans="1:8">
      <c r="A11" s="32">
        <f t="shared" si="5"/>
        <v>6</v>
      </c>
      <c r="B11" s="33">
        <v>0.04</v>
      </c>
      <c r="C11" s="33">
        <v>3.9650000000000005E-2</v>
      </c>
      <c r="D11" s="33">
        <f t="shared" si="0"/>
        <v>0.79031452573014571</v>
      </c>
      <c r="E11" s="33">
        <f t="shared" si="1"/>
        <v>0.79191223452661164</v>
      </c>
      <c r="F11" s="34">
        <f t="shared" si="2"/>
        <v>2000000</v>
      </c>
      <c r="G11" s="35">
        <f t="shared" si="3"/>
        <v>1580629.0514602915</v>
      </c>
      <c r="H11" s="36">
        <f t="shared" si="4"/>
        <v>1583824.4690532233</v>
      </c>
    </row>
    <row r="12" spans="1:8">
      <c r="A12" s="32">
        <f t="shared" si="5"/>
        <v>7</v>
      </c>
      <c r="B12" s="33">
        <v>0.04</v>
      </c>
      <c r="C12" s="33">
        <v>4.07E-2</v>
      </c>
      <c r="D12" s="33">
        <f t="shared" si="0"/>
        <v>0.75991781320206331</v>
      </c>
      <c r="E12" s="33">
        <f t="shared" si="1"/>
        <v>0.75634705125591528</v>
      </c>
      <c r="F12" s="34">
        <f t="shared" si="2"/>
        <v>2000000</v>
      </c>
      <c r="G12" s="35">
        <f t="shared" si="3"/>
        <v>1519835.6264041266</v>
      </c>
      <c r="H12" s="36">
        <f t="shared" si="4"/>
        <v>1512694.1025118306</v>
      </c>
    </row>
    <row r="13" spans="1:8">
      <c r="A13" s="32">
        <f t="shared" si="5"/>
        <v>8</v>
      </c>
      <c r="B13" s="33">
        <v>0.04</v>
      </c>
      <c r="C13" s="33">
        <v>4.136666666666667E-2</v>
      </c>
      <c r="D13" s="33">
        <f t="shared" si="0"/>
        <v>0.73069020500198378</v>
      </c>
      <c r="E13" s="33">
        <f t="shared" si="1"/>
        <v>0.72305381670108659</v>
      </c>
      <c r="F13" s="34">
        <f t="shared" si="2"/>
        <v>2000000</v>
      </c>
      <c r="G13" s="35">
        <f t="shared" si="3"/>
        <v>1461380.4100039676</v>
      </c>
      <c r="H13" s="36">
        <f t="shared" si="4"/>
        <v>1446107.6334021732</v>
      </c>
    </row>
    <row r="14" spans="1:8">
      <c r="A14" s="32">
        <f t="shared" si="5"/>
        <v>9</v>
      </c>
      <c r="B14" s="33">
        <v>0.04</v>
      </c>
      <c r="C14" s="33">
        <v>4.2033333333333332E-2</v>
      </c>
      <c r="D14" s="33">
        <f t="shared" si="0"/>
        <v>0.70258673557883045</v>
      </c>
      <c r="E14" s="33">
        <f t="shared" si="1"/>
        <v>0.69034390449520266</v>
      </c>
      <c r="F14" s="34">
        <f t="shared" si="2"/>
        <v>2000000</v>
      </c>
      <c r="G14" s="35">
        <f t="shared" si="3"/>
        <v>1405173.4711576609</v>
      </c>
      <c r="H14" s="36">
        <f t="shared" si="4"/>
        <v>1380687.8089904054</v>
      </c>
    </row>
    <row r="15" spans="1:8">
      <c r="A15" s="37">
        <f t="shared" si="5"/>
        <v>10</v>
      </c>
      <c r="B15" s="38">
        <v>0.04</v>
      </c>
      <c r="C15" s="38">
        <v>4.2700000000000002E-2</v>
      </c>
      <c r="D15" s="38">
        <f t="shared" si="0"/>
        <v>0.67556416882579851</v>
      </c>
      <c r="E15" s="38">
        <f t="shared" si="1"/>
        <v>0.65827333700311541</v>
      </c>
      <c r="F15" s="39">
        <f t="shared" si="2"/>
        <v>2000000</v>
      </c>
      <c r="G15" s="40">
        <f t="shared" si="3"/>
        <v>1351128.3376515971</v>
      </c>
      <c r="H15" s="41">
        <f t="shared" si="4"/>
        <v>1316546.6740062309</v>
      </c>
    </row>
    <row r="16" spans="1:8" ht="15.75" thickBot="1">
      <c r="A16" s="42" t="s">
        <v>3</v>
      </c>
      <c r="B16" s="43"/>
      <c r="C16" s="43"/>
      <c r="D16" s="43"/>
      <c r="E16" s="43"/>
      <c r="F16" s="43"/>
      <c r="G16" s="44">
        <f>SUM(G6:G15)</f>
        <v>16221791.558710055</v>
      </c>
      <c r="H16" s="45">
        <f>SUM(H6:H15)</f>
        <v>16228140.505834684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:C12"/>
  <sheetViews>
    <sheetView workbookViewId="0">
      <selection activeCell="D32" sqref="D32"/>
    </sheetView>
  </sheetViews>
  <sheetFormatPr defaultRowHeight="15"/>
  <cols>
    <col min="2" max="2" width="17.7109375" bestFit="1" customWidth="1"/>
    <col min="3" max="3" width="12" bestFit="1" customWidth="1"/>
  </cols>
  <sheetData>
    <row r="1" spans="1:3" ht="18">
      <c r="A1" s="1" t="s">
        <v>6</v>
      </c>
      <c r="B1" s="2">
        <v>0.03</v>
      </c>
    </row>
    <row r="2" spans="1:3">
      <c r="A2" s="5" t="s">
        <v>5</v>
      </c>
      <c r="B2" s="7">
        <v>0.08</v>
      </c>
    </row>
    <row r="3" spans="1:3">
      <c r="A3" s="5"/>
      <c r="B3" s="7"/>
    </row>
    <row r="4" spans="1:3">
      <c r="A4" s="5" t="s">
        <v>7</v>
      </c>
      <c r="B4" s="7">
        <v>1</v>
      </c>
    </row>
    <row r="5" spans="1:3" ht="15.75" thickBot="1">
      <c r="A5" s="3" t="s">
        <v>8</v>
      </c>
      <c r="B5" s="4">
        <v>10</v>
      </c>
    </row>
    <row r="6" spans="1:3" ht="15.75" thickBot="1"/>
    <row r="7" spans="1:3" ht="15.75" thickBot="1">
      <c r="A7" s="109" t="s">
        <v>9</v>
      </c>
      <c r="B7" s="110"/>
      <c r="C7" s="9">
        <f>(((1+B2)^B5)/((1+B1)^B4))^(1/(B5-B4))-1</f>
        <v>8.5703274816169905E-2</v>
      </c>
    </row>
    <row r="10" spans="1:3">
      <c r="C10" s="10"/>
    </row>
    <row r="11" spans="1:3">
      <c r="C11" s="8"/>
    </row>
    <row r="12" spans="1:3">
      <c r="C12" s="8"/>
    </row>
  </sheetData>
  <mergeCells count="1">
    <mergeCell ref="A7:B7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/>
  <dimension ref="A1:N12"/>
  <sheetViews>
    <sheetView showGridLines="0" workbookViewId="0">
      <selection activeCell="T10" sqref="T10"/>
    </sheetView>
  </sheetViews>
  <sheetFormatPr defaultRowHeight="15"/>
  <cols>
    <col min="1" max="1" width="9.140625" style="62"/>
    <col min="2" max="2" width="9.7109375" style="61" bestFit="1" customWidth="1"/>
    <col min="3" max="8" width="9.140625" style="61"/>
    <col min="9" max="16384" width="9.140625" style="62"/>
  </cols>
  <sheetData>
    <row r="1" spans="1:14">
      <c r="A1" s="108" t="s">
        <v>4</v>
      </c>
      <c r="B1" s="55">
        <v>1</v>
      </c>
      <c r="C1" s="55">
        <v>2</v>
      </c>
      <c r="D1" s="55">
        <v>3</v>
      </c>
      <c r="E1" s="55">
        <v>4</v>
      </c>
      <c r="F1" s="55">
        <v>5</v>
      </c>
      <c r="G1" s="55">
        <v>6</v>
      </c>
      <c r="H1" s="55">
        <v>7</v>
      </c>
    </row>
    <row r="2" spans="1:14">
      <c r="A2" s="56" t="s">
        <v>10</v>
      </c>
      <c r="B2" s="57">
        <v>5.5709999999999997</v>
      </c>
      <c r="C2" s="57">
        <v>6.0880000000000001</v>
      </c>
      <c r="D2" s="57">
        <v>6.5549999999999997</v>
      </c>
      <c r="E2" s="57">
        <v>6.9779999999999998</v>
      </c>
      <c r="F2" s="57">
        <v>7.3609999999999998</v>
      </c>
      <c r="G2" s="57">
        <v>7.7069999999999999</v>
      </c>
      <c r="H2" s="57">
        <v>8.02</v>
      </c>
    </row>
    <row r="3" spans="1:14">
      <c r="A3" s="58" t="s">
        <v>11</v>
      </c>
      <c r="B3" s="60">
        <f t="shared" ref="B3:B8" si="0">(C2*$C$1-B2*$B$1)/($C$1-$B$1)</f>
        <v>6.6050000000000004</v>
      </c>
      <c r="C3" s="60">
        <f>(D2*$D$1-B2*$B$1)/($D$1-$B$1)</f>
        <v>7.0469999999999997</v>
      </c>
      <c r="D3" s="60">
        <f>(E2*$E$1-B2*$B$1)/($E$1-$B$1)</f>
        <v>7.4470000000000001</v>
      </c>
      <c r="E3" s="60">
        <f>(F2*$F$1-B2*$B$1)/($F$1-$B$1)</f>
        <v>7.8085000000000004</v>
      </c>
      <c r="F3" s="60">
        <f>(G2*$G$1-B2*$B$1)/($G$1-$B$1)</f>
        <v>8.1341999999999999</v>
      </c>
      <c r="G3" s="60">
        <f>(H2*$H$1-B2*$B$1)/($H$1-$B$1)</f>
        <v>8.4281666666666677</v>
      </c>
    </row>
    <row r="4" spans="1:14">
      <c r="B4" s="60">
        <f t="shared" si="0"/>
        <v>7.488999999999999</v>
      </c>
      <c r="C4" s="60">
        <f t="shared" ref="C4:C7" si="1">(D3*$D$1-B3*$B$1)/($D$1-$B$1)</f>
        <v>7.8680000000000003</v>
      </c>
      <c r="D4" s="60">
        <f t="shared" ref="D4:D6" si="2">(E3*$E$1-B3*$B$1)/($E$1-$B$1)</f>
        <v>8.2096666666666671</v>
      </c>
      <c r="E4" s="60">
        <f t="shared" ref="E4:E5" si="3">(F3*$F$1-B3*$B$1)/($F$1-$B$1)</f>
        <v>8.5165000000000006</v>
      </c>
      <c r="F4" s="60">
        <f>(G3*$G$1-B3*$B$1)/($G$1-$B$1)</f>
        <v>8.7927999999999997</v>
      </c>
      <c r="G4" s="60"/>
    </row>
    <row r="5" spans="1:14">
      <c r="B5" s="60">
        <f t="shared" si="0"/>
        <v>8.2470000000000017</v>
      </c>
      <c r="C5" s="60">
        <f t="shared" si="1"/>
        <v>8.57</v>
      </c>
      <c r="D5" s="60">
        <f t="shared" si="2"/>
        <v>8.8590000000000018</v>
      </c>
      <c r="E5" s="60">
        <f t="shared" si="3"/>
        <v>9.1187500000000004</v>
      </c>
      <c r="F5" s="63"/>
      <c r="G5" s="63"/>
    </row>
    <row r="6" spans="1:14">
      <c r="B6" s="60">
        <f t="shared" si="0"/>
        <v>8.8929999999999989</v>
      </c>
      <c r="C6" s="60">
        <f t="shared" si="1"/>
        <v>9.1650000000000027</v>
      </c>
      <c r="D6" s="60">
        <f t="shared" si="2"/>
        <v>9.4093333333333344</v>
      </c>
      <c r="E6" s="63"/>
      <c r="F6" s="63"/>
      <c r="G6" s="63"/>
    </row>
    <row r="7" spans="1:14">
      <c r="B7" s="60">
        <f t="shared" si="0"/>
        <v>9.4370000000000065</v>
      </c>
      <c r="C7" s="60">
        <f t="shared" si="1"/>
        <v>9.6675000000000004</v>
      </c>
      <c r="D7" s="63"/>
      <c r="E7" s="63"/>
      <c r="F7" s="63"/>
      <c r="G7" s="63"/>
    </row>
    <row r="8" spans="1:14">
      <c r="B8" s="60">
        <f t="shared" si="0"/>
        <v>9.8979999999999944</v>
      </c>
      <c r="C8" s="63"/>
      <c r="D8" s="63"/>
      <c r="E8" s="63"/>
      <c r="F8" s="63"/>
      <c r="G8" s="63"/>
    </row>
    <row r="12" spans="1:14"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2"/>
      <c r="M12" s="61"/>
      <c r="N12" s="6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1"/>
  <dimension ref="A1:AF31"/>
  <sheetViews>
    <sheetView zoomScale="90" zoomScaleNormal="90" workbookViewId="0">
      <selection activeCell="H36" sqref="H36"/>
    </sheetView>
  </sheetViews>
  <sheetFormatPr defaultRowHeight="15"/>
  <cols>
    <col min="2" max="2" width="12.7109375" customWidth="1"/>
  </cols>
  <sheetData>
    <row r="1" spans="1:32">
      <c r="B1" s="26" t="s">
        <v>24</v>
      </c>
      <c r="C1" s="17">
        <v>1</v>
      </c>
      <c r="D1" s="17">
        <v>2</v>
      </c>
      <c r="E1" s="17">
        <v>3</v>
      </c>
      <c r="F1" s="11">
        <v>4</v>
      </c>
      <c r="G1" s="17">
        <v>5</v>
      </c>
      <c r="H1" s="11">
        <v>6</v>
      </c>
      <c r="I1" s="17">
        <v>7</v>
      </c>
      <c r="J1" s="11">
        <v>8</v>
      </c>
      <c r="K1" s="11">
        <v>9</v>
      </c>
      <c r="L1" s="17">
        <v>10</v>
      </c>
      <c r="M1" s="21">
        <v>11</v>
      </c>
      <c r="N1" s="21">
        <v>12</v>
      </c>
      <c r="O1" s="21">
        <v>13</v>
      </c>
      <c r="P1" s="21">
        <v>14</v>
      </c>
      <c r="Q1" s="21">
        <v>15</v>
      </c>
      <c r="R1" s="21">
        <v>16</v>
      </c>
      <c r="S1" s="21">
        <v>17</v>
      </c>
      <c r="T1" s="21">
        <v>18</v>
      </c>
      <c r="U1" s="21">
        <v>19</v>
      </c>
      <c r="V1" s="17">
        <v>20</v>
      </c>
      <c r="W1" s="22">
        <v>21</v>
      </c>
      <c r="X1" s="21">
        <v>22</v>
      </c>
      <c r="Y1" s="21">
        <v>23</v>
      </c>
      <c r="Z1" s="21">
        <v>24</v>
      </c>
      <c r="AA1" s="21">
        <v>25</v>
      </c>
      <c r="AB1" s="21">
        <v>26</v>
      </c>
      <c r="AC1" s="21">
        <v>27</v>
      </c>
      <c r="AD1" s="22">
        <v>28</v>
      </c>
      <c r="AE1" s="22">
        <v>29</v>
      </c>
      <c r="AF1" s="17">
        <v>30</v>
      </c>
    </row>
    <row r="2" spans="1:32">
      <c r="B2" s="23">
        <f>HLOOKUP("Week of",Yields!$A$1:$AE$49,$A$4)</f>
        <v>39417</v>
      </c>
      <c r="C2" s="12">
        <f>HLOOKUP(C1,Yields!$A$1:$AE$49,$A$4)</f>
        <v>3.26</v>
      </c>
      <c r="D2" s="12">
        <f>HLOOKUP(D1,Yields!$A$1:$AE$49,$A$4)</f>
        <v>3.12</v>
      </c>
      <c r="E2" s="12">
        <f>HLOOKUP(E1,Yields!$A$1:$AE$49,$A$4)</f>
        <v>3.13</v>
      </c>
      <c r="F2" s="12">
        <f>HLOOKUP(F1,Yields!$A$1:$AE$49,$A$4)</f>
        <v>3.31</v>
      </c>
      <c r="G2" s="12">
        <f>HLOOKUP(G1,Yields!$A$1:$AE$49,$A$4)</f>
        <v>3.49</v>
      </c>
      <c r="H2" s="12">
        <f>HLOOKUP(H1,Yields!$A$1:$AE$49,$A$4)</f>
        <v>3.6150000000000002</v>
      </c>
      <c r="I2" s="12">
        <f>HLOOKUP(I1,Yields!$A$1:$AE$49,$A$4)</f>
        <v>3.74</v>
      </c>
      <c r="J2" s="12">
        <f>HLOOKUP(J1,Yields!$A$1:$AE$49,$A$4)</f>
        <v>3.86</v>
      </c>
      <c r="K2" s="12">
        <f>HLOOKUP(K1,Yields!$A$1:$AE$49,$A$4)</f>
        <v>3.98</v>
      </c>
      <c r="L2" s="12">
        <f>HLOOKUP(L1,Yields!$A$1:$AE$49,$A$4)</f>
        <v>4.0999999999999996</v>
      </c>
      <c r="M2" s="12">
        <f>HLOOKUP(M1,Yields!$A$1:$AE$49,$A$4)</f>
        <v>4.1469999999999994</v>
      </c>
      <c r="N2" s="12">
        <f>HLOOKUP(N1,Yields!$A$1:$AE$49,$A$4)</f>
        <v>4.194</v>
      </c>
      <c r="O2" s="12">
        <f>HLOOKUP(O1,Yields!$A$1:$AE$49,$A$4)</f>
        <v>4.2409999999999997</v>
      </c>
      <c r="P2" s="12">
        <f>HLOOKUP(P1,Yields!$A$1:$AE$49,$A$4)</f>
        <v>4.2880000000000003</v>
      </c>
      <c r="Q2" s="12">
        <f>HLOOKUP(Q1,Yields!$A$1:$AE$49,$A$4)</f>
        <v>4.335</v>
      </c>
      <c r="R2" s="12">
        <f>HLOOKUP(R1,Yields!$A$1:$AE$49,$A$4)</f>
        <v>4.3819999999999997</v>
      </c>
      <c r="S2" s="12">
        <f>HLOOKUP(S1,Yields!$A$1:$AE$49,$A$4)</f>
        <v>4.4290000000000003</v>
      </c>
      <c r="T2" s="12">
        <f>HLOOKUP(T1,Yields!$A$1:$AE$49,$A$4)</f>
        <v>4.476</v>
      </c>
      <c r="U2" s="12">
        <f>HLOOKUP(U1,Yields!$A$1:$AE$49,$A$4)</f>
        <v>4.5230000000000006</v>
      </c>
      <c r="V2" s="12">
        <f>HLOOKUP(V1,Yields!$A$1:$AE$49,$A$4)</f>
        <v>4.57</v>
      </c>
      <c r="W2" s="12">
        <f>HLOOKUP(W1,Yields!$A$1:$AE$49,$A$4)</f>
        <v>4.5259999999999998</v>
      </c>
      <c r="X2" s="12">
        <f>HLOOKUP(X1,Yields!$A$1:$AE$49,$A$4)</f>
        <v>4.5220000000000002</v>
      </c>
      <c r="Y2" s="12">
        <f>HLOOKUP(Y1,Yields!$A$1:$AE$49,$A$4)</f>
        <v>4.5180000000000007</v>
      </c>
      <c r="Z2" s="12">
        <f>HLOOKUP(Z1,Yields!$A$1:$AE$49,$A$4)</f>
        <v>4.5140000000000002</v>
      </c>
      <c r="AA2" s="12">
        <f>HLOOKUP(AA1,Yields!$A$1:$AE$49,$A$4)</f>
        <v>4.51</v>
      </c>
      <c r="AB2" s="12">
        <f>HLOOKUP(AB1,Yields!$A$1:$AE$49,$A$4)</f>
        <v>4.5060000000000002</v>
      </c>
      <c r="AC2" s="12">
        <f>HLOOKUP(AC1,Yields!$A$1:$AE$49,$A$4)</f>
        <v>4.5020000000000007</v>
      </c>
      <c r="AD2" s="12">
        <f>HLOOKUP(AD1,Yields!$A$1:$AE$49,$A$4)</f>
        <v>4.4980000000000002</v>
      </c>
      <c r="AE2" s="12">
        <f>HLOOKUP(AE1,Yields!$A$1:$AE$49,$A$4)</f>
        <v>4.4939999999999998</v>
      </c>
      <c r="AF2" s="12">
        <f>HLOOKUP(AF1,Yields!$A$1:$AE$49,$A$4)</f>
        <v>4.53</v>
      </c>
    </row>
    <row r="3" spans="1:32">
      <c r="C3" s="24">
        <f t="shared" ref="C3:C31" si="0">(D$1*D2-$C$1*$C2)/(D$1-$C$1)</f>
        <v>2.9800000000000004</v>
      </c>
      <c r="D3" s="24">
        <f t="shared" ref="D3:AE3" si="1">(E$1*E2-$C$1*$C2)/(E$1-$C$1)</f>
        <v>3.0650000000000004</v>
      </c>
      <c r="E3" s="24">
        <f t="shared" si="1"/>
        <v>3.3266666666666667</v>
      </c>
      <c r="F3" s="24">
        <f t="shared" si="1"/>
        <v>3.5475000000000008</v>
      </c>
      <c r="G3" s="24">
        <f t="shared" si="1"/>
        <v>3.6859999999999999</v>
      </c>
      <c r="H3" s="24">
        <f t="shared" si="1"/>
        <v>3.8200000000000003</v>
      </c>
      <c r="I3" s="24">
        <f t="shared" si="1"/>
        <v>3.9457142857142853</v>
      </c>
      <c r="J3" s="24">
        <f t="shared" si="1"/>
        <v>4.07</v>
      </c>
      <c r="K3" s="24">
        <f t="shared" si="1"/>
        <v>4.1933333333333334</v>
      </c>
      <c r="L3" s="24">
        <f t="shared" si="1"/>
        <v>4.2356999999999996</v>
      </c>
      <c r="M3" s="24">
        <f t="shared" si="1"/>
        <v>4.2789090909090914</v>
      </c>
      <c r="N3" s="24">
        <f t="shared" si="1"/>
        <v>4.3227500000000001</v>
      </c>
      <c r="O3" s="24">
        <f t="shared" si="1"/>
        <v>4.3670769230769233</v>
      </c>
      <c r="P3" s="24">
        <f t="shared" si="1"/>
        <v>4.4117857142857151</v>
      </c>
      <c r="Q3" s="24">
        <f t="shared" si="1"/>
        <v>4.4567999999999994</v>
      </c>
      <c r="R3" s="24">
        <f t="shared" si="1"/>
        <v>4.5020625000000001</v>
      </c>
      <c r="S3" s="24">
        <f t="shared" si="1"/>
        <v>4.5475294117647058</v>
      </c>
      <c r="T3" s="24">
        <f t="shared" si="1"/>
        <v>4.5931666666666668</v>
      </c>
      <c r="U3" s="24">
        <f t="shared" si="1"/>
        <v>4.6389473684210527</v>
      </c>
      <c r="V3" s="24">
        <f t="shared" si="1"/>
        <v>4.5892999999999997</v>
      </c>
      <c r="W3" s="24">
        <f t="shared" si="1"/>
        <v>4.5820952380952384</v>
      </c>
      <c r="X3" s="24">
        <f t="shared" si="1"/>
        <v>4.5751818181818189</v>
      </c>
      <c r="Y3" s="24">
        <f t="shared" si="1"/>
        <v>4.5685217391304347</v>
      </c>
      <c r="Z3" s="24">
        <f t="shared" si="1"/>
        <v>4.5620833333333328</v>
      </c>
      <c r="AA3" s="24">
        <f t="shared" si="1"/>
        <v>4.5558399999999999</v>
      </c>
      <c r="AB3" s="24">
        <f t="shared" si="1"/>
        <v>4.5497692307692308</v>
      </c>
      <c r="AC3" s="24">
        <f t="shared" si="1"/>
        <v>4.5438518518518514</v>
      </c>
      <c r="AD3" s="24">
        <f t="shared" si="1"/>
        <v>4.5380714285714285</v>
      </c>
      <c r="AE3" s="24">
        <f t="shared" si="1"/>
        <v>4.5737931034482759</v>
      </c>
      <c r="AF3" s="24"/>
    </row>
    <row r="4" spans="1:32">
      <c r="A4" s="6">
        <v>24</v>
      </c>
      <c r="C4" s="24">
        <f t="shared" si="0"/>
        <v>3.1500000000000004</v>
      </c>
      <c r="D4" s="24">
        <f t="shared" ref="D4:AD4" si="2">(E$1*E3-$C$1*$C3)/(E$1-$C$1)</f>
        <v>3.5</v>
      </c>
      <c r="E4" s="24">
        <f t="shared" si="2"/>
        <v>3.7366666666666677</v>
      </c>
      <c r="F4" s="24">
        <f t="shared" si="2"/>
        <v>3.8624999999999998</v>
      </c>
      <c r="G4" s="24">
        <f t="shared" si="2"/>
        <v>3.9880000000000004</v>
      </c>
      <c r="H4" s="24">
        <f t="shared" si="2"/>
        <v>4.1066666666666665</v>
      </c>
      <c r="I4" s="24">
        <f t="shared" si="2"/>
        <v>4.225714285714286</v>
      </c>
      <c r="J4" s="24">
        <f t="shared" si="2"/>
        <v>4.3450000000000006</v>
      </c>
      <c r="K4" s="24">
        <f t="shared" si="2"/>
        <v>4.3752222222222219</v>
      </c>
      <c r="L4" s="24">
        <f t="shared" si="2"/>
        <v>4.4088000000000012</v>
      </c>
      <c r="M4" s="24">
        <f t="shared" si="2"/>
        <v>4.4448181818181816</v>
      </c>
      <c r="N4" s="24">
        <f t="shared" si="2"/>
        <v>4.4826666666666668</v>
      </c>
      <c r="O4" s="24">
        <f t="shared" si="2"/>
        <v>4.5219230769230778</v>
      </c>
      <c r="P4" s="24">
        <f t="shared" si="2"/>
        <v>4.5622857142857134</v>
      </c>
      <c r="Q4" s="24">
        <f t="shared" si="2"/>
        <v>4.603533333333333</v>
      </c>
      <c r="R4" s="24">
        <f t="shared" si="2"/>
        <v>4.6454999999999993</v>
      </c>
      <c r="S4" s="24">
        <f t="shared" si="2"/>
        <v>4.6880588235294116</v>
      </c>
      <c r="T4" s="24">
        <f t="shared" si="2"/>
        <v>4.7311111111111108</v>
      </c>
      <c r="U4" s="24">
        <f t="shared" si="2"/>
        <v>4.6739999999999995</v>
      </c>
      <c r="V4" s="24">
        <f t="shared" si="2"/>
        <v>4.6622000000000003</v>
      </c>
      <c r="W4" s="24">
        <f t="shared" si="2"/>
        <v>4.6511428571428572</v>
      </c>
      <c r="X4" s="24">
        <f t="shared" si="2"/>
        <v>4.6407272727272719</v>
      </c>
      <c r="Y4" s="24">
        <f t="shared" si="2"/>
        <v>4.6308695652173899</v>
      </c>
      <c r="Z4" s="24">
        <f t="shared" si="2"/>
        <v>4.6215000000000002</v>
      </c>
      <c r="AA4" s="24">
        <f t="shared" si="2"/>
        <v>4.6125599999999993</v>
      </c>
      <c r="AB4" s="24">
        <f t="shared" si="2"/>
        <v>4.6039999999999992</v>
      </c>
      <c r="AC4" s="24">
        <f t="shared" si="2"/>
        <v>4.5957777777777773</v>
      </c>
      <c r="AD4" s="24">
        <f t="shared" si="2"/>
        <v>4.6307142857142862</v>
      </c>
      <c r="AE4" s="24"/>
      <c r="AF4" s="24"/>
    </row>
    <row r="5" spans="1:32">
      <c r="C5" s="24">
        <f t="shared" si="0"/>
        <v>3.8499999999999996</v>
      </c>
      <c r="D5" s="24">
        <f t="shared" ref="D5:AC5" si="3">(E$1*E4-$C$1*$C4)/(E$1-$C$1)</f>
        <v>4.0300000000000011</v>
      </c>
      <c r="E5" s="24">
        <f t="shared" si="3"/>
        <v>4.0999999999999996</v>
      </c>
      <c r="F5" s="24">
        <f t="shared" si="3"/>
        <v>4.1974999999999998</v>
      </c>
      <c r="G5" s="24">
        <f t="shared" si="3"/>
        <v>4.298</v>
      </c>
      <c r="H5" s="24">
        <f t="shared" si="3"/>
        <v>4.4050000000000002</v>
      </c>
      <c r="I5" s="24">
        <f t="shared" si="3"/>
        <v>4.5157142857142869</v>
      </c>
      <c r="J5" s="24">
        <f t="shared" si="3"/>
        <v>4.5283749999999996</v>
      </c>
      <c r="K5" s="24">
        <f t="shared" si="3"/>
        <v>4.5486666666666675</v>
      </c>
      <c r="L5" s="24">
        <f t="shared" si="3"/>
        <v>4.5743</v>
      </c>
      <c r="M5" s="24">
        <f t="shared" si="3"/>
        <v>4.6038181818181823</v>
      </c>
      <c r="N5" s="24">
        <f t="shared" si="3"/>
        <v>4.6362500000000013</v>
      </c>
      <c r="O5" s="24">
        <f t="shared" si="3"/>
        <v>4.6709230769230761</v>
      </c>
      <c r="P5" s="24">
        <f t="shared" si="3"/>
        <v>4.7073571428571421</v>
      </c>
      <c r="Q5" s="24">
        <f t="shared" si="3"/>
        <v>4.7451999999999988</v>
      </c>
      <c r="R5" s="24">
        <f t="shared" si="3"/>
        <v>4.7841874999999998</v>
      </c>
      <c r="S5" s="24">
        <f t="shared" si="3"/>
        <v>4.8241176470588227</v>
      </c>
      <c r="T5" s="24">
        <f t="shared" si="3"/>
        <v>4.7586666666666657</v>
      </c>
      <c r="U5" s="24">
        <f t="shared" si="3"/>
        <v>4.7417894736842099</v>
      </c>
      <c r="V5" s="24">
        <f t="shared" si="3"/>
        <v>4.7262000000000004</v>
      </c>
      <c r="W5" s="24">
        <f t="shared" si="3"/>
        <v>4.711714285714284</v>
      </c>
      <c r="X5" s="24">
        <f t="shared" si="3"/>
        <v>4.6981818181818165</v>
      </c>
      <c r="Y5" s="24">
        <f t="shared" si="3"/>
        <v>4.6854782608695649</v>
      </c>
      <c r="Z5" s="24">
        <f t="shared" si="3"/>
        <v>4.6734999999999989</v>
      </c>
      <c r="AA5" s="24">
        <f t="shared" si="3"/>
        <v>4.6621599999999992</v>
      </c>
      <c r="AB5" s="24">
        <f t="shared" si="3"/>
        <v>4.6513846153846146</v>
      </c>
      <c r="AC5" s="24">
        <f t="shared" si="3"/>
        <v>4.6855555555555561</v>
      </c>
      <c r="AD5" s="24"/>
      <c r="AE5" s="24"/>
      <c r="AF5" s="24"/>
    </row>
    <row r="6" spans="1:32">
      <c r="C6" s="24">
        <f t="shared" si="0"/>
        <v>4.2100000000000026</v>
      </c>
      <c r="D6" s="24">
        <f t="shared" ref="D6:AB6" si="4">(E$1*E5-$C$1*$C5)/(E$1-$C$1)</f>
        <v>4.2249999999999996</v>
      </c>
      <c r="E6" s="24">
        <f t="shared" si="4"/>
        <v>4.3133333333333335</v>
      </c>
      <c r="F6" s="24">
        <f t="shared" si="4"/>
        <v>4.41</v>
      </c>
      <c r="G6" s="24">
        <f t="shared" si="4"/>
        <v>4.516</v>
      </c>
      <c r="H6" s="24">
        <f t="shared" si="4"/>
        <v>4.6266666666666678</v>
      </c>
      <c r="I6" s="24">
        <f t="shared" si="4"/>
        <v>4.625285714285714</v>
      </c>
      <c r="J6" s="24">
        <f t="shared" si="4"/>
        <v>4.636000000000001</v>
      </c>
      <c r="K6" s="24">
        <f t="shared" si="4"/>
        <v>4.6547777777777775</v>
      </c>
      <c r="L6" s="24">
        <f t="shared" si="4"/>
        <v>4.6791999999999998</v>
      </c>
      <c r="M6" s="24">
        <f t="shared" si="4"/>
        <v>4.7077272727272748</v>
      </c>
      <c r="N6" s="24">
        <f t="shared" si="4"/>
        <v>4.7393333333333318</v>
      </c>
      <c r="O6" s="24">
        <f t="shared" si="4"/>
        <v>4.7733076923076911</v>
      </c>
      <c r="P6" s="24">
        <f t="shared" si="4"/>
        <v>4.8091428571428567</v>
      </c>
      <c r="Q6" s="24">
        <f t="shared" si="4"/>
        <v>4.8464666666666671</v>
      </c>
      <c r="R6" s="24">
        <f t="shared" si="4"/>
        <v>4.8849999999999998</v>
      </c>
      <c r="S6" s="24">
        <f t="shared" si="4"/>
        <v>4.8121176470588223</v>
      </c>
      <c r="T6" s="24">
        <f t="shared" si="4"/>
        <v>4.7913333333333332</v>
      </c>
      <c r="U6" s="24">
        <f t="shared" si="4"/>
        <v>4.7723157894736845</v>
      </c>
      <c r="V6" s="24">
        <f t="shared" si="4"/>
        <v>4.7547999999999986</v>
      </c>
      <c r="W6" s="24">
        <f t="shared" si="4"/>
        <v>4.7385714285714267</v>
      </c>
      <c r="X6" s="24">
        <f t="shared" si="4"/>
        <v>4.7234545454545449</v>
      </c>
      <c r="Y6" s="24">
        <f t="shared" si="4"/>
        <v>4.7093043478260856</v>
      </c>
      <c r="Z6" s="24">
        <f t="shared" si="4"/>
        <v>4.6959999999999988</v>
      </c>
      <c r="AA6" s="24">
        <f t="shared" si="4"/>
        <v>4.6834399999999992</v>
      </c>
      <c r="AB6" s="24">
        <f t="shared" si="4"/>
        <v>4.7176923076923085</v>
      </c>
      <c r="AC6" s="24"/>
      <c r="AD6" s="24"/>
      <c r="AE6" s="24"/>
      <c r="AF6" s="24"/>
    </row>
    <row r="7" spans="1:32">
      <c r="C7" s="24">
        <f t="shared" si="0"/>
        <v>4.2399999999999967</v>
      </c>
      <c r="D7" s="24">
        <f t="shared" ref="D7:AA7" si="5">(E$1*E6-$C$1*$C6)/(E$1-$C$1)</f>
        <v>4.3649999999999993</v>
      </c>
      <c r="E7" s="24">
        <f t="shared" si="5"/>
        <v>4.4766666666666657</v>
      </c>
      <c r="F7" s="24">
        <f t="shared" si="5"/>
        <v>4.5924999999999994</v>
      </c>
      <c r="G7" s="24">
        <f t="shared" si="5"/>
        <v>4.7100000000000009</v>
      </c>
      <c r="H7" s="24">
        <f t="shared" si="5"/>
        <v>4.6944999999999988</v>
      </c>
      <c r="I7" s="24">
        <f t="shared" si="5"/>
        <v>4.6968571428571435</v>
      </c>
      <c r="J7" s="24">
        <f t="shared" si="5"/>
        <v>4.710375</v>
      </c>
      <c r="K7" s="24">
        <f t="shared" si="5"/>
        <v>4.7313333333333336</v>
      </c>
      <c r="L7" s="24">
        <f t="shared" si="5"/>
        <v>4.7575000000000021</v>
      </c>
      <c r="M7" s="24">
        <f t="shared" si="5"/>
        <v>4.7874545454545441</v>
      </c>
      <c r="N7" s="24">
        <f t="shared" si="5"/>
        <v>4.8202499999999988</v>
      </c>
      <c r="O7" s="24">
        <f t="shared" si="5"/>
        <v>4.8552307692307686</v>
      </c>
      <c r="P7" s="24">
        <f t="shared" si="5"/>
        <v>4.8919285714285712</v>
      </c>
      <c r="Q7" s="24">
        <f t="shared" si="5"/>
        <v>4.9299999999999988</v>
      </c>
      <c r="R7" s="24">
        <f t="shared" si="5"/>
        <v>4.8497499999999985</v>
      </c>
      <c r="S7" s="24">
        <f t="shared" si="5"/>
        <v>4.8255294117647054</v>
      </c>
      <c r="T7" s="24">
        <f t="shared" si="5"/>
        <v>4.8035555555555556</v>
      </c>
      <c r="U7" s="24">
        <f t="shared" si="5"/>
        <v>4.7834736842105245</v>
      </c>
      <c r="V7" s="24">
        <f t="shared" si="5"/>
        <v>4.7649999999999979</v>
      </c>
      <c r="W7" s="24">
        <f t="shared" si="5"/>
        <v>4.7479047619047607</v>
      </c>
      <c r="X7" s="24">
        <f t="shared" si="5"/>
        <v>4.7319999999999984</v>
      </c>
      <c r="Y7" s="24">
        <f t="shared" si="5"/>
        <v>4.7171304347826073</v>
      </c>
      <c r="Z7" s="24">
        <f t="shared" si="5"/>
        <v>4.7031666666666654</v>
      </c>
      <c r="AA7" s="24">
        <f t="shared" si="5"/>
        <v>4.7380000000000004</v>
      </c>
    </row>
    <row r="8" spans="1:32">
      <c r="C8" s="24">
        <f t="shared" si="0"/>
        <v>4.490000000000002</v>
      </c>
      <c r="D8" s="24">
        <f t="shared" ref="D8:Z8" si="6">(E$1*E7-$C$1*$C7)/(E$1-$C$1)</f>
        <v>4.5949999999999998</v>
      </c>
      <c r="E8" s="24">
        <f t="shared" si="6"/>
        <v>4.71</v>
      </c>
      <c r="F8" s="24">
        <f t="shared" si="6"/>
        <v>4.8275000000000023</v>
      </c>
      <c r="G8" s="24">
        <f t="shared" si="6"/>
        <v>4.7854000000000001</v>
      </c>
      <c r="H8" s="24">
        <f t="shared" si="6"/>
        <v>4.7730000000000024</v>
      </c>
      <c r="I8" s="24">
        <f t="shared" si="6"/>
        <v>4.777571428571429</v>
      </c>
      <c r="J8" s="24">
        <f t="shared" si="6"/>
        <v>4.7927500000000007</v>
      </c>
      <c r="K8" s="24">
        <f t="shared" si="6"/>
        <v>4.8150000000000022</v>
      </c>
      <c r="L8" s="24">
        <f t="shared" si="6"/>
        <v>4.8421999999999992</v>
      </c>
      <c r="M8" s="24">
        <f t="shared" si="6"/>
        <v>4.8729999999999993</v>
      </c>
      <c r="N8" s="24">
        <f t="shared" si="6"/>
        <v>4.9065000000000003</v>
      </c>
      <c r="O8" s="24">
        <f t="shared" si="6"/>
        <v>4.9420769230769235</v>
      </c>
      <c r="P8" s="24">
        <f t="shared" si="6"/>
        <v>4.9792857142857141</v>
      </c>
      <c r="Q8" s="24">
        <f t="shared" si="6"/>
        <v>4.8903999999999987</v>
      </c>
      <c r="R8" s="24">
        <f t="shared" si="6"/>
        <v>4.8621249999999998</v>
      </c>
      <c r="S8" s="24">
        <f t="shared" si="6"/>
        <v>4.8367058823529412</v>
      </c>
      <c r="T8" s="24">
        <f t="shared" si="6"/>
        <v>4.8136666666666654</v>
      </c>
      <c r="U8" s="24">
        <f t="shared" si="6"/>
        <v>4.7926315789473666</v>
      </c>
      <c r="V8" s="24">
        <f t="shared" si="6"/>
        <v>4.773299999999999</v>
      </c>
      <c r="W8" s="24">
        <f t="shared" si="6"/>
        <v>4.7554285714285705</v>
      </c>
      <c r="X8" s="24">
        <f t="shared" si="6"/>
        <v>4.7388181818181812</v>
      </c>
      <c r="Y8" s="24">
        <f t="shared" si="6"/>
        <v>4.7233043478260859</v>
      </c>
      <c r="Z8" s="24">
        <f t="shared" si="6"/>
        <v>4.7587500000000009</v>
      </c>
    </row>
    <row r="9" spans="1:32">
      <c r="C9" s="24">
        <f t="shared" si="0"/>
        <v>4.6999999999999975</v>
      </c>
      <c r="D9" s="24">
        <f t="shared" ref="D9:Y9" si="7">(E$1*E8-$C$1*$C8)/(E$1-$C$1)</f>
        <v>4.8199999999999985</v>
      </c>
      <c r="E9" s="24">
        <f t="shared" si="7"/>
        <v>4.9400000000000022</v>
      </c>
      <c r="F9" s="24">
        <f t="shared" si="7"/>
        <v>4.8592499999999994</v>
      </c>
      <c r="G9" s="24">
        <f t="shared" si="7"/>
        <v>4.8296000000000019</v>
      </c>
      <c r="H9" s="24">
        <f t="shared" si="7"/>
        <v>4.8255000000000008</v>
      </c>
      <c r="I9" s="24">
        <f t="shared" si="7"/>
        <v>4.8360000000000003</v>
      </c>
      <c r="J9" s="24">
        <f t="shared" si="7"/>
        <v>4.8556250000000025</v>
      </c>
      <c r="K9" s="24">
        <f t="shared" si="7"/>
        <v>4.8813333333333322</v>
      </c>
      <c r="L9" s="24">
        <f t="shared" si="7"/>
        <v>4.9112999999999989</v>
      </c>
      <c r="M9" s="24">
        <f t="shared" si="7"/>
        <v>4.9443636363636365</v>
      </c>
      <c r="N9" s="24">
        <f t="shared" si="7"/>
        <v>4.9797500000000001</v>
      </c>
      <c r="O9" s="24">
        <f t="shared" si="7"/>
        <v>5.016923076923077</v>
      </c>
      <c r="P9" s="24">
        <f t="shared" si="7"/>
        <v>4.9189999999999987</v>
      </c>
      <c r="Q9" s="24">
        <f t="shared" si="7"/>
        <v>4.8869333333333334</v>
      </c>
      <c r="R9" s="24">
        <f t="shared" si="7"/>
        <v>4.8583750000000006</v>
      </c>
      <c r="S9" s="24">
        <f t="shared" si="7"/>
        <v>4.8327058823529399</v>
      </c>
      <c r="T9" s="24">
        <f t="shared" si="7"/>
        <v>4.8094444444444422</v>
      </c>
      <c r="U9" s="24">
        <f t="shared" si="7"/>
        <v>4.7882105263157877</v>
      </c>
      <c r="V9" s="24">
        <f t="shared" si="7"/>
        <v>4.7686999999999982</v>
      </c>
      <c r="W9" s="24">
        <f t="shared" si="7"/>
        <v>4.7506666666666657</v>
      </c>
      <c r="X9" s="24">
        <f t="shared" si="7"/>
        <v>4.7339090909090906</v>
      </c>
      <c r="Y9" s="24">
        <f t="shared" si="7"/>
        <v>4.7704347826086968</v>
      </c>
    </row>
    <row r="10" spans="1:32">
      <c r="C10" s="24">
        <f t="shared" si="0"/>
        <v>4.9399999999999995</v>
      </c>
      <c r="D10" s="24">
        <f t="shared" ref="D10:X10" si="8">(E$1*E9-$C$1*$C9)/(E$1-$C$1)</f>
        <v>5.0600000000000049</v>
      </c>
      <c r="E10" s="24">
        <f t="shared" si="8"/>
        <v>4.9123333333333337</v>
      </c>
      <c r="F10" s="24">
        <f t="shared" si="8"/>
        <v>4.8620000000000037</v>
      </c>
      <c r="G10" s="24">
        <f t="shared" si="8"/>
        <v>4.8506000000000018</v>
      </c>
      <c r="H10" s="24">
        <f t="shared" si="8"/>
        <v>4.858666666666668</v>
      </c>
      <c r="I10" s="24">
        <f t="shared" si="8"/>
        <v>4.8778571428571462</v>
      </c>
      <c r="J10" s="24">
        <f t="shared" si="8"/>
        <v>4.903999999999999</v>
      </c>
      <c r="K10" s="24">
        <f t="shared" si="8"/>
        <v>4.9347777777777768</v>
      </c>
      <c r="L10" s="24">
        <f t="shared" si="8"/>
        <v>4.9688000000000008</v>
      </c>
      <c r="M10" s="24">
        <f t="shared" si="8"/>
        <v>5.0051818181818186</v>
      </c>
      <c r="N10" s="24">
        <f t="shared" si="8"/>
        <v>5.0433333333333339</v>
      </c>
      <c r="O10" s="24">
        <f t="shared" si="8"/>
        <v>4.9358461538461524</v>
      </c>
      <c r="P10" s="24">
        <f t="shared" si="8"/>
        <v>4.9002857142857144</v>
      </c>
      <c r="Q10" s="24">
        <f t="shared" si="8"/>
        <v>4.8689333333333336</v>
      </c>
      <c r="R10" s="24">
        <f t="shared" si="8"/>
        <v>4.8409999999999984</v>
      </c>
      <c r="S10" s="24">
        <f t="shared" si="8"/>
        <v>4.8158823529411743</v>
      </c>
      <c r="T10" s="24">
        <f t="shared" si="8"/>
        <v>4.7931111111111093</v>
      </c>
      <c r="U10" s="24">
        <f t="shared" si="8"/>
        <v>4.7723157894736827</v>
      </c>
      <c r="V10" s="24">
        <f t="shared" si="8"/>
        <v>4.7531999999999988</v>
      </c>
      <c r="W10" s="24">
        <f t="shared" si="8"/>
        <v>4.7355238095238086</v>
      </c>
      <c r="X10" s="24">
        <f t="shared" si="8"/>
        <v>4.7736363636363643</v>
      </c>
    </row>
    <row r="11" spans="1:32">
      <c r="C11" s="24">
        <f t="shared" si="0"/>
        <v>5.1800000000000104</v>
      </c>
      <c r="D11" s="24">
        <f t="shared" ref="D11:W11" si="9">(E$1*E10-$C$1*$C10)/(E$1-$C$1)</f>
        <v>4.8985000000000012</v>
      </c>
      <c r="E11" s="24">
        <f t="shared" si="9"/>
        <v>4.8360000000000047</v>
      </c>
      <c r="F11" s="24">
        <f t="shared" si="9"/>
        <v>4.8282500000000024</v>
      </c>
      <c r="G11" s="24">
        <f t="shared" si="9"/>
        <v>4.8424000000000023</v>
      </c>
      <c r="H11" s="24">
        <f t="shared" si="9"/>
        <v>4.8675000000000042</v>
      </c>
      <c r="I11" s="24">
        <f t="shared" si="9"/>
        <v>4.8988571428571417</v>
      </c>
      <c r="J11" s="24">
        <f t="shared" si="9"/>
        <v>4.934124999999999</v>
      </c>
      <c r="K11" s="24">
        <f t="shared" si="9"/>
        <v>4.9720000000000013</v>
      </c>
      <c r="L11" s="24">
        <f t="shared" si="9"/>
        <v>5.0117000000000003</v>
      </c>
      <c r="M11" s="24">
        <f t="shared" si="9"/>
        <v>5.0527272727272736</v>
      </c>
      <c r="N11" s="24">
        <f t="shared" si="9"/>
        <v>4.9354999999999984</v>
      </c>
      <c r="O11" s="24">
        <f t="shared" si="9"/>
        <v>4.8972307692307693</v>
      </c>
      <c r="P11" s="24">
        <f t="shared" si="9"/>
        <v>4.8638571428571433</v>
      </c>
      <c r="Q11" s="24">
        <f t="shared" si="9"/>
        <v>4.8343999999999987</v>
      </c>
      <c r="R11" s="24">
        <f t="shared" si="9"/>
        <v>4.8081249999999978</v>
      </c>
      <c r="S11" s="24">
        <f t="shared" si="9"/>
        <v>4.7844705882352923</v>
      </c>
      <c r="T11" s="24">
        <f t="shared" si="9"/>
        <v>4.762999999999999</v>
      </c>
      <c r="U11" s="24">
        <f t="shared" si="9"/>
        <v>4.7433684210526303</v>
      </c>
      <c r="V11" s="24">
        <f t="shared" si="9"/>
        <v>4.7252999999999989</v>
      </c>
      <c r="W11" s="24">
        <f t="shared" si="9"/>
        <v>4.765714285714286</v>
      </c>
    </row>
    <row r="12" spans="1:32">
      <c r="C12" s="24">
        <f t="shared" si="0"/>
        <v>4.616999999999992</v>
      </c>
      <c r="D12" s="24">
        <f t="shared" ref="D12:V12" si="10">(E$1*E11-$C$1*$C11)/(E$1-$C$1)</f>
        <v>4.6640000000000015</v>
      </c>
      <c r="E12" s="24">
        <f t="shared" si="10"/>
        <v>4.7109999999999994</v>
      </c>
      <c r="F12" s="24">
        <f t="shared" si="10"/>
        <v>4.758</v>
      </c>
      <c r="G12" s="24">
        <f t="shared" si="10"/>
        <v>4.8050000000000033</v>
      </c>
      <c r="H12" s="24">
        <f t="shared" si="10"/>
        <v>4.8519999999999976</v>
      </c>
      <c r="I12" s="24">
        <f t="shared" si="10"/>
        <v>4.8989999999999965</v>
      </c>
      <c r="J12" s="24">
        <f t="shared" si="10"/>
        <v>4.9459999999999997</v>
      </c>
      <c r="K12" s="24">
        <f t="shared" si="10"/>
        <v>4.9929999999999994</v>
      </c>
      <c r="L12" s="24">
        <f t="shared" si="10"/>
        <v>5.0400000000000009</v>
      </c>
      <c r="M12" s="24">
        <f t="shared" si="10"/>
        <v>4.9132727272727257</v>
      </c>
      <c r="N12" s="24">
        <f t="shared" si="10"/>
        <v>4.8736666666666659</v>
      </c>
      <c r="O12" s="24">
        <f t="shared" si="10"/>
        <v>4.8395384615384618</v>
      </c>
      <c r="P12" s="24">
        <f t="shared" si="10"/>
        <v>4.8097142857142838</v>
      </c>
      <c r="Q12" s="24">
        <f t="shared" si="10"/>
        <v>4.7833333333333306</v>
      </c>
      <c r="R12" s="24">
        <f t="shared" si="10"/>
        <v>4.7597499999999977</v>
      </c>
      <c r="S12" s="24">
        <f t="shared" si="10"/>
        <v>4.7384705882352929</v>
      </c>
      <c r="T12" s="24">
        <f t="shared" si="10"/>
        <v>4.7191111111111095</v>
      </c>
      <c r="U12" s="24">
        <f t="shared" si="10"/>
        <v>4.7013684210526296</v>
      </c>
      <c r="V12" s="24">
        <f t="shared" si="10"/>
        <v>4.7450000000000001</v>
      </c>
    </row>
    <row r="13" spans="1:32">
      <c r="C13" s="24">
        <f t="shared" si="0"/>
        <v>4.711000000000011</v>
      </c>
      <c r="D13" s="24">
        <f t="shared" ref="D13:U13" si="11">(E$1*E12-$C$1*$C12)/(E$1-$C$1)</f>
        <v>4.7580000000000036</v>
      </c>
      <c r="E13" s="24">
        <f t="shared" si="11"/>
        <v>4.8050000000000024</v>
      </c>
      <c r="F13" s="24">
        <f t="shared" si="11"/>
        <v>4.8520000000000056</v>
      </c>
      <c r="G13" s="24">
        <f t="shared" si="11"/>
        <v>4.8989999999999991</v>
      </c>
      <c r="H13" s="24">
        <f t="shared" si="11"/>
        <v>4.945999999999998</v>
      </c>
      <c r="I13" s="24">
        <f t="shared" si="11"/>
        <v>4.9930000000000012</v>
      </c>
      <c r="J13" s="24">
        <f t="shared" si="11"/>
        <v>5.0400000000000009</v>
      </c>
      <c r="K13" s="24">
        <f t="shared" si="11"/>
        <v>5.0870000000000015</v>
      </c>
      <c r="L13" s="24">
        <f t="shared" si="11"/>
        <v>4.9428999999999998</v>
      </c>
      <c r="M13" s="24">
        <f t="shared" si="11"/>
        <v>4.8970000000000002</v>
      </c>
      <c r="N13" s="24">
        <f t="shared" si="11"/>
        <v>4.858083333333334</v>
      </c>
      <c r="O13" s="24">
        <f t="shared" si="11"/>
        <v>4.8245384615384603</v>
      </c>
      <c r="P13" s="24">
        <f t="shared" si="11"/>
        <v>4.795214285714283</v>
      </c>
      <c r="Q13" s="24">
        <f t="shared" si="11"/>
        <v>4.769266666666665</v>
      </c>
      <c r="R13" s="24">
        <f t="shared" si="11"/>
        <v>4.746062499999999</v>
      </c>
      <c r="S13" s="24">
        <f t="shared" si="11"/>
        <v>4.7251176470588225</v>
      </c>
      <c r="T13" s="24">
        <f t="shared" si="11"/>
        <v>4.7060555555555545</v>
      </c>
      <c r="U13" s="24">
        <f t="shared" si="11"/>
        <v>4.7517368421052639</v>
      </c>
    </row>
    <row r="14" spans="1:32">
      <c r="C14" s="24">
        <f t="shared" si="0"/>
        <v>4.8049999999999962</v>
      </c>
      <c r="D14" s="24">
        <f t="shared" ref="D14:T14" si="12">(E$1*E13-$C$1*$C13)/(E$1-$C$1)</f>
        <v>4.8519999999999976</v>
      </c>
      <c r="E14" s="24">
        <f t="shared" si="12"/>
        <v>4.8990000000000036</v>
      </c>
      <c r="F14" s="24">
        <f t="shared" si="12"/>
        <v>4.9459999999999962</v>
      </c>
      <c r="G14" s="24">
        <f t="shared" si="12"/>
        <v>4.992999999999995</v>
      </c>
      <c r="H14" s="24">
        <f t="shared" si="12"/>
        <v>5.0399999999999991</v>
      </c>
      <c r="I14" s="24">
        <f t="shared" si="12"/>
        <v>5.0869999999999989</v>
      </c>
      <c r="J14" s="24">
        <f t="shared" si="12"/>
        <v>5.1340000000000003</v>
      </c>
      <c r="K14" s="24">
        <f t="shared" si="12"/>
        <v>4.9686666666666657</v>
      </c>
      <c r="L14" s="24">
        <f t="shared" si="12"/>
        <v>4.9155999999999995</v>
      </c>
      <c r="M14" s="24">
        <f t="shared" si="12"/>
        <v>4.8714545454545455</v>
      </c>
      <c r="N14" s="24">
        <f t="shared" si="12"/>
        <v>4.8339999999999979</v>
      </c>
      <c r="O14" s="24">
        <f t="shared" si="12"/>
        <v>4.8016923076923046</v>
      </c>
      <c r="P14" s="24">
        <f t="shared" si="12"/>
        <v>4.7734285714285685</v>
      </c>
      <c r="Q14" s="24">
        <f t="shared" si="12"/>
        <v>4.7483999999999984</v>
      </c>
      <c r="R14" s="24">
        <f t="shared" si="12"/>
        <v>4.7259999999999982</v>
      </c>
      <c r="S14" s="24">
        <f t="shared" si="12"/>
        <v>4.7057647058823511</v>
      </c>
      <c r="T14" s="24">
        <f t="shared" si="12"/>
        <v>4.7540000000000004</v>
      </c>
    </row>
    <row r="15" spans="1:32">
      <c r="C15" s="24">
        <f t="shared" si="0"/>
        <v>4.8989999999999991</v>
      </c>
      <c r="D15" s="24">
        <f t="shared" ref="D15:S15" si="13">(E$1*E14-$C$1*$C14)/(E$1-$C$1)</f>
        <v>4.9460000000000068</v>
      </c>
      <c r="E15" s="24">
        <f t="shared" si="13"/>
        <v>4.9929999999999959</v>
      </c>
      <c r="F15" s="24">
        <f t="shared" si="13"/>
        <v>5.0399999999999947</v>
      </c>
      <c r="G15" s="24">
        <f t="shared" si="13"/>
        <v>5.0869999999999997</v>
      </c>
      <c r="H15" s="24">
        <f t="shared" si="13"/>
        <v>5.1339999999999995</v>
      </c>
      <c r="I15" s="24">
        <f t="shared" si="13"/>
        <v>5.1810000000000018</v>
      </c>
      <c r="J15" s="24">
        <f t="shared" si="13"/>
        <v>4.9891249999999996</v>
      </c>
      <c r="K15" s="24">
        <f t="shared" si="13"/>
        <v>4.927888888888889</v>
      </c>
      <c r="L15" s="24">
        <f t="shared" si="13"/>
        <v>4.8781000000000008</v>
      </c>
      <c r="M15" s="24">
        <f t="shared" si="13"/>
        <v>4.8366363636363614</v>
      </c>
      <c r="N15" s="24">
        <f t="shared" si="13"/>
        <v>4.8014166666666638</v>
      </c>
      <c r="O15" s="24">
        <f t="shared" si="13"/>
        <v>4.7709999999999972</v>
      </c>
      <c r="P15" s="24">
        <f t="shared" si="13"/>
        <v>4.7443571428571412</v>
      </c>
      <c r="Q15" s="24">
        <f t="shared" si="13"/>
        <v>4.7207333333333317</v>
      </c>
      <c r="R15" s="24">
        <f t="shared" si="13"/>
        <v>4.6995624999999981</v>
      </c>
      <c r="S15" s="24">
        <f t="shared" si="13"/>
        <v>4.7510000000000003</v>
      </c>
    </row>
    <row r="16" spans="1:32">
      <c r="C16" s="24">
        <f t="shared" si="0"/>
        <v>4.9930000000000145</v>
      </c>
      <c r="D16" s="24">
        <f t="shared" ref="D16:R16" si="14">(E$1*E15-$C$1*$C15)/(E$1-$C$1)</f>
        <v>5.0399999999999947</v>
      </c>
      <c r="E16" s="24">
        <f t="shared" si="14"/>
        <v>5.0869999999999935</v>
      </c>
      <c r="F16" s="24">
        <f t="shared" si="14"/>
        <v>5.1340000000000003</v>
      </c>
      <c r="G16" s="24">
        <f t="shared" si="14"/>
        <v>5.1809999999999992</v>
      </c>
      <c r="H16" s="24">
        <f t="shared" si="14"/>
        <v>5.2280000000000015</v>
      </c>
      <c r="I16" s="24">
        <f t="shared" si="14"/>
        <v>5.0019999999999998</v>
      </c>
      <c r="J16" s="24">
        <f t="shared" si="14"/>
        <v>4.9314999999999998</v>
      </c>
      <c r="K16" s="24">
        <f t="shared" si="14"/>
        <v>4.8757777777777784</v>
      </c>
      <c r="L16" s="24">
        <f t="shared" si="14"/>
        <v>4.8303999999999974</v>
      </c>
      <c r="M16" s="24">
        <f t="shared" si="14"/>
        <v>4.7925454545454507</v>
      </c>
      <c r="N16" s="24">
        <f t="shared" si="14"/>
        <v>4.7603333333333309</v>
      </c>
      <c r="O16" s="24">
        <f t="shared" si="14"/>
        <v>4.7324615384615365</v>
      </c>
      <c r="P16" s="24">
        <f t="shared" si="14"/>
        <v>4.7079999999999984</v>
      </c>
      <c r="Q16" s="24">
        <f t="shared" si="14"/>
        <v>4.6862666666666648</v>
      </c>
      <c r="R16" s="24">
        <f t="shared" si="14"/>
        <v>4.7417500000000006</v>
      </c>
    </row>
    <row r="17" spans="3:17">
      <c r="C17" s="24">
        <f t="shared" si="0"/>
        <v>5.0869999999999749</v>
      </c>
      <c r="D17" s="24">
        <f t="shared" ref="D17:Q17" si="15">(E$1*E16-$C$1*$C16)/(E$1-$C$1)</f>
        <v>5.1339999999999835</v>
      </c>
      <c r="E17" s="24">
        <f t="shared" si="15"/>
        <v>5.1809999999999956</v>
      </c>
      <c r="F17" s="24">
        <f t="shared" si="15"/>
        <v>5.2279999999999944</v>
      </c>
      <c r="G17" s="24">
        <f t="shared" si="15"/>
        <v>5.2749999999999986</v>
      </c>
      <c r="H17" s="24">
        <f t="shared" si="15"/>
        <v>5.0034999999999963</v>
      </c>
      <c r="I17" s="24">
        <f t="shared" si="15"/>
        <v>4.9227142857142834</v>
      </c>
      <c r="J17" s="24">
        <f t="shared" si="15"/>
        <v>4.8611249999999986</v>
      </c>
      <c r="K17" s="24">
        <f t="shared" si="15"/>
        <v>4.8123333333333287</v>
      </c>
      <c r="L17" s="24">
        <f t="shared" si="15"/>
        <v>4.7724999999999946</v>
      </c>
      <c r="M17" s="24">
        <f t="shared" si="15"/>
        <v>4.7391818181818133</v>
      </c>
      <c r="N17" s="24">
        <f t="shared" si="15"/>
        <v>4.7107499999999964</v>
      </c>
      <c r="O17" s="24">
        <f t="shared" si="15"/>
        <v>4.6860769230769197</v>
      </c>
      <c r="P17" s="24">
        <f t="shared" si="15"/>
        <v>4.6643571428571402</v>
      </c>
      <c r="Q17" s="24">
        <f t="shared" si="15"/>
        <v>4.7249999999999996</v>
      </c>
    </row>
    <row r="18" spans="3:17">
      <c r="C18" s="24">
        <f t="shared" si="0"/>
        <v>5.1809999999999921</v>
      </c>
      <c r="D18" s="24">
        <f t="shared" ref="D18:P18" si="16">(E$1*E17-$C$1*$C17)/(E$1-$C$1)</f>
        <v>5.228000000000006</v>
      </c>
      <c r="E18" s="24">
        <f t="shared" si="16"/>
        <v>5.2750000000000012</v>
      </c>
      <c r="F18" s="24">
        <f t="shared" si="16"/>
        <v>5.3220000000000045</v>
      </c>
      <c r="G18" s="24">
        <f t="shared" si="16"/>
        <v>4.9868000000000006</v>
      </c>
      <c r="H18" s="24">
        <f t="shared" si="16"/>
        <v>4.8953333333333342</v>
      </c>
      <c r="I18" s="24">
        <f t="shared" si="16"/>
        <v>4.828857142857145</v>
      </c>
      <c r="J18" s="24">
        <f t="shared" si="16"/>
        <v>4.7779999999999978</v>
      </c>
      <c r="K18" s="24">
        <f t="shared" si="16"/>
        <v>4.7375555555555522</v>
      </c>
      <c r="L18" s="24">
        <f t="shared" si="16"/>
        <v>4.704399999999997</v>
      </c>
      <c r="M18" s="24">
        <f t="shared" si="16"/>
        <v>4.6765454545454528</v>
      </c>
      <c r="N18" s="24">
        <f t="shared" si="16"/>
        <v>4.652666666666665</v>
      </c>
      <c r="O18" s="24">
        <f t="shared" si="16"/>
        <v>4.6318461538461531</v>
      </c>
      <c r="P18" s="24">
        <f t="shared" si="16"/>
        <v>4.6991428571428591</v>
      </c>
    </row>
    <row r="19" spans="3:17">
      <c r="C19" s="24">
        <f t="shared" si="0"/>
        <v>5.2750000000000199</v>
      </c>
      <c r="D19" s="24">
        <f t="shared" ref="D19:O19" si="17">(E$1*E18-$C$1*$C18)/(E$1-$C$1)</f>
        <v>5.3220000000000054</v>
      </c>
      <c r="E19" s="24">
        <f t="shared" si="17"/>
        <v>5.3690000000000095</v>
      </c>
      <c r="F19" s="24">
        <f t="shared" si="17"/>
        <v>4.9382500000000036</v>
      </c>
      <c r="G19" s="24">
        <f t="shared" si="17"/>
        <v>4.8382000000000032</v>
      </c>
      <c r="H19" s="24">
        <f t="shared" si="17"/>
        <v>4.7701666666666709</v>
      </c>
      <c r="I19" s="24">
        <f t="shared" si="17"/>
        <v>4.7204285714285703</v>
      </c>
      <c r="J19" s="24">
        <f t="shared" si="17"/>
        <v>4.6821249999999974</v>
      </c>
      <c r="K19" s="24">
        <f t="shared" si="17"/>
        <v>4.6514444444444418</v>
      </c>
      <c r="L19" s="24">
        <f t="shared" si="17"/>
        <v>4.6260999999999992</v>
      </c>
      <c r="M19" s="24">
        <f t="shared" si="17"/>
        <v>4.604636363636363</v>
      </c>
      <c r="N19" s="24">
        <f t="shared" si="17"/>
        <v>4.5860833333333337</v>
      </c>
      <c r="O19" s="24">
        <f t="shared" si="17"/>
        <v>4.6620769230769259</v>
      </c>
    </row>
    <row r="20" spans="3:17">
      <c r="C20" s="24">
        <f t="shared" si="0"/>
        <v>5.3689999999999909</v>
      </c>
      <c r="D20" s="24">
        <f t="shared" ref="D20:N20" si="18">(E$1*E19-$C$1*$C19)/(E$1-$C$1)</f>
        <v>5.4160000000000039</v>
      </c>
      <c r="E20" s="24">
        <f t="shared" si="18"/>
        <v>4.8259999999999978</v>
      </c>
      <c r="F20" s="24">
        <f t="shared" si="18"/>
        <v>4.7289999999999992</v>
      </c>
      <c r="G20" s="24">
        <f t="shared" si="18"/>
        <v>4.6692000000000009</v>
      </c>
      <c r="H20" s="24">
        <f t="shared" si="18"/>
        <v>4.6279999999999957</v>
      </c>
      <c r="I20" s="24">
        <f t="shared" si="18"/>
        <v>4.5974285714285656</v>
      </c>
      <c r="J20" s="24">
        <f t="shared" si="18"/>
        <v>4.5734999999999948</v>
      </c>
      <c r="K20" s="24">
        <f t="shared" si="18"/>
        <v>4.5539999999999976</v>
      </c>
      <c r="L20" s="24">
        <f t="shared" si="18"/>
        <v>4.5375999999999976</v>
      </c>
      <c r="M20" s="24">
        <f t="shared" si="18"/>
        <v>4.5234545454545438</v>
      </c>
      <c r="N20" s="24">
        <f t="shared" si="18"/>
        <v>4.6110000000000015</v>
      </c>
    </row>
    <row r="21" spans="3:17">
      <c r="C21" s="24">
        <f t="shared" si="0"/>
        <v>5.463000000000017</v>
      </c>
      <c r="D21" s="24">
        <f t="shared" ref="D21:M21" si="19">(E$1*E20-$C$1*$C20)/(E$1-$C$1)</f>
        <v>4.5545000000000018</v>
      </c>
      <c r="E21" s="24">
        <f t="shared" si="19"/>
        <v>4.5156666666666689</v>
      </c>
      <c r="F21" s="24">
        <f t="shared" si="19"/>
        <v>4.4942500000000027</v>
      </c>
      <c r="G21" s="24">
        <f t="shared" si="19"/>
        <v>4.4797999999999956</v>
      </c>
      <c r="H21" s="24">
        <f t="shared" si="19"/>
        <v>4.4688333333333281</v>
      </c>
      <c r="I21" s="24">
        <f t="shared" si="19"/>
        <v>4.4598571428571381</v>
      </c>
      <c r="J21" s="24">
        <f t="shared" si="19"/>
        <v>4.4521249999999979</v>
      </c>
      <c r="K21" s="24">
        <f t="shared" si="19"/>
        <v>4.4452222222222204</v>
      </c>
      <c r="L21" s="24">
        <f t="shared" si="19"/>
        <v>4.4388999999999985</v>
      </c>
      <c r="M21" s="24">
        <f t="shared" si="19"/>
        <v>4.5420909090909118</v>
      </c>
    </row>
    <row r="22" spans="3:17">
      <c r="C22" s="24">
        <f t="shared" si="0"/>
        <v>3.6459999999999866</v>
      </c>
      <c r="D22" s="24">
        <f t="shared" ref="D22:L22" si="20">(E$1*E21-$C$1*$C21)/(E$1-$C$1)</f>
        <v>4.0419999999999954</v>
      </c>
      <c r="E22" s="24">
        <f t="shared" si="20"/>
        <v>4.1713333333333313</v>
      </c>
      <c r="F22" s="24">
        <f t="shared" si="20"/>
        <v>4.2339999999999911</v>
      </c>
      <c r="G22" s="24">
        <f t="shared" si="20"/>
        <v>4.2699999999999907</v>
      </c>
      <c r="H22" s="24">
        <f t="shared" si="20"/>
        <v>4.2926666666666584</v>
      </c>
      <c r="I22" s="24">
        <f t="shared" si="20"/>
        <v>4.3077142857142814</v>
      </c>
      <c r="J22" s="24">
        <f t="shared" si="20"/>
        <v>4.3179999999999961</v>
      </c>
      <c r="K22" s="24">
        <f t="shared" si="20"/>
        <v>4.3251111111111076</v>
      </c>
      <c r="L22" s="24">
        <f t="shared" si="20"/>
        <v>4.4500000000000011</v>
      </c>
    </row>
    <row r="23" spans="3:17">
      <c r="C23" s="24">
        <f t="shared" si="0"/>
        <v>4.4380000000000042</v>
      </c>
      <c r="D23" s="24">
        <f t="shared" ref="D23:K23" si="21">(E$1*E22-$C$1*$C22)/(E$1-$C$1)</f>
        <v>4.4340000000000037</v>
      </c>
      <c r="E23" s="24">
        <f t="shared" si="21"/>
        <v>4.4299999999999926</v>
      </c>
      <c r="F23" s="24">
        <f t="shared" si="21"/>
        <v>4.4259999999999913</v>
      </c>
      <c r="G23" s="24">
        <f t="shared" si="21"/>
        <v>4.4219999999999926</v>
      </c>
      <c r="H23" s="24">
        <f t="shared" si="21"/>
        <v>4.4179999999999966</v>
      </c>
      <c r="I23" s="24">
        <f t="shared" si="21"/>
        <v>4.413999999999997</v>
      </c>
      <c r="J23" s="24">
        <f t="shared" si="21"/>
        <v>4.4099999999999975</v>
      </c>
      <c r="K23" s="24">
        <f t="shared" si="21"/>
        <v>4.5393333333333361</v>
      </c>
    </row>
    <row r="24" spans="3:17">
      <c r="C24" s="24">
        <f t="shared" si="0"/>
        <v>4.4300000000000033</v>
      </c>
      <c r="D24" s="24">
        <f t="shared" ref="D24:J24" si="22">(E$1*E23-$C$1*$C23)/(E$1-$C$1)</f>
        <v>4.4259999999999868</v>
      </c>
      <c r="E24" s="24">
        <f t="shared" si="22"/>
        <v>4.4219999999999873</v>
      </c>
      <c r="F24" s="24">
        <f t="shared" si="22"/>
        <v>4.4179999999999904</v>
      </c>
      <c r="G24" s="24">
        <f t="shared" si="22"/>
        <v>4.4139999999999961</v>
      </c>
      <c r="H24" s="24">
        <f t="shared" si="22"/>
        <v>4.4099999999999957</v>
      </c>
      <c r="I24" s="24">
        <f t="shared" si="22"/>
        <v>4.405999999999997</v>
      </c>
      <c r="J24" s="24">
        <f t="shared" si="22"/>
        <v>4.5520000000000032</v>
      </c>
    </row>
    <row r="25" spans="3:17">
      <c r="C25" s="24">
        <f t="shared" si="0"/>
        <v>4.4219999999999704</v>
      </c>
      <c r="D25" s="24">
        <f t="shared" ref="D25:I25" si="23">(E$1*E24-$C$1*$C24)/(E$1-$C$1)</f>
        <v>4.4179999999999797</v>
      </c>
      <c r="E25" s="24">
        <f t="shared" si="23"/>
        <v>4.4139999999999864</v>
      </c>
      <c r="F25" s="24">
        <f t="shared" si="23"/>
        <v>4.4099999999999939</v>
      </c>
      <c r="G25" s="24">
        <f t="shared" si="23"/>
        <v>4.4059999999999935</v>
      </c>
      <c r="H25" s="24">
        <f t="shared" si="23"/>
        <v>4.4019999999999957</v>
      </c>
      <c r="I25" s="24">
        <f t="shared" si="23"/>
        <v>4.5694285714285749</v>
      </c>
    </row>
    <row r="26" spans="3:17">
      <c r="C26" s="24">
        <f t="shared" si="0"/>
        <v>4.413999999999989</v>
      </c>
      <c r="D26" s="24">
        <f t="shared" ref="D26:H26" si="24">(E$1*E25-$C$1*$C25)/(E$1-$C$1)</f>
        <v>4.4099999999999939</v>
      </c>
      <c r="E26" s="24">
        <f t="shared" si="24"/>
        <v>4.4060000000000015</v>
      </c>
      <c r="F26" s="24">
        <f t="shared" si="24"/>
        <v>4.4019999999999992</v>
      </c>
      <c r="G26" s="24">
        <f t="shared" si="24"/>
        <v>4.3980000000000006</v>
      </c>
      <c r="H26" s="24">
        <f t="shared" si="24"/>
        <v>4.5940000000000092</v>
      </c>
    </row>
    <row r="27" spans="3:17">
      <c r="C27" s="24">
        <f t="shared" si="0"/>
        <v>4.4059999999999988</v>
      </c>
      <c r="D27" s="24">
        <f t="shared" ref="D27:G27" si="25">(E$1*E26-$C$1*$C26)/(E$1-$C$1)</f>
        <v>4.4020000000000072</v>
      </c>
      <c r="E27" s="24">
        <f t="shared" si="25"/>
        <v>4.3980000000000024</v>
      </c>
      <c r="F27" s="24">
        <f t="shared" si="25"/>
        <v>4.3940000000000037</v>
      </c>
      <c r="G27" s="24">
        <f t="shared" si="25"/>
        <v>4.6300000000000141</v>
      </c>
    </row>
    <row r="28" spans="3:17">
      <c r="C28" s="24">
        <f t="shared" si="0"/>
        <v>4.3980000000000157</v>
      </c>
      <c r="D28" s="24">
        <f t="shared" ref="D28:F28" si="26">(E$1*E27-$C$1*$C27)/(E$1-$C$1)</f>
        <v>4.3940000000000037</v>
      </c>
      <c r="E28" s="24">
        <f t="shared" si="26"/>
        <v>4.390000000000005</v>
      </c>
      <c r="F28" s="24">
        <f t="shared" si="26"/>
        <v>4.6860000000000177</v>
      </c>
    </row>
    <row r="29" spans="3:17">
      <c r="C29" s="24">
        <f t="shared" si="0"/>
        <v>4.3899999999999917</v>
      </c>
      <c r="D29" s="24">
        <f t="shared" ref="D29:E29" si="27">(E$1*E28-$C$1*$C28)/(E$1-$C$1)</f>
        <v>4.3860000000000001</v>
      </c>
      <c r="E29" s="24">
        <f t="shared" si="27"/>
        <v>4.7820000000000187</v>
      </c>
    </row>
    <row r="30" spans="3:17">
      <c r="C30" s="24">
        <f t="shared" si="0"/>
        <v>4.3820000000000086</v>
      </c>
      <c r="D30" s="24">
        <f>(E$1*E29-$C$1*$C29)/(E$1-$C$1)</f>
        <v>4.9780000000000326</v>
      </c>
    </row>
    <row r="31" spans="3:17">
      <c r="C31" s="24">
        <f t="shared" si="0"/>
        <v>5.5740000000000567</v>
      </c>
    </row>
  </sheetData>
  <pageMargins left="0.7" right="0.7" top="0.75" bottom="0.75" header="0.3" footer="0.3"/>
  <pageSetup orientation="portrait" verticalDpi="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AE73"/>
  <sheetViews>
    <sheetView zoomScale="90" zoomScaleNormal="90" workbookViewId="0">
      <selection activeCell="K53" sqref="K53"/>
    </sheetView>
  </sheetViews>
  <sheetFormatPr defaultRowHeight="15"/>
  <cols>
    <col min="1" max="1" width="10.42578125" style="6" bestFit="1" customWidth="1"/>
    <col min="2" max="11" width="9.140625" style="6"/>
    <col min="14" max="14" width="9.140625" style="6"/>
    <col min="21" max="21" width="9.140625" style="14"/>
    <col min="29" max="16384" width="9.140625" style="6"/>
  </cols>
  <sheetData>
    <row r="1" spans="1:31">
      <c r="A1" s="16" t="s">
        <v>23</v>
      </c>
      <c r="B1" s="17">
        <v>1</v>
      </c>
      <c r="C1" s="17">
        <v>2</v>
      </c>
      <c r="D1" s="17">
        <v>3</v>
      </c>
      <c r="E1" s="11">
        <v>4</v>
      </c>
      <c r="F1" s="17">
        <v>5</v>
      </c>
      <c r="G1" s="11">
        <v>6</v>
      </c>
      <c r="H1" s="17">
        <v>7</v>
      </c>
      <c r="I1" s="11">
        <v>8</v>
      </c>
      <c r="J1" s="11">
        <v>9</v>
      </c>
      <c r="K1" s="17">
        <v>10</v>
      </c>
      <c r="L1" s="21">
        <v>11</v>
      </c>
      <c r="M1" s="21">
        <v>12</v>
      </c>
      <c r="N1" s="21">
        <v>13</v>
      </c>
      <c r="O1" s="21">
        <v>14</v>
      </c>
      <c r="P1" s="21">
        <v>15</v>
      </c>
      <c r="Q1" s="21">
        <v>16</v>
      </c>
      <c r="R1" s="21">
        <v>17</v>
      </c>
      <c r="S1" s="21">
        <v>18</v>
      </c>
      <c r="T1" s="21">
        <v>19</v>
      </c>
      <c r="U1" s="25">
        <v>20</v>
      </c>
      <c r="V1" s="22">
        <v>21</v>
      </c>
      <c r="W1" s="21">
        <v>22</v>
      </c>
      <c r="X1" s="21">
        <v>23</v>
      </c>
      <c r="Y1" s="21">
        <v>24</v>
      </c>
      <c r="Z1" s="21">
        <v>25</v>
      </c>
      <c r="AA1" s="21">
        <v>26</v>
      </c>
      <c r="AB1" s="21">
        <v>27</v>
      </c>
      <c r="AC1" s="22">
        <v>28</v>
      </c>
      <c r="AD1" s="22">
        <v>29</v>
      </c>
      <c r="AE1" s="17">
        <v>30</v>
      </c>
    </row>
    <row r="2" spans="1:31">
      <c r="A2" s="20">
        <v>38749</v>
      </c>
      <c r="B2" s="13">
        <v>4.68</v>
      </c>
      <c r="C2" s="13">
        <v>4.67</v>
      </c>
      <c r="D2" s="13">
        <v>4.6399999999999997</v>
      </c>
      <c r="E2" s="13">
        <f t="shared" ref="E2:E45" si="0">(F2+D2)/2</f>
        <v>4.6050000000000004</v>
      </c>
      <c r="F2" s="13">
        <v>4.57</v>
      </c>
      <c r="G2" s="13">
        <f t="shared" ref="G2:G45" si="1">(H2+F2)/2</f>
        <v>4.5649999999999995</v>
      </c>
      <c r="H2" s="13">
        <v>4.5599999999999996</v>
      </c>
      <c r="I2" s="13">
        <f t="shared" ref="I2:I46" si="2">H2+(K2-H2)/3</f>
        <v>4.5633333333333335</v>
      </c>
      <c r="J2" s="13">
        <f t="shared" ref="J2:J45" si="3">H2+2*(K2-H2)/3</f>
        <v>4.5666666666666664</v>
      </c>
      <c r="K2" s="13">
        <v>4.57</v>
      </c>
      <c r="L2" s="13">
        <f t="shared" ref="L2:L45" si="4">$K2+($U2-$K2)/10</f>
        <v>4.5860000000000003</v>
      </c>
      <c r="M2" s="13">
        <f t="shared" ref="M2:M45" si="5">$K2+2*($U2-$K2)/10</f>
        <v>4.6020000000000003</v>
      </c>
      <c r="N2" s="13">
        <f t="shared" ref="N2:N45" si="6">$K2+3*($U2-$K2)/10</f>
        <v>4.6180000000000003</v>
      </c>
      <c r="O2" s="13">
        <f t="shared" ref="O2:O45" si="7">$K2+4*($U2-$K2)/10</f>
        <v>4.6340000000000003</v>
      </c>
      <c r="P2" s="13">
        <f t="shared" ref="P2:P45" si="8">$K2+5*($U2-$K2)/10</f>
        <v>4.6500000000000004</v>
      </c>
      <c r="Q2" s="13">
        <f t="shared" ref="Q2:Q45" si="9">$K2+6*($U2-$K2)/10</f>
        <v>4.6660000000000004</v>
      </c>
      <c r="R2" s="13">
        <f t="shared" ref="R2:R45" si="10">$K2+7*($U2-$K2)/10</f>
        <v>4.6820000000000004</v>
      </c>
      <c r="S2" s="13">
        <f t="shared" ref="S2:S45" si="11">$K2+8*($U2-$K2)/10</f>
        <v>4.6980000000000004</v>
      </c>
      <c r="T2" s="13">
        <f t="shared" ref="T2:T45" si="12">$K2+9*($U2-$K2)/10</f>
        <v>4.7140000000000004</v>
      </c>
      <c r="U2" s="27">
        <v>4.7300000000000004</v>
      </c>
      <c r="V2" s="13">
        <f t="shared" ref="V2:V45" si="13">$AE2 + ($AE2-$U2)/10</f>
        <v>4.5209999999999999</v>
      </c>
      <c r="W2" s="13">
        <f t="shared" ref="W2:W45" si="14">$AE2 +2* ($AE2-$U2)/10</f>
        <v>4.5019999999999998</v>
      </c>
      <c r="X2" s="13">
        <f t="shared" ref="X2:X45" si="15">$AE2 + 3*($AE2-$U2)/10</f>
        <v>4.4829999999999997</v>
      </c>
      <c r="Y2" s="13">
        <f t="shared" ref="Y2:Y45" si="16">$AE2 +4* ($AE2-$U2)/10</f>
        <v>4.4639999999999995</v>
      </c>
      <c r="Z2" s="13">
        <f t="shared" ref="Z2:Z45" si="17">$AE2 + 5*($AE2-$U2)/10</f>
        <v>4.4450000000000003</v>
      </c>
      <c r="AA2" s="13">
        <f t="shared" ref="AA2:AA45" si="18">$AE2 + 6*($AE2-$U2)/10</f>
        <v>4.4260000000000002</v>
      </c>
      <c r="AB2" s="13">
        <f t="shared" ref="AB2:AB45" si="19">$AE2 + 7*($AE2-$U2)/10</f>
        <v>4.407</v>
      </c>
      <c r="AC2" s="13">
        <f t="shared" ref="AC2:AC45" si="20">$AE2 + 8*($AE2-$U2)/10</f>
        <v>4.3879999999999999</v>
      </c>
      <c r="AD2" s="13">
        <f t="shared" ref="AD2:AD45" si="21">$AE2 + 9*($AE2-$U2)/10</f>
        <v>4.3689999999999998</v>
      </c>
      <c r="AE2" s="13">
        <v>4.54</v>
      </c>
    </row>
    <row r="3" spans="1:31">
      <c r="A3" s="20">
        <v>38777</v>
      </c>
      <c r="B3" s="13">
        <v>4.7699999999999996</v>
      </c>
      <c r="C3" s="13">
        <v>4.7300000000000004</v>
      </c>
      <c r="D3" s="13">
        <v>4.74</v>
      </c>
      <c r="E3" s="13">
        <f t="shared" si="0"/>
        <v>4.7300000000000004</v>
      </c>
      <c r="F3" s="13">
        <v>4.72</v>
      </c>
      <c r="G3" s="13">
        <f t="shared" si="1"/>
        <v>4.7149999999999999</v>
      </c>
      <c r="H3" s="13">
        <v>4.71</v>
      </c>
      <c r="I3" s="13">
        <f t="shared" si="2"/>
        <v>4.7133333333333329</v>
      </c>
      <c r="J3" s="13">
        <f t="shared" si="3"/>
        <v>4.7166666666666668</v>
      </c>
      <c r="K3" s="13">
        <v>4.72</v>
      </c>
      <c r="L3" s="13">
        <f t="shared" si="4"/>
        <v>4.7389999999999999</v>
      </c>
      <c r="M3" s="13">
        <f t="shared" si="5"/>
        <v>4.758</v>
      </c>
      <c r="N3" s="13">
        <f t="shared" si="6"/>
        <v>4.7770000000000001</v>
      </c>
      <c r="O3" s="13">
        <f t="shared" si="7"/>
        <v>4.7960000000000003</v>
      </c>
      <c r="P3" s="13">
        <f t="shared" si="8"/>
        <v>4.8149999999999995</v>
      </c>
      <c r="Q3" s="13">
        <f t="shared" si="9"/>
        <v>4.8339999999999996</v>
      </c>
      <c r="R3" s="13">
        <f t="shared" si="10"/>
        <v>4.8529999999999998</v>
      </c>
      <c r="S3" s="13">
        <f t="shared" si="11"/>
        <v>4.8719999999999999</v>
      </c>
      <c r="T3" s="13">
        <f t="shared" si="12"/>
        <v>4.891</v>
      </c>
      <c r="U3" s="27">
        <v>4.91</v>
      </c>
      <c r="V3" s="13">
        <f t="shared" si="13"/>
        <v>4.7120000000000006</v>
      </c>
      <c r="W3" s="13">
        <f t="shared" si="14"/>
        <v>4.6940000000000008</v>
      </c>
      <c r="X3" s="13">
        <f t="shared" si="15"/>
        <v>4.6760000000000002</v>
      </c>
      <c r="Y3" s="13">
        <f t="shared" si="16"/>
        <v>4.6580000000000004</v>
      </c>
      <c r="Z3" s="13">
        <f t="shared" si="17"/>
        <v>4.6400000000000006</v>
      </c>
      <c r="AA3" s="13">
        <f t="shared" si="18"/>
        <v>4.6220000000000008</v>
      </c>
      <c r="AB3" s="13">
        <f t="shared" si="19"/>
        <v>4.604000000000001</v>
      </c>
      <c r="AC3" s="13">
        <f t="shared" si="20"/>
        <v>4.5860000000000003</v>
      </c>
      <c r="AD3" s="13">
        <f t="shared" si="21"/>
        <v>4.5680000000000005</v>
      </c>
      <c r="AE3" s="13">
        <v>4.7300000000000004</v>
      </c>
    </row>
    <row r="4" spans="1:31">
      <c r="A4" s="20">
        <v>38808</v>
      </c>
      <c r="B4" s="13">
        <v>4.9000000000000004</v>
      </c>
      <c r="C4" s="13">
        <v>4.8899999999999997</v>
      </c>
      <c r="D4" s="13">
        <v>4.8899999999999997</v>
      </c>
      <c r="E4" s="13">
        <f t="shared" si="0"/>
        <v>4.8949999999999996</v>
      </c>
      <c r="F4" s="13">
        <v>4.9000000000000004</v>
      </c>
      <c r="G4" s="13">
        <f t="shared" si="1"/>
        <v>4.92</v>
      </c>
      <c r="H4" s="13">
        <v>4.9400000000000004</v>
      </c>
      <c r="I4" s="13">
        <f t="shared" si="2"/>
        <v>4.956666666666667</v>
      </c>
      <c r="J4" s="13">
        <f t="shared" si="3"/>
        <v>4.9733333333333336</v>
      </c>
      <c r="K4" s="13">
        <v>4.99</v>
      </c>
      <c r="L4" s="13">
        <f t="shared" si="4"/>
        <v>5.0129999999999999</v>
      </c>
      <c r="M4" s="13">
        <f t="shared" si="5"/>
        <v>5.0360000000000005</v>
      </c>
      <c r="N4" s="13">
        <f t="shared" si="6"/>
        <v>5.0590000000000002</v>
      </c>
      <c r="O4" s="13">
        <f t="shared" si="7"/>
        <v>5.0819999999999999</v>
      </c>
      <c r="P4" s="13">
        <f t="shared" si="8"/>
        <v>5.1050000000000004</v>
      </c>
      <c r="Q4" s="13">
        <f t="shared" si="9"/>
        <v>5.1280000000000001</v>
      </c>
      <c r="R4" s="13">
        <f t="shared" si="10"/>
        <v>5.1509999999999998</v>
      </c>
      <c r="S4" s="13">
        <f t="shared" si="11"/>
        <v>5.1739999999999995</v>
      </c>
      <c r="T4" s="13">
        <f t="shared" si="12"/>
        <v>5.1970000000000001</v>
      </c>
      <c r="U4" s="27">
        <v>5.22</v>
      </c>
      <c r="V4" s="13">
        <f t="shared" si="13"/>
        <v>5.0439999999999996</v>
      </c>
      <c r="W4" s="13">
        <f t="shared" si="14"/>
        <v>5.0279999999999996</v>
      </c>
      <c r="X4" s="13">
        <f t="shared" si="15"/>
        <v>5.0119999999999996</v>
      </c>
      <c r="Y4" s="13">
        <f t="shared" si="16"/>
        <v>4.9959999999999996</v>
      </c>
      <c r="Z4" s="13">
        <f t="shared" si="17"/>
        <v>4.9799999999999995</v>
      </c>
      <c r="AA4" s="13">
        <f t="shared" si="18"/>
        <v>4.9639999999999995</v>
      </c>
      <c r="AB4" s="13">
        <f t="shared" si="19"/>
        <v>4.9479999999999995</v>
      </c>
      <c r="AC4" s="13">
        <f t="shared" si="20"/>
        <v>4.9319999999999995</v>
      </c>
      <c r="AD4" s="13">
        <f t="shared" si="21"/>
        <v>4.9159999999999995</v>
      </c>
      <c r="AE4" s="13">
        <v>5.0599999999999996</v>
      </c>
    </row>
    <row r="5" spans="1:31">
      <c r="A5" s="20">
        <v>38838</v>
      </c>
      <c r="B5" s="13">
        <v>5</v>
      </c>
      <c r="C5" s="13">
        <v>4.97</v>
      </c>
      <c r="D5" s="13">
        <v>4.97</v>
      </c>
      <c r="E5" s="13">
        <f t="shared" si="0"/>
        <v>4.9849999999999994</v>
      </c>
      <c r="F5" s="13">
        <v>5</v>
      </c>
      <c r="G5" s="13">
        <f t="shared" si="1"/>
        <v>5.0150000000000006</v>
      </c>
      <c r="H5" s="13">
        <v>5.03</v>
      </c>
      <c r="I5" s="13">
        <f t="shared" si="2"/>
        <v>5.0566666666666666</v>
      </c>
      <c r="J5" s="13">
        <f t="shared" si="3"/>
        <v>5.0833333333333339</v>
      </c>
      <c r="K5" s="13">
        <v>5.1100000000000003</v>
      </c>
      <c r="L5" s="13">
        <f t="shared" si="4"/>
        <v>5.1340000000000003</v>
      </c>
      <c r="M5" s="13">
        <f t="shared" si="5"/>
        <v>5.1580000000000004</v>
      </c>
      <c r="N5" s="13">
        <f t="shared" si="6"/>
        <v>5.1820000000000004</v>
      </c>
      <c r="O5" s="13">
        <f t="shared" si="7"/>
        <v>5.2060000000000004</v>
      </c>
      <c r="P5" s="13">
        <f t="shared" si="8"/>
        <v>5.23</v>
      </c>
      <c r="Q5" s="13">
        <f t="shared" si="9"/>
        <v>5.2539999999999996</v>
      </c>
      <c r="R5" s="13">
        <f t="shared" si="10"/>
        <v>5.2779999999999996</v>
      </c>
      <c r="S5" s="13">
        <f t="shared" si="11"/>
        <v>5.3019999999999996</v>
      </c>
      <c r="T5" s="13">
        <f t="shared" si="12"/>
        <v>5.3259999999999996</v>
      </c>
      <c r="U5" s="27">
        <v>5.35</v>
      </c>
      <c r="V5" s="13">
        <f t="shared" si="13"/>
        <v>5.1850000000000005</v>
      </c>
      <c r="W5" s="13">
        <f t="shared" si="14"/>
        <v>5.17</v>
      </c>
      <c r="X5" s="13">
        <f t="shared" si="15"/>
        <v>5.1550000000000002</v>
      </c>
      <c r="Y5" s="13">
        <f t="shared" si="16"/>
        <v>5.1400000000000006</v>
      </c>
      <c r="Z5" s="13">
        <f t="shared" si="17"/>
        <v>5.125</v>
      </c>
      <c r="AA5" s="13">
        <f t="shared" si="18"/>
        <v>5.1100000000000003</v>
      </c>
      <c r="AB5" s="13">
        <f t="shared" si="19"/>
        <v>5.0950000000000006</v>
      </c>
      <c r="AC5" s="13">
        <f t="shared" si="20"/>
        <v>5.080000000000001</v>
      </c>
      <c r="AD5" s="13">
        <f t="shared" si="21"/>
        <v>5.0650000000000004</v>
      </c>
      <c r="AE5" s="13">
        <v>5.2</v>
      </c>
    </row>
    <row r="6" spans="1:31">
      <c r="A6" s="20">
        <v>38869</v>
      </c>
      <c r="B6" s="13">
        <v>5.16</v>
      </c>
      <c r="C6" s="13">
        <v>5.12</v>
      </c>
      <c r="D6" s="13">
        <v>5.09</v>
      </c>
      <c r="E6" s="13">
        <f t="shared" si="0"/>
        <v>5.08</v>
      </c>
      <c r="F6" s="13">
        <v>5.07</v>
      </c>
      <c r="G6" s="13">
        <f t="shared" si="1"/>
        <v>5.0750000000000002</v>
      </c>
      <c r="H6" s="13">
        <v>5.08</v>
      </c>
      <c r="I6" s="13">
        <f t="shared" si="2"/>
        <v>5.09</v>
      </c>
      <c r="J6" s="13">
        <f t="shared" si="3"/>
        <v>5.1000000000000005</v>
      </c>
      <c r="K6" s="13">
        <v>5.1100000000000003</v>
      </c>
      <c r="L6" s="13">
        <f t="shared" si="4"/>
        <v>5.1280000000000001</v>
      </c>
      <c r="M6" s="13">
        <f t="shared" si="5"/>
        <v>5.1459999999999999</v>
      </c>
      <c r="N6" s="13">
        <f t="shared" si="6"/>
        <v>5.1640000000000006</v>
      </c>
      <c r="O6" s="13">
        <f t="shared" si="7"/>
        <v>5.1820000000000004</v>
      </c>
      <c r="P6" s="13">
        <f t="shared" si="8"/>
        <v>5.2</v>
      </c>
      <c r="Q6" s="13">
        <f t="shared" si="9"/>
        <v>5.218</v>
      </c>
      <c r="R6" s="13">
        <f t="shared" si="10"/>
        <v>5.2359999999999998</v>
      </c>
      <c r="S6" s="13">
        <f t="shared" si="11"/>
        <v>5.2540000000000004</v>
      </c>
      <c r="T6" s="13">
        <f t="shared" si="12"/>
        <v>5.2720000000000002</v>
      </c>
      <c r="U6" s="27">
        <v>5.29</v>
      </c>
      <c r="V6" s="13">
        <f t="shared" si="13"/>
        <v>5.1360000000000001</v>
      </c>
      <c r="W6" s="13">
        <f t="shared" si="14"/>
        <v>5.1220000000000008</v>
      </c>
      <c r="X6" s="13">
        <f t="shared" si="15"/>
        <v>5.1080000000000005</v>
      </c>
      <c r="Y6" s="13">
        <f t="shared" si="16"/>
        <v>5.0940000000000003</v>
      </c>
      <c r="Z6" s="13">
        <f t="shared" si="17"/>
        <v>5.08</v>
      </c>
      <c r="AA6" s="13">
        <f t="shared" si="18"/>
        <v>5.0660000000000007</v>
      </c>
      <c r="AB6" s="13">
        <f t="shared" si="19"/>
        <v>5.0520000000000005</v>
      </c>
      <c r="AC6" s="13">
        <f t="shared" si="20"/>
        <v>5.0380000000000003</v>
      </c>
      <c r="AD6" s="13">
        <f t="shared" si="21"/>
        <v>5.0240000000000009</v>
      </c>
      <c r="AE6" s="13">
        <v>5.15</v>
      </c>
    </row>
    <row r="7" spans="1:31">
      <c r="A7" s="20">
        <v>38899</v>
      </c>
      <c r="B7" s="13">
        <v>5.22</v>
      </c>
      <c r="C7" s="13">
        <v>5.12</v>
      </c>
      <c r="D7" s="13">
        <v>5.07</v>
      </c>
      <c r="E7" s="13">
        <f t="shared" si="0"/>
        <v>5.0549999999999997</v>
      </c>
      <c r="F7" s="13">
        <v>5.04</v>
      </c>
      <c r="G7" s="13">
        <f t="shared" si="1"/>
        <v>5.0449999999999999</v>
      </c>
      <c r="H7" s="13">
        <v>5.05</v>
      </c>
      <c r="I7" s="13">
        <f t="shared" si="2"/>
        <v>5.0633333333333335</v>
      </c>
      <c r="J7" s="13">
        <f t="shared" si="3"/>
        <v>5.0766666666666662</v>
      </c>
      <c r="K7" s="13">
        <v>5.09</v>
      </c>
      <c r="L7" s="13">
        <f t="shared" si="4"/>
        <v>5.1059999999999999</v>
      </c>
      <c r="M7" s="13">
        <f t="shared" si="5"/>
        <v>5.1219999999999999</v>
      </c>
      <c r="N7" s="13">
        <f t="shared" si="6"/>
        <v>5.1379999999999999</v>
      </c>
      <c r="O7" s="13">
        <f t="shared" si="7"/>
        <v>5.1539999999999999</v>
      </c>
      <c r="P7" s="13">
        <f t="shared" si="8"/>
        <v>5.17</v>
      </c>
      <c r="Q7" s="13">
        <f t="shared" si="9"/>
        <v>5.1859999999999999</v>
      </c>
      <c r="R7" s="13">
        <f t="shared" si="10"/>
        <v>5.202</v>
      </c>
      <c r="S7" s="13">
        <f t="shared" si="11"/>
        <v>5.218</v>
      </c>
      <c r="T7" s="13">
        <f t="shared" si="12"/>
        <v>5.234</v>
      </c>
      <c r="U7" s="27">
        <v>5.25</v>
      </c>
      <c r="V7" s="13">
        <f t="shared" si="13"/>
        <v>5.1180000000000003</v>
      </c>
      <c r="W7" s="13">
        <f t="shared" si="14"/>
        <v>5.1059999999999999</v>
      </c>
      <c r="X7" s="13">
        <f t="shared" si="15"/>
        <v>5.0939999999999994</v>
      </c>
      <c r="Y7" s="13">
        <f t="shared" si="16"/>
        <v>5.0819999999999999</v>
      </c>
      <c r="Z7" s="13">
        <f t="shared" si="17"/>
        <v>5.07</v>
      </c>
      <c r="AA7" s="13">
        <f t="shared" si="18"/>
        <v>5.0579999999999998</v>
      </c>
      <c r="AB7" s="13">
        <f t="shared" si="19"/>
        <v>5.0459999999999994</v>
      </c>
      <c r="AC7" s="13">
        <f t="shared" si="20"/>
        <v>5.0339999999999998</v>
      </c>
      <c r="AD7" s="13">
        <f t="shared" si="21"/>
        <v>5.0220000000000002</v>
      </c>
      <c r="AE7" s="13">
        <v>5.13</v>
      </c>
    </row>
    <row r="8" spans="1:31">
      <c r="A8" s="20">
        <v>38930</v>
      </c>
      <c r="B8" s="13">
        <v>5.08</v>
      </c>
      <c r="C8" s="13">
        <v>4.9000000000000004</v>
      </c>
      <c r="D8" s="13">
        <v>4.8499999999999996</v>
      </c>
      <c r="E8" s="13">
        <f t="shared" si="0"/>
        <v>4.835</v>
      </c>
      <c r="F8" s="13">
        <v>4.82</v>
      </c>
      <c r="G8" s="13">
        <f t="shared" si="1"/>
        <v>4.8250000000000002</v>
      </c>
      <c r="H8" s="13">
        <v>4.83</v>
      </c>
      <c r="I8" s="13">
        <f t="shared" si="2"/>
        <v>4.8466666666666667</v>
      </c>
      <c r="J8" s="13">
        <f t="shared" si="3"/>
        <v>4.8633333333333333</v>
      </c>
      <c r="K8" s="13">
        <v>4.88</v>
      </c>
      <c r="L8" s="13">
        <f t="shared" si="4"/>
        <v>4.9000000000000004</v>
      </c>
      <c r="M8" s="13">
        <f t="shared" si="5"/>
        <v>4.92</v>
      </c>
      <c r="N8" s="13">
        <f t="shared" si="6"/>
        <v>4.9399999999999995</v>
      </c>
      <c r="O8" s="13">
        <f t="shared" si="7"/>
        <v>4.96</v>
      </c>
      <c r="P8" s="13">
        <f t="shared" si="8"/>
        <v>4.9800000000000004</v>
      </c>
      <c r="Q8" s="13">
        <f t="shared" si="9"/>
        <v>5</v>
      </c>
      <c r="R8" s="13">
        <f t="shared" si="10"/>
        <v>5.0199999999999996</v>
      </c>
      <c r="S8" s="13">
        <f t="shared" si="11"/>
        <v>5.04</v>
      </c>
      <c r="T8" s="13">
        <f t="shared" si="12"/>
        <v>5.0600000000000005</v>
      </c>
      <c r="U8" s="27">
        <v>5.08</v>
      </c>
      <c r="V8" s="13">
        <f t="shared" si="13"/>
        <v>4.992</v>
      </c>
      <c r="W8" s="13">
        <f t="shared" si="14"/>
        <v>4.984</v>
      </c>
      <c r="X8" s="13">
        <f t="shared" si="15"/>
        <v>4.976</v>
      </c>
      <c r="Y8" s="13">
        <f t="shared" si="16"/>
        <v>4.968</v>
      </c>
      <c r="Z8" s="13">
        <f t="shared" si="17"/>
        <v>4.96</v>
      </c>
      <c r="AA8" s="13">
        <f t="shared" si="18"/>
        <v>4.952</v>
      </c>
      <c r="AB8" s="13">
        <f t="shared" si="19"/>
        <v>4.944</v>
      </c>
      <c r="AC8" s="13">
        <f t="shared" si="20"/>
        <v>4.9359999999999999</v>
      </c>
      <c r="AD8" s="13">
        <f t="shared" si="21"/>
        <v>4.9279999999999999</v>
      </c>
      <c r="AE8" s="13">
        <v>5</v>
      </c>
    </row>
    <row r="9" spans="1:31">
      <c r="A9" s="20">
        <v>38961</v>
      </c>
      <c r="B9" s="13">
        <v>4.97</v>
      </c>
      <c r="C9" s="13">
        <v>4.7699999999999996</v>
      </c>
      <c r="D9" s="13">
        <v>4.6900000000000004</v>
      </c>
      <c r="E9" s="13">
        <f t="shared" si="0"/>
        <v>4.68</v>
      </c>
      <c r="F9" s="13">
        <v>4.67</v>
      </c>
      <c r="G9" s="13">
        <f t="shared" si="1"/>
        <v>4.6749999999999998</v>
      </c>
      <c r="H9" s="13">
        <v>4.68</v>
      </c>
      <c r="I9" s="13">
        <f t="shared" si="2"/>
        <v>4.6933333333333334</v>
      </c>
      <c r="J9" s="13">
        <f t="shared" si="3"/>
        <v>4.7066666666666661</v>
      </c>
      <c r="K9" s="13">
        <v>4.72</v>
      </c>
      <c r="L9" s="13">
        <f t="shared" si="4"/>
        <v>4.7409999999999997</v>
      </c>
      <c r="M9" s="13">
        <f t="shared" si="5"/>
        <v>4.7619999999999996</v>
      </c>
      <c r="N9" s="13">
        <f t="shared" si="6"/>
        <v>4.7829999999999995</v>
      </c>
      <c r="O9" s="13">
        <f t="shared" si="7"/>
        <v>4.8039999999999994</v>
      </c>
      <c r="P9" s="13">
        <f t="shared" si="8"/>
        <v>4.8249999999999993</v>
      </c>
      <c r="Q9" s="13">
        <f t="shared" si="9"/>
        <v>4.8460000000000001</v>
      </c>
      <c r="R9" s="13">
        <f t="shared" si="10"/>
        <v>4.867</v>
      </c>
      <c r="S9" s="13">
        <f t="shared" si="11"/>
        <v>4.8879999999999999</v>
      </c>
      <c r="T9" s="13">
        <f t="shared" si="12"/>
        <v>4.9089999999999998</v>
      </c>
      <c r="U9" s="27">
        <v>4.93</v>
      </c>
      <c r="V9" s="13">
        <f t="shared" si="13"/>
        <v>4.8419999999999996</v>
      </c>
      <c r="W9" s="13">
        <f t="shared" si="14"/>
        <v>4.8339999999999996</v>
      </c>
      <c r="X9" s="13">
        <f t="shared" si="15"/>
        <v>4.8259999999999996</v>
      </c>
      <c r="Y9" s="13">
        <f t="shared" si="16"/>
        <v>4.8179999999999996</v>
      </c>
      <c r="Z9" s="13">
        <f t="shared" si="17"/>
        <v>4.8099999999999996</v>
      </c>
      <c r="AA9" s="13">
        <f t="shared" si="18"/>
        <v>4.8019999999999996</v>
      </c>
      <c r="AB9" s="13">
        <f t="shared" si="19"/>
        <v>4.7939999999999996</v>
      </c>
      <c r="AC9" s="13">
        <f t="shared" si="20"/>
        <v>4.7859999999999996</v>
      </c>
      <c r="AD9" s="13">
        <f t="shared" si="21"/>
        <v>4.7779999999999996</v>
      </c>
      <c r="AE9" s="13">
        <v>4.8499999999999996</v>
      </c>
    </row>
    <row r="10" spans="1:31">
      <c r="A10" s="20">
        <v>38991</v>
      </c>
      <c r="B10" s="13">
        <v>5.01</v>
      </c>
      <c r="C10" s="13">
        <v>4.8</v>
      </c>
      <c r="D10" s="13">
        <v>4.72</v>
      </c>
      <c r="E10" s="13">
        <f t="shared" si="0"/>
        <v>4.7050000000000001</v>
      </c>
      <c r="F10" s="13">
        <v>4.6900000000000004</v>
      </c>
      <c r="G10" s="13">
        <f t="shared" si="1"/>
        <v>4.6900000000000004</v>
      </c>
      <c r="H10" s="13">
        <v>4.6900000000000004</v>
      </c>
      <c r="I10" s="13">
        <f t="shared" si="2"/>
        <v>4.703333333333334</v>
      </c>
      <c r="J10" s="13">
        <f t="shared" si="3"/>
        <v>4.7166666666666668</v>
      </c>
      <c r="K10" s="13">
        <v>4.7300000000000004</v>
      </c>
      <c r="L10" s="13">
        <f t="shared" si="4"/>
        <v>4.7510000000000003</v>
      </c>
      <c r="M10" s="13">
        <f t="shared" si="5"/>
        <v>4.7720000000000002</v>
      </c>
      <c r="N10" s="13">
        <f t="shared" si="6"/>
        <v>4.7930000000000001</v>
      </c>
      <c r="O10" s="13">
        <f t="shared" si="7"/>
        <v>4.8140000000000001</v>
      </c>
      <c r="P10" s="13">
        <f t="shared" si="8"/>
        <v>4.8350000000000009</v>
      </c>
      <c r="Q10" s="13">
        <f t="shared" si="9"/>
        <v>4.8560000000000008</v>
      </c>
      <c r="R10" s="13">
        <f t="shared" si="10"/>
        <v>4.8770000000000007</v>
      </c>
      <c r="S10" s="13">
        <f t="shared" si="11"/>
        <v>4.8980000000000006</v>
      </c>
      <c r="T10" s="13">
        <f t="shared" si="12"/>
        <v>4.9190000000000005</v>
      </c>
      <c r="U10" s="27">
        <v>4.9400000000000004</v>
      </c>
      <c r="V10" s="13">
        <f t="shared" si="13"/>
        <v>4.8409999999999993</v>
      </c>
      <c r="W10" s="13">
        <f t="shared" si="14"/>
        <v>4.8319999999999999</v>
      </c>
      <c r="X10" s="13">
        <f t="shared" si="15"/>
        <v>4.8229999999999995</v>
      </c>
      <c r="Y10" s="13">
        <f t="shared" si="16"/>
        <v>4.8139999999999992</v>
      </c>
      <c r="Z10" s="13">
        <f t="shared" si="17"/>
        <v>4.8049999999999997</v>
      </c>
      <c r="AA10" s="13">
        <f t="shared" si="18"/>
        <v>4.7959999999999994</v>
      </c>
      <c r="AB10" s="13">
        <f t="shared" si="19"/>
        <v>4.786999999999999</v>
      </c>
      <c r="AC10" s="13">
        <f t="shared" si="20"/>
        <v>4.7779999999999987</v>
      </c>
      <c r="AD10" s="13">
        <f t="shared" si="21"/>
        <v>4.7689999999999992</v>
      </c>
      <c r="AE10" s="13">
        <v>4.8499999999999996</v>
      </c>
    </row>
    <row r="11" spans="1:31">
      <c r="A11" s="20">
        <v>39022</v>
      </c>
      <c r="B11" s="13">
        <v>5.01</v>
      </c>
      <c r="C11" s="13">
        <v>4.74</v>
      </c>
      <c r="D11" s="13">
        <v>4.6399999999999997</v>
      </c>
      <c r="E11" s="13">
        <f t="shared" si="0"/>
        <v>4.6099999999999994</v>
      </c>
      <c r="F11" s="13">
        <v>4.58</v>
      </c>
      <c r="G11" s="13">
        <f t="shared" si="1"/>
        <v>4.58</v>
      </c>
      <c r="H11" s="13">
        <v>4.58</v>
      </c>
      <c r="I11" s="13">
        <f t="shared" si="2"/>
        <v>4.5866666666666669</v>
      </c>
      <c r="J11" s="13">
        <f t="shared" si="3"/>
        <v>4.5933333333333328</v>
      </c>
      <c r="K11" s="13">
        <v>4.5999999999999996</v>
      </c>
      <c r="L11" s="13">
        <f t="shared" si="4"/>
        <v>4.6179999999999994</v>
      </c>
      <c r="M11" s="13">
        <f t="shared" si="5"/>
        <v>4.6360000000000001</v>
      </c>
      <c r="N11" s="13">
        <f t="shared" si="6"/>
        <v>4.6539999999999999</v>
      </c>
      <c r="O11" s="13">
        <f t="shared" si="7"/>
        <v>4.6719999999999997</v>
      </c>
      <c r="P11" s="13">
        <f t="shared" si="8"/>
        <v>4.6899999999999995</v>
      </c>
      <c r="Q11" s="13">
        <f t="shared" si="9"/>
        <v>4.7080000000000002</v>
      </c>
      <c r="R11" s="13">
        <f t="shared" si="10"/>
        <v>4.726</v>
      </c>
      <c r="S11" s="13">
        <f t="shared" si="11"/>
        <v>4.7439999999999998</v>
      </c>
      <c r="T11" s="13">
        <f t="shared" si="12"/>
        <v>4.7620000000000005</v>
      </c>
      <c r="U11" s="27">
        <v>4.78</v>
      </c>
      <c r="V11" s="13">
        <f t="shared" si="13"/>
        <v>4.681</v>
      </c>
      <c r="W11" s="13">
        <f t="shared" si="14"/>
        <v>4.6720000000000006</v>
      </c>
      <c r="X11" s="13">
        <f t="shared" si="15"/>
        <v>4.6630000000000003</v>
      </c>
      <c r="Y11" s="13">
        <f t="shared" si="16"/>
        <v>4.6540000000000008</v>
      </c>
      <c r="Z11" s="13">
        <f t="shared" si="17"/>
        <v>4.6450000000000005</v>
      </c>
      <c r="AA11" s="13">
        <f t="shared" si="18"/>
        <v>4.6360000000000001</v>
      </c>
      <c r="AB11" s="13">
        <f t="shared" si="19"/>
        <v>4.6270000000000007</v>
      </c>
      <c r="AC11" s="13">
        <f t="shared" si="20"/>
        <v>4.6180000000000003</v>
      </c>
      <c r="AD11" s="13">
        <f t="shared" si="21"/>
        <v>4.6090000000000009</v>
      </c>
      <c r="AE11" s="13">
        <v>4.6900000000000004</v>
      </c>
    </row>
    <row r="12" spans="1:31">
      <c r="A12" s="20">
        <v>39052</v>
      </c>
      <c r="B12" s="13">
        <v>4.9400000000000004</v>
      </c>
      <c r="C12" s="13">
        <v>4.67</v>
      </c>
      <c r="D12" s="13">
        <v>4.58</v>
      </c>
      <c r="E12" s="13">
        <f t="shared" si="0"/>
        <v>4.5549999999999997</v>
      </c>
      <c r="F12" s="13">
        <v>4.53</v>
      </c>
      <c r="G12" s="13">
        <f t="shared" si="1"/>
        <v>4.5350000000000001</v>
      </c>
      <c r="H12" s="13">
        <v>4.54</v>
      </c>
      <c r="I12" s="13">
        <f t="shared" si="2"/>
        <v>4.5466666666666669</v>
      </c>
      <c r="J12" s="13">
        <f t="shared" si="3"/>
        <v>4.5533333333333328</v>
      </c>
      <c r="K12" s="13">
        <v>4.5599999999999996</v>
      </c>
      <c r="L12" s="13">
        <f t="shared" si="4"/>
        <v>4.5819999999999999</v>
      </c>
      <c r="M12" s="13">
        <f t="shared" si="5"/>
        <v>4.6040000000000001</v>
      </c>
      <c r="N12" s="13">
        <f t="shared" si="6"/>
        <v>4.6259999999999994</v>
      </c>
      <c r="O12" s="13">
        <f t="shared" si="7"/>
        <v>4.6479999999999997</v>
      </c>
      <c r="P12" s="13">
        <f t="shared" si="8"/>
        <v>4.67</v>
      </c>
      <c r="Q12" s="13">
        <f t="shared" si="9"/>
        <v>4.6920000000000002</v>
      </c>
      <c r="R12" s="13">
        <f t="shared" si="10"/>
        <v>4.7140000000000004</v>
      </c>
      <c r="S12" s="13">
        <f t="shared" si="11"/>
        <v>4.7359999999999998</v>
      </c>
      <c r="T12" s="13">
        <f t="shared" si="12"/>
        <v>4.758</v>
      </c>
      <c r="U12" s="27">
        <v>4.78</v>
      </c>
      <c r="V12" s="13">
        <f t="shared" si="13"/>
        <v>4.67</v>
      </c>
      <c r="W12" s="13">
        <f t="shared" si="14"/>
        <v>4.6599999999999993</v>
      </c>
      <c r="X12" s="13">
        <f t="shared" si="15"/>
        <v>4.6499999999999995</v>
      </c>
      <c r="Y12" s="13">
        <f t="shared" si="16"/>
        <v>4.6399999999999997</v>
      </c>
      <c r="Z12" s="13">
        <f t="shared" si="17"/>
        <v>4.629999999999999</v>
      </c>
      <c r="AA12" s="13">
        <f t="shared" si="18"/>
        <v>4.6199999999999992</v>
      </c>
      <c r="AB12" s="13">
        <f t="shared" si="19"/>
        <v>4.6099999999999994</v>
      </c>
      <c r="AC12" s="13">
        <f t="shared" si="20"/>
        <v>4.5999999999999996</v>
      </c>
      <c r="AD12" s="13">
        <f t="shared" si="21"/>
        <v>4.589999999999999</v>
      </c>
      <c r="AE12" s="13">
        <v>4.68</v>
      </c>
    </row>
    <row r="13" spans="1:31">
      <c r="A13" s="20">
        <v>39083</v>
      </c>
      <c r="B13" s="13">
        <v>5.0599999999999996</v>
      </c>
      <c r="C13" s="13">
        <v>4.88</v>
      </c>
      <c r="D13" s="13">
        <v>4.79</v>
      </c>
      <c r="E13" s="13">
        <f t="shared" si="0"/>
        <v>4.7699999999999996</v>
      </c>
      <c r="F13" s="13">
        <v>4.75</v>
      </c>
      <c r="G13" s="13">
        <f t="shared" si="1"/>
        <v>4.75</v>
      </c>
      <c r="H13" s="13">
        <v>4.75</v>
      </c>
      <c r="I13" s="13">
        <f t="shared" si="2"/>
        <v>4.753333333333333</v>
      </c>
      <c r="J13" s="13">
        <f t="shared" si="3"/>
        <v>4.7566666666666668</v>
      </c>
      <c r="K13" s="13">
        <v>4.76</v>
      </c>
      <c r="L13" s="13">
        <f t="shared" si="4"/>
        <v>4.7789999999999999</v>
      </c>
      <c r="M13" s="13">
        <f t="shared" si="5"/>
        <v>4.798</v>
      </c>
      <c r="N13" s="13">
        <f t="shared" si="6"/>
        <v>4.8170000000000002</v>
      </c>
      <c r="O13" s="13">
        <f t="shared" si="7"/>
        <v>4.8360000000000003</v>
      </c>
      <c r="P13" s="13">
        <f t="shared" si="8"/>
        <v>4.8550000000000004</v>
      </c>
      <c r="Q13" s="13">
        <f t="shared" si="9"/>
        <v>4.8739999999999997</v>
      </c>
      <c r="R13" s="13">
        <f t="shared" si="10"/>
        <v>4.8929999999999998</v>
      </c>
      <c r="S13" s="13">
        <f t="shared" si="11"/>
        <v>4.9119999999999999</v>
      </c>
      <c r="T13" s="13">
        <f t="shared" si="12"/>
        <v>4.931</v>
      </c>
      <c r="U13" s="27">
        <v>4.95</v>
      </c>
      <c r="V13" s="13">
        <f t="shared" si="13"/>
        <v>4.84</v>
      </c>
      <c r="W13" s="13">
        <f t="shared" si="14"/>
        <v>4.8299999999999992</v>
      </c>
      <c r="X13" s="13">
        <f t="shared" si="15"/>
        <v>4.8199999999999994</v>
      </c>
      <c r="Y13" s="13">
        <f t="shared" si="16"/>
        <v>4.8099999999999996</v>
      </c>
      <c r="Z13" s="13">
        <f t="shared" si="17"/>
        <v>4.7999999999999989</v>
      </c>
      <c r="AA13" s="13">
        <f t="shared" si="18"/>
        <v>4.7899999999999991</v>
      </c>
      <c r="AB13" s="13">
        <f t="shared" si="19"/>
        <v>4.7799999999999994</v>
      </c>
      <c r="AC13" s="13">
        <f t="shared" si="20"/>
        <v>4.7699999999999996</v>
      </c>
      <c r="AD13" s="13">
        <f t="shared" si="21"/>
        <v>4.7599999999999989</v>
      </c>
      <c r="AE13" s="13">
        <v>4.8499999999999996</v>
      </c>
    </row>
    <row r="14" spans="1:31">
      <c r="A14" s="20">
        <v>39114</v>
      </c>
      <c r="B14" s="13">
        <v>5.05</v>
      </c>
      <c r="C14" s="13">
        <v>4.8499999999999996</v>
      </c>
      <c r="D14" s="13">
        <v>4.75</v>
      </c>
      <c r="E14" s="13">
        <f t="shared" si="0"/>
        <v>4.7300000000000004</v>
      </c>
      <c r="F14" s="13">
        <v>4.71</v>
      </c>
      <c r="G14" s="13">
        <f t="shared" si="1"/>
        <v>4.71</v>
      </c>
      <c r="H14" s="13">
        <v>4.71</v>
      </c>
      <c r="I14" s="13">
        <f t="shared" si="2"/>
        <v>4.7133333333333329</v>
      </c>
      <c r="J14" s="13">
        <f t="shared" si="3"/>
        <v>4.7166666666666668</v>
      </c>
      <c r="K14" s="13">
        <v>4.72</v>
      </c>
      <c r="L14" s="13">
        <f t="shared" si="4"/>
        <v>4.7409999999999997</v>
      </c>
      <c r="M14" s="13">
        <f t="shared" si="5"/>
        <v>4.7619999999999996</v>
      </c>
      <c r="N14" s="13">
        <f t="shared" si="6"/>
        <v>4.7829999999999995</v>
      </c>
      <c r="O14" s="13">
        <f t="shared" si="7"/>
        <v>4.8039999999999994</v>
      </c>
      <c r="P14" s="13">
        <f t="shared" si="8"/>
        <v>4.8249999999999993</v>
      </c>
      <c r="Q14" s="13">
        <f t="shared" si="9"/>
        <v>4.8460000000000001</v>
      </c>
      <c r="R14" s="13">
        <f t="shared" si="10"/>
        <v>4.867</v>
      </c>
      <c r="S14" s="13">
        <f t="shared" si="11"/>
        <v>4.8879999999999999</v>
      </c>
      <c r="T14" s="13">
        <f t="shared" si="12"/>
        <v>4.9089999999999998</v>
      </c>
      <c r="U14" s="27">
        <v>4.93</v>
      </c>
      <c r="V14" s="13">
        <f t="shared" si="13"/>
        <v>4.8090000000000002</v>
      </c>
      <c r="W14" s="13">
        <f t="shared" si="14"/>
        <v>4.798</v>
      </c>
      <c r="X14" s="13">
        <f t="shared" si="15"/>
        <v>4.7870000000000008</v>
      </c>
      <c r="Y14" s="13">
        <f t="shared" si="16"/>
        <v>4.7760000000000007</v>
      </c>
      <c r="Z14" s="13">
        <f t="shared" si="17"/>
        <v>4.7650000000000006</v>
      </c>
      <c r="AA14" s="13">
        <f t="shared" si="18"/>
        <v>4.7540000000000004</v>
      </c>
      <c r="AB14" s="13">
        <f t="shared" si="19"/>
        <v>4.7430000000000003</v>
      </c>
      <c r="AC14" s="13">
        <f t="shared" si="20"/>
        <v>4.7320000000000011</v>
      </c>
      <c r="AD14" s="13">
        <f t="shared" si="21"/>
        <v>4.721000000000001</v>
      </c>
      <c r="AE14" s="13">
        <v>4.82</v>
      </c>
    </row>
    <row r="15" spans="1:31">
      <c r="A15" s="20">
        <v>39142</v>
      </c>
      <c r="B15" s="13">
        <v>4.92</v>
      </c>
      <c r="C15" s="13">
        <v>4.57</v>
      </c>
      <c r="D15" s="13">
        <v>4.51</v>
      </c>
      <c r="E15" s="13">
        <f t="shared" si="0"/>
        <v>4.4950000000000001</v>
      </c>
      <c r="F15" s="13">
        <v>4.4800000000000004</v>
      </c>
      <c r="G15" s="13">
        <f t="shared" si="1"/>
        <v>4.49</v>
      </c>
      <c r="H15" s="13">
        <v>4.5</v>
      </c>
      <c r="I15" s="13">
        <f t="shared" si="2"/>
        <v>4.5199999999999996</v>
      </c>
      <c r="J15" s="13">
        <f t="shared" si="3"/>
        <v>4.54</v>
      </c>
      <c r="K15" s="13">
        <v>4.5599999999999996</v>
      </c>
      <c r="L15" s="13">
        <f t="shared" si="4"/>
        <v>4.585</v>
      </c>
      <c r="M15" s="13">
        <f t="shared" si="5"/>
        <v>4.6099999999999994</v>
      </c>
      <c r="N15" s="13">
        <f t="shared" si="6"/>
        <v>4.6349999999999998</v>
      </c>
      <c r="O15" s="13">
        <f t="shared" si="7"/>
        <v>4.6599999999999993</v>
      </c>
      <c r="P15" s="13">
        <f t="shared" si="8"/>
        <v>4.6849999999999996</v>
      </c>
      <c r="Q15" s="13">
        <f t="shared" si="9"/>
        <v>4.71</v>
      </c>
      <c r="R15" s="13">
        <f t="shared" si="10"/>
        <v>4.7349999999999994</v>
      </c>
      <c r="S15" s="13">
        <f t="shared" si="11"/>
        <v>4.76</v>
      </c>
      <c r="T15" s="13">
        <f t="shared" si="12"/>
        <v>4.7849999999999993</v>
      </c>
      <c r="U15" s="27">
        <v>4.8099999999999996</v>
      </c>
      <c r="V15" s="13">
        <f t="shared" si="13"/>
        <v>4.7109999999999994</v>
      </c>
      <c r="W15" s="13">
        <f t="shared" si="14"/>
        <v>4.702</v>
      </c>
      <c r="X15" s="13">
        <f t="shared" si="15"/>
        <v>4.6929999999999996</v>
      </c>
      <c r="Y15" s="13">
        <f t="shared" si="16"/>
        <v>4.6840000000000002</v>
      </c>
      <c r="Z15" s="13">
        <f t="shared" si="17"/>
        <v>4.6749999999999998</v>
      </c>
      <c r="AA15" s="13">
        <f t="shared" si="18"/>
        <v>4.6659999999999995</v>
      </c>
      <c r="AB15" s="13">
        <f t="shared" si="19"/>
        <v>4.657</v>
      </c>
      <c r="AC15" s="13">
        <f t="shared" si="20"/>
        <v>4.6479999999999997</v>
      </c>
      <c r="AD15" s="13">
        <f t="shared" si="21"/>
        <v>4.6390000000000002</v>
      </c>
      <c r="AE15" s="13">
        <v>4.72</v>
      </c>
    </row>
    <row r="16" spans="1:31">
      <c r="A16" s="20">
        <v>39173</v>
      </c>
      <c r="B16" s="13">
        <v>4.93</v>
      </c>
      <c r="C16" s="13">
        <v>4.67</v>
      </c>
      <c r="D16" s="13">
        <v>4.5999999999999996</v>
      </c>
      <c r="E16" s="13">
        <f t="shared" si="0"/>
        <v>4.5949999999999998</v>
      </c>
      <c r="F16" s="13">
        <v>4.59</v>
      </c>
      <c r="G16" s="13">
        <f t="shared" si="1"/>
        <v>4.6050000000000004</v>
      </c>
      <c r="H16" s="13">
        <v>4.62</v>
      </c>
      <c r="I16" s="13">
        <f t="shared" si="2"/>
        <v>4.6433333333333335</v>
      </c>
      <c r="J16" s="13">
        <f t="shared" si="3"/>
        <v>4.666666666666667</v>
      </c>
      <c r="K16" s="13">
        <v>4.6900000000000004</v>
      </c>
      <c r="L16" s="13">
        <f t="shared" si="4"/>
        <v>4.7160000000000002</v>
      </c>
      <c r="M16" s="13">
        <f t="shared" si="5"/>
        <v>4.742</v>
      </c>
      <c r="N16" s="13">
        <f t="shared" si="6"/>
        <v>4.7680000000000007</v>
      </c>
      <c r="O16" s="13">
        <f t="shared" si="7"/>
        <v>4.7940000000000005</v>
      </c>
      <c r="P16" s="13">
        <f t="shared" si="8"/>
        <v>4.82</v>
      </c>
      <c r="Q16" s="13">
        <f t="shared" si="9"/>
        <v>4.8460000000000001</v>
      </c>
      <c r="R16" s="13">
        <f t="shared" si="10"/>
        <v>4.8719999999999999</v>
      </c>
      <c r="S16" s="13">
        <f t="shared" si="11"/>
        <v>4.8980000000000006</v>
      </c>
      <c r="T16" s="13">
        <f t="shared" si="12"/>
        <v>4.9240000000000004</v>
      </c>
      <c r="U16" s="27">
        <v>4.95</v>
      </c>
      <c r="V16" s="13">
        <f t="shared" si="13"/>
        <v>4.8620000000000001</v>
      </c>
      <c r="W16" s="13">
        <f t="shared" si="14"/>
        <v>4.8540000000000001</v>
      </c>
      <c r="X16" s="13">
        <f t="shared" si="15"/>
        <v>4.8460000000000001</v>
      </c>
      <c r="Y16" s="13">
        <f t="shared" si="16"/>
        <v>4.8380000000000001</v>
      </c>
      <c r="Z16" s="13">
        <f t="shared" si="17"/>
        <v>4.83</v>
      </c>
      <c r="AA16" s="13">
        <f t="shared" si="18"/>
        <v>4.8220000000000001</v>
      </c>
      <c r="AB16" s="13">
        <f t="shared" si="19"/>
        <v>4.8140000000000001</v>
      </c>
      <c r="AC16" s="13">
        <f t="shared" si="20"/>
        <v>4.806</v>
      </c>
      <c r="AD16" s="13">
        <f t="shared" si="21"/>
        <v>4.798</v>
      </c>
      <c r="AE16" s="13">
        <v>4.87</v>
      </c>
    </row>
    <row r="17" spans="1:31">
      <c r="A17" s="20">
        <v>39203</v>
      </c>
      <c r="B17" s="13">
        <v>4.91</v>
      </c>
      <c r="C17" s="13">
        <v>4.7699999999999996</v>
      </c>
      <c r="D17" s="13">
        <v>4.6900000000000004</v>
      </c>
      <c r="E17" s="13">
        <f t="shared" si="0"/>
        <v>4.68</v>
      </c>
      <c r="F17" s="13">
        <v>4.67</v>
      </c>
      <c r="G17" s="13">
        <f t="shared" si="1"/>
        <v>4.68</v>
      </c>
      <c r="H17" s="13">
        <v>4.6900000000000004</v>
      </c>
      <c r="I17" s="13">
        <f t="shared" si="2"/>
        <v>4.71</v>
      </c>
      <c r="J17" s="13">
        <f t="shared" si="3"/>
        <v>4.7300000000000004</v>
      </c>
      <c r="K17" s="13">
        <v>4.75</v>
      </c>
      <c r="L17" s="13">
        <f t="shared" si="4"/>
        <v>4.7729999999999997</v>
      </c>
      <c r="M17" s="13">
        <f t="shared" si="5"/>
        <v>4.7960000000000003</v>
      </c>
      <c r="N17" s="13">
        <f t="shared" si="6"/>
        <v>4.819</v>
      </c>
      <c r="O17" s="13">
        <f t="shared" si="7"/>
        <v>4.8420000000000005</v>
      </c>
      <c r="P17" s="13">
        <f t="shared" si="8"/>
        <v>4.8650000000000002</v>
      </c>
      <c r="Q17" s="13">
        <f t="shared" si="9"/>
        <v>4.8879999999999999</v>
      </c>
      <c r="R17" s="13">
        <f t="shared" si="10"/>
        <v>4.9110000000000005</v>
      </c>
      <c r="S17" s="13">
        <f t="shared" si="11"/>
        <v>4.9340000000000002</v>
      </c>
      <c r="T17" s="13">
        <f t="shared" si="12"/>
        <v>4.9570000000000007</v>
      </c>
      <c r="U17" s="27">
        <v>4.9800000000000004</v>
      </c>
      <c r="V17" s="13">
        <f t="shared" si="13"/>
        <v>4.8920000000000003</v>
      </c>
      <c r="W17" s="13">
        <f t="shared" si="14"/>
        <v>4.8840000000000003</v>
      </c>
      <c r="X17" s="13">
        <f t="shared" si="15"/>
        <v>4.8760000000000003</v>
      </c>
      <c r="Y17" s="13">
        <f t="shared" si="16"/>
        <v>4.8680000000000003</v>
      </c>
      <c r="Z17" s="13">
        <f t="shared" si="17"/>
        <v>4.8600000000000003</v>
      </c>
      <c r="AA17" s="13">
        <f t="shared" si="18"/>
        <v>4.8520000000000003</v>
      </c>
      <c r="AB17" s="13">
        <f t="shared" si="19"/>
        <v>4.8440000000000003</v>
      </c>
      <c r="AC17" s="13">
        <f t="shared" si="20"/>
        <v>4.8360000000000003</v>
      </c>
      <c r="AD17" s="13">
        <f t="shared" si="21"/>
        <v>4.8280000000000003</v>
      </c>
      <c r="AE17" s="13">
        <v>4.9000000000000004</v>
      </c>
    </row>
    <row r="18" spans="1:31">
      <c r="A18" s="20">
        <v>39234</v>
      </c>
      <c r="B18" s="13">
        <v>4.96</v>
      </c>
      <c r="C18" s="13">
        <v>4.9800000000000004</v>
      </c>
      <c r="D18" s="13">
        <v>5</v>
      </c>
      <c r="E18" s="13">
        <f t="shared" si="0"/>
        <v>5.0150000000000006</v>
      </c>
      <c r="F18" s="13">
        <v>5.03</v>
      </c>
      <c r="G18" s="13">
        <f t="shared" si="1"/>
        <v>5.04</v>
      </c>
      <c r="H18" s="13">
        <v>5.05</v>
      </c>
      <c r="I18" s="13">
        <f t="shared" si="2"/>
        <v>5.0666666666666664</v>
      </c>
      <c r="J18" s="13">
        <f t="shared" si="3"/>
        <v>5.083333333333333</v>
      </c>
      <c r="K18" s="13">
        <v>5.0999999999999996</v>
      </c>
      <c r="L18" s="13">
        <f t="shared" si="4"/>
        <v>5.1189999999999998</v>
      </c>
      <c r="M18" s="13">
        <f t="shared" si="5"/>
        <v>5.1379999999999999</v>
      </c>
      <c r="N18" s="13">
        <f t="shared" si="6"/>
        <v>5.157</v>
      </c>
      <c r="O18" s="13">
        <f t="shared" si="7"/>
        <v>5.1760000000000002</v>
      </c>
      <c r="P18" s="13">
        <f t="shared" si="8"/>
        <v>5.1950000000000003</v>
      </c>
      <c r="Q18" s="13">
        <f t="shared" si="9"/>
        <v>5.2139999999999995</v>
      </c>
      <c r="R18" s="13">
        <f t="shared" si="10"/>
        <v>5.2329999999999997</v>
      </c>
      <c r="S18" s="13">
        <f t="shared" si="11"/>
        <v>5.2519999999999998</v>
      </c>
      <c r="T18" s="13">
        <f t="shared" si="12"/>
        <v>5.2709999999999999</v>
      </c>
      <c r="U18" s="27">
        <v>5.29</v>
      </c>
      <c r="V18" s="13">
        <f t="shared" si="13"/>
        <v>5.1909999999999998</v>
      </c>
      <c r="W18" s="13">
        <f t="shared" si="14"/>
        <v>5.1820000000000004</v>
      </c>
      <c r="X18" s="13">
        <f t="shared" si="15"/>
        <v>5.173</v>
      </c>
      <c r="Y18" s="13">
        <f t="shared" si="16"/>
        <v>5.1640000000000006</v>
      </c>
      <c r="Z18" s="13">
        <f t="shared" si="17"/>
        <v>5.1550000000000002</v>
      </c>
      <c r="AA18" s="13">
        <f t="shared" si="18"/>
        <v>5.1459999999999999</v>
      </c>
      <c r="AB18" s="13">
        <f t="shared" si="19"/>
        <v>5.1370000000000005</v>
      </c>
      <c r="AC18" s="13">
        <f t="shared" si="20"/>
        <v>5.1280000000000001</v>
      </c>
      <c r="AD18" s="13">
        <f t="shared" si="21"/>
        <v>5.1190000000000007</v>
      </c>
      <c r="AE18" s="13">
        <v>5.2</v>
      </c>
    </row>
    <row r="19" spans="1:31">
      <c r="A19" s="20">
        <v>39264</v>
      </c>
      <c r="B19" s="13">
        <v>4.96</v>
      </c>
      <c r="C19" s="13">
        <v>4.82</v>
      </c>
      <c r="D19" s="13">
        <v>4.82</v>
      </c>
      <c r="E19" s="13">
        <f t="shared" si="0"/>
        <v>4.8499999999999996</v>
      </c>
      <c r="F19" s="13">
        <v>4.88</v>
      </c>
      <c r="G19" s="13">
        <f t="shared" si="1"/>
        <v>4.9049999999999994</v>
      </c>
      <c r="H19" s="13">
        <v>4.93</v>
      </c>
      <c r="I19" s="13">
        <f t="shared" si="2"/>
        <v>4.9533333333333331</v>
      </c>
      <c r="J19" s="13">
        <f t="shared" si="3"/>
        <v>4.9766666666666666</v>
      </c>
      <c r="K19" s="13">
        <v>5</v>
      </c>
      <c r="L19" s="13">
        <f t="shared" si="4"/>
        <v>5.0190000000000001</v>
      </c>
      <c r="M19" s="13">
        <f t="shared" si="5"/>
        <v>5.0380000000000003</v>
      </c>
      <c r="N19" s="13">
        <f t="shared" si="6"/>
        <v>5.0570000000000004</v>
      </c>
      <c r="O19" s="13">
        <f t="shared" si="7"/>
        <v>5.0760000000000005</v>
      </c>
      <c r="P19" s="13">
        <f t="shared" si="8"/>
        <v>5.0950000000000006</v>
      </c>
      <c r="Q19" s="13">
        <f t="shared" si="9"/>
        <v>5.1139999999999999</v>
      </c>
      <c r="R19" s="13">
        <f t="shared" si="10"/>
        <v>5.133</v>
      </c>
      <c r="S19" s="13">
        <f t="shared" si="11"/>
        <v>5.1520000000000001</v>
      </c>
      <c r="T19" s="13">
        <f t="shared" si="12"/>
        <v>5.1710000000000003</v>
      </c>
      <c r="U19" s="27">
        <v>5.19</v>
      </c>
      <c r="V19" s="13">
        <f t="shared" si="13"/>
        <v>5.1020000000000003</v>
      </c>
      <c r="W19" s="13">
        <f t="shared" si="14"/>
        <v>5.0940000000000003</v>
      </c>
      <c r="X19" s="13">
        <f t="shared" si="15"/>
        <v>5.0860000000000003</v>
      </c>
      <c r="Y19" s="13">
        <f t="shared" si="16"/>
        <v>5.0780000000000003</v>
      </c>
      <c r="Z19" s="13">
        <f t="shared" si="17"/>
        <v>5.07</v>
      </c>
      <c r="AA19" s="13">
        <f t="shared" si="18"/>
        <v>5.0620000000000003</v>
      </c>
      <c r="AB19" s="13">
        <f t="shared" si="19"/>
        <v>5.0540000000000003</v>
      </c>
      <c r="AC19" s="13">
        <f t="shared" si="20"/>
        <v>5.0460000000000003</v>
      </c>
      <c r="AD19" s="13">
        <f t="shared" si="21"/>
        <v>5.0380000000000003</v>
      </c>
      <c r="AE19" s="13">
        <v>5.1100000000000003</v>
      </c>
    </row>
    <row r="20" spans="1:31">
      <c r="A20" s="20">
        <v>39295</v>
      </c>
      <c r="B20" s="13">
        <v>4.47</v>
      </c>
      <c r="C20" s="13">
        <v>4.3099999999999996</v>
      </c>
      <c r="D20" s="13">
        <v>4.34</v>
      </c>
      <c r="E20" s="13">
        <f t="shared" si="0"/>
        <v>4.3849999999999998</v>
      </c>
      <c r="F20" s="13">
        <v>4.43</v>
      </c>
      <c r="G20" s="13">
        <f t="shared" si="1"/>
        <v>4.4800000000000004</v>
      </c>
      <c r="H20" s="13">
        <v>4.53</v>
      </c>
      <c r="I20" s="13">
        <f t="shared" si="2"/>
        <v>4.5766666666666671</v>
      </c>
      <c r="J20" s="13">
        <f t="shared" si="3"/>
        <v>4.6233333333333331</v>
      </c>
      <c r="K20" s="13">
        <v>4.67</v>
      </c>
      <c r="L20" s="13">
        <f t="shared" si="4"/>
        <v>4.7030000000000003</v>
      </c>
      <c r="M20" s="13">
        <f t="shared" si="5"/>
        <v>4.7359999999999998</v>
      </c>
      <c r="N20" s="13">
        <f t="shared" si="6"/>
        <v>4.7690000000000001</v>
      </c>
      <c r="O20" s="13">
        <f t="shared" si="7"/>
        <v>4.8019999999999996</v>
      </c>
      <c r="P20" s="13">
        <f t="shared" si="8"/>
        <v>4.835</v>
      </c>
      <c r="Q20" s="13">
        <f t="shared" si="9"/>
        <v>4.8680000000000003</v>
      </c>
      <c r="R20" s="13">
        <f t="shared" si="10"/>
        <v>4.9009999999999998</v>
      </c>
      <c r="S20" s="13">
        <f t="shared" si="11"/>
        <v>4.9340000000000002</v>
      </c>
      <c r="T20" s="13">
        <f t="shared" si="12"/>
        <v>4.9669999999999996</v>
      </c>
      <c r="U20" s="27">
        <v>5</v>
      </c>
      <c r="V20" s="13">
        <f t="shared" si="13"/>
        <v>4.923</v>
      </c>
      <c r="W20" s="13">
        <f t="shared" si="14"/>
        <v>4.9159999999999995</v>
      </c>
      <c r="X20" s="13">
        <f t="shared" si="15"/>
        <v>4.9089999999999998</v>
      </c>
      <c r="Y20" s="13">
        <f t="shared" si="16"/>
        <v>4.9019999999999992</v>
      </c>
      <c r="Z20" s="13">
        <f t="shared" si="17"/>
        <v>4.8949999999999996</v>
      </c>
      <c r="AA20" s="13">
        <f t="shared" si="18"/>
        <v>4.8879999999999999</v>
      </c>
      <c r="AB20" s="13">
        <f t="shared" si="19"/>
        <v>4.8809999999999993</v>
      </c>
      <c r="AC20" s="13">
        <f t="shared" si="20"/>
        <v>4.8739999999999997</v>
      </c>
      <c r="AD20" s="13">
        <f t="shared" si="21"/>
        <v>4.8669999999999991</v>
      </c>
      <c r="AE20" s="13">
        <v>4.93</v>
      </c>
    </row>
    <row r="21" spans="1:31">
      <c r="A21" s="20">
        <v>39326</v>
      </c>
      <c r="B21" s="13">
        <v>4.1399999999999997</v>
      </c>
      <c r="C21" s="13">
        <v>4.01</v>
      </c>
      <c r="D21" s="13">
        <v>4.0599999999999996</v>
      </c>
      <c r="E21" s="13">
        <f t="shared" si="0"/>
        <v>4.13</v>
      </c>
      <c r="F21" s="13">
        <v>4.2</v>
      </c>
      <c r="G21" s="13">
        <f t="shared" si="1"/>
        <v>4.2650000000000006</v>
      </c>
      <c r="H21" s="13">
        <v>4.33</v>
      </c>
      <c r="I21" s="13">
        <f t="shared" si="2"/>
        <v>4.3933333333333335</v>
      </c>
      <c r="J21" s="13">
        <f t="shared" si="3"/>
        <v>4.4566666666666661</v>
      </c>
      <c r="K21" s="13">
        <v>4.5199999999999996</v>
      </c>
      <c r="L21" s="13">
        <f t="shared" si="4"/>
        <v>4.5519999999999996</v>
      </c>
      <c r="M21" s="13">
        <f t="shared" si="5"/>
        <v>4.5839999999999996</v>
      </c>
      <c r="N21" s="13">
        <f t="shared" si="6"/>
        <v>4.6159999999999997</v>
      </c>
      <c r="O21" s="13">
        <f t="shared" si="7"/>
        <v>4.6479999999999997</v>
      </c>
      <c r="P21" s="13">
        <f t="shared" si="8"/>
        <v>4.68</v>
      </c>
      <c r="Q21" s="13">
        <f t="shared" si="9"/>
        <v>4.7119999999999997</v>
      </c>
      <c r="R21" s="13">
        <f t="shared" si="10"/>
        <v>4.7439999999999998</v>
      </c>
      <c r="S21" s="13">
        <f t="shared" si="11"/>
        <v>4.7759999999999998</v>
      </c>
      <c r="T21" s="13">
        <f t="shared" si="12"/>
        <v>4.8079999999999998</v>
      </c>
      <c r="U21" s="27">
        <v>4.84</v>
      </c>
      <c r="V21" s="13">
        <f t="shared" si="13"/>
        <v>4.7850000000000001</v>
      </c>
      <c r="W21" s="13">
        <f t="shared" si="14"/>
        <v>4.78</v>
      </c>
      <c r="X21" s="13">
        <f t="shared" si="15"/>
        <v>4.7750000000000004</v>
      </c>
      <c r="Y21" s="13">
        <f t="shared" si="16"/>
        <v>4.7700000000000005</v>
      </c>
      <c r="Z21" s="13">
        <f t="shared" si="17"/>
        <v>4.7650000000000006</v>
      </c>
      <c r="AA21" s="13">
        <f t="shared" si="18"/>
        <v>4.76</v>
      </c>
      <c r="AB21" s="13">
        <f t="shared" si="19"/>
        <v>4.7549999999999999</v>
      </c>
      <c r="AC21" s="13">
        <f t="shared" si="20"/>
        <v>4.75</v>
      </c>
      <c r="AD21" s="13">
        <f t="shared" si="21"/>
        <v>4.7450000000000001</v>
      </c>
      <c r="AE21" s="13">
        <v>4.79</v>
      </c>
    </row>
    <row r="22" spans="1:31">
      <c r="A22" s="20">
        <v>39356</v>
      </c>
      <c r="B22" s="13">
        <v>4.0999999999999996</v>
      </c>
      <c r="C22" s="13">
        <v>3.97</v>
      </c>
      <c r="D22" s="13">
        <v>4.01</v>
      </c>
      <c r="E22" s="13">
        <f t="shared" si="0"/>
        <v>4.1050000000000004</v>
      </c>
      <c r="F22" s="13">
        <v>4.2</v>
      </c>
      <c r="G22" s="13">
        <f t="shared" si="1"/>
        <v>4.2650000000000006</v>
      </c>
      <c r="H22" s="13">
        <v>4.33</v>
      </c>
      <c r="I22" s="13">
        <f t="shared" si="2"/>
        <v>4.3966666666666665</v>
      </c>
      <c r="J22" s="13">
        <f t="shared" si="3"/>
        <v>4.4633333333333338</v>
      </c>
      <c r="K22" s="13">
        <v>4.53</v>
      </c>
      <c r="L22" s="13">
        <f t="shared" si="4"/>
        <v>4.5600000000000005</v>
      </c>
      <c r="M22" s="13">
        <f t="shared" si="5"/>
        <v>4.59</v>
      </c>
      <c r="N22" s="13">
        <f t="shared" si="6"/>
        <v>4.62</v>
      </c>
      <c r="O22" s="13">
        <f t="shared" si="7"/>
        <v>4.6500000000000004</v>
      </c>
      <c r="P22" s="13">
        <f t="shared" si="8"/>
        <v>4.68</v>
      </c>
      <c r="Q22" s="13">
        <f t="shared" si="9"/>
        <v>4.71</v>
      </c>
      <c r="R22" s="13">
        <f t="shared" si="10"/>
        <v>4.74</v>
      </c>
      <c r="S22" s="13">
        <f t="shared" si="11"/>
        <v>4.7700000000000005</v>
      </c>
      <c r="T22" s="13">
        <f t="shared" si="12"/>
        <v>4.8</v>
      </c>
      <c r="U22" s="27">
        <v>4.83</v>
      </c>
      <c r="V22" s="13">
        <f t="shared" si="13"/>
        <v>4.7639999999999993</v>
      </c>
      <c r="W22" s="13">
        <f t="shared" si="14"/>
        <v>4.7579999999999991</v>
      </c>
      <c r="X22" s="13">
        <f t="shared" si="15"/>
        <v>4.7519999999999998</v>
      </c>
      <c r="Y22" s="13">
        <f t="shared" si="16"/>
        <v>4.7459999999999996</v>
      </c>
      <c r="Z22" s="13">
        <f t="shared" si="17"/>
        <v>4.7399999999999993</v>
      </c>
      <c r="AA22" s="13">
        <f t="shared" si="18"/>
        <v>4.7339999999999991</v>
      </c>
      <c r="AB22" s="13">
        <f t="shared" si="19"/>
        <v>4.7279999999999989</v>
      </c>
      <c r="AC22" s="13">
        <f t="shared" si="20"/>
        <v>4.7219999999999995</v>
      </c>
      <c r="AD22" s="13">
        <f t="shared" si="21"/>
        <v>4.7159999999999993</v>
      </c>
      <c r="AE22" s="13">
        <v>4.7699999999999996</v>
      </c>
    </row>
    <row r="23" spans="1:31">
      <c r="A23" s="20">
        <v>39387</v>
      </c>
      <c r="B23" s="13">
        <v>3.5</v>
      </c>
      <c r="C23" s="13">
        <v>3.34</v>
      </c>
      <c r="D23" s="13">
        <v>3.35</v>
      </c>
      <c r="E23" s="13">
        <f t="shared" si="0"/>
        <v>3.51</v>
      </c>
      <c r="F23" s="13">
        <v>3.67</v>
      </c>
      <c r="G23" s="13">
        <f t="shared" si="1"/>
        <v>3.77</v>
      </c>
      <c r="H23" s="13">
        <v>3.87</v>
      </c>
      <c r="I23" s="13">
        <f t="shared" si="2"/>
        <v>3.9633333333333334</v>
      </c>
      <c r="J23" s="13">
        <f t="shared" si="3"/>
        <v>4.0566666666666666</v>
      </c>
      <c r="K23" s="13">
        <v>4.1500000000000004</v>
      </c>
      <c r="L23" s="13">
        <f t="shared" si="4"/>
        <v>4.1910000000000007</v>
      </c>
      <c r="M23" s="13">
        <f t="shared" si="5"/>
        <v>4.2320000000000002</v>
      </c>
      <c r="N23" s="13">
        <f t="shared" si="6"/>
        <v>4.2729999999999997</v>
      </c>
      <c r="O23" s="13">
        <f t="shared" si="7"/>
        <v>4.3140000000000001</v>
      </c>
      <c r="P23" s="13">
        <f t="shared" si="8"/>
        <v>4.3550000000000004</v>
      </c>
      <c r="Q23" s="13">
        <f t="shared" si="9"/>
        <v>4.3959999999999999</v>
      </c>
      <c r="R23" s="13">
        <f t="shared" si="10"/>
        <v>4.4369999999999994</v>
      </c>
      <c r="S23" s="13">
        <f t="shared" si="11"/>
        <v>4.4779999999999998</v>
      </c>
      <c r="T23" s="13">
        <f t="shared" si="12"/>
        <v>4.5190000000000001</v>
      </c>
      <c r="U23" s="27">
        <v>4.5599999999999996</v>
      </c>
      <c r="V23" s="13">
        <f t="shared" si="13"/>
        <v>4.516</v>
      </c>
      <c r="W23" s="13">
        <f t="shared" si="14"/>
        <v>4.5119999999999996</v>
      </c>
      <c r="X23" s="13">
        <f t="shared" si="15"/>
        <v>4.5079999999999991</v>
      </c>
      <c r="Y23" s="13">
        <f t="shared" si="16"/>
        <v>4.5039999999999996</v>
      </c>
      <c r="Z23" s="13">
        <f t="shared" si="17"/>
        <v>4.5</v>
      </c>
      <c r="AA23" s="13">
        <f t="shared" si="18"/>
        <v>4.4959999999999996</v>
      </c>
      <c r="AB23" s="13">
        <f t="shared" si="19"/>
        <v>4.4919999999999991</v>
      </c>
      <c r="AC23" s="13">
        <f t="shared" si="20"/>
        <v>4.4879999999999995</v>
      </c>
      <c r="AD23" s="13">
        <f t="shared" si="21"/>
        <v>4.484</v>
      </c>
      <c r="AE23" s="13">
        <v>4.5199999999999996</v>
      </c>
    </row>
    <row r="24" spans="1:31">
      <c r="A24" s="20">
        <v>39417</v>
      </c>
      <c r="B24" s="13">
        <v>3.26</v>
      </c>
      <c r="C24" s="13">
        <v>3.12</v>
      </c>
      <c r="D24" s="13">
        <v>3.13</v>
      </c>
      <c r="E24" s="13">
        <f t="shared" si="0"/>
        <v>3.31</v>
      </c>
      <c r="F24" s="13">
        <v>3.49</v>
      </c>
      <c r="G24" s="13">
        <f t="shared" si="1"/>
        <v>3.6150000000000002</v>
      </c>
      <c r="H24" s="13">
        <v>3.74</v>
      </c>
      <c r="I24" s="13">
        <f t="shared" si="2"/>
        <v>3.86</v>
      </c>
      <c r="J24" s="13">
        <f t="shared" si="3"/>
        <v>3.98</v>
      </c>
      <c r="K24" s="13">
        <v>4.0999999999999996</v>
      </c>
      <c r="L24" s="13">
        <f t="shared" si="4"/>
        <v>4.1469999999999994</v>
      </c>
      <c r="M24" s="13">
        <f t="shared" si="5"/>
        <v>4.194</v>
      </c>
      <c r="N24" s="13">
        <f t="shared" si="6"/>
        <v>4.2409999999999997</v>
      </c>
      <c r="O24" s="13">
        <f t="shared" si="7"/>
        <v>4.2880000000000003</v>
      </c>
      <c r="P24" s="13">
        <f t="shared" si="8"/>
        <v>4.335</v>
      </c>
      <c r="Q24" s="13">
        <f t="shared" si="9"/>
        <v>4.3819999999999997</v>
      </c>
      <c r="R24" s="13">
        <f t="shared" si="10"/>
        <v>4.4290000000000003</v>
      </c>
      <c r="S24" s="13">
        <f t="shared" si="11"/>
        <v>4.476</v>
      </c>
      <c r="T24" s="13">
        <f t="shared" si="12"/>
        <v>4.5230000000000006</v>
      </c>
      <c r="U24" s="27">
        <v>4.57</v>
      </c>
      <c r="V24" s="13">
        <f t="shared" si="13"/>
        <v>4.5259999999999998</v>
      </c>
      <c r="W24" s="13">
        <f t="shared" si="14"/>
        <v>4.5220000000000002</v>
      </c>
      <c r="X24" s="13">
        <f t="shared" si="15"/>
        <v>4.5180000000000007</v>
      </c>
      <c r="Y24" s="13">
        <f t="shared" si="16"/>
        <v>4.5140000000000002</v>
      </c>
      <c r="Z24" s="13">
        <f t="shared" si="17"/>
        <v>4.51</v>
      </c>
      <c r="AA24" s="13">
        <f t="shared" si="18"/>
        <v>4.5060000000000002</v>
      </c>
      <c r="AB24" s="13">
        <f t="shared" si="19"/>
        <v>4.5020000000000007</v>
      </c>
      <c r="AC24" s="13">
        <f t="shared" si="20"/>
        <v>4.4980000000000002</v>
      </c>
      <c r="AD24" s="13">
        <f t="shared" si="21"/>
        <v>4.4939999999999998</v>
      </c>
      <c r="AE24" s="13">
        <v>4.53</v>
      </c>
    </row>
    <row r="25" spans="1:31">
      <c r="A25" s="20">
        <v>39448</v>
      </c>
      <c r="B25" s="13">
        <v>2.71</v>
      </c>
      <c r="C25" s="13">
        <v>2.48</v>
      </c>
      <c r="D25" s="13">
        <v>2.5099999999999998</v>
      </c>
      <c r="E25" s="13">
        <f t="shared" si="0"/>
        <v>2.7450000000000001</v>
      </c>
      <c r="F25" s="13">
        <v>2.98</v>
      </c>
      <c r="G25" s="13">
        <f t="shared" si="1"/>
        <v>3.145</v>
      </c>
      <c r="H25" s="13">
        <v>3.31</v>
      </c>
      <c r="I25" s="13">
        <f t="shared" si="2"/>
        <v>3.4533333333333336</v>
      </c>
      <c r="J25" s="13">
        <f t="shared" si="3"/>
        <v>3.5966666666666667</v>
      </c>
      <c r="K25" s="13">
        <v>3.74</v>
      </c>
      <c r="L25" s="13">
        <f t="shared" si="4"/>
        <v>3.8010000000000002</v>
      </c>
      <c r="M25" s="13">
        <f t="shared" si="5"/>
        <v>3.8620000000000001</v>
      </c>
      <c r="N25" s="13">
        <f t="shared" si="6"/>
        <v>3.923</v>
      </c>
      <c r="O25" s="13">
        <f t="shared" si="7"/>
        <v>3.984</v>
      </c>
      <c r="P25" s="13">
        <f t="shared" si="8"/>
        <v>4.0449999999999999</v>
      </c>
      <c r="Q25" s="13">
        <f t="shared" si="9"/>
        <v>4.1059999999999999</v>
      </c>
      <c r="R25" s="13">
        <f t="shared" si="10"/>
        <v>4.1669999999999998</v>
      </c>
      <c r="S25" s="13">
        <f t="shared" si="11"/>
        <v>4.2279999999999998</v>
      </c>
      <c r="T25" s="13">
        <f t="shared" si="12"/>
        <v>4.2889999999999997</v>
      </c>
      <c r="U25" s="27">
        <v>4.3499999999999996</v>
      </c>
      <c r="V25" s="13">
        <f t="shared" si="13"/>
        <v>4.3280000000000003</v>
      </c>
      <c r="W25" s="13">
        <f t="shared" si="14"/>
        <v>4.3260000000000005</v>
      </c>
      <c r="X25" s="13">
        <f t="shared" si="15"/>
        <v>4.3239999999999998</v>
      </c>
      <c r="Y25" s="13">
        <f t="shared" si="16"/>
        <v>4.3220000000000001</v>
      </c>
      <c r="Z25" s="13">
        <f t="shared" si="17"/>
        <v>4.32</v>
      </c>
      <c r="AA25" s="13">
        <f t="shared" si="18"/>
        <v>4.3180000000000005</v>
      </c>
      <c r="AB25" s="13">
        <f t="shared" si="19"/>
        <v>4.3160000000000007</v>
      </c>
      <c r="AC25" s="13">
        <f t="shared" si="20"/>
        <v>4.3140000000000001</v>
      </c>
      <c r="AD25" s="13">
        <f t="shared" si="21"/>
        <v>4.3120000000000003</v>
      </c>
      <c r="AE25" s="13">
        <v>4.33</v>
      </c>
    </row>
    <row r="26" spans="1:31">
      <c r="A26" s="20">
        <v>39479</v>
      </c>
      <c r="B26" s="13">
        <v>2.0499999999999998</v>
      </c>
      <c r="C26" s="13">
        <v>1.97</v>
      </c>
      <c r="D26" s="13">
        <v>2.19</v>
      </c>
      <c r="E26" s="13">
        <f t="shared" si="0"/>
        <v>2.4849999999999999</v>
      </c>
      <c r="F26" s="13">
        <v>2.78</v>
      </c>
      <c r="G26" s="13">
        <f t="shared" si="1"/>
        <v>2.9950000000000001</v>
      </c>
      <c r="H26" s="13">
        <v>3.21</v>
      </c>
      <c r="I26" s="13">
        <f t="shared" si="2"/>
        <v>3.3866666666666667</v>
      </c>
      <c r="J26" s="13">
        <f t="shared" si="3"/>
        <v>3.5633333333333335</v>
      </c>
      <c r="K26" s="13">
        <v>3.74</v>
      </c>
      <c r="L26" s="13">
        <f t="shared" si="4"/>
        <v>3.8150000000000004</v>
      </c>
      <c r="M26" s="13">
        <f t="shared" si="5"/>
        <v>3.89</v>
      </c>
      <c r="N26" s="13">
        <f t="shared" si="6"/>
        <v>3.9650000000000003</v>
      </c>
      <c r="O26" s="13">
        <f t="shared" si="7"/>
        <v>4.04</v>
      </c>
      <c r="P26" s="13">
        <f t="shared" si="8"/>
        <v>4.1150000000000002</v>
      </c>
      <c r="Q26" s="13">
        <f t="shared" si="9"/>
        <v>4.1900000000000004</v>
      </c>
      <c r="R26" s="13">
        <f t="shared" si="10"/>
        <v>4.2650000000000006</v>
      </c>
      <c r="S26" s="13">
        <f t="shared" si="11"/>
        <v>4.34</v>
      </c>
      <c r="T26" s="13">
        <f t="shared" si="12"/>
        <v>4.415</v>
      </c>
      <c r="U26" s="27">
        <v>4.49</v>
      </c>
      <c r="V26" s="13">
        <f t="shared" si="13"/>
        <v>4.5229999999999997</v>
      </c>
      <c r="W26" s="13">
        <f t="shared" si="14"/>
        <v>4.5259999999999998</v>
      </c>
      <c r="X26" s="13">
        <f t="shared" si="15"/>
        <v>4.528999999999999</v>
      </c>
      <c r="Y26" s="13">
        <f t="shared" si="16"/>
        <v>4.5319999999999991</v>
      </c>
      <c r="Z26" s="13">
        <f t="shared" si="17"/>
        <v>4.5349999999999993</v>
      </c>
      <c r="AA26" s="13">
        <f t="shared" si="18"/>
        <v>4.5379999999999994</v>
      </c>
      <c r="AB26" s="13">
        <f t="shared" si="19"/>
        <v>4.5409999999999995</v>
      </c>
      <c r="AC26" s="13">
        <f t="shared" si="20"/>
        <v>4.5439999999999987</v>
      </c>
      <c r="AD26" s="13">
        <f t="shared" si="21"/>
        <v>4.5469999999999988</v>
      </c>
      <c r="AE26" s="13">
        <v>4.5199999999999996</v>
      </c>
    </row>
    <row r="27" spans="1:31">
      <c r="A27" s="20">
        <v>39508</v>
      </c>
      <c r="B27" s="13">
        <v>1.54</v>
      </c>
      <c r="C27" s="13">
        <v>1.62</v>
      </c>
      <c r="D27" s="13">
        <v>1.8</v>
      </c>
      <c r="E27" s="13">
        <f t="shared" si="0"/>
        <v>2.14</v>
      </c>
      <c r="F27" s="13">
        <v>2.48</v>
      </c>
      <c r="G27" s="13">
        <f t="shared" si="1"/>
        <v>2.7050000000000001</v>
      </c>
      <c r="H27" s="13">
        <v>2.93</v>
      </c>
      <c r="I27" s="13">
        <f t="shared" si="2"/>
        <v>3.1233333333333335</v>
      </c>
      <c r="J27" s="13">
        <f t="shared" si="3"/>
        <v>3.3166666666666664</v>
      </c>
      <c r="K27" s="13">
        <v>3.51</v>
      </c>
      <c r="L27" s="13">
        <f t="shared" si="4"/>
        <v>3.5949999999999998</v>
      </c>
      <c r="M27" s="13">
        <f t="shared" si="5"/>
        <v>3.6799999999999997</v>
      </c>
      <c r="N27" s="13">
        <f t="shared" si="6"/>
        <v>3.7650000000000001</v>
      </c>
      <c r="O27" s="13">
        <f t="shared" si="7"/>
        <v>3.85</v>
      </c>
      <c r="P27" s="13">
        <f t="shared" si="8"/>
        <v>3.9350000000000001</v>
      </c>
      <c r="Q27" s="13">
        <f t="shared" si="9"/>
        <v>4.0200000000000005</v>
      </c>
      <c r="R27" s="13">
        <f t="shared" si="10"/>
        <v>4.1050000000000004</v>
      </c>
      <c r="S27" s="13">
        <f t="shared" si="11"/>
        <v>4.1900000000000004</v>
      </c>
      <c r="T27" s="13">
        <f t="shared" si="12"/>
        <v>4.2750000000000004</v>
      </c>
      <c r="U27" s="27">
        <v>4.3600000000000003</v>
      </c>
      <c r="V27" s="13">
        <f t="shared" si="13"/>
        <v>4.3929999999999998</v>
      </c>
      <c r="W27" s="13">
        <f t="shared" si="14"/>
        <v>4.3959999999999999</v>
      </c>
      <c r="X27" s="13">
        <f t="shared" si="15"/>
        <v>4.3989999999999991</v>
      </c>
      <c r="Y27" s="13">
        <f t="shared" si="16"/>
        <v>4.4019999999999992</v>
      </c>
      <c r="Z27" s="13">
        <f t="shared" si="17"/>
        <v>4.4049999999999994</v>
      </c>
      <c r="AA27" s="13">
        <f t="shared" si="18"/>
        <v>4.4079999999999995</v>
      </c>
      <c r="AB27" s="13">
        <f t="shared" si="19"/>
        <v>4.4109999999999996</v>
      </c>
      <c r="AC27" s="13">
        <f t="shared" si="20"/>
        <v>4.4139999999999988</v>
      </c>
      <c r="AD27" s="13">
        <f t="shared" si="21"/>
        <v>4.4169999999999989</v>
      </c>
      <c r="AE27" s="13">
        <v>4.3899999999999997</v>
      </c>
    </row>
    <row r="28" spans="1:31">
      <c r="A28" s="20">
        <v>39539</v>
      </c>
      <c r="B28" s="13">
        <v>1.74</v>
      </c>
      <c r="C28" s="13">
        <v>2.0499999999999998</v>
      </c>
      <c r="D28" s="13">
        <v>2.23</v>
      </c>
      <c r="E28" s="13">
        <f t="shared" si="0"/>
        <v>2.5350000000000001</v>
      </c>
      <c r="F28" s="13">
        <v>2.84</v>
      </c>
      <c r="G28" s="13">
        <f t="shared" si="1"/>
        <v>3.0149999999999997</v>
      </c>
      <c r="H28" s="13">
        <v>3.19</v>
      </c>
      <c r="I28" s="13">
        <f t="shared" si="2"/>
        <v>3.3533333333333335</v>
      </c>
      <c r="J28" s="13">
        <f t="shared" si="3"/>
        <v>3.5166666666666666</v>
      </c>
      <c r="K28" s="13">
        <v>3.68</v>
      </c>
      <c r="L28" s="13">
        <f t="shared" si="4"/>
        <v>3.7560000000000002</v>
      </c>
      <c r="M28" s="13">
        <f t="shared" si="5"/>
        <v>3.8320000000000003</v>
      </c>
      <c r="N28" s="13">
        <f t="shared" si="6"/>
        <v>3.9080000000000004</v>
      </c>
      <c r="O28" s="13">
        <f t="shared" si="7"/>
        <v>3.9840000000000004</v>
      </c>
      <c r="P28" s="13">
        <f t="shared" si="8"/>
        <v>4.0600000000000005</v>
      </c>
      <c r="Q28" s="13">
        <f t="shared" si="9"/>
        <v>4.1360000000000001</v>
      </c>
      <c r="R28" s="13">
        <f t="shared" si="10"/>
        <v>4.2120000000000006</v>
      </c>
      <c r="S28" s="13">
        <f t="shared" si="11"/>
        <v>4.2880000000000003</v>
      </c>
      <c r="T28" s="13">
        <f t="shared" si="12"/>
        <v>4.3640000000000008</v>
      </c>
      <c r="U28" s="27">
        <v>4.4400000000000004</v>
      </c>
      <c r="V28" s="13">
        <f t="shared" si="13"/>
        <v>4.4400000000000004</v>
      </c>
      <c r="W28" s="13">
        <f t="shared" si="14"/>
        <v>4.4400000000000004</v>
      </c>
      <c r="X28" s="13">
        <f t="shared" si="15"/>
        <v>4.4400000000000004</v>
      </c>
      <c r="Y28" s="13">
        <f t="shared" si="16"/>
        <v>4.4400000000000004</v>
      </c>
      <c r="Z28" s="13">
        <f t="shared" si="17"/>
        <v>4.4400000000000004</v>
      </c>
      <c r="AA28" s="13">
        <f t="shared" si="18"/>
        <v>4.4400000000000004</v>
      </c>
      <c r="AB28" s="13">
        <f t="shared" si="19"/>
        <v>4.4400000000000004</v>
      </c>
      <c r="AC28" s="13">
        <f t="shared" si="20"/>
        <v>4.4400000000000004</v>
      </c>
      <c r="AD28" s="13">
        <f t="shared" si="21"/>
        <v>4.4400000000000004</v>
      </c>
      <c r="AE28" s="13">
        <v>4.4400000000000004</v>
      </c>
    </row>
    <row r="29" spans="1:31">
      <c r="A29" s="20">
        <v>39569</v>
      </c>
      <c r="B29" s="13">
        <v>2.06</v>
      </c>
      <c r="C29" s="13">
        <v>2.4500000000000002</v>
      </c>
      <c r="D29" s="13">
        <v>2.69</v>
      </c>
      <c r="E29" s="13">
        <f t="shared" si="0"/>
        <v>2.92</v>
      </c>
      <c r="F29" s="13">
        <v>3.15</v>
      </c>
      <c r="G29" s="13">
        <f t="shared" si="1"/>
        <v>3.3049999999999997</v>
      </c>
      <c r="H29" s="13">
        <v>3.46</v>
      </c>
      <c r="I29" s="13">
        <f t="shared" si="2"/>
        <v>3.6</v>
      </c>
      <c r="J29" s="13">
        <f t="shared" si="3"/>
        <v>3.7399999999999998</v>
      </c>
      <c r="K29" s="13">
        <v>3.88</v>
      </c>
      <c r="L29" s="13">
        <f t="shared" si="4"/>
        <v>3.952</v>
      </c>
      <c r="M29" s="13">
        <f t="shared" si="5"/>
        <v>4.024</v>
      </c>
      <c r="N29" s="13">
        <f t="shared" si="6"/>
        <v>4.0960000000000001</v>
      </c>
      <c r="O29" s="13">
        <f t="shared" si="7"/>
        <v>4.1680000000000001</v>
      </c>
      <c r="P29" s="13">
        <f t="shared" si="8"/>
        <v>4.24</v>
      </c>
      <c r="Q29" s="13">
        <f t="shared" si="9"/>
        <v>4.3119999999999994</v>
      </c>
      <c r="R29" s="13">
        <f t="shared" si="10"/>
        <v>4.3839999999999995</v>
      </c>
      <c r="S29" s="13">
        <f t="shared" si="11"/>
        <v>4.4559999999999995</v>
      </c>
      <c r="T29" s="13">
        <f t="shared" si="12"/>
        <v>4.5279999999999996</v>
      </c>
      <c r="U29" s="27">
        <v>4.5999999999999996</v>
      </c>
      <c r="V29" s="13">
        <f t="shared" si="13"/>
        <v>4.5999999999999996</v>
      </c>
      <c r="W29" s="13">
        <f t="shared" si="14"/>
        <v>4.5999999999999996</v>
      </c>
      <c r="X29" s="13">
        <f t="shared" si="15"/>
        <v>4.5999999999999996</v>
      </c>
      <c r="Y29" s="13">
        <f t="shared" si="16"/>
        <v>4.5999999999999996</v>
      </c>
      <c r="Z29" s="13">
        <f t="shared" si="17"/>
        <v>4.5999999999999996</v>
      </c>
      <c r="AA29" s="13">
        <f t="shared" si="18"/>
        <v>4.5999999999999996</v>
      </c>
      <c r="AB29" s="13">
        <f t="shared" si="19"/>
        <v>4.5999999999999996</v>
      </c>
      <c r="AC29" s="13">
        <f t="shared" si="20"/>
        <v>4.5999999999999996</v>
      </c>
      <c r="AD29" s="13">
        <f t="shared" si="21"/>
        <v>4.5999999999999996</v>
      </c>
      <c r="AE29" s="13">
        <v>4.5999999999999996</v>
      </c>
    </row>
    <row r="30" spans="1:31">
      <c r="A30" s="20">
        <v>39600</v>
      </c>
      <c r="B30" s="13">
        <v>2.42</v>
      </c>
      <c r="C30" s="13">
        <v>2.77</v>
      </c>
      <c r="D30" s="13">
        <v>3.08</v>
      </c>
      <c r="E30" s="13">
        <f t="shared" si="0"/>
        <v>3.2850000000000001</v>
      </c>
      <c r="F30" s="13">
        <v>3.49</v>
      </c>
      <c r="G30" s="13">
        <f t="shared" si="1"/>
        <v>3.6100000000000003</v>
      </c>
      <c r="H30" s="13">
        <v>3.73</v>
      </c>
      <c r="I30" s="13">
        <f t="shared" si="2"/>
        <v>3.8533333333333331</v>
      </c>
      <c r="J30" s="13">
        <f t="shared" si="3"/>
        <v>3.9766666666666666</v>
      </c>
      <c r="K30" s="13">
        <v>4.0999999999999996</v>
      </c>
      <c r="L30" s="13">
        <f t="shared" si="4"/>
        <v>4.1639999999999997</v>
      </c>
      <c r="M30" s="13">
        <f t="shared" si="5"/>
        <v>4.2279999999999998</v>
      </c>
      <c r="N30" s="13">
        <f t="shared" si="6"/>
        <v>4.2919999999999998</v>
      </c>
      <c r="O30" s="13">
        <f t="shared" si="7"/>
        <v>4.3559999999999999</v>
      </c>
      <c r="P30" s="13">
        <f t="shared" si="8"/>
        <v>4.42</v>
      </c>
      <c r="Q30" s="13">
        <f t="shared" si="9"/>
        <v>4.484</v>
      </c>
      <c r="R30" s="13">
        <f t="shared" si="10"/>
        <v>4.548</v>
      </c>
      <c r="S30" s="13">
        <f t="shared" si="11"/>
        <v>4.6120000000000001</v>
      </c>
      <c r="T30" s="13">
        <f t="shared" si="12"/>
        <v>4.6760000000000002</v>
      </c>
      <c r="U30" s="27">
        <v>4.74</v>
      </c>
      <c r="V30" s="13">
        <f t="shared" si="13"/>
        <v>4.6850000000000005</v>
      </c>
      <c r="W30" s="13">
        <f t="shared" si="14"/>
        <v>4.6800000000000006</v>
      </c>
      <c r="X30" s="13">
        <f t="shared" si="15"/>
        <v>4.6750000000000007</v>
      </c>
      <c r="Y30" s="13">
        <f t="shared" si="16"/>
        <v>4.6700000000000008</v>
      </c>
      <c r="Z30" s="13">
        <f t="shared" si="17"/>
        <v>4.6650000000000009</v>
      </c>
      <c r="AA30" s="13">
        <f t="shared" si="18"/>
        <v>4.66</v>
      </c>
      <c r="AB30" s="13">
        <f t="shared" si="19"/>
        <v>4.6550000000000002</v>
      </c>
      <c r="AC30" s="13">
        <f t="shared" si="20"/>
        <v>4.6500000000000004</v>
      </c>
      <c r="AD30" s="13">
        <f t="shared" si="21"/>
        <v>4.6450000000000005</v>
      </c>
      <c r="AE30" s="13">
        <v>4.6900000000000004</v>
      </c>
    </row>
    <row r="31" spans="1:31">
      <c r="A31" s="20">
        <v>39630</v>
      </c>
      <c r="B31" s="13">
        <v>2.2799999999999998</v>
      </c>
      <c r="C31" s="13">
        <v>2.57</v>
      </c>
      <c r="D31" s="13">
        <v>2.87</v>
      </c>
      <c r="E31" s="13">
        <f t="shared" si="0"/>
        <v>3.085</v>
      </c>
      <c r="F31" s="13">
        <v>3.3</v>
      </c>
      <c r="G31" s="13">
        <f t="shared" si="1"/>
        <v>3.45</v>
      </c>
      <c r="H31" s="13">
        <v>3.6</v>
      </c>
      <c r="I31" s="13">
        <f t="shared" si="2"/>
        <v>3.7366666666666668</v>
      </c>
      <c r="J31" s="13">
        <f t="shared" si="3"/>
        <v>3.8733333333333331</v>
      </c>
      <c r="K31" s="13">
        <v>4.01</v>
      </c>
      <c r="L31" s="13">
        <f t="shared" si="4"/>
        <v>4.0709999999999997</v>
      </c>
      <c r="M31" s="13">
        <f t="shared" si="5"/>
        <v>4.1319999999999997</v>
      </c>
      <c r="N31" s="13">
        <f t="shared" si="6"/>
        <v>4.1929999999999996</v>
      </c>
      <c r="O31" s="13">
        <f t="shared" si="7"/>
        <v>4.2539999999999996</v>
      </c>
      <c r="P31" s="13">
        <f t="shared" si="8"/>
        <v>4.3149999999999995</v>
      </c>
      <c r="Q31" s="13">
        <f t="shared" si="9"/>
        <v>4.3760000000000003</v>
      </c>
      <c r="R31" s="13">
        <f t="shared" si="10"/>
        <v>4.4370000000000003</v>
      </c>
      <c r="S31" s="13">
        <f t="shared" si="11"/>
        <v>4.4980000000000002</v>
      </c>
      <c r="T31" s="13">
        <f t="shared" si="12"/>
        <v>4.5590000000000002</v>
      </c>
      <c r="U31" s="27">
        <v>4.62</v>
      </c>
      <c r="V31" s="13">
        <f t="shared" si="13"/>
        <v>4.5650000000000004</v>
      </c>
      <c r="W31" s="13">
        <f t="shared" si="14"/>
        <v>4.5600000000000005</v>
      </c>
      <c r="X31" s="13">
        <f t="shared" si="15"/>
        <v>4.5550000000000006</v>
      </c>
      <c r="Y31" s="13">
        <f t="shared" si="16"/>
        <v>4.5500000000000007</v>
      </c>
      <c r="Z31" s="13">
        <f t="shared" si="17"/>
        <v>4.5449999999999999</v>
      </c>
      <c r="AA31" s="13">
        <f t="shared" si="18"/>
        <v>4.54</v>
      </c>
      <c r="AB31" s="13">
        <f t="shared" si="19"/>
        <v>4.5350000000000001</v>
      </c>
      <c r="AC31" s="13">
        <f t="shared" si="20"/>
        <v>4.53</v>
      </c>
      <c r="AD31" s="13">
        <f t="shared" si="21"/>
        <v>4.5250000000000004</v>
      </c>
      <c r="AE31" s="13">
        <v>4.57</v>
      </c>
    </row>
    <row r="32" spans="1:31">
      <c r="A32" s="20">
        <v>39661</v>
      </c>
      <c r="B32" s="13">
        <v>2.1800000000000002</v>
      </c>
      <c r="C32" s="13">
        <v>2.42</v>
      </c>
      <c r="D32" s="13">
        <v>2.7</v>
      </c>
      <c r="E32" s="13">
        <f t="shared" si="0"/>
        <v>2.92</v>
      </c>
      <c r="F32" s="13">
        <v>3.14</v>
      </c>
      <c r="G32" s="13">
        <f t="shared" si="1"/>
        <v>3.3</v>
      </c>
      <c r="H32" s="13">
        <v>3.46</v>
      </c>
      <c r="I32" s="13">
        <f t="shared" si="2"/>
        <v>3.6033333333333335</v>
      </c>
      <c r="J32" s="13">
        <f t="shared" si="3"/>
        <v>3.7466666666666666</v>
      </c>
      <c r="K32" s="13">
        <v>3.89</v>
      </c>
      <c r="L32" s="13">
        <f t="shared" si="4"/>
        <v>3.9540000000000002</v>
      </c>
      <c r="M32" s="13">
        <f t="shared" si="5"/>
        <v>4.0179999999999998</v>
      </c>
      <c r="N32" s="13">
        <f t="shared" si="6"/>
        <v>4.0819999999999999</v>
      </c>
      <c r="O32" s="13">
        <f t="shared" si="7"/>
        <v>4.1459999999999999</v>
      </c>
      <c r="P32" s="13">
        <f t="shared" si="8"/>
        <v>4.21</v>
      </c>
      <c r="Q32" s="13">
        <f t="shared" si="9"/>
        <v>4.274</v>
      </c>
      <c r="R32" s="13">
        <f t="shared" si="10"/>
        <v>4.3380000000000001</v>
      </c>
      <c r="S32" s="13">
        <f t="shared" si="11"/>
        <v>4.4020000000000001</v>
      </c>
      <c r="T32" s="13">
        <f t="shared" si="12"/>
        <v>4.4660000000000002</v>
      </c>
      <c r="U32" s="27">
        <v>4.53</v>
      </c>
      <c r="V32" s="13">
        <f t="shared" si="13"/>
        <v>4.4969999999999999</v>
      </c>
      <c r="W32" s="13">
        <f t="shared" si="14"/>
        <v>4.4939999999999998</v>
      </c>
      <c r="X32" s="13">
        <f t="shared" si="15"/>
        <v>4.4909999999999997</v>
      </c>
      <c r="Y32" s="13">
        <f t="shared" si="16"/>
        <v>4.4879999999999995</v>
      </c>
      <c r="Z32" s="13">
        <f t="shared" si="17"/>
        <v>4.4849999999999994</v>
      </c>
      <c r="AA32" s="13">
        <f t="shared" si="18"/>
        <v>4.4820000000000002</v>
      </c>
      <c r="AB32" s="13">
        <f t="shared" si="19"/>
        <v>4.4790000000000001</v>
      </c>
      <c r="AC32" s="13">
        <f t="shared" si="20"/>
        <v>4.476</v>
      </c>
      <c r="AD32" s="13">
        <f t="shared" si="21"/>
        <v>4.4729999999999999</v>
      </c>
      <c r="AE32" s="13">
        <v>4.5</v>
      </c>
    </row>
    <row r="33" spans="1:31">
      <c r="A33" s="20">
        <v>39692</v>
      </c>
      <c r="B33" s="13">
        <v>1.91</v>
      </c>
      <c r="C33" s="13">
        <v>2.08</v>
      </c>
      <c r="D33" s="13">
        <v>2.3199999999999998</v>
      </c>
      <c r="E33" s="13">
        <f t="shared" si="0"/>
        <v>2.5999999999999996</v>
      </c>
      <c r="F33" s="13">
        <v>2.88</v>
      </c>
      <c r="G33" s="13">
        <f t="shared" si="1"/>
        <v>3.0649999999999999</v>
      </c>
      <c r="H33" s="13">
        <v>3.25</v>
      </c>
      <c r="I33" s="13">
        <f t="shared" si="2"/>
        <v>3.3966666666666665</v>
      </c>
      <c r="J33" s="13">
        <f t="shared" si="3"/>
        <v>3.5433333333333334</v>
      </c>
      <c r="K33" s="13">
        <v>3.69</v>
      </c>
      <c r="L33" s="13">
        <f t="shared" si="4"/>
        <v>3.7530000000000001</v>
      </c>
      <c r="M33" s="13">
        <f t="shared" si="5"/>
        <v>3.8159999999999998</v>
      </c>
      <c r="N33" s="13">
        <f t="shared" si="6"/>
        <v>3.879</v>
      </c>
      <c r="O33" s="13">
        <f t="shared" si="7"/>
        <v>3.9420000000000002</v>
      </c>
      <c r="P33" s="13">
        <f t="shared" si="8"/>
        <v>4.0049999999999999</v>
      </c>
      <c r="Q33" s="13">
        <f t="shared" si="9"/>
        <v>4.0680000000000005</v>
      </c>
      <c r="R33" s="13">
        <f t="shared" si="10"/>
        <v>4.1310000000000002</v>
      </c>
      <c r="S33" s="13">
        <f t="shared" si="11"/>
        <v>4.194</v>
      </c>
      <c r="T33" s="13">
        <f t="shared" si="12"/>
        <v>4.2570000000000006</v>
      </c>
      <c r="U33" s="27">
        <v>4.32</v>
      </c>
      <c r="V33" s="13">
        <f t="shared" si="13"/>
        <v>4.2649999999999997</v>
      </c>
      <c r="W33" s="13">
        <f t="shared" si="14"/>
        <v>4.26</v>
      </c>
      <c r="X33" s="13">
        <f t="shared" si="15"/>
        <v>4.254999999999999</v>
      </c>
      <c r="Y33" s="13">
        <f t="shared" si="16"/>
        <v>4.2499999999999991</v>
      </c>
      <c r="Z33" s="13">
        <f t="shared" si="17"/>
        <v>4.2449999999999992</v>
      </c>
      <c r="AA33" s="13">
        <f t="shared" si="18"/>
        <v>4.2399999999999993</v>
      </c>
      <c r="AB33" s="13">
        <f t="shared" si="19"/>
        <v>4.2349999999999994</v>
      </c>
      <c r="AC33" s="13">
        <f t="shared" si="20"/>
        <v>4.2299999999999986</v>
      </c>
      <c r="AD33" s="13">
        <f t="shared" si="21"/>
        <v>4.2249999999999988</v>
      </c>
      <c r="AE33" s="13">
        <v>4.2699999999999996</v>
      </c>
    </row>
    <row r="34" spans="1:31">
      <c r="A34" s="20">
        <v>39722</v>
      </c>
      <c r="B34" s="13">
        <v>1.42</v>
      </c>
      <c r="C34" s="13">
        <v>1.61</v>
      </c>
      <c r="D34" s="13">
        <v>1.86</v>
      </c>
      <c r="E34" s="13">
        <f t="shared" si="0"/>
        <v>2.2949999999999999</v>
      </c>
      <c r="F34" s="13">
        <v>2.73</v>
      </c>
      <c r="G34" s="13">
        <f t="shared" si="1"/>
        <v>2.96</v>
      </c>
      <c r="H34" s="13">
        <v>3.19</v>
      </c>
      <c r="I34" s="13">
        <f t="shared" si="2"/>
        <v>3.3966666666666665</v>
      </c>
      <c r="J34" s="13">
        <f t="shared" si="3"/>
        <v>3.6033333333333335</v>
      </c>
      <c r="K34" s="13">
        <v>3.81</v>
      </c>
      <c r="L34" s="13">
        <f t="shared" si="4"/>
        <v>3.8740000000000001</v>
      </c>
      <c r="M34" s="13">
        <f t="shared" si="5"/>
        <v>3.9380000000000002</v>
      </c>
      <c r="N34" s="13">
        <f t="shared" si="6"/>
        <v>4.0019999999999998</v>
      </c>
      <c r="O34" s="13">
        <f t="shared" si="7"/>
        <v>4.0659999999999998</v>
      </c>
      <c r="P34" s="13">
        <f t="shared" si="8"/>
        <v>4.13</v>
      </c>
      <c r="Q34" s="13">
        <f t="shared" si="9"/>
        <v>4.194</v>
      </c>
      <c r="R34" s="13">
        <f t="shared" si="10"/>
        <v>4.258</v>
      </c>
      <c r="S34" s="13">
        <f t="shared" si="11"/>
        <v>4.3220000000000001</v>
      </c>
      <c r="T34" s="13">
        <f t="shared" si="12"/>
        <v>4.3860000000000001</v>
      </c>
      <c r="U34" s="27">
        <v>4.45</v>
      </c>
      <c r="V34" s="13">
        <f t="shared" si="13"/>
        <v>4.1419999999999995</v>
      </c>
      <c r="W34" s="13">
        <f t="shared" si="14"/>
        <v>4.1139999999999999</v>
      </c>
      <c r="X34" s="13">
        <f t="shared" si="15"/>
        <v>4.0860000000000003</v>
      </c>
      <c r="Y34" s="13">
        <f t="shared" si="16"/>
        <v>4.0579999999999998</v>
      </c>
      <c r="Z34" s="13">
        <f t="shared" si="17"/>
        <v>4.0299999999999994</v>
      </c>
      <c r="AA34" s="13">
        <f t="shared" si="18"/>
        <v>4.0019999999999998</v>
      </c>
      <c r="AB34" s="13">
        <f t="shared" si="19"/>
        <v>3.9739999999999998</v>
      </c>
      <c r="AC34" s="13">
        <f t="shared" si="20"/>
        <v>3.9459999999999997</v>
      </c>
      <c r="AD34" s="13">
        <f t="shared" si="21"/>
        <v>3.9179999999999997</v>
      </c>
      <c r="AE34" s="13">
        <v>4.17</v>
      </c>
    </row>
    <row r="35" spans="1:31">
      <c r="A35" s="20">
        <v>39753</v>
      </c>
      <c r="B35" s="13">
        <v>1.07</v>
      </c>
      <c r="C35" s="13">
        <v>1.21</v>
      </c>
      <c r="D35" s="13">
        <v>1.51</v>
      </c>
      <c r="E35" s="13">
        <f t="shared" si="0"/>
        <v>1.9</v>
      </c>
      <c r="F35" s="13">
        <v>2.29</v>
      </c>
      <c r="G35" s="13">
        <f t="shared" si="1"/>
        <v>2.5549999999999997</v>
      </c>
      <c r="H35" s="13">
        <v>2.82</v>
      </c>
      <c r="I35" s="13">
        <f t="shared" si="2"/>
        <v>3.0566666666666666</v>
      </c>
      <c r="J35" s="13">
        <f t="shared" si="3"/>
        <v>3.293333333333333</v>
      </c>
      <c r="K35" s="13">
        <v>3.53</v>
      </c>
      <c r="L35" s="13">
        <f t="shared" si="4"/>
        <v>3.6039999999999996</v>
      </c>
      <c r="M35" s="13">
        <f t="shared" si="5"/>
        <v>3.6779999999999999</v>
      </c>
      <c r="N35" s="13">
        <f t="shared" si="6"/>
        <v>3.7519999999999998</v>
      </c>
      <c r="O35" s="13">
        <f t="shared" si="7"/>
        <v>3.8259999999999996</v>
      </c>
      <c r="P35" s="13">
        <f t="shared" si="8"/>
        <v>3.8999999999999995</v>
      </c>
      <c r="Q35" s="13">
        <f t="shared" si="9"/>
        <v>3.9739999999999998</v>
      </c>
      <c r="R35" s="13">
        <f t="shared" si="10"/>
        <v>4.048</v>
      </c>
      <c r="S35" s="13">
        <f t="shared" si="11"/>
        <v>4.1219999999999999</v>
      </c>
      <c r="T35" s="13">
        <f t="shared" si="12"/>
        <v>4.1959999999999997</v>
      </c>
      <c r="U35" s="27">
        <v>4.2699999999999996</v>
      </c>
      <c r="V35" s="13">
        <f t="shared" si="13"/>
        <v>3.9729999999999999</v>
      </c>
      <c r="W35" s="13">
        <f t="shared" si="14"/>
        <v>3.9460000000000002</v>
      </c>
      <c r="X35" s="13">
        <f t="shared" si="15"/>
        <v>3.919</v>
      </c>
      <c r="Y35" s="13">
        <f t="shared" si="16"/>
        <v>3.8920000000000003</v>
      </c>
      <c r="Z35" s="13">
        <f t="shared" si="17"/>
        <v>3.8650000000000002</v>
      </c>
      <c r="AA35" s="13">
        <f t="shared" si="18"/>
        <v>3.8380000000000001</v>
      </c>
      <c r="AB35" s="13">
        <f t="shared" si="19"/>
        <v>3.8110000000000004</v>
      </c>
      <c r="AC35" s="13">
        <f t="shared" si="20"/>
        <v>3.7840000000000003</v>
      </c>
      <c r="AD35" s="13">
        <f t="shared" si="21"/>
        <v>3.7570000000000006</v>
      </c>
      <c r="AE35" s="13">
        <v>4</v>
      </c>
    </row>
    <row r="36" spans="1:31">
      <c r="A36" s="20">
        <v>39783</v>
      </c>
      <c r="B36" s="13">
        <v>0.49</v>
      </c>
      <c r="C36" s="13">
        <v>0.82</v>
      </c>
      <c r="D36" s="13">
        <v>1.07</v>
      </c>
      <c r="E36" s="13">
        <f t="shared" si="0"/>
        <v>1.2949999999999999</v>
      </c>
      <c r="F36" s="13">
        <v>1.52</v>
      </c>
      <c r="G36" s="13">
        <f t="shared" si="1"/>
        <v>1.7050000000000001</v>
      </c>
      <c r="H36" s="13">
        <v>1.89</v>
      </c>
      <c r="I36" s="13">
        <f t="shared" si="2"/>
        <v>2.0666666666666664</v>
      </c>
      <c r="J36" s="13">
        <f t="shared" si="3"/>
        <v>2.2433333333333332</v>
      </c>
      <c r="K36" s="13">
        <v>2.42</v>
      </c>
      <c r="L36" s="13">
        <f t="shared" si="4"/>
        <v>2.496</v>
      </c>
      <c r="M36" s="13">
        <f t="shared" si="5"/>
        <v>2.5720000000000001</v>
      </c>
      <c r="N36" s="13">
        <f t="shared" si="6"/>
        <v>2.6480000000000001</v>
      </c>
      <c r="O36" s="13">
        <f t="shared" si="7"/>
        <v>2.7240000000000002</v>
      </c>
      <c r="P36" s="13">
        <f t="shared" si="8"/>
        <v>2.8</v>
      </c>
      <c r="Q36" s="13">
        <f t="shared" si="9"/>
        <v>2.8759999999999999</v>
      </c>
      <c r="R36" s="13">
        <f t="shared" si="10"/>
        <v>2.952</v>
      </c>
      <c r="S36" s="13">
        <f t="shared" si="11"/>
        <v>3.028</v>
      </c>
      <c r="T36" s="13">
        <f t="shared" si="12"/>
        <v>3.1040000000000001</v>
      </c>
      <c r="U36" s="27">
        <v>3.18</v>
      </c>
      <c r="V36" s="13">
        <f t="shared" si="13"/>
        <v>2.839</v>
      </c>
      <c r="W36" s="13">
        <f t="shared" si="14"/>
        <v>2.8080000000000003</v>
      </c>
      <c r="X36" s="13">
        <f t="shared" si="15"/>
        <v>2.7770000000000001</v>
      </c>
      <c r="Y36" s="13">
        <f t="shared" si="16"/>
        <v>2.746</v>
      </c>
      <c r="Z36" s="13">
        <f t="shared" si="17"/>
        <v>2.7149999999999999</v>
      </c>
      <c r="AA36" s="13">
        <f t="shared" si="18"/>
        <v>2.6840000000000002</v>
      </c>
      <c r="AB36" s="13">
        <f t="shared" si="19"/>
        <v>2.653</v>
      </c>
      <c r="AC36" s="13">
        <f t="shared" si="20"/>
        <v>2.6219999999999999</v>
      </c>
      <c r="AD36" s="13">
        <f t="shared" si="21"/>
        <v>2.5910000000000002</v>
      </c>
      <c r="AE36" s="13">
        <v>2.87</v>
      </c>
    </row>
    <row r="37" spans="1:31">
      <c r="A37" s="20">
        <v>39814</v>
      </c>
      <c r="B37" s="13">
        <v>0.44</v>
      </c>
      <c r="C37" s="13">
        <v>0.81</v>
      </c>
      <c r="D37" s="13">
        <v>1.1299999999999999</v>
      </c>
      <c r="E37" s="13">
        <f t="shared" si="0"/>
        <v>1.365</v>
      </c>
      <c r="F37" s="13">
        <v>1.6</v>
      </c>
      <c r="G37" s="13">
        <f t="shared" si="1"/>
        <v>1.79</v>
      </c>
      <c r="H37" s="13">
        <v>1.98</v>
      </c>
      <c r="I37" s="13">
        <f t="shared" si="2"/>
        <v>2.16</v>
      </c>
      <c r="J37" s="13">
        <f t="shared" si="3"/>
        <v>2.34</v>
      </c>
      <c r="K37" s="13">
        <v>2.52</v>
      </c>
      <c r="L37" s="13">
        <f t="shared" si="4"/>
        <v>2.6139999999999999</v>
      </c>
      <c r="M37" s="13">
        <f t="shared" si="5"/>
        <v>2.7080000000000002</v>
      </c>
      <c r="N37" s="13">
        <f t="shared" si="6"/>
        <v>2.802</v>
      </c>
      <c r="O37" s="13">
        <f t="shared" si="7"/>
        <v>2.8959999999999999</v>
      </c>
      <c r="P37" s="13">
        <f t="shared" si="8"/>
        <v>2.9899999999999998</v>
      </c>
      <c r="Q37" s="13">
        <f t="shared" si="9"/>
        <v>3.0840000000000001</v>
      </c>
      <c r="R37" s="13">
        <f t="shared" si="10"/>
        <v>3.1779999999999999</v>
      </c>
      <c r="S37" s="13">
        <f t="shared" si="11"/>
        <v>3.2720000000000002</v>
      </c>
      <c r="T37" s="13">
        <f t="shared" si="12"/>
        <v>3.3659999999999997</v>
      </c>
      <c r="U37" s="27">
        <v>3.46</v>
      </c>
      <c r="V37" s="13">
        <f t="shared" si="13"/>
        <v>3.097</v>
      </c>
      <c r="W37" s="13">
        <f t="shared" si="14"/>
        <v>3.0640000000000001</v>
      </c>
      <c r="X37" s="13">
        <f t="shared" si="15"/>
        <v>3.0309999999999997</v>
      </c>
      <c r="Y37" s="13">
        <f t="shared" si="16"/>
        <v>2.9979999999999998</v>
      </c>
      <c r="Z37" s="13">
        <f t="shared" si="17"/>
        <v>2.9649999999999999</v>
      </c>
      <c r="AA37" s="13">
        <f t="shared" si="18"/>
        <v>2.9319999999999999</v>
      </c>
      <c r="AB37" s="13">
        <f t="shared" si="19"/>
        <v>2.899</v>
      </c>
      <c r="AC37" s="13">
        <f t="shared" si="20"/>
        <v>2.8659999999999997</v>
      </c>
      <c r="AD37" s="13">
        <f t="shared" si="21"/>
        <v>2.8329999999999997</v>
      </c>
      <c r="AE37" s="13">
        <v>3.13</v>
      </c>
    </row>
    <row r="38" spans="1:31">
      <c r="A38" s="20">
        <v>39845</v>
      </c>
      <c r="B38" s="13">
        <v>0.62</v>
      </c>
      <c r="C38" s="13">
        <v>0.98</v>
      </c>
      <c r="D38" s="13">
        <v>1.37</v>
      </c>
      <c r="E38" s="13">
        <f t="shared" si="0"/>
        <v>1.62</v>
      </c>
      <c r="F38" s="13">
        <v>1.87</v>
      </c>
      <c r="G38" s="13">
        <f t="shared" si="1"/>
        <v>2.085</v>
      </c>
      <c r="H38" s="13">
        <v>2.2999999999999998</v>
      </c>
      <c r="I38" s="13">
        <f t="shared" si="2"/>
        <v>2.4899999999999998</v>
      </c>
      <c r="J38" s="13">
        <f t="shared" si="3"/>
        <v>2.68</v>
      </c>
      <c r="K38" s="13">
        <v>2.87</v>
      </c>
      <c r="L38" s="13">
        <f t="shared" si="4"/>
        <v>2.9660000000000002</v>
      </c>
      <c r="M38" s="13">
        <f t="shared" si="5"/>
        <v>3.0620000000000003</v>
      </c>
      <c r="N38" s="13">
        <f t="shared" si="6"/>
        <v>3.1579999999999999</v>
      </c>
      <c r="O38" s="13">
        <f t="shared" si="7"/>
        <v>3.254</v>
      </c>
      <c r="P38" s="13">
        <f t="shared" si="8"/>
        <v>3.35</v>
      </c>
      <c r="Q38" s="13">
        <f t="shared" si="9"/>
        <v>3.4460000000000002</v>
      </c>
      <c r="R38" s="13">
        <f t="shared" si="10"/>
        <v>3.5419999999999998</v>
      </c>
      <c r="S38" s="13">
        <f t="shared" si="11"/>
        <v>3.6379999999999999</v>
      </c>
      <c r="T38" s="13">
        <f t="shared" si="12"/>
        <v>3.734</v>
      </c>
      <c r="U38" s="27">
        <v>3.83</v>
      </c>
      <c r="V38" s="13">
        <f t="shared" si="13"/>
        <v>3.5659999999999998</v>
      </c>
      <c r="W38" s="13">
        <f t="shared" si="14"/>
        <v>3.5419999999999998</v>
      </c>
      <c r="X38" s="13">
        <f t="shared" si="15"/>
        <v>3.5179999999999998</v>
      </c>
      <c r="Y38" s="13">
        <f t="shared" si="16"/>
        <v>3.4939999999999998</v>
      </c>
      <c r="Z38" s="13">
        <f t="shared" si="17"/>
        <v>3.4699999999999998</v>
      </c>
      <c r="AA38" s="13">
        <f t="shared" si="18"/>
        <v>3.4459999999999997</v>
      </c>
      <c r="AB38" s="13">
        <f t="shared" si="19"/>
        <v>3.4219999999999997</v>
      </c>
      <c r="AC38" s="13">
        <f t="shared" si="20"/>
        <v>3.3979999999999997</v>
      </c>
      <c r="AD38" s="13">
        <f t="shared" si="21"/>
        <v>3.3739999999999997</v>
      </c>
      <c r="AE38" s="13">
        <v>3.59</v>
      </c>
    </row>
    <row r="39" spans="1:31">
      <c r="A39" s="20">
        <v>39873</v>
      </c>
      <c r="B39" s="13">
        <v>0.64</v>
      </c>
      <c r="C39" s="13">
        <v>0.93</v>
      </c>
      <c r="D39" s="13">
        <v>1.31</v>
      </c>
      <c r="E39" s="13">
        <f t="shared" si="0"/>
        <v>1.5649999999999999</v>
      </c>
      <c r="F39" s="13">
        <v>1.82</v>
      </c>
      <c r="G39" s="13">
        <f t="shared" si="1"/>
        <v>2.12</v>
      </c>
      <c r="H39" s="13">
        <v>2.42</v>
      </c>
      <c r="I39" s="13">
        <f t="shared" si="2"/>
        <v>2.5533333333333332</v>
      </c>
      <c r="J39" s="13">
        <f t="shared" si="3"/>
        <v>2.6866666666666665</v>
      </c>
      <c r="K39" s="13">
        <v>2.82</v>
      </c>
      <c r="L39" s="13">
        <f t="shared" si="4"/>
        <v>2.9159999999999999</v>
      </c>
      <c r="M39" s="13">
        <f t="shared" si="5"/>
        <v>3.012</v>
      </c>
      <c r="N39" s="13">
        <f t="shared" si="6"/>
        <v>3.1079999999999997</v>
      </c>
      <c r="O39" s="13">
        <f t="shared" si="7"/>
        <v>3.2039999999999997</v>
      </c>
      <c r="P39" s="13">
        <f t="shared" si="8"/>
        <v>3.3</v>
      </c>
      <c r="Q39" s="13">
        <f t="shared" si="9"/>
        <v>3.3959999999999999</v>
      </c>
      <c r="R39" s="13">
        <f t="shared" si="10"/>
        <v>3.492</v>
      </c>
      <c r="S39" s="13">
        <f t="shared" si="11"/>
        <v>3.5880000000000001</v>
      </c>
      <c r="T39" s="13">
        <f t="shared" si="12"/>
        <v>3.6840000000000002</v>
      </c>
      <c r="U39" s="27">
        <v>3.78</v>
      </c>
      <c r="V39" s="13">
        <f t="shared" si="13"/>
        <v>3.6260000000000003</v>
      </c>
      <c r="W39" s="13">
        <f t="shared" si="14"/>
        <v>3.6120000000000001</v>
      </c>
      <c r="X39" s="13">
        <f t="shared" si="15"/>
        <v>3.5980000000000003</v>
      </c>
      <c r="Y39" s="13">
        <f t="shared" si="16"/>
        <v>3.5840000000000001</v>
      </c>
      <c r="Z39" s="13">
        <f t="shared" si="17"/>
        <v>3.5700000000000003</v>
      </c>
      <c r="AA39" s="13">
        <f t="shared" si="18"/>
        <v>3.5560000000000005</v>
      </c>
      <c r="AB39" s="13">
        <f t="shared" si="19"/>
        <v>3.5420000000000003</v>
      </c>
      <c r="AC39" s="13">
        <f t="shared" si="20"/>
        <v>3.5280000000000005</v>
      </c>
      <c r="AD39" s="13">
        <f t="shared" si="21"/>
        <v>3.5140000000000002</v>
      </c>
      <c r="AE39" s="13">
        <v>3.64</v>
      </c>
    </row>
    <row r="40" spans="1:31">
      <c r="A40" s="20">
        <v>39904</v>
      </c>
      <c r="B40" s="13">
        <v>0.55000000000000004</v>
      </c>
      <c r="C40" s="13">
        <v>0.93</v>
      </c>
      <c r="D40" s="13">
        <v>1.32</v>
      </c>
      <c r="E40" s="13">
        <f t="shared" si="0"/>
        <v>1.59</v>
      </c>
      <c r="F40" s="13">
        <v>1.86</v>
      </c>
      <c r="G40" s="13">
        <f t="shared" si="1"/>
        <v>2.165</v>
      </c>
      <c r="H40" s="13">
        <v>2.4700000000000002</v>
      </c>
      <c r="I40" s="13">
        <f t="shared" si="2"/>
        <v>2.6233333333333335</v>
      </c>
      <c r="J40" s="13">
        <f t="shared" si="3"/>
        <v>2.7766666666666668</v>
      </c>
      <c r="K40" s="13">
        <v>2.93</v>
      </c>
      <c r="L40" s="13">
        <f t="shared" si="4"/>
        <v>3.0209999999999999</v>
      </c>
      <c r="M40" s="13">
        <f t="shared" si="5"/>
        <v>3.1120000000000001</v>
      </c>
      <c r="N40" s="13">
        <f t="shared" si="6"/>
        <v>3.2030000000000003</v>
      </c>
      <c r="O40" s="13">
        <f t="shared" si="7"/>
        <v>3.294</v>
      </c>
      <c r="P40" s="13">
        <f t="shared" si="8"/>
        <v>3.3850000000000002</v>
      </c>
      <c r="Q40" s="13">
        <f t="shared" si="9"/>
        <v>3.476</v>
      </c>
      <c r="R40" s="13">
        <f t="shared" si="10"/>
        <v>3.5670000000000002</v>
      </c>
      <c r="S40" s="13">
        <f t="shared" si="11"/>
        <v>3.6579999999999999</v>
      </c>
      <c r="T40" s="13">
        <f t="shared" si="12"/>
        <v>3.7489999999999997</v>
      </c>
      <c r="U40" s="27">
        <v>3.84</v>
      </c>
      <c r="V40" s="13">
        <f t="shared" si="13"/>
        <v>3.7519999999999998</v>
      </c>
      <c r="W40" s="13">
        <f t="shared" si="14"/>
        <v>3.7439999999999998</v>
      </c>
      <c r="X40" s="13">
        <f t="shared" si="15"/>
        <v>3.7359999999999998</v>
      </c>
      <c r="Y40" s="13">
        <f t="shared" si="16"/>
        <v>3.7279999999999998</v>
      </c>
      <c r="Z40" s="13">
        <f t="shared" si="17"/>
        <v>3.7199999999999998</v>
      </c>
      <c r="AA40" s="13">
        <f t="shared" si="18"/>
        <v>3.7119999999999997</v>
      </c>
      <c r="AB40" s="13">
        <f t="shared" si="19"/>
        <v>3.7039999999999997</v>
      </c>
      <c r="AC40" s="13">
        <f t="shared" si="20"/>
        <v>3.6959999999999997</v>
      </c>
      <c r="AD40" s="13">
        <f t="shared" si="21"/>
        <v>3.6879999999999997</v>
      </c>
      <c r="AE40" s="13">
        <v>3.76</v>
      </c>
    </row>
    <row r="41" spans="1:31">
      <c r="A41" s="20">
        <v>39934</v>
      </c>
      <c r="B41" s="13">
        <v>0.5</v>
      </c>
      <c r="C41" s="13">
        <v>0.93</v>
      </c>
      <c r="D41" s="13">
        <v>1.39</v>
      </c>
      <c r="E41" s="13">
        <f t="shared" si="0"/>
        <v>1.7599999999999998</v>
      </c>
      <c r="F41" s="13">
        <v>2.13</v>
      </c>
      <c r="G41" s="13">
        <f t="shared" si="1"/>
        <v>2.4699999999999998</v>
      </c>
      <c r="H41" s="13">
        <v>2.81</v>
      </c>
      <c r="I41" s="13">
        <f t="shared" si="2"/>
        <v>2.97</v>
      </c>
      <c r="J41" s="13">
        <f t="shared" si="3"/>
        <v>3.13</v>
      </c>
      <c r="K41" s="13">
        <v>3.29</v>
      </c>
      <c r="L41" s="13">
        <f t="shared" si="4"/>
        <v>3.383</v>
      </c>
      <c r="M41" s="13">
        <f t="shared" si="5"/>
        <v>3.476</v>
      </c>
      <c r="N41" s="13">
        <f t="shared" si="6"/>
        <v>3.569</v>
      </c>
      <c r="O41" s="13">
        <f t="shared" si="7"/>
        <v>3.6619999999999999</v>
      </c>
      <c r="P41" s="13">
        <f t="shared" si="8"/>
        <v>3.7549999999999999</v>
      </c>
      <c r="Q41" s="13">
        <f t="shared" si="9"/>
        <v>3.8479999999999999</v>
      </c>
      <c r="R41" s="13">
        <f t="shared" si="10"/>
        <v>3.9409999999999998</v>
      </c>
      <c r="S41" s="13">
        <f t="shared" si="11"/>
        <v>4.0339999999999998</v>
      </c>
      <c r="T41" s="13">
        <f t="shared" si="12"/>
        <v>4.1269999999999998</v>
      </c>
      <c r="U41" s="27">
        <v>4.22</v>
      </c>
      <c r="V41" s="13">
        <f t="shared" si="13"/>
        <v>4.2310000000000008</v>
      </c>
      <c r="W41" s="13">
        <f t="shared" si="14"/>
        <v>4.2320000000000002</v>
      </c>
      <c r="X41" s="13">
        <f t="shared" si="15"/>
        <v>4.2330000000000005</v>
      </c>
      <c r="Y41" s="13">
        <f t="shared" si="16"/>
        <v>4.2340000000000009</v>
      </c>
      <c r="Z41" s="13">
        <f t="shared" si="17"/>
        <v>4.2350000000000012</v>
      </c>
      <c r="AA41" s="13">
        <f t="shared" si="18"/>
        <v>4.2360000000000007</v>
      </c>
      <c r="AB41" s="13">
        <f t="shared" si="19"/>
        <v>4.237000000000001</v>
      </c>
      <c r="AC41" s="13">
        <f t="shared" si="20"/>
        <v>4.2380000000000013</v>
      </c>
      <c r="AD41" s="13">
        <f t="shared" si="21"/>
        <v>4.2390000000000008</v>
      </c>
      <c r="AE41" s="13">
        <v>4.2300000000000004</v>
      </c>
    </row>
    <row r="42" spans="1:31">
      <c r="A42" s="20">
        <v>39965</v>
      </c>
      <c r="B42" s="13">
        <v>0.51</v>
      </c>
      <c r="C42" s="13">
        <v>1.18</v>
      </c>
      <c r="D42" s="13">
        <v>1.76</v>
      </c>
      <c r="E42" s="13">
        <f t="shared" si="0"/>
        <v>2.2349999999999999</v>
      </c>
      <c r="F42" s="13">
        <v>2.71</v>
      </c>
      <c r="G42" s="13">
        <f t="shared" si="1"/>
        <v>3.04</v>
      </c>
      <c r="H42" s="13">
        <v>3.37</v>
      </c>
      <c r="I42" s="13">
        <f t="shared" si="2"/>
        <v>3.4866666666666668</v>
      </c>
      <c r="J42" s="13">
        <f t="shared" si="3"/>
        <v>3.6033333333333335</v>
      </c>
      <c r="K42" s="13">
        <v>3.72</v>
      </c>
      <c r="L42" s="13">
        <f t="shared" si="4"/>
        <v>3.7990000000000004</v>
      </c>
      <c r="M42" s="13">
        <f t="shared" si="5"/>
        <v>3.8780000000000001</v>
      </c>
      <c r="N42" s="13">
        <f t="shared" si="6"/>
        <v>3.9569999999999999</v>
      </c>
      <c r="O42" s="13">
        <f t="shared" si="7"/>
        <v>4.0359999999999996</v>
      </c>
      <c r="P42" s="13">
        <f t="shared" si="8"/>
        <v>4.1150000000000002</v>
      </c>
      <c r="Q42" s="13">
        <f t="shared" si="9"/>
        <v>4.194</v>
      </c>
      <c r="R42" s="13">
        <f t="shared" si="10"/>
        <v>4.2729999999999997</v>
      </c>
      <c r="S42" s="13">
        <f t="shared" si="11"/>
        <v>4.3520000000000003</v>
      </c>
      <c r="T42" s="13">
        <f t="shared" si="12"/>
        <v>4.431</v>
      </c>
      <c r="U42" s="27">
        <v>4.51</v>
      </c>
      <c r="V42" s="13">
        <f t="shared" si="13"/>
        <v>4.5209999999999999</v>
      </c>
      <c r="W42" s="13">
        <f t="shared" si="14"/>
        <v>4.5219999999999994</v>
      </c>
      <c r="X42" s="13">
        <f t="shared" si="15"/>
        <v>4.5229999999999997</v>
      </c>
      <c r="Y42" s="13">
        <f t="shared" si="16"/>
        <v>4.5239999999999991</v>
      </c>
      <c r="Z42" s="13">
        <f t="shared" si="17"/>
        <v>4.5249999999999995</v>
      </c>
      <c r="AA42" s="13">
        <f t="shared" si="18"/>
        <v>4.5259999999999998</v>
      </c>
      <c r="AB42" s="13">
        <f t="shared" si="19"/>
        <v>4.5269999999999992</v>
      </c>
      <c r="AC42" s="13">
        <f t="shared" si="20"/>
        <v>4.5279999999999996</v>
      </c>
      <c r="AD42" s="13">
        <f t="shared" si="21"/>
        <v>4.528999999999999</v>
      </c>
      <c r="AE42" s="13">
        <v>4.5199999999999996</v>
      </c>
    </row>
    <row r="43" spans="1:31">
      <c r="A43" s="20">
        <v>39995</v>
      </c>
      <c r="B43" s="13">
        <v>0.48</v>
      </c>
      <c r="C43" s="13">
        <v>1.02</v>
      </c>
      <c r="D43" s="13">
        <v>1.55</v>
      </c>
      <c r="E43" s="13">
        <f t="shared" si="0"/>
        <v>2.0049999999999999</v>
      </c>
      <c r="F43" s="13">
        <v>2.46</v>
      </c>
      <c r="G43" s="13">
        <f t="shared" si="1"/>
        <v>2.8</v>
      </c>
      <c r="H43" s="13">
        <v>3.14</v>
      </c>
      <c r="I43" s="13">
        <f t="shared" si="2"/>
        <v>3.2800000000000002</v>
      </c>
      <c r="J43" s="13">
        <f t="shared" si="3"/>
        <v>3.42</v>
      </c>
      <c r="K43" s="13">
        <v>3.56</v>
      </c>
      <c r="L43" s="13">
        <f t="shared" si="4"/>
        <v>3.6419999999999999</v>
      </c>
      <c r="M43" s="13">
        <f t="shared" si="5"/>
        <v>3.7240000000000002</v>
      </c>
      <c r="N43" s="13">
        <f t="shared" si="6"/>
        <v>3.806</v>
      </c>
      <c r="O43" s="13">
        <f t="shared" si="7"/>
        <v>3.8879999999999999</v>
      </c>
      <c r="P43" s="13">
        <f t="shared" si="8"/>
        <v>3.97</v>
      </c>
      <c r="Q43" s="13">
        <f t="shared" si="9"/>
        <v>4.0519999999999996</v>
      </c>
      <c r="R43" s="13">
        <f t="shared" si="10"/>
        <v>4.1340000000000003</v>
      </c>
      <c r="S43" s="13">
        <f t="shared" si="11"/>
        <v>4.2160000000000002</v>
      </c>
      <c r="T43" s="13">
        <f t="shared" si="12"/>
        <v>4.298</v>
      </c>
      <c r="U43" s="27">
        <v>4.38</v>
      </c>
      <c r="V43" s="13">
        <f t="shared" si="13"/>
        <v>4.4130000000000003</v>
      </c>
      <c r="W43" s="13">
        <f t="shared" si="14"/>
        <v>4.4160000000000004</v>
      </c>
      <c r="X43" s="13">
        <f t="shared" si="15"/>
        <v>4.4190000000000005</v>
      </c>
      <c r="Y43" s="13">
        <f t="shared" si="16"/>
        <v>4.4220000000000006</v>
      </c>
      <c r="Z43" s="13">
        <f t="shared" si="17"/>
        <v>4.4250000000000007</v>
      </c>
      <c r="AA43" s="13">
        <f t="shared" si="18"/>
        <v>4.4279999999999999</v>
      </c>
      <c r="AB43" s="13">
        <f t="shared" si="19"/>
        <v>4.431</v>
      </c>
      <c r="AC43" s="13">
        <f t="shared" si="20"/>
        <v>4.4340000000000002</v>
      </c>
      <c r="AD43" s="13">
        <f t="shared" si="21"/>
        <v>4.4370000000000003</v>
      </c>
      <c r="AE43" s="13">
        <v>4.41</v>
      </c>
    </row>
    <row r="44" spans="1:31">
      <c r="A44" s="20">
        <v>40026</v>
      </c>
      <c r="B44" s="13">
        <v>0.46</v>
      </c>
      <c r="C44" s="13">
        <v>1.1200000000000001</v>
      </c>
      <c r="D44" s="13">
        <v>1.65</v>
      </c>
      <c r="E44" s="13">
        <f t="shared" si="0"/>
        <v>2.11</v>
      </c>
      <c r="F44" s="13">
        <v>2.57</v>
      </c>
      <c r="G44" s="13">
        <f t="shared" si="1"/>
        <v>2.8899999999999997</v>
      </c>
      <c r="H44" s="13">
        <v>3.21</v>
      </c>
      <c r="I44" s="13">
        <f t="shared" si="2"/>
        <v>3.3366666666666664</v>
      </c>
      <c r="J44" s="13">
        <f t="shared" si="3"/>
        <v>3.4633333333333334</v>
      </c>
      <c r="K44" s="13">
        <v>3.59</v>
      </c>
      <c r="L44" s="13">
        <f t="shared" si="4"/>
        <v>3.6639999999999997</v>
      </c>
      <c r="M44" s="13">
        <f t="shared" si="5"/>
        <v>3.738</v>
      </c>
      <c r="N44" s="13">
        <f t="shared" si="6"/>
        <v>3.8119999999999998</v>
      </c>
      <c r="O44" s="13">
        <f t="shared" si="7"/>
        <v>3.8860000000000001</v>
      </c>
      <c r="P44" s="13">
        <f t="shared" si="8"/>
        <v>3.96</v>
      </c>
      <c r="Q44" s="13">
        <f t="shared" si="9"/>
        <v>4.0339999999999998</v>
      </c>
      <c r="R44" s="13">
        <f t="shared" si="10"/>
        <v>4.1079999999999997</v>
      </c>
      <c r="S44" s="13">
        <f t="shared" si="11"/>
        <v>4.1820000000000004</v>
      </c>
      <c r="T44" s="13">
        <f t="shared" si="12"/>
        <v>4.2560000000000002</v>
      </c>
      <c r="U44" s="27">
        <v>4.33</v>
      </c>
      <c r="V44" s="13">
        <f t="shared" si="13"/>
        <v>4.3740000000000006</v>
      </c>
      <c r="W44" s="13">
        <f t="shared" si="14"/>
        <v>4.3780000000000001</v>
      </c>
      <c r="X44" s="13">
        <f t="shared" si="15"/>
        <v>4.3819999999999997</v>
      </c>
      <c r="Y44" s="13">
        <f t="shared" si="16"/>
        <v>4.3860000000000001</v>
      </c>
      <c r="Z44" s="13">
        <f t="shared" si="17"/>
        <v>4.3900000000000006</v>
      </c>
      <c r="AA44" s="13">
        <f t="shared" si="18"/>
        <v>4.3940000000000001</v>
      </c>
      <c r="AB44" s="13">
        <f t="shared" si="19"/>
        <v>4.3979999999999997</v>
      </c>
      <c r="AC44" s="13">
        <f t="shared" si="20"/>
        <v>4.4020000000000001</v>
      </c>
      <c r="AD44" s="13">
        <f t="shared" si="21"/>
        <v>4.4060000000000006</v>
      </c>
      <c r="AE44" s="13">
        <v>4.37</v>
      </c>
    </row>
    <row r="45" spans="1:31">
      <c r="A45" s="20">
        <v>40057</v>
      </c>
      <c r="B45" s="13">
        <v>0.4</v>
      </c>
      <c r="C45" s="13">
        <v>0.96</v>
      </c>
      <c r="D45" s="13">
        <v>1.48</v>
      </c>
      <c r="E45" s="13">
        <f t="shared" si="0"/>
        <v>1.925</v>
      </c>
      <c r="F45" s="13">
        <v>2.37</v>
      </c>
      <c r="G45" s="13">
        <f t="shared" si="1"/>
        <v>2.6950000000000003</v>
      </c>
      <c r="H45" s="13">
        <v>3.02</v>
      </c>
      <c r="I45" s="13">
        <f t="shared" si="2"/>
        <v>3.1466666666666665</v>
      </c>
      <c r="J45" s="13">
        <f t="shared" si="3"/>
        <v>3.2733333333333334</v>
      </c>
      <c r="K45" s="13">
        <v>3.4</v>
      </c>
      <c r="L45" s="13">
        <f t="shared" si="4"/>
        <v>3.4739999999999998</v>
      </c>
      <c r="M45" s="13">
        <f t="shared" si="5"/>
        <v>3.548</v>
      </c>
      <c r="N45" s="13">
        <f t="shared" si="6"/>
        <v>3.6219999999999999</v>
      </c>
      <c r="O45" s="13">
        <f t="shared" si="7"/>
        <v>3.6959999999999997</v>
      </c>
      <c r="P45" s="13">
        <f t="shared" si="8"/>
        <v>3.7699999999999996</v>
      </c>
      <c r="Q45" s="13">
        <f t="shared" si="9"/>
        <v>3.8439999999999999</v>
      </c>
      <c r="R45" s="13">
        <f t="shared" si="10"/>
        <v>3.9179999999999997</v>
      </c>
      <c r="S45" s="13">
        <f t="shared" si="11"/>
        <v>3.992</v>
      </c>
      <c r="T45" s="13">
        <f t="shared" si="12"/>
        <v>4.0659999999999998</v>
      </c>
      <c r="U45" s="27">
        <v>4.1399999999999997</v>
      </c>
      <c r="V45" s="13">
        <f t="shared" si="13"/>
        <v>4.1950000000000003</v>
      </c>
      <c r="W45" s="13">
        <f t="shared" si="14"/>
        <v>4.2</v>
      </c>
      <c r="X45" s="13">
        <f t="shared" si="15"/>
        <v>4.205000000000001</v>
      </c>
      <c r="Y45" s="13">
        <f t="shared" si="16"/>
        <v>4.2100000000000009</v>
      </c>
      <c r="Z45" s="13">
        <f t="shared" si="17"/>
        <v>4.2150000000000007</v>
      </c>
      <c r="AA45" s="13">
        <f t="shared" si="18"/>
        <v>4.2200000000000006</v>
      </c>
      <c r="AB45" s="13">
        <f t="shared" si="19"/>
        <v>4.2250000000000005</v>
      </c>
      <c r="AC45" s="13">
        <f t="shared" si="20"/>
        <v>4.2300000000000013</v>
      </c>
      <c r="AD45" s="13">
        <f t="shared" si="21"/>
        <v>4.2350000000000012</v>
      </c>
      <c r="AE45" s="13">
        <v>4.1900000000000004</v>
      </c>
    </row>
    <row r="46" spans="1:31">
      <c r="A46" s="20">
        <v>40087</v>
      </c>
      <c r="B46" s="13">
        <v>0.37</v>
      </c>
      <c r="C46" s="13">
        <v>0.95</v>
      </c>
      <c r="D46" s="13">
        <v>1.46</v>
      </c>
      <c r="E46" s="13">
        <f t="shared" ref="E46:E49" si="22">(F46+D46)/2</f>
        <v>1.895</v>
      </c>
      <c r="F46" s="13">
        <v>2.33</v>
      </c>
      <c r="G46" s="13">
        <f t="shared" ref="G46:G49" si="23">(H46+F46)/2</f>
        <v>2.645</v>
      </c>
      <c r="H46" s="13">
        <v>2.96</v>
      </c>
      <c r="I46" s="13">
        <f t="shared" si="2"/>
        <v>3.1033333333333335</v>
      </c>
      <c r="J46" s="13">
        <f t="shared" ref="J46:J49" si="24">H46+2*(K46-H46)/3</f>
        <v>3.2466666666666666</v>
      </c>
      <c r="K46" s="13">
        <v>3.39</v>
      </c>
      <c r="L46" s="13">
        <f t="shared" ref="L46:L49" si="25">$K46+($U46-$K46)/10</f>
        <v>3.4670000000000001</v>
      </c>
      <c r="M46" s="13">
        <f t="shared" ref="M46:M49" si="26">$K46+2*($U46-$K46)/10</f>
        <v>3.544</v>
      </c>
      <c r="N46" s="13">
        <f t="shared" ref="N46:N49" si="27">$K46+3*($U46-$K46)/10</f>
        <v>3.621</v>
      </c>
      <c r="O46" s="13">
        <f t="shared" ref="O46:O49" si="28">$K46+4*($U46-$K46)/10</f>
        <v>3.698</v>
      </c>
      <c r="P46" s="13">
        <f t="shared" ref="P46:P49" si="29">$K46+5*($U46-$K46)/10</f>
        <v>3.7750000000000004</v>
      </c>
      <c r="Q46" s="13">
        <f t="shared" ref="Q46:Q49" si="30">$K46+6*($U46-$K46)/10</f>
        <v>3.8520000000000003</v>
      </c>
      <c r="R46" s="13">
        <f t="shared" ref="R46:R49" si="31">$K46+7*($U46-$K46)/10</f>
        <v>3.9290000000000003</v>
      </c>
      <c r="S46" s="13">
        <f t="shared" ref="S46:S49" si="32">$K46+8*($U46-$K46)/10</f>
        <v>4.0060000000000002</v>
      </c>
      <c r="T46" s="13">
        <f t="shared" ref="T46:T49" si="33">$K46+9*($U46-$K46)/10</f>
        <v>4.0830000000000002</v>
      </c>
      <c r="U46" s="27">
        <v>4.16</v>
      </c>
      <c r="V46" s="13">
        <f t="shared" ref="V46:V49" si="34">$AE46 + ($AE46-$U46)/10</f>
        <v>4.1930000000000005</v>
      </c>
      <c r="W46" s="13">
        <f t="shared" ref="W46:W49" si="35">$AE46 +2* ($AE46-$U46)/10</f>
        <v>4.1960000000000006</v>
      </c>
      <c r="X46" s="13">
        <f t="shared" ref="X46:X49" si="36">$AE46 + 3*($AE46-$U46)/10</f>
        <v>4.1990000000000007</v>
      </c>
      <c r="Y46" s="13">
        <f t="shared" ref="Y46:Y49" si="37">$AE46 +4* ($AE46-$U46)/10</f>
        <v>4.2020000000000008</v>
      </c>
      <c r="Z46" s="13">
        <f t="shared" ref="Z46:Z49" si="38">$AE46 + 5*($AE46-$U46)/10</f>
        <v>4.2050000000000001</v>
      </c>
      <c r="AA46" s="13">
        <f t="shared" ref="AA46:AA49" si="39">$AE46 + 6*($AE46-$U46)/10</f>
        <v>4.2080000000000002</v>
      </c>
      <c r="AB46" s="13">
        <f t="shared" ref="AB46:AB49" si="40">$AE46 + 7*($AE46-$U46)/10</f>
        <v>4.2110000000000003</v>
      </c>
      <c r="AC46" s="13">
        <f t="shared" ref="AC46:AC49" si="41">$AE46 + 8*($AE46-$U46)/10</f>
        <v>4.2140000000000004</v>
      </c>
      <c r="AD46" s="13">
        <f t="shared" ref="AD46:AD49" si="42">$AE46 + 9*($AE46-$U46)/10</f>
        <v>4.2170000000000005</v>
      </c>
      <c r="AE46" s="13">
        <v>4.1900000000000004</v>
      </c>
    </row>
    <row r="47" spans="1:31">
      <c r="A47" s="20">
        <v>40118</v>
      </c>
      <c r="B47" s="13">
        <v>0.31</v>
      </c>
      <c r="C47" s="13">
        <v>0.8</v>
      </c>
      <c r="D47" s="13">
        <v>1.32</v>
      </c>
      <c r="E47" s="13">
        <f t="shared" si="22"/>
        <v>1.7749999999999999</v>
      </c>
      <c r="F47" s="13">
        <v>2.23</v>
      </c>
      <c r="G47" s="13">
        <f t="shared" si="23"/>
        <v>2.5750000000000002</v>
      </c>
      <c r="H47" s="13">
        <v>2.92</v>
      </c>
      <c r="I47" s="13">
        <f t="shared" ref="I47:I49" si="43">H47+(K47-H47)/3</f>
        <v>3.08</v>
      </c>
      <c r="J47" s="13">
        <f t="shared" si="24"/>
        <v>3.2399999999999998</v>
      </c>
      <c r="K47" s="13">
        <v>3.4</v>
      </c>
      <c r="L47" s="13">
        <f t="shared" si="25"/>
        <v>3.484</v>
      </c>
      <c r="M47" s="13">
        <f t="shared" si="26"/>
        <v>3.5680000000000001</v>
      </c>
      <c r="N47" s="13">
        <f t="shared" si="27"/>
        <v>3.6520000000000001</v>
      </c>
      <c r="O47" s="13">
        <f t="shared" si="28"/>
        <v>3.7360000000000002</v>
      </c>
      <c r="P47" s="13">
        <f t="shared" si="29"/>
        <v>3.82</v>
      </c>
      <c r="Q47" s="13">
        <f t="shared" si="30"/>
        <v>3.9039999999999999</v>
      </c>
      <c r="R47" s="13">
        <f t="shared" si="31"/>
        <v>3.9880000000000004</v>
      </c>
      <c r="S47" s="13">
        <f t="shared" si="32"/>
        <v>4.0720000000000001</v>
      </c>
      <c r="T47" s="13">
        <f t="shared" si="33"/>
        <v>4.1560000000000006</v>
      </c>
      <c r="U47" s="27">
        <v>4.24</v>
      </c>
      <c r="V47" s="13">
        <f t="shared" si="34"/>
        <v>4.3169999999999993</v>
      </c>
      <c r="W47" s="13">
        <f t="shared" si="35"/>
        <v>4.3239999999999998</v>
      </c>
      <c r="X47" s="13">
        <f t="shared" si="36"/>
        <v>4.3309999999999995</v>
      </c>
      <c r="Y47" s="13">
        <f t="shared" si="37"/>
        <v>4.3379999999999992</v>
      </c>
      <c r="Z47" s="13">
        <f t="shared" si="38"/>
        <v>4.3449999999999989</v>
      </c>
      <c r="AA47" s="13">
        <f t="shared" si="39"/>
        <v>4.3519999999999994</v>
      </c>
      <c r="AB47" s="13">
        <f t="shared" si="40"/>
        <v>4.3589999999999991</v>
      </c>
      <c r="AC47" s="13">
        <f t="shared" si="41"/>
        <v>4.3659999999999988</v>
      </c>
      <c r="AD47" s="13">
        <f t="shared" si="42"/>
        <v>4.3729999999999993</v>
      </c>
      <c r="AE47" s="13">
        <v>4.3099999999999996</v>
      </c>
    </row>
    <row r="48" spans="1:31">
      <c r="A48" s="20">
        <v>40148</v>
      </c>
      <c r="B48" s="13">
        <v>0.37</v>
      </c>
      <c r="C48" s="13">
        <v>0.87</v>
      </c>
      <c r="D48" s="13">
        <v>1.38</v>
      </c>
      <c r="E48" s="13">
        <f t="shared" si="22"/>
        <v>1.8599999999999999</v>
      </c>
      <c r="F48" s="13">
        <v>2.34</v>
      </c>
      <c r="G48" s="13">
        <f t="shared" si="23"/>
        <v>2.7050000000000001</v>
      </c>
      <c r="H48" s="13">
        <v>3.07</v>
      </c>
      <c r="I48" s="13">
        <f t="shared" si="43"/>
        <v>3.2433333333333332</v>
      </c>
      <c r="J48" s="13">
        <f t="shared" si="24"/>
        <v>3.4166666666666665</v>
      </c>
      <c r="K48" s="13">
        <v>3.59</v>
      </c>
      <c r="L48" s="13">
        <f t="shared" si="25"/>
        <v>3.6709999999999998</v>
      </c>
      <c r="M48" s="13">
        <f t="shared" si="26"/>
        <v>3.7519999999999998</v>
      </c>
      <c r="N48" s="13">
        <f t="shared" si="27"/>
        <v>3.8330000000000002</v>
      </c>
      <c r="O48" s="13">
        <f t="shared" si="28"/>
        <v>3.9140000000000001</v>
      </c>
      <c r="P48" s="13">
        <f t="shared" si="29"/>
        <v>3.9950000000000001</v>
      </c>
      <c r="Q48" s="13">
        <f t="shared" si="30"/>
        <v>4.0760000000000005</v>
      </c>
      <c r="R48" s="13">
        <f t="shared" si="31"/>
        <v>4.157</v>
      </c>
      <c r="S48" s="13">
        <f t="shared" si="32"/>
        <v>4.2380000000000004</v>
      </c>
      <c r="T48" s="13">
        <f t="shared" si="33"/>
        <v>4.319</v>
      </c>
      <c r="U48" s="27">
        <v>4.4000000000000004</v>
      </c>
      <c r="V48" s="13">
        <f t="shared" si="34"/>
        <v>4.4990000000000006</v>
      </c>
      <c r="W48" s="13">
        <f t="shared" si="35"/>
        <v>4.508</v>
      </c>
      <c r="X48" s="13">
        <f t="shared" si="36"/>
        <v>4.5170000000000003</v>
      </c>
      <c r="Y48" s="13">
        <f t="shared" si="37"/>
        <v>4.5259999999999998</v>
      </c>
      <c r="Z48" s="13">
        <f t="shared" si="38"/>
        <v>4.5350000000000001</v>
      </c>
      <c r="AA48" s="13">
        <f t="shared" si="39"/>
        <v>4.5440000000000005</v>
      </c>
      <c r="AB48" s="13">
        <f t="shared" si="40"/>
        <v>4.5529999999999999</v>
      </c>
      <c r="AC48" s="13">
        <f t="shared" si="41"/>
        <v>4.5620000000000003</v>
      </c>
      <c r="AD48" s="13">
        <f t="shared" si="42"/>
        <v>4.5709999999999997</v>
      </c>
      <c r="AE48" s="13">
        <v>4.49</v>
      </c>
    </row>
    <row r="49" spans="1:31">
      <c r="A49" s="20">
        <v>40179</v>
      </c>
      <c r="B49" s="13">
        <v>0.35</v>
      </c>
      <c r="C49" s="13">
        <v>0.93</v>
      </c>
      <c r="D49" s="13">
        <v>1.49</v>
      </c>
      <c r="E49" s="13">
        <f t="shared" si="22"/>
        <v>1.9849999999999999</v>
      </c>
      <c r="F49" s="13">
        <v>2.48</v>
      </c>
      <c r="G49" s="13">
        <f t="shared" si="23"/>
        <v>2.8449999999999998</v>
      </c>
      <c r="H49" s="13">
        <v>3.21</v>
      </c>
      <c r="I49" s="13">
        <f t="shared" si="43"/>
        <v>3.3833333333333333</v>
      </c>
      <c r="J49" s="13">
        <f t="shared" si="24"/>
        <v>3.5566666666666666</v>
      </c>
      <c r="K49" s="13">
        <v>3.73</v>
      </c>
      <c r="L49" s="13">
        <f t="shared" si="25"/>
        <v>3.8069999999999999</v>
      </c>
      <c r="M49" s="13">
        <f t="shared" si="26"/>
        <v>3.8839999999999999</v>
      </c>
      <c r="N49" s="13">
        <f t="shared" si="27"/>
        <v>3.9609999999999999</v>
      </c>
      <c r="O49" s="13">
        <f t="shared" si="28"/>
        <v>4.0380000000000003</v>
      </c>
      <c r="P49" s="13">
        <f t="shared" si="29"/>
        <v>4.1150000000000002</v>
      </c>
      <c r="Q49" s="13">
        <f t="shared" si="30"/>
        <v>4.1920000000000002</v>
      </c>
      <c r="R49" s="13">
        <f t="shared" si="31"/>
        <v>4.2690000000000001</v>
      </c>
      <c r="S49" s="13">
        <f t="shared" si="32"/>
        <v>4.3460000000000001</v>
      </c>
      <c r="T49" s="13">
        <f t="shared" si="33"/>
        <v>4.423</v>
      </c>
      <c r="U49" s="27">
        <v>4.5</v>
      </c>
      <c r="V49" s="13">
        <f t="shared" si="34"/>
        <v>4.6099999999999994</v>
      </c>
      <c r="W49" s="13">
        <f t="shared" si="35"/>
        <v>4.6199999999999992</v>
      </c>
      <c r="X49" s="13">
        <f t="shared" si="36"/>
        <v>4.63</v>
      </c>
      <c r="Y49" s="13">
        <f t="shared" si="37"/>
        <v>4.6399999999999997</v>
      </c>
      <c r="Z49" s="13">
        <f t="shared" si="38"/>
        <v>4.6499999999999995</v>
      </c>
      <c r="AA49" s="13">
        <f t="shared" si="39"/>
        <v>4.6599999999999993</v>
      </c>
      <c r="AB49" s="13">
        <f t="shared" si="40"/>
        <v>4.669999999999999</v>
      </c>
      <c r="AC49" s="13">
        <f t="shared" si="41"/>
        <v>4.68</v>
      </c>
      <c r="AD49" s="13">
        <f t="shared" si="42"/>
        <v>4.6899999999999995</v>
      </c>
      <c r="AE49" s="13">
        <v>4.5999999999999996</v>
      </c>
    </row>
    <row r="50" spans="1:31">
      <c r="A50" s="18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6"/>
      <c r="M50" s="6"/>
      <c r="U50" s="27"/>
      <c r="V50" s="6"/>
      <c r="AE50" s="13"/>
    </row>
    <row r="51" spans="1:31">
      <c r="A51" s="18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6"/>
      <c r="M51" s="6"/>
      <c r="U51" s="27"/>
      <c r="V51" s="6"/>
      <c r="AE51" s="13"/>
    </row>
    <row r="52" spans="1:31">
      <c r="A52" s="18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6"/>
      <c r="M52" s="6"/>
      <c r="U52" s="27"/>
      <c r="V52" s="6"/>
      <c r="AE52" s="13"/>
    </row>
    <row r="53" spans="1:31">
      <c r="A53" s="18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6"/>
      <c r="M53" s="6"/>
      <c r="U53" s="27"/>
      <c r="V53" s="6"/>
      <c r="AE53" s="13"/>
    </row>
    <row r="54" spans="1:31">
      <c r="A54" s="18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6"/>
      <c r="M54" s="6"/>
      <c r="U54" s="27"/>
      <c r="V54" s="6"/>
      <c r="AE54" s="13"/>
    </row>
    <row r="55" spans="1:31">
      <c r="A55" s="18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6"/>
      <c r="M55" s="6"/>
      <c r="U55" s="27"/>
      <c r="V55" s="6"/>
      <c r="AE55" s="13"/>
    </row>
    <row r="56" spans="1:31">
      <c r="A56" s="18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6"/>
      <c r="M56" s="6"/>
      <c r="U56" s="27"/>
      <c r="V56" s="6"/>
      <c r="AE56" s="13"/>
    </row>
    <row r="57" spans="1:31">
      <c r="A57" s="18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6"/>
      <c r="M57" s="6"/>
      <c r="U57" s="27"/>
      <c r="V57" s="6"/>
      <c r="AE57" s="13"/>
    </row>
    <row r="58" spans="1:31">
      <c r="A58" s="18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6"/>
      <c r="M58" s="6"/>
      <c r="U58" s="27"/>
      <c r="V58" s="6"/>
      <c r="AE58" s="13"/>
    </row>
    <row r="59" spans="1:31">
      <c r="A59" s="18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6"/>
      <c r="M59" s="6"/>
      <c r="U59" s="27"/>
      <c r="V59" s="6"/>
      <c r="AE59" s="13"/>
    </row>
    <row r="60" spans="1:31">
      <c r="A60" s="18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6"/>
      <c r="M60" s="6"/>
      <c r="U60" s="27"/>
      <c r="V60" s="6"/>
      <c r="AE60" s="13"/>
    </row>
    <row r="61" spans="1:31">
      <c r="A61" s="18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6"/>
      <c r="M61" s="6"/>
      <c r="U61" s="27"/>
      <c r="V61" s="6"/>
      <c r="AE61" s="13"/>
    </row>
    <row r="62" spans="1:31">
      <c r="A62" s="18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6"/>
      <c r="M62" s="6"/>
      <c r="U62" s="27"/>
      <c r="V62" s="6"/>
      <c r="AE62" s="13"/>
    </row>
    <row r="63" spans="1:31">
      <c r="A63" s="18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6"/>
      <c r="M63" s="6"/>
      <c r="U63" s="27"/>
      <c r="V63" s="6"/>
      <c r="AE63" s="13"/>
    </row>
    <row r="64" spans="1:31">
      <c r="A64" s="18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6"/>
      <c r="M64" s="6"/>
      <c r="U64" s="27"/>
      <c r="V64" s="6"/>
      <c r="AE64" s="13"/>
    </row>
    <row r="65" spans="1:31">
      <c r="A65" s="18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6"/>
      <c r="M65" s="6"/>
      <c r="U65" s="27"/>
      <c r="V65" s="6"/>
      <c r="AE65" s="13"/>
    </row>
    <row r="66" spans="1:31">
      <c r="A66" s="18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6"/>
      <c r="M66" s="6"/>
      <c r="U66" s="27"/>
      <c r="V66" s="6"/>
      <c r="AE66" s="13"/>
    </row>
    <row r="67" spans="1:31">
      <c r="A67" s="18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6"/>
      <c r="M67" s="6"/>
      <c r="U67" s="27"/>
      <c r="V67" s="6"/>
      <c r="AE67" s="13"/>
    </row>
    <row r="68" spans="1:31">
      <c r="A68" s="18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6"/>
      <c r="M68" s="6"/>
      <c r="U68" s="27"/>
      <c r="V68" s="6"/>
      <c r="AE68" s="13"/>
    </row>
    <row r="69" spans="1:31">
      <c r="A69" s="18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6"/>
      <c r="M69" s="6"/>
      <c r="U69" s="27"/>
      <c r="V69" s="6"/>
      <c r="AE69" s="13"/>
    </row>
    <row r="70" spans="1:31">
      <c r="A70" s="18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6"/>
      <c r="M70" s="6"/>
      <c r="U70" s="27"/>
      <c r="V70" s="6"/>
      <c r="AE70" s="13"/>
    </row>
    <row r="71" spans="1:31">
      <c r="A71" s="18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6"/>
      <c r="M71" s="6"/>
      <c r="U71" s="27"/>
      <c r="V71" s="6"/>
      <c r="AE71" s="13"/>
    </row>
    <row r="72" spans="1:31">
      <c r="A72" s="18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6"/>
      <c r="M72" s="6"/>
      <c r="U72" s="27"/>
      <c r="V72" s="6"/>
      <c r="AE72" s="13"/>
    </row>
    <row r="73" spans="1:31">
      <c r="A73" s="19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6"/>
      <c r="M73" s="6"/>
      <c r="U73" s="27"/>
      <c r="V73" s="6"/>
      <c r="AE73" s="13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K23"/>
  <sheetViews>
    <sheetView showGridLines="0" tabSelected="1" workbookViewId="0">
      <selection activeCell="M32" sqref="M32"/>
    </sheetView>
  </sheetViews>
  <sheetFormatPr defaultRowHeight="15"/>
  <cols>
    <col min="1" max="2" width="9.140625" style="61"/>
    <col min="3" max="3" width="13.5703125" style="61" bestFit="1" customWidth="1"/>
    <col min="4" max="4" width="12.42578125" style="61" bestFit="1" customWidth="1"/>
    <col min="5" max="5" width="9.140625" style="61"/>
    <col min="6" max="6" width="9.140625" style="62"/>
    <col min="7" max="7" width="15" style="61" bestFit="1" customWidth="1"/>
    <col min="8" max="10" width="9.140625" style="61"/>
    <col min="11" max="11" width="12.28515625" style="61" bestFit="1" customWidth="1"/>
    <col min="12" max="16384" width="9.140625" style="61"/>
  </cols>
  <sheetData>
    <row r="2" spans="1:11" ht="16.5">
      <c r="A2" s="92" t="s">
        <v>36</v>
      </c>
      <c r="B2" s="92" t="s">
        <v>37</v>
      </c>
      <c r="C2" s="92" t="s">
        <v>18</v>
      </c>
      <c r="D2" s="92" t="s">
        <v>38</v>
      </c>
      <c r="E2" s="92" t="s">
        <v>44</v>
      </c>
      <c r="F2" s="92" t="s">
        <v>45</v>
      </c>
      <c r="G2" s="92" t="s">
        <v>39</v>
      </c>
      <c r="H2" s="92" t="s">
        <v>46</v>
      </c>
      <c r="I2" s="92" t="s">
        <v>47</v>
      </c>
      <c r="K2" s="101" t="s">
        <v>50</v>
      </c>
    </row>
    <row r="3" spans="1:11">
      <c r="A3" s="61">
        <v>1</v>
      </c>
      <c r="B3" s="93">
        <v>5.5709999999999997</v>
      </c>
      <c r="C3" s="90">
        <f>(1+B3/100)^-A3</f>
        <v>0.94722982637277287</v>
      </c>
      <c r="D3" s="61">
        <v>10</v>
      </c>
      <c r="E3" s="93">
        <f>C3*D3</f>
        <v>9.472298263727728</v>
      </c>
      <c r="F3" s="93">
        <f>A3*C3*(1+B3/100)^-1 *D3</f>
        <v>8.9724434397019355</v>
      </c>
      <c r="G3" s="61">
        <v>15</v>
      </c>
      <c r="H3" s="93">
        <f t="shared" ref="H3:H9" si="0">C3*G3</f>
        <v>14.208447395591593</v>
      </c>
      <c r="I3" s="93">
        <f>A3*C3*(1+B3/100)^-1*G3</f>
        <v>13.458665159552902</v>
      </c>
      <c r="J3" s="90"/>
      <c r="K3" s="93">
        <f>B3+1</f>
        <v>6.5709999999999997</v>
      </c>
    </row>
    <row r="4" spans="1:11">
      <c r="A4" s="61">
        <v>2</v>
      </c>
      <c r="B4" s="93">
        <v>6.0880000000000001</v>
      </c>
      <c r="C4" s="90">
        <f t="shared" ref="C4:C12" si="1">(1+B4/100)^-A4</f>
        <v>0.88852054823327098</v>
      </c>
      <c r="D4" s="61">
        <v>10</v>
      </c>
      <c r="E4" s="93">
        <f t="shared" ref="E4:E12" si="2">C4*D4</f>
        <v>8.8852054823327098</v>
      </c>
      <c r="F4" s="93">
        <f t="shared" ref="F4:F12" si="3">A4*C4*(1+B4/100)^-1 *D4</f>
        <v>16.750632460471891</v>
      </c>
      <c r="G4" s="61">
        <v>15</v>
      </c>
      <c r="H4" s="93">
        <f t="shared" si="0"/>
        <v>13.327808223499066</v>
      </c>
      <c r="I4" s="93">
        <f t="shared" ref="I4:I9" si="4">A4*C4*(1+B4/100)^-1*G4</f>
        <v>25.125948690707837</v>
      </c>
      <c r="J4" s="90"/>
      <c r="K4" s="93">
        <f t="shared" ref="K4:K12" si="5">B4+1</f>
        <v>7.0880000000000001</v>
      </c>
    </row>
    <row r="5" spans="1:11">
      <c r="A5" s="61">
        <v>3</v>
      </c>
      <c r="B5" s="93">
        <v>6.5549999999999997</v>
      </c>
      <c r="C5" s="90">
        <f t="shared" si="1"/>
        <v>0.82656783229737951</v>
      </c>
      <c r="D5" s="61">
        <v>10</v>
      </c>
      <c r="E5" s="93">
        <f t="shared" si="2"/>
        <v>8.2656783229737947</v>
      </c>
      <c r="F5" s="93">
        <f t="shared" si="3"/>
        <v>23.271582721525395</v>
      </c>
      <c r="G5" s="61">
        <v>15</v>
      </c>
      <c r="H5" s="93">
        <f t="shared" si="0"/>
        <v>12.398517484460692</v>
      </c>
      <c r="I5" s="93">
        <f t="shared" si="4"/>
        <v>34.907374082288094</v>
      </c>
      <c r="J5" s="90"/>
      <c r="K5" s="93">
        <f t="shared" si="5"/>
        <v>7.5549999999999997</v>
      </c>
    </row>
    <row r="6" spans="1:11">
      <c r="A6" s="61">
        <v>4</v>
      </c>
      <c r="B6" s="93">
        <v>6.9779999999999998</v>
      </c>
      <c r="C6" s="90">
        <f t="shared" si="1"/>
        <v>0.76352296252777596</v>
      </c>
      <c r="D6" s="61">
        <v>10</v>
      </c>
      <c r="E6" s="93">
        <f t="shared" si="2"/>
        <v>7.6352296252777592</v>
      </c>
      <c r="F6" s="93">
        <f t="shared" si="3"/>
        <v>28.548784330526871</v>
      </c>
      <c r="G6" s="61">
        <v>15</v>
      </c>
      <c r="H6" s="93">
        <f t="shared" si="0"/>
        <v>11.452844437916639</v>
      </c>
      <c r="I6" s="93">
        <f t="shared" si="4"/>
        <v>42.823176495790307</v>
      </c>
      <c r="J6" s="90"/>
      <c r="K6" s="93">
        <f t="shared" si="5"/>
        <v>7.9779999999999998</v>
      </c>
    </row>
    <row r="7" spans="1:11">
      <c r="A7" s="61">
        <v>5</v>
      </c>
      <c r="B7" s="93">
        <v>7.3609999999999998</v>
      </c>
      <c r="C7" s="90">
        <f t="shared" si="1"/>
        <v>0.70107948648536333</v>
      </c>
      <c r="D7" s="61">
        <v>10</v>
      </c>
      <c r="E7" s="93">
        <f t="shared" si="2"/>
        <v>7.0107948648536329</v>
      </c>
      <c r="F7" s="93">
        <f t="shared" si="3"/>
        <v>32.650566149968952</v>
      </c>
      <c r="G7" s="61">
        <v>15</v>
      </c>
      <c r="H7" s="93">
        <f t="shared" si="0"/>
        <v>10.516192297280449</v>
      </c>
      <c r="I7" s="93">
        <f t="shared" si="4"/>
        <v>48.975849224953429</v>
      </c>
      <c r="J7" s="90"/>
      <c r="K7" s="93">
        <f t="shared" si="5"/>
        <v>8.3610000000000007</v>
      </c>
    </row>
    <row r="8" spans="1:11">
      <c r="A8" s="61">
        <v>6</v>
      </c>
      <c r="B8" s="93">
        <v>7.7069999999999999</v>
      </c>
      <c r="C8" s="90">
        <f t="shared" si="1"/>
        <v>0.64052549825377691</v>
      </c>
      <c r="D8" s="61">
        <v>10</v>
      </c>
      <c r="E8" s="93">
        <f t="shared" si="2"/>
        <v>6.4052549825377696</v>
      </c>
      <c r="F8" s="93">
        <f t="shared" si="3"/>
        <v>35.681552633743969</v>
      </c>
      <c r="G8" s="61">
        <v>15</v>
      </c>
      <c r="H8" s="93">
        <f t="shared" si="0"/>
        <v>9.6078824738066544</v>
      </c>
      <c r="I8" s="93">
        <f t="shared" si="4"/>
        <v>53.522328950615957</v>
      </c>
      <c r="J8" s="90"/>
      <c r="K8" s="93">
        <f t="shared" si="5"/>
        <v>8.7070000000000007</v>
      </c>
    </row>
    <row r="9" spans="1:11">
      <c r="A9" s="61">
        <v>7</v>
      </c>
      <c r="B9" s="93">
        <v>8.02</v>
      </c>
      <c r="C9" s="90">
        <f t="shared" si="1"/>
        <v>0.58273457879155233</v>
      </c>
      <c r="D9" s="61">
        <v>10</v>
      </c>
      <c r="E9" s="93">
        <f t="shared" si="2"/>
        <v>5.8273457879155233</v>
      </c>
      <c r="F9" s="93">
        <f t="shared" si="3"/>
        <v>37.762840691916928</v>
      </c>
      <c r="G9" s="61">
        <v>115</v>
      </c>
      <c r="H9" s="93">
        <f t="shared" si="0"/>
        <v>67.014476561028516</v>
      </c>
      <c r="I9" s="93">
        <f t="shared" si="4"/>
        <v>434.27266795704469</v>
      </c>
      <c r="J9" s="90"/>
      <c r="K9" s="93">
        <f t="shared" si="5"/>
        <v>9.02</v>
      </c>
    </row>
    <row r="10" spans="1:11">
      <c r="A10" s="61">
        <v>8</v>
      </c>
      <c r="B10" s="93">
        <v>8.3699999999999992</v>
      </c>
      <c r="C10" s="90">
        <f t="shared" si="1"/>
        <v>0.52568721280910247</v>
      </c>
      <c r="D10" s="61">
        <v>10</v>
      </c>
      <c r="E10" s="93">
        <f t="shared" si="2"/>
        <v>5.2568721280910244</v>
      </c>
      <c r="F10" s="93">
        <f t="shared" si="3"/>
        <v>38.806844167876903</v>
      </c>
      <c r="H10" s="93"/>
      <c r="I10" s="90"/>
      <c r="J10" s="90"/>
      <c r="K10" s="93">
        <f t="shared" si="5"/>
        <v>9.3699999999999992</v>
      </c>
    </row>
    <row r="11" spans="1:11">
      <c r="A11" s="61">
        <v>9</v>
      </c>
      <c r="B11" s="93">
        <v>8.6</v>
      </c>
      <c r="C11" s="90">
        <f t="shared" si="1"/>
        <v>0.47591738839463948</v>
      </c>
      <c r="D11" s="61">
        <v>10</v>
      </c>
      <c r="E11" s="93">
        <f t="shared" si="2"/>
        <v>4.7591738839463948</v>
      </c>
      <c r="F11" s="93">
        <f t="shared" si="3"/>
        <v>39.440667546517091</v>
      </c>
      <c r="H11" s="93"/>
      <c r="I11" s="90"/>
      <c r="J11" s="90"/>
      <c r="K11" s="93">
        <f t="shared" si="5"/>
        <v>9.6</v>
      </c>
    </row>
    <row r="12" spans="1:11">
      <c r="A12" s="94">
        <v>10</v>
      </c>
      <c r="B12" s="96">
        <v>9</v>
      </c>
      <c r="C12" s="95">
        <f t="shared" si="1"/>
        <v>0.42241080689568894</v>
      </c>
      <c r="D12" s="94">
        <v>110</v>
      </c>
      <c r="E12" s="96">
        <f t="shared" si="2"/>
        <v>46.465188758525784</v>
      </c>
      <c r="F12" s="96">
        <f t="shared" si="3"/>
        <v>426.28613539931905</v>
      </c>
      <c r="G12" s="94"/>
      <c r="H12" s="96"/>
      <c r="I12" s="95"/>
      <c r="J12" s="90"/>
      <c r="K12" s="93">
        <f t="shared" si="5"/>
        <v>10</v>
      </c>
    </row>
    <row r="13" spans="1:11">
      <c r="A13" s="97" t="s">
        <v>40</v>
      </c>
      <c r="E13" s="98">
        <f>SUM(E3:E12)</f>
        <v>109.98304210018213</v>
      </c>
      <c r="F13" s="98">
        <f>SUM(F3:F12)</f>
        <v>688.17204954156898</v>
      </c>
      <c r="H13" s="98">
        <f>SUM(H3:H9)</f>
        <v>138.5261688735836</v>
      </c>
      <c r="I13" s="98">
        <f>SUM(I3:I9)</f>
        <v>653.08601056095324</v>
      </c>
      <c r="J13" s="99"/>
    </row>
    <row r="14" spans="1:11" ht="17.25">
      <c r="A14" s="97" t="s">
        <v>48</v>
      </c>
      <c r="F14" s="100">
        <f>F13/E13</f>
        <v>6.2570741488921717</v>
      </c>
      <c r="I14" s="100">
        <f>I13/H13</f>
        <v>4.7145316720405903</v>
      </c>
    </row>
    <row r="18" spans="1:7" ht="17.25">
      <c r="A18" s="103">
        <f>$E$13</f>
        <v>109.98304210018213</v>
      </c>
      <c r="B18" s="103">
        <f>$H$13</f>
        <v>138.5261688735836</v>
      </c>
      <c r="C18" s="97" t="s">
        <v>51</v>
      </c>
      <c r="D18" s="102">
        <f>1000000*C7</f>
        <v>701079.48648536333</v>
      </c>
      <c r="F18" s="97" t="s">
        <v>51</v>
      </c>
      <c r="G18" s="107">
        <f t="array" ref="G18:G19">MMULT(MINVERSE(A),b)</f>
        <v>1179.6748788219556</v>
      </c>
    </row>
    <row r="19" spans="1:7" ht="17.25">
      <c r="A19" s="103">
        <f>E13*F14</f>
        <v>688.17204954156898</v>
      </c>
      <c r="B19" s="103">
        <f>H13*I14</f>
        <v>653.08601056095324</v>
      </c>
      <c r="C19" s="97" t="s">
        <v>52</v>
      </c>
      <c r="D19" s="102">
        <f>A7*D18</f>
        <v>3505397.4324268168</v>
      </c>
      <c r="F19" s="97" t="s">
        <v>52</v>
      </c>
      <c r="G19" s="107">
        <v>4124.385011648963</v>
      </c>
    </row>
    <row r="20" spans="1:7">
      <c r="G20" s="106">
        <f>G18*E13+G19*H13</f>
        <v>701079.48648536368</v>
      </c>
    </row>
    <row r="21" spans="1:7" ht="18.75">
      <c r="A21" s="104" t="s">
        <v>41</v>
      </c>
      <c r="C21" s="105" t="s">
        <v>42</v>
      </c>
      <c r="D21" s="105" t="s">
        <v>43</v>
      </c>
      <c r="F21" s="58" t="s">
        <v>49</v>
      </c>
    </row>
    <row r="23" spans="1:7">
      <c r="A23" s="97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6"/>
  <dimension ref="A1:M28"/>
  <sheetViews>
    <sheetView showGridLines="0" workbookViewId="0">
      <selection activeCell="G10" sqref="G10"/>
    </sheetView>
  </sheetViews>
  <sheetFormatPr defaultRowHeight="15"/>
  <cols>
    <col min="1" max="1" width="14.28515625" style="62" bestFit="1" customWidth="1"/>
    <col min="2" max="16384" width="9.140625" style="62"/>
  </cols>
  <sheetData>
    <row r="1" spans="1:13">
      <c r="A1" s="76" t="s">
        <v>12</v>
      </c>
      <c r="B1" s="65">
        <v>1</v>
      </c>
      <c r="C1" s="65">
        <v>2</v>
      </c>
      <c r="D1" s="65">
        <v>3</v>
      </c>
      <c r="E1" s="65">
        <v>4</v>
      </c>
      <c r="F1" s="65">
        <v>5</v>
      </c>
      <c r="G1" s="65">
        <v>6</v>
      </c>
      <c r="H1" s="65">
        <v>7</v>
      </c>
      <c r="I1" s="65">
        <v>8</v>
      </c>
      <c r="J1" s="65">
        <v>9</v>
      </c>
      <c r="K1" s="65">
        <v>10</v>
      </c>
      <c r="L1" s="65">
        <v>20</v>
      </c>
      <c r="M1" s="65">
        <v>30</v>
      </c>
    </row>
    <row r="2" spans="1:13">
      <c r="A2" s="76" t="s">
        <v>13</v>
      </c>
      <c r="B2" s="66">
        <v>4.0000000000000001E-3</v>
      </c>
      <c r="C2" s="66">
        <v>1.01E-2</v>
      </c>
      <c r="D2" s="66">
        <v>1.6E-2</v>
      </c>
      <c r="E2" s="67">
        <f>(F2+D2)/2</f>
        <v>2.0999999999999998E-2</v>
      </c>
      <c r="F2" s="66">
        <v>2.5999999999999999E-2</v>
      </c>
      <c r="G2" s="67">
        <f>(F2+H2)/2</f>
        <v>2.9499999999999998E-2</v>
      </c>
      <c r="H2" s="66">
        <v>3.3000000000000002E-2</v>
      </c>
      <c r="I2" s="68">
        <f>(K2-H2)/3 + H2</f>
        <v>3.4833333333333334E-2</v>
      </c>
      <c r="J2" s="68">
        <f>2*(K2-H2)/3+H2</f>
        <v>3.6666666666666667E-2</v>
      </c>
      <c r="K2" s="66">
        <v>3.85E-2</v>
      </c>
      <c r="L2" s="69">
        <v>4.6300000000000001E-2</v>
      </c>
      <c r="M2" s="70">
        <v>4.7E-2</v>
      </c>
    </row>
    <row r="3" spans="1:13">
      <c r="A3" s="76" t="s">
        <v>14</v>
      </c>
      <c r="B3" s="71">
        <f t="shared" ref="B3:B12" si="0">(C2*C$1-$B2*$B$1)/(C$1-$B$1)</f>
        <v>1.6199999999999999E-2</v>
      </c>
      <c r="C3" s="71">
        <f t="shared" ref="C3:L11" si="1">(D2*D$1-$B2*$B$1)/(D$1-$B$1)</f>
        <v>2.1999999999999999E-2</v>
      </c>
      <c r="D3" s="71">
        <f t="shared" si="1"/>
        <v>2.6666666666666661E-2</v>
      </c>
      <c r="E3" s="71">
        <f t="shared" si="1"/>
        <v>3.15E-2</v>
      </c>
      <c r="F3" s="71">
        <f t="shared" si="1"/>
        <v>3.4599999999999999E-2</v>
      </c>
      <c r="G3" s="71">
        <f t="shared" si="1"/>
        <v>3.7833333333333337E-2</v>
      </c>
      <c r="H3" s="71">
        <f t="shared" si="1"/>
        <v>3.9238095238095239E-2</v>
      </c>
      <c r="I3" s="71">
        <f t="shared" si="1"/>
        <v>4.0750000000000001E-2</v>
      </c>
      <c r="J3" s="71">
        <f t="shared" si="1"/>
        <v>4.2333333333333334E-2</v>
      </c>
      <c r="K3" s="71">
        <f t="shared" si="1"/>
        <v>4.8526315789473688E-2</v>
      </c>
      <c r="L3" s="71">
        <f t="shared" si="1"/>
        <v>4.8482758620689653E-2</v>
      </c>
      <c r="M3" s="61"/>
    </row>
    <row r="4" spans="1:13">
      <c r="A4" s="61"/>
      <c r="B4" s="71">
        <f t="shared" si="0"/>
        <v>2.7799999999999998E-2</v>
      </c>
      <c r="C4" s="71">
        <f t="shared" si="1"/>
        <v>3.1899999999999998E-2</v>
      </c>
      <c r="D4" s="71">
        <f t="shared" si="1"/>
        <v>3.6600000000000001E-2</v>
      </c>
      <c r="E4" s="71">
        <f t="shared" si="1"/>
        <v>3.9199999999999999E-2</v>
      </c>
      <c r="F4" s="71">
        <f t="shared" si="1"/>
        <v>4.216000000000001E-2</v>
      </c>
      <c r="G4" s="71">
        <f t="shared" si="1"/>
        <v>4.3077777777777777E-2</v>
      </c>
      <c r="H4" s="71">
        <f t="shared" si="1"/>
        <v>4.4257142857142863E-2</v>
      </c>
      <c r="I4" s="71">
        <f t="shared" si="1"/>
        <v>4.5600000000000002E-2</v>
      </c>
      <c r="J4" s="71">
        <f t="shared" si="1"/>
        <v>5.2118128654970765E-2</v>
      </c>
      <c r="K4" s="71">
        <f t="shared" si="1"/>
        <v>5.0181851179673317E-2</v>
      </c>
      <c r="L4" s="61"/>
      <c r="M4" s="61"/>
    </row>
    <row r="5" spans="1:13">
      <c r="A5" s="61"/>
      <c r="B5" s="71">
        <f t="shared" si="0"/>
        <v>3.5999999999999997E-2</v>
      </c>
      <c r="C5" s="71">
        <f t="shared" si="1"/>
        <v>4.1000000000000009E-2</v>
      </c>
      <c r="D5" s="71">
        <f t="shared" si="1"/>
        <v>4.3000000000000003E-2</v>
      </c>
      <c r="E5" s="71">
        <f t="shared" si="1"/>
        <v>4.5750000000000013E-2</v>
      </c>
      <c r="F5" s="71">
        <f t="shared" si="1"/>
        <v>4.6133333333333339E-2</v>
      </c>
      <c r="G5" s="71">
        <f t="shared" si="1"/>
        <v>4.7000000000000007E-2</v>
      </c>
      <c r="H5" s="71">
        <f t="shared" si="1"/>
        <v>4.8142857142857147E-2</v>
      </c>
      <c r="I5" s="71">
        <f t="shared" si="1"/>
        <v>5.5157894736842114E-2</v>
      </c>
      <c r="J5" s="71">
        <f t="shared" si="1"/>
        <v>5.2668723532970356E-2</v>
      </c>
      <c r="K5" s="72"/>
      <c r="L5" s="61"/>
      <c r="M5" s="61"/>
    </row>
    <row r="6" spans="1:13">
      <c r="A6" s="61"/>
      <c r="B6" s="71">
        <f t="shared" si="0"/>
        <v>4.600000000000002E-2</v>
      </c>
      <c r="C6" s="71">
        <f t="shared" si="1"/>
        <v>4.65E-2</v>
      </c>
      <c r="D6" s="71">
        <f t="shared" si="1"/>
        <v>4.9000000000000016E-2</v>
      </c>
      <c r="E6" s="71">
        <f t="shared" si="1"/>
        <v>4.8666666666666671E-2</v>
      </c>
      <c r="F6" s="71">
        <f t="shared" si="1"/>
        <v>4.9200000000000008E-2</v>
      </c>
      <c r="G6" s="71">
        <f t="shared" si="1"/>
        <v>5.0166666666666672E-2</v>
      </c>
      <c r="H6" s="71">
        <f t="shared" si="1"/>
        <v>5.7894736842105277E-2</v>
      </c>
      <c r="I6" s="71">
        <f t="shared" si="1"/>
        <v>5.4752313974591654E-2</v>
      </c>
      <c r="J6" s="71"/>
      <c r="K6" s="72"/>
      <c r="L6" s="61"/>
      <c r="M6" s="61"/>
    </row>
    <row r="7" spans="1:13">
      <c r="A7" s="61"/>
      <c r="B7" s="71">
        <f t="shared" si="0"/>
        <v>4.6999999999999979E-2</v>
      </c>
      <c r="C7" s="71">
        <f t="shared" si="1"/>
        <v>5.0500000000000017E-2</v>
      </c>
      <c r="D7" s="71">
        <f t="shared" si="1"/>
        <v>4.9555555555555554E-2</v>
      </c>
      <c r="E7" s="71">
        <f t="shared" si="1"/>
        <v>5.000000000000001E-2</v>
      </c>
      <c r="F7" s="71">
        <f t="shared" si="1"/>
        <v>5.1000000000000004E-2</v>
      </c>
      <c r="G7" s="71">
        <f t="shared" si="1"/>
        <v>5.9877192982456147E-2</v>
      </c>
      <c r="H7" s="71">
        <f t="shared" si="1"/>
        <v>5.6002644542390456E-2</v>
      </c>
      <c r="I7" s="71"/>
      <c r="J7" s="71"/>
      <c r="K7" s="72"/>
      <c r="L7" s="61"/>
      <c r="M7" s="61"/>
    </row>
    <row r="8" spans="1:13">
      <c r="A8" s="61"/>
      <c r="B8" s="71">
        <f t="shared" si="0"/>
        <v>5.4000000000000055E-2</v>
      </c>
      <c r="C8" s="71">
        <f t="shared" si="1"/>
        <v>5.0833333333333341E-2</v>
      </c>
      <c r="D8" s="71">
        <f t="shared" si="1"/>
        <v>5.1000000000000018E-2</v>
      </c>
      <c r="E8" s="71">
        <f t="shared" si="1"/>
        <v>5.2000000000000005E-2</v>
      </c>
      <c r="F8" s="71">
        <f t="shared" si="1"/>
        <v>6.2452631578947385E-2</v>
      </c>
      <c r="G8" s="71">
        <f t="shared" si="1"/>
        <v>5.7503085299455532E-2</v>
      </c>
      <c r="H8" s="71"/>
      <c r="I8" s="71"/>
      <c r="J8" s="71"/>
      <c r="K8" s="72"/>
      <c r="L8" s="61"/>
      <c r="M8" s="61"/>
    </row>
    <row r="9" spans="1:13">
      <c r="A9" s="61"/>
      <c r="B9" s="71">
        <f t="shared" si="0"/>
        <v>4.7666666666666628E-2</v>
      </c>
      <c r="C9" s="71">
        <f t="shared" si="1"/>
        <v>4.9500000000000002E-2</v>
      </c>
      <c r="D9" s="71">
        <f t="shared" si="1"/>
        <v>5.1333333333333321E-2</v>
      </c>
      <c r="E9" s="71">
        <f t="shared" si="1"/>
        <v>6.4565789473684215E-2</v>
      </c>
      <c r="F9" s="71">
        <f t="shared" si="1"/>
        <v>5.8203702359346632E-2</v>
      </c>
      <c r="G9" s="71"/>
      <c r="H9" s="74"/>
      <c r="I9" s="71"/>
      <c r="J9" s="71"/>
      <c r="K9" s="72"/>
      <c r="L9" s="61"/>
      <c r="M9" s="61"/>
    </row>
    <row r="10" spans="1:13">
      <c r="A10" s="61"/>
      <c r="B10" s="71">
        <f t="shared" si="0"/>
        <v>5.1333333333333377E-2</v>
      </c>
      <c r="C10" s="71">
        <f t="shared" si="1"/>
        <v>5.3166666666666668E-2</v>
      </c>
      <c r="D10" s="71">
        <f t="shared" si="1"/>
        <v>7.0198830409356747E-2</v>
      </c>
      <c r="E10" s="71">
        <f t="shared" si="1"/>
        <v>6.0837961282516631E-2</v>
      </c>
      <c r="F10" s="71"/>
      <c r="G10" s="71"/>
      <c r="H10" s="71"/>
      <c r="I10" s="71"/>
      <c r="J10" s="71"/>
      <c r="K10" s="72"/>
      <c r="L10" s="61"/>
      <c r="M10" s="61"/>
    </row>
    <row r="11" spans="1:13">
      <c r="A11" s="61"/>
      <c r="B11" s="71">
        <f t="shared" si="0"/>
        <v>5.4999999999999959E-2</v>
      </c>
      <c r="C11" s="71">
        <f t="shared" si="1"/>
        <v>7.9631578947368428E-2</v>
      </c>
      <c r="D11" s="71">
        <f t="shared" si="1"/>
        <v>6.4006170598911047E-2</v>
      </c>
      <c r="E11" s="71"/>
      <c r="F11" s="71"/>
      <c r="G11" s="71"/>
      <c r="H11" s="71"/>
      <c r="I11" s="71"/>
      <c r="J11" s="71"/>
      <c r="K11" s="72"/>
      <c r="L11" s="61"/>
      <c r="M11" s="61"/>
    </row>
    <row r="12" spans="1:13">
      <c r="A12" s="61"/>
      <c r="B12" s="71">
        <f t="shared" si="0"/>
        <v>0.10426315789473689</v>
      </c>
      <c r="C12" s="71">
        <f>(D11*D$1-$B11*$B$1)/(D$1-$B$1)</f>
        <v>6.8509255898366581E-2</v>
      </c>
      <c r="D12" s="61"/>
      <c r="E12" s="61"/>
      <c r="F12" s="61"/>
      <c r="G12" s="61"/>
      <c r="H12" s="61"/>
      <c r="I12" s="61"/>
      <c r="J12" s="61"/>
      <c r="K12" s="61"/>
      <c r="L12" s="61"/>
      <c r="M12" s="61"/>
    </row>
    <row r="13" spans="1:13">
      <c r="A13" s="61"/>
      <c r="B13" s="71">
        <f>(C12*$C$1-B12*$B$1)/($C$1-$B$1)</f>
        <v>3.275535390199627E-2</v>
      </c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</row>
    <row r="15" spans="1:13" ht="18.75">
      <c r="A15" s="83" t="s">
        <v>35</v>
      </c>
    </row>
    <row r="17" spans="1:13">
      <c r="A17" s="58" t="s">
        <v>15</v>
      </c>
      <c r="B17" s="90">
        <v>4.0000000000000001E-3</v>
      </c>
      <c r="C17" s="90">
        <v>1.6199999999999999E-2</v>
      </c>
      <c r="D17" s="90">
        <v>2.7799999999999998E-2</v>
      </c>
      <c r="E17" s="90">
        <v>3.5999999999999997E-2</v>
      </c>
      <c r="F17" s="90">
        <v>4.600000000000002E-2</v>
      </c>
      <c r="G17" s="90">
        <v>4.6999999999999979E-2</v>
      </c>
      <c r="H17" s="90">
        <v>5.4000000000000055E-2</v>
      </c>
      <c r="I17" s="90">
        <v>4.7666666666666628E-2</v>
      </c>
      <c r="J17" s="90">
        <v>5.1333333333333377E-2</v>
      </c>
      <c r="K17" s="90">
        <v>5.4999999999999959E-2</v>
      </c>
      <c r="L17" s="90">
        <v>0.10426315789473689</v>
      </c>
      <c r="M17" s="90">
        <v>3.275535390199627E-2</v>
      </c>
    </row>
    <row r="18" spans="1:13">
      <c r="A18" s="58" t="s">
        <v>16</v>
      </c>
      <c r="B18" s="90">
        <v>1.6199999999999999E-2</v>
      </c>
      <c r="C18" s="90">
        <v>2.7799999999999998E-2</v>
      </c>
      <c r="D18" s="90">
        <v>3.5999999999999997E-2</v>
      </c>
      <c r="E18" s="90">
        <v>4.600000000000002E-2</v>
      </c>
      <c r="F18" s="90">
        <v>4.6999999999999979E-2</v>
      </c>
      <c r="G18" s="90">
        <v>5.4000000000000055E-2</v>
      </c>
      <c r="H18" s="90">
        <v>4.7666666666666628E-2</v>
      </c>
      <c r="I18" s="90">
        <v>5.1333333333333377E-2</v>
      </c>
      <c r="J18" s="90">
        <v>5.4999999999999959E-2</v>
      </c>
      <c r="K18" s="90">
        <v>0.10426315789473689</v>
      </c>
      <c r="L18" s="90">
        <v>3.275535390199627E-2</v>
      </c>
    </row>
    <row r="19" spans="1:13">
      <c r="B19" s="90">
        <v>2.7799999999999998E-2</v>
      </c>
      <c r="C19" s="90">
        <v>3.5999999999999997E-2</v>
      </c>
      <c r="D19" s="90">
        <v>4.600000000000002E-2</v>
      </c>
      <c r="E19" s="90">
        <v>4.6999999999999979E-2</v>
      </c>
      <c r="F19" s="90">
        <v>5.4000000000000055E-2</v>
      </c>
      <c r="G19" s="90">
        <v>4.7666666666666628E-2</v>
      </c>
      <c r="H19" s="90">
        <v>5.1333333333333377E-2</v>
      </c>
      <c r="I19" s="90">
        <v>5.4999999999999959E-2</v>
      </c>
      <c r="J19" s="90">
        <v>0.10426315789473689</v>
      </c>
      <c r="K19" s="90">
        <v>3.275535390199627E-2</v>
      </c>
    </row>
    <row r="20" spans="1:13">
      <c r="B20" s="90">
        <v>3.5999999999999997E-2</v>
      </c>
      <c r="C20" s="90">
        <v>4.600000000000002E-2</v>
      </c>
      <c r="D20" s="90">
        <v>4.6999999999999979E-2</v>
      </c>
      <c r="E20" s="90">
        <v>5.4000000000000055E-2</v>
      </c>
      <c r="F20" s="90">
        <v>4.7666666666666628E-2</v>
      </c>
      <c r="G20" s="90">
        <v>5.1333333333333377E-2</v>
      </c>
      <c r="H20" s="90">
        <v>5.4999999999999959E-2</v>
      </c>
      <c r="I20" s="90">
        <v>0.10426315789473689</v>
      </c>
      <c r="J20" s="90">
        <v>3.275535390199627E-2</v>
      </c>
    </row>
    <row r="21" spans="1:13">
      <c r="B21" s="90">
        <v>4.600000000000002E-2</v>
      </c>
      <c r="C21" s="90">
        <v>4.6999999999999979E-2</v>
      </c>
      <c r="D21" s="90">
        <v>5.4000000000000055E-2</v>
      </c>
      <c r="E21" s="90">
        <v>4.7666666666666628E-2</v>
      </c>
      <c r="F21" s="90">
        <v>5.1333333333333377E-2</v>
      </c>
      <c r="G21" s="90">
        <v>5.4999999999999959E-2</v>
      </c>
      <c r="H21" s="90">
        <v>0.10426315789473689</v>
      </c>
      <c r="I21" s="90">
        <v>3.275535390199627E-2</v>
      </c>
    </row>
    <row r="22" spans="1:13">
      <c r="B22" s="90">
        <v>4.6999999999999979E-2</v>
      </c>
      <c r="C22" s="90">
        <v>5.4000000000000055E-2</v>
      </c>
      <c r="D22" s="90">
        <v>4.7666666666666628E-2</v>
      </c>
      <c r="E22" s="90">
        <v>5.1333333333333377E-2</v>
      </c>
      <c r="F22" s="90">
        <v>5.4999999999999959E-2</v>
      </c>
      <c r="G22" s="90">
        <v>0.10426315789473689</v>
      </c>
      <c r="H22" s="90">
        <v>3.275535390199627E-2</v>
      </c>
    </row>
    <row r="23" spans="1:13">
      <c r="B23" s="90">
        <v>5.4000000000000055E-2</v>
      </c>
      <c r="C23" s="90">
        <v>4.7666666666666628E-2</v>
      </c>
      <c r="D23" s="90">
        <v>5.1333333333333377E-2</v>
      </c>
      <c r="E23" s="90">
        <v>5.4999999999999959E-2</v>
      </c>
      <c r="F23" s="90">
        <v>0.10426315789473689</v>
      </c>
      <c r="G23" s="90">
        <v>3.275535390199627E-2</v>
      </c>
    </row>
    <row r="24" spans="1:13">
      <c r="B24" s="90">
        <v>4.7666666666666628E-2</v>
      </c>
      <c r="C24" s="90">
        <v>5.1333333333333377E-2</v>
      </c>
      <c r="D24" s="90">
        <v>5.4999999999999959E-2</v>
      </c>
      <c r="E24" s="90">
        <v>0.10426315789473689</v>
      </c>
      <c r="F24" s="90">
        <v>3.275535390199627E-2</v>
      </c>
    </row>
    <row r="25" spans="1:13">
      <c r="B25" s="90">
        <v>5.1333333333333377E-2</v>
      </c>
      <c r="C25" s="90">
        <v>5.4999999999999959E-2</v>
      </c>
      <c r="D25" s="90">
        <v>0.10426315789473689</v>
      </c>
      <c r="E25" s="90">
        <v>3.275535390199627E-2</v>
      </c>
    </row>
    <row r="26" spans="1:13">
      <c r="B26" s="90">
        <v>5.4999999999999959E-2</v>
      </c>
      <c r="C26" s="90">
        <v>0.10426315789473689</v>
      </c>
      <c r="D26" s="90">
        <v>3.275535390199627E-2</v>
      </c>
    </row>
    <row r="27" spans="1:13">
      <c r="B27" s="90">
        <v>0.10426315789473689</v>
      </c>
      <c r="C27" s="90">
        <v>3.275535390199627E-2</v>
      </c>
    </row>
    <row r="28" spans="1:13">
      <c r="B28" s="90">
        <v>3.275535390199627E-2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7"/>
  <dimension ref="A1:S37"/>
  <sheetViews>
    <sheetView showGridLines="0" workbookViewId="0">
      <selection activeCell="B4" sqref="B4:K4"/>
    </sheetView>
  </sheetViews>
  <sheetFormatPr defaultRowHeight="15"/>
  <cols>
    <col min="1" max="1" width="14.140625" style="62" bestFit="1" customWidth="1"/>
    <col min="2" max="16384" width="9.140625" style="62"/>
  </cols>
  <sheetData>
    <row r="1" spans="1:13" ht="18.75">
      <c r="A1" s="83" t="s">
        <v>34</v>
      </c>
    </row>
    <row r="3" spans="1:13">
      <c r="A3" s="64" t="s">
        <v>12</v>
      </c>
      <c r="B3" s="82">
        <v>1</v>
      </c>
      <c r="C3" s="82">
        <v>2</v>
      </c>
      <c r="D3" s="82">
        <v>3</v>
      </c>
      <c r="E3" s="82">
        <v>4</v>
      </c>
      <c r="F3" s="82">
        <v>5</v>
      </c>
      <c r="G3" s="82">
        <v>6</v>
      </c>
      <c r="H3" s="82">
        <v>7</v>
      </c>
      <c r="I3" s="82">
        <v>8</v>
      </c>
      <c r="J3" s="82">
        <v>9</v>
      </c>
      <c r="K3" s="82">
        <v>10</v>
      </c>
      <c r="L3" s="82">
        <v>20</v>
      </c>
      <c r="M3" s="82">
        <v>30</v>
      </c>
    </row>
    <row r="4" spans="1:13">
      <c r="A4" s="64" t="s">
        <v>13</v>
      </c>
      <c r="B4" s="84">
        <v>0.26</v>
      </c>
      <c r="C4" s="84">
        <v>0.76</v>
      </c>
      <c r="D4" s="84">
        <v>1.32</v>
      </c>
      <c r="E4" s="85">
        <f>(F4+D4)/2</f>
        <v>1.7949999999999999</v>
      </c>
      <c r="F4" s="84">
        <v>2.27</v>
      </c>
      <c r="G4" s="85">
        <f>(F4+H4)/2</f>
        <v>2.62</v>
      </c>
      <c r="H4" s="84">
        <v>2.97</v>
      </c>
      <c r="I4" s="86">
        <f>(K4-H4)/3 + H4</f>
        <v>3.17</v>
      </c>
      <c r="J4" s="86">
        <f>2*(K4-H4)/3+H4</f>
        <v>3.37</v>
      </c>
      <c r="K4" s="84">
        <v>3.57</v>
      </c>
      <c r="L4" s="87">
        <v>4.6300000000000001E-2</v>
      </c>
      <c r="M4" s="88">
        <v>4.7E-2</v>
      </c>
    </row>
    <row r="5" spans="1:13">
      <c r="A5" s="64" t="s">
        <v>14</v>
      </c>
      <c r="B5" s="89">
        <f t="shared" ref="B5:B14" si="0">(C4*C$3-$B4*$B$3)/(C$3-$B$3)</f>
        <v>1.26</v>
      </c>
      <c r="C5" s="89">
        <f t="shared" ref="C5:L13" si="1">(D4*D$3-$B4*$B$3)/(D$3-$B$3)</f>
        <v>1.85</v>
      </c>
      <c r="D5" s="89">
        <f t="shared" si="1"/>
        <v>2.3066666666666666</v>
      </c>
      <c r="E5" s="89">
        <f t="shared" si="1"/>
        <v>2.7725</v>
      </c>
      <c r="F5" s="89">
        <f t="shared" si="1"/>
        <v>3.0920000000000001</v>
      </c>
      <c r="G5" s="89">
        <f t="shared" si="1"/>
        <v>3.4216666666666669</v>
      </c>
      <c r="H5" s="89">
        <f t="shared" si="1"/>
        <v>3.5857142857142854</v>
      </c>
      <c r="I5" s="89">
        <f t="shared" si="1"/>
        <v>3.75875</v>
      </c>
      <c r="J5" s="89">
        <f t="shared" si="1"/>
        <v>3.9377777777777774</v>
      </c>
      <c r="K5" s="89">
        <f t="shared" si="1"/>
        <v>3.505263157894737E-2</v>
      </c>
      <c r="L5" s="89">
        <f t="shared" si="1"/>
        <v>3.9655172413793099E-2</v>
      </c>
      <c r="M5" s="90"/>
    </row>
    <row r="6" spans="1:13">
      <c r="A6" s="61"/>
      <c r="B6" s="89">
        <f t="shared" si="0"/>
        <v>2.4400000000000004</v>
      </c>
      <c r="C6" s="89">
        <f t="shared" si="1"/>
        <v>2.83</v>
      </c>
      <c r="D6" s="89">
        <f t="shared" si="1"/>
        <v>3.2766666666666668</v>
      </c>
      <c r="E6" s="89">
        <f t="shared" si="1"/>
        <v>3.5500000000000003</v>
      </c>
      <c r="F6" s="89">
        <f t="shared" si="1"/>
        <v>3.8540000000000001</v>
      </c>
      <c r="G6" s="89">
        <f t="shared" si="1"/>
        <v>3.9733333333333327</v>
      </c>
      <c r="H6" s="89">
        <f t="shared" si="1"/>
        <v>4.1157142857142857</v>
      </c>
      <c r="I6" s="89">
        <f t="shared" si="1"/>
        <v>4.2725</v>
      </c>
      <c r="J6" s="89">
        <f t="shared" si="1"/>
        <v>-0.10105263157894737</v>
      </c>
      <c r="K6" s="89">
        <f t="shared" si="1"/>
        <v>-2.4573502722323053E-2</v>
      </c>
      <c r="L6" s="90"/>
      <c r="M6" s="90"/>
    </row>
    <row r="7" spans="1:13">
      <c r="A7" s="61"/>
      <c r="B7" s="89">
        <f t="shared" si="0"/>
        <v>3.2199999999999998</v>
      </c>
      <c r="C7" s="89">
        <f t="shared" si="1"/>
        <v>3.6949999999999998</v>
      </c>
      <c r="D7" s="89">
        <f t="shared" si="1"/>
        <v>3.9200000000000004</v>
      </c>
      <c r="E7" s="89">
        <f t="shared" si="1"/>
        <v>4.2074999999999996</v>
      </c>
      <c r="F7" s="89">
        <f t="shared" si="1"/>
        <v>4.2799999999999994</v>
      </c>
      <c r="G7" s="89">
        <f t="shared" si="1"/>
        <v>4.3949999999999996</v>
      </c>
      <c r="H7" s="89">
        <f t="shared" si="1"/>
        <v>4.5342857142857138</v>
      </c>
      <c r="I7" s="89">
        <f t="shared" si="1"/>
        <v>-0.41868421052631583</v>
      </c>
      <c r="J7" s="89">
        <f t="shared" si="1"/>
        <v>-0.29841500302480345</v>
      </c>
      <c r="K7" s="91"/>
      <c r="L7" s="90"/>
      <c r="M7" s="90"/>
    </row>
    <row r="8" spans="1:13">
      <c r="A8" s="73"/>
      <c r="B8" s="89">
        <f t="shared" si="0"/>
        <v>4.17</v>
      </c>
      <c r="C8" s="89">
        <f t="shared" si="1"/>
        <v>4.2700000000000014</v>
      </c>
      <c r="D8" s="89">
        <f t="shared" si="1"/>
        <v>4.5366666666666662</v>
      </c>
      <c r="E8" s="89">
        <f t="shared" si="1"/>
        <v>4.5449999999999999</v>
      </c>
      <c r="F8" s="89">
        <f t="shared" si="1"/>
        <v>4.63</v>
      </c>
      <c r="G8" s="89">
        <f t="shared" si="1"/>
        <v>4.753333333333333</v>
      </c>
      <c r="H8" s="89">
        <f t="shared" si="1"/>
        <v>-0.93849624060150383</v>
      </c>
      <c r="I8" s="89">
        <f t="shared" si="1"/>
        <v>-0.73821687840290384</v>
      </c>
      <c r="J8" s="89"/>
      <c r="K8" s="91"/>
      <c r="L8" s="90"/>
      <c r="M8" s="90"/>
    </row>
    <row r="9" spans="1:13">
      <c r="A9" s="61"/>
      <c r="B9" s="89">
        <f t="shared" si="0"/>
        <v>4.3700000000000028</v>
      </c>
      <c r="C9" s="89">
        <f t="shared" si="1"/>
        <v>4.72</v>
      </c>
      <c r="D9" s="89">
        <f t="shared" si="1"/>
        <v>4.67</v>
      </c>
      <c r="E9" s="89">
        <f t="shared" si="1"/>
        <v>4.7449999999999992</v>
      </c>
      <c r="F9" s="89">
        <f t="shared" si="1"/>
        <v>4.8699999999999992</v>
      </c>
      <c r="G9" s="89">
        <f t="shared" si="1"/>
        <v>-1.7899122807017545</v>
      </c>
      <c r="H9" s="89">
        <f t="shared" si="1"/>
        <v>-1.4393907181747474</v>
      </c>
      <c r="I9" s="89"/>
      <c r="J9" s="89"/>
      <c r="K9" s="91"/>
      <c r="L9" s="90"/>
      <c r="M9" s="90"/>
    </row>
    <row r="10" spans="1:13">
      <c r="A10" s="61"/>
      <c r="B10" s="89">
        <f t="shared" si="0"/>
        <v>5.0699999999999967</v>
      </c>
      <c r="C10" s="89">
        <f t="shared" si="1"/>
        <v>4.8199999999999985</v>
      </c>
      <c r="D10" s="89">
        <f t="shared" si="1"/>
        <v>4.8699999999999983</v>
      </c>
      <c r="E10" s="89">
        <f t="shared" si="1"/>
        <v>4.9949999999999974</v>
      </c>
      <c r="F10" s="89">
        <f t="shared" si="1"/>
        <v>-3.0218947368421061</v>
      </c>
      <c r="G10" s="89">
        <f t="shared" si="1"/>
        <v>-2.4076225045372057</v>
      </c>
      <c r="H10" s="89"/>
      <c r="I10" s="89"/>
      <c r="J10" s="89"/>
      <c r="K10" s="91"/>
      <c r="L10" s="90"/>
      <c r="M10" s="90"/>
    </row>
    <row r="11" spans="1:13">
      <c r="A11" s="61"/>
      <c r="B11" s="89">
        <f t="shared" si="0"/>
        <v>4.57</v>
      </c>
      <c r="C11" s="89">
        <f t="shared" si="1"/>
        <v>4.7699999999999996</v>
      </c>
      <c r="D11" s="89">
        <f t="shared" si="1"/>
        <v>4.969999999999998</v>
      </c>
      <c r="E11" s="89">
        <f t="shared" si="1"/>
        <v>-5.044868421052632</v>
      </c>
      <c r="F11" s="89">
        <f t="shared" si="1"/>
        <v>-3.9031470054446458</v>
      </c>
      <c r="G11" s="89"/>
      <c r="H11" s="89"/>
      <c r="I11" s="89"/>
      <c r="J11" s="89"/>
      <c r="K11" s="91"/>
      <c r="L11" s="90"/>
      <c r="M11" s="90"/>
    </row>
    <row r="12" spans="1:13">
      <c r="A12" s="61"/>
      <c r="B12" s="89">
        <f t="shared" si="0"/>
        <v>4.9699999999999989</v>
      </c>
      <c r="C12" s="89">
        <f t="shared" si="1"/>
        <v>5.1699999999999964</v>
      </c>
      <c r="D12" s="89">
        <f t="shared" si="1"/>
        <v>-8.2498245614035088</v>
      </c>
      <c r="E12" s="89">
        <f t="shared" si="1"/>
        <v>-6.0214337568058074</v>
      </c>
      <c r="F12" s="89"/>
      <c r="G12" s="89"/>
      <c r="H12" s="89"/>
      <c r="I12" s="89"/>
      <c r="J12" s="89"/>
      <c r="K12" s="91"/>
      <c r="L12" s="90"/>
      <c r="M12" s="90"/>
    </row>
    <row r="13" spans="1:13">
      <c r="A13" s="61"/>
      <c r="B13" s="89">
        <f t="shared" si="0"/>
        <v>5.3699999999999939</v>
      </c>
      <c r="C13" s="89">
        <f t="shared" si="1"/>
        <v>-14.859736842105264</v>
      </c>
      <c r="D13" s="89">
        <f t="shared" si="1"/>
        <v>-9.6852450090744089</v>
      </c>
      <c r="E13" s="89"/>
      <c r="F13" s="89"/>
      <c r="G13" s="89"/>
      <c r="H13" s="89"/>
      <c r="I13" s="89"/>
      <c r="J13" s="89"/>
      <c r="K13" s="91"/>
      <c r="L13" s="90"/>
      <c r="M13" s="90"/>
    </row>
    <row r="14" spans="1:13">
      <c r="A14" s="61"/>
      <c r="B14" s="89">
        <f t="shared" si="0"/>
        <v>-35.089473684210517</v>
      </c>
      <c r="C14" s="89">
        <f>(D13*D$3-$B13*$B$3)/(D$3-$B$3)</f>
        <v>-17.212867513611613</v>
      </c>
      <c r="D14" s="90"/>
      <c r="E14" s="90"/>
      <c r="F14" s="90"/>
      <c r="G14" s="90"/>
      <c r="H14" s="90"/>
      <c r="I14" s="90"/>
      <c r="J14" s="90"/>
      <c r="K14" s="90"/>
      <c r="L14" s="90"/>
      <c r="M14" s="90"/>
    </row>
    <row r="15" spans="1:13">
      <c r="A15" s="61"/>
      <c r="B15" s="89">
        <f>(C14*$C$3-B14*$B$3)/($C$3-$B$3)</f>
        <v>0.66373865698729162</v>
      </c>
      <c r="C15" s="90"/>
      <c r="D15" s="90"/>
      <c r="E15" s="90"/>
      <c r="F15" s="90"/>
      <c r="G15" s="90"/>
      <c r="H15" s="90"/>
      <c r="I15" s="90"/>
      <c r="J15" s="90"/>
      <c r="K15" s="90"/>
      <c r="L15" s="90"/>
      <c r="M15" s="90"/>
    </row>
    <row r="16" spans="1:13">
      <c r="A16" s="61"/>
      <c r="B16" s="61"/>
      <c r="C16" s="61"/>
      <c r="D16" s="61"/>
      <c r="E16" s="75"/>
      <c r="F16" s="61"/>
      <c r="G16" s="61"/>
      <c r="H16" s="61"/>
      <c r="I16" s="61"/>
      <c r="J16" s="61"/>
      <c r="K16" s="61"/>
      <c r="L16" s="61"/>
      <c r="M16" s="61"/>
    </row>
    <row r="19" spans="1:19">
      <c r="A19" s="76" t="s">
        <v>12</v>
      </c>
      <c r="B19" s="77">
        <f>1/12</f>
        <v>8.3333333333333329E-2</v>
      </c>
      <c r="C19" s="77">
        <f>2/12</f>
        <v>0.16666666666666666</v>
      </c>
      <c r="D19" s="77">
        <f>3/12</f>
        <v>0.25</v>
      </c>
      <c r="E19" s="77">
        <f>4/12</f>
        <v>0.33333333333333331</v>
      </c>
      <c r="F19" s="77">
        <f>5/12</f>
        <v>0.41666666666666669</v>
      </c>
      <c r="G19" s="77">
        <f>0.5</f>
        <v>0.5</v>
      </c>
      <c r="H19" s="78">
        <v>1</v>
      </c>
      <c r="I19" s="78">
        <v>2</v>
      </c>
      <c r="J19" s="78">
        <v>3</v>
      </c>
      <c r="K19" s="78">
        <v>4</v>
      </c>
      <c r="L19" s="78">
        <v>5</v>
      </c>
      <c r="M19" s="78">
        <v>6</v>
      </c>
      <c r="N19" s="78">
        <v>7</v>
      </c>
      <c r="O19" s="78">
        <v>8</v>
      </c>
      <c r="P19" s="78">
        <v>9</v>
      </c>
      <c r="Q19" s="78">
        <v>10</v>
      </c>
      <c r="R19" s="78">
        <v>20</v>
      </c>
      <c r="S19" s="78">
        <v>30</v>
      </c>
    </row>
    <row r="20" spans="1:19">
      <c r="A20" s="76" t="s">
        <v>13</v>
      </c>
      <c r="B20" s="79">
        <v>2.9999999999999997E-4</v>
      </c>
      <c r="C20" s="80">
        <f>(D20+B20)/2</f>
        <v>4.4999999999999999E-4</v>
      </c>
      <c r="D20" s="79">
        <v>5.9999999999999995E-4</v>
      </c>
      <c r="E20" s="80">
        <f>(G20-D20)/3+G20</f>
        <v>1.8E-3</v>
      </c>
      <c r="F20" s="80">
        <f>2*(G20-D20)/3 + D20</f>
        <v>1.2000000000000001E-3</v>
      </c>
      <c r="G20" s="79">
        <v>1.5E-3</v>
      </c>
      <c r="H20" s="66">
        <v>4.0000000000000001E-3</v>
      </c>
      <c r="I20" s="66">
        <v>1.01E-2</v>
      </c>
      <c r="J20" s="66">
        <v>1.6E-2</v>
      </c>
      <c r="K20" s="67">
        <f>(L20+J20)/2</f>
        <v>2.0999999999999998E-2</v>
      </c>
      <c r="L20" s="66">
        <v>2.5999999999999999E-2</v>
      </c>
      <c r="M20" s="67">
        <f>(L20+N20)/2</f>
        <v>2.9499999999999998E-2</v>
      </c>
      <c r="N20" s="66">
        <v>3.3000000000000002E-2</v>
      </c>
      <c r="O20" s="68">
        <f>(Q20-N20)/3 + N20</f>
        <v>3.4833333333333334E-2</v>
      </c>
      <c r="P20" s="68">
        <f>2*(Q20-N20)/3+N20</f>
        <v>3.6666666666666667E-2</v>
      </c>
      <c r="Q20" s="66">
        <v>3.85E-2</v>
      </c>
      <c r="R20" s="69">
        <v>4.6300000000000001E-2</v>
      </c>
      <c r="S20" s="70">
        <v>4.7E-2</v>
      </c>
    </row>
    <row r="21" spans="1:19">
      <c r="A21" s="76" t="s">
        <v>14</v>
      </c>
      <c r="B21" s="81">
        <f t="shared" ref="B21:G36" si="2">(C20*C$19-$B20*$B$19)/(C$19-$B$19)</f>
        <v>5.9999999999999995E-4</v>
      </c>
      <c r="C21" s="81">
        <f t="shared" si="2"/>
        <v>7.4999999999999991E-4</v>
      </c>
      <c r="D21" s="81">
        <f t="shared" si="2"/>
        <v>2.3E-3</v>
      </c>
      <c r="E21" s="81">
        <f t="shared" si="2"/>
        <v>1.4250000000000003E-3</v>
      </c>
      <c r="F21" s="81">
        <f t="shared" si="2"/>
        <v>1.74E-3</v>
      </c>
      <c r="G21" s="81">
        <f t="shared" si="2"/>
        <v>4.3363636363636365E-3</v>
      </c>
      <c r="H21" s="81">
        <f>(I20*I$19 - $H20*$H$19)/(I$19-$H$19)</f>
        <v>1.6199999999999999E-2</v>
      </c>
      <c r="I21" s="81">
        <f>(J20*J$19 - $H20*$H$19)/(J$19-$H$19)</f>
        <v>2.1999999999999999E-2</v>
      </c>
      <c r="J21" s="81">
        <f t="shared" ref="J21:R21" si="3">(K20*K$19 - $H20*$H$19)/(K$19-$H$19)</f>
        <v>2.6666666666666661E-2</v>
      </c>
      <c r="K21" s="81">
        <f t="shared" si="3"/>
        <v>3.15E-2</v>
      </c>
      <c r="L21" s="81">
        <f t="shared" si="3"/>
        <v>3.4599999999999999E-2</v>
      </c>
      <c r="M21" s="81">
        <f t="shared" si="3"/>
        <v>3.7833333333333337E-2</v>
      </c>
      <c r="N21" s="81">
        <f t="shared" si="3"/>
        <v>3.9238095238095239E-2</v>
      </c>
      <c r="O21" s="81">
        <f t="shared" si="3"/>
        <v>4.0750000000000001E-2</v>
      </c>
      <c r="P21" s="81">
        <f t="shared" si="3"/>
        <v>4.2333333333333334E-2</v>
      </c>
      <c r="Q21" s="81">
        <f t="shared" si="3"/>
        <v>4.8526315789473688E-2</v>
      </c>
      <c r="R21" s="81">
        <f t="shared" si="3"/>
        <v>4.8482758620689653E-2</v>
      </c>
      <c r="S21" s="61"/>
    </row>
    <row r="22" spans="1:19">
      <c r="A22" s="61"/>
      <c r="B22" s="81">
        <f t="shared" si="2"/>
        <v>8.9999999999999976E-4</v>
      </c>
      <c r="C22" s="81">
        <f t="shared" si="2"/>
        <v>3.1499999999999996E-3</v>
      </c>
      <c r="D22" s="81">
        <f t="shared" si="2"/>
        <v>1.7000000000000001E-3</v>
      </c>
      <c r="E22" s="81">
        <f t="shared" si="2"/>
        <v>2.0249999999999999E-3</v>
      </c>
      <c r="F22" s="81">
        <f t="shared" si="2"/>
        <v>5.0836363636363631E-3</v>
      </c>
      <c r="G22" s="81">
        <f t="shared" si="2"/>
        <v>1.7618181818181818E-2</v>
      </c>
      <c r="H22" s="81">
        <f t="shared" ref="H22:H31" si="4">(I21*I$19 - $H21*$H$19)/(I$19-$H$19)</f>
        <v>2.7799999999999998E-2</v>
      </c>
      <c r="I22" s="81">
        <f t="shared" ref="I22:Q29" si="5">(J21*J$19 - $H21*$H$19)/(J$19-$H$19)</f>
        <v>3.1899999999999998E-2</v>
      </c>
      <c r="J22" s="81">
        <f t="shared" si="5"/>
        <v>3.6600000000000001E-2</v>
      </c>
      <c r="K22" s="81">
        <f t="shared" si="5"/>
        <v>3.9199999999999999E-2</v>
      </c>
      <c r="L22" s="81">
        <f t="shared" si="5"/>
        <v>4.216000000000001E-2</v>
      </c>
      <c r="M22" s="81">
        <f t="shared" si="5"/>
        <v>4.3077777777777777E-2</v>
      </c>
      <c r="N22" s="81">
        <f t="shared" si="5"/>
        <v>4.4257142857142863E-2</v>
      </c>
      <c r="O22" s="81">
        <f t="shared" si="5"/>
        <v>4.5600000000000002E-2</v>
      </c>
      <c r="P22" s="81">
        <f t="shared" si="5"/>
        <v>5.2118128654970765E-2</v>
      </c>
      <c r="Q22" s="81">
        <f t="shared" si="5"/>
        <v>5.0181851179673317E-2</v>
      </c>
      <c r="R22" s="61"/>
      <c r="S22" s="61"/>
    </row>
    <row r="23" spans="1:19">
      <c r="A23" s="61"/>
      <c r="B23" s="81">
        <f t="shared" si="2"/>
        <v>5.3999999999999986E-3</v>
      </c>
      <c r="C23" s="81">
        <f t="shared" si="2"/>
        <v>2.0999999999999999E-3</v>
      </c>
      <c r="D23" s="81">
        <f t="shared" si="2"/>
        <v>2.3999999999999998E-3</v>
      </c>
      <c r="E23" s="81">
        <f t="shared" si="2"/>
        <v>6.1295454545454535E-3</v>
      </c>
      <c r="F23" s="81">
        <f t="shared" si="2"/>
        <v>2.0961818181818179E-2</v>
      </c>
      <c r="G23" s="81">
        <f t="shared" si="2"/>
        <v>3.0245454545454548E-2</v>
      </c>
      <c r="H23" s="81">
        <f t="shared" si="4"/>
        <v>3.5999999999999997E-2</v>
      </c>
      <c r="I23" s="81">
        <f t="shared" si="5"/>
        <v>4.1000000000000009E-2</v>
      </c>
      <c r="J23" s="81">
        <f t="shared" si="5"/>
        <v>4.3000000000000003E-2</v>
      </c>
      <c r="K23" s="81">
        <f t="shared" si="5"/>
        <v>4.5750000000000013E-2</v>
      </c>
      <c r="L23" s="81">
        <f t="shared" si="5"/>
        <v>4.6133333333333339E-2</v>
      </c>
      <c r="M23" s="81">
        <f t="shared" si="5"/>
        <v>4.7000000000000007E-2</v>
      </c>
      <c r="N23" s="81">
        <f t="shared" si="5"/>
        <v>4.8142857142857147E-2</v>
      </c>
      <c r="O23" s="81">
        <f t="shared" si="5"/>
        <v>5.5157894736842114E-2</v>
      </c>
      <c r="P23" s="81">
        <f t="shared" si="5"/>
        <v>5.2668723532970356E-2</v>
      </c>
      <c r="Q23" s="72"/>
      <c r="R23" s="61"/>
      <c r="S23" s="61"/>
    </row>
    <row r="24" spans="1:19">
      <c r="A24" s="61"/>
      <c r="B24" s="81">
        <f t="shared" si="2"/>
        <v>-1.1999999999999992E-3</v>
      </c>
      <c r="C24" s="81">
        <f t="shared" si="2"/>
        <v>9.000000000000003E-4</v>
      </c>
      <c r="D24" s="81">
        <f t="shared" si="2"/>
        <v>6.3727272727272712E-3</v>
      </c>
      <c r="E24" s="81">
        <f t="shared" si="2"/>
        <v>2.4852272727272719E-2</v>
      </c>
      <c r="F24" s="81">
        <f t="shared" si="2"/>
        <v>3.5214545454545457E-2</v>
      </c>
      <c r="G24" s="81">
        <f t="shared" si="2"/>
        <v>3.8781818181818181E-2</v>
      </c>
      <c r="H24" s="81">
        <f t="shared" si="4"/>
        <v>4.600000000000002E-2</v>
      </c>
      <c r="I24" s="81">
        <f t="shared" si="5"/>
        <v>4.65E-2</v>
      </c>
      <c r="J24" s="81">
        <f t="shared" si="5"/>
        <v>4.9000000000000016E-2</v>
      </c>
      <c r="K24" s="81">
        <f t="shared" si="5"/>
        <v>4.8666666666666671E-2</v>
      </c>
      <c r="L24" s="81">
        <f t="shared" si="5"/>
        <v>4.9200000000000008E-2</v>
      </c>
      <c r="M24" s="81">
        <f t="shared" si="5"/>
        <v>5.0166666666666672E-2</v>
      </c>
      <c r="N24" s="81">
        <f t="shared" si="5"/>
        <v>5.7894736842105277E-2</v>
      </c>
      <c r="O24" s="81">
        <f t="shared" si="5"/>
        <v>5.4752313974591654E-2</v>
      </c>
      <c r="P24" s="71"/>
      <c r="Q24" s="72"/>
      <c r="R24" s="61"/>
      <c r="S24" s="61"/>
    </row>
    <row r="25" spans="1:19">
      <c r="A25" s="61"/>
      <c r="B25" s="81">
        <f t="shared" si="2"/>
        <v>3.0000000000000001E-3</v>
      </c>
      <c r="C25" s="81">
        <f t="shared" si="2"/>
        <v>1.0159090909090904E-2</v>
      </c>
      <c r="D25" s="81">
        <f t="shared" si="2"/>
        <v>3.3536363636363621E-2</v>
      </c>
      <c r="E25" s="81">
        <f t="shared" si="2"/>
        <v>4.4318181818181819E-2</v>
      </c>
      <c r="F25" s="81">
        <f t="shared" si="2"/>
        <v>4.6778181818181816E-2</v>
      </c>
      <c r="G25" s="81">
        <f t="shared" si="2"/>
        <v>5.0290909090909115E-2</v>
      </c>
      <c r="H25" s="81">
        <f t="shared" si="4"/>
        <v>4.6999999999999979E-2</v>
      </c>
      <c r="I25" s="81">
        <f t="shared" si="5"/>
        <v>5.0500000000000017E-2</v>
      </c>
      <c r="J25" s="81">
        <f t="shared" si="5"/>
        <v>4.9555555555555554E-2</v>
      </c>
      <c r="K25" s="81">
        <f t="shared" si="5"/>
        <v>5.000000000000001E-2</v>
      </c>
      <c r="L25" s="81">
        <f t="shared" si="5"/>
        <v>5.1000000000000004E-2</v>
      </c>
      <c r="M25" s="81">
        <f t="shared" si="5"/>
        <v>5.9877192982456147E-2</v>
      </c>
      <c r="N25" s="81">
        <f t="shared" si="5"/>
        <v>5.6002644542390456E-2</v>
      </c>
      <c r="O25" s="71"/>
      <c r="P25" s="71"/>
      <c r="Q25" s="72"/>
      <c r="R25" s="61"/>
      <c r="S25" s="61"/>
    </row>
    <row r="26" spans="1:19">
      <c r="A26" s="61"/>
      <c r="B26" s="81">
        <f t="shared" si="2"/>
        <v>1.7318181818181809E-2</v>
      </c>
      <c r="C26" s="81">
        <f t="shared" si="2"/>
        <v>4.8804545454545427E-2</v>
      </c>
      <c r="D26" s="81">
        <f t="shared" si="2"/>
        <v>5.8090909090909089E-2</v>
      </c>
      <c r="E26" s="81">
        <f t="shared" si="2"/>
        <v>5.7722727272727266E-2</v>
      </c>
      <c r="F26" s="81">
        <f t="shared" si="2"/>
        <v>5.9749090909090932E-2</v>
      </c>
      <c r="G26" s="81">
        <f t="shared" si="2"/>
        <v>5.0999999999999976E-2</v>
      </c>
      <c r="H26" s="81">
        <f t="shared" si="4"/>
        <v>5.4000000000000055E-2</v>
      </c>
      <c r="I26" s="81">
        <f t="shared" si="5"/>
        <v>5.0833333333333341E-2</v>
      </c>
      <c r="J26" s="81">
        <f t="shared" si="5"/>
        <v>5.1000000000000018E-2</v>
      </c>
      <c r="K26" s="81">
        <f t="shared" si="5"/>
        <v>5.2000000000000005E-2</v>
      </c>
      <c r="L26" s="81">
        <f t="shared" si="5"/>
        <v>6.2452631578947385E-2</v>
      </c>
      <c r="M26" s="81">
        <f t="shared" si="5"/>
        <v>5.7503085299455532E-2</v>
      </c>
      <c r="N26" s="71"/>
      <c r="O26" s="71"/>
      <c r="P26" s="71"/>
      <c r="Q26" s="72"/>
      <c r="R26" s="61"/>
      <c r="S26" s="61"/>
    </row>
    <row r="27" spans="1:19">
      <c r="A27" s="61"/>
      <c r="B27" s="81">
        <f t="shared" si="2"/>
        <v>8.0290909090909038E-2</v>
      </c>
      <c r="C27" s="81">
        <f t="shared" si="2"/>
        <v>7.8477272727272715E-2</v>
      </c>
      <c r="D27" s="81">
        <f t="shared" si="2"/>
        <v>7.1190909090909082E-2</v>
      </c>
      <c r="E27" s="81">
        <f t="shared" si="2"/>
        <v>7.0356818181818201E-2</v>
      </c>
      <c r="F27" s="81">
        <f t="shared" si="2"/>
        <v>5.7736363636363613E-2</v>
      </c>
      <c r="G27" s="81">
        <f t="shared" si="2"/>
        <v>5.7334710743801719E-2</v>
      </c>
      <c r="H27" s="81">
        <f t="shared" si="4"/>
        <v>4.7666666666666628E-2</v>
      </c>
      <c r="I27" s="81">
        <f t="shared" si="5"/>
        <v>4.9500000000000002E-2</v>
      </c>
      <c r="J27" s="81">
        <f t="shared" si="5"/>
        <v>5.1333333333333321E-2</v>
      </c>
      <c r="K27" s="81">
        <f t="shared" si="5"/>
        <v>6.4565789473684215E-2</v>
      </c>
      <c r="L27" s="81">
        <f t="shared" si="5"/>
        <v>5.8203702359346632E-2</v>
      </c>
      <c r="M27" s="71"/>
      <c r="N27" s="74"/>
      <c r="O27" s="71"/>
      <c r="P27" s="71"/>
      <c r="Q27" s="72"/>
      <c r="R27" s="61"/>
      <c r="S27" s="61"/>
    </row>
    <row r="28" spans="1:19">
      <c r="A28" s="61"/>
      <c r="B28" s="81">
        <f t="shared" si="2"/>
        <v>7.6663636363636392E-2</v>
      </c>
      <c r="C28" s="81">
        <f t="shared" si="2"/>
        <v>6.6640909090909098E-2</v>
      </c>
      <c r="D28" s="81">
        <f t="shared" si="2"/>
        <v>6.7045454545454575E-2</v>
      </c>
      <c r="E28" s="81">
        <f t="shared" si="2"/>
        <v>5.2097727272727247E-2</v>
      </c>
      <c r="F28" s="81">
        <f t="shared" si="2"/>
        <v>5.2743471074380259E-2</v>
      </c>
      <c r="G28" s="81">
        <f t="shared" si="2"/>
        <v>4.4700826446280956E-2</v>
      </c>
      <c r="H28" s="81">
        <f t="shared" si="4"/>
        <v>5.1333333333333377E-2</v>
      </c>
      <c r="I28" s="81">
        <f t="shared" si="5"/>
        <v>5.3166666666666668E-2</v>
      </c>
      <c r="J28" s="81">
        <f t="shared" si="5"/>
        <v>7.0198830409356747E-2</v>
      </c>
      <c r="K28" s="81">
        <f t="shared" si="5"/>
        <v>6.0837961282516631E-2</v>
      </c>
      <c r="L28" s="71"/>
      <c r="M28" s="71"/>
      <c r="N28" s="71"/>
      <c r="O28" s="71"/>
      <c r="P28" s="71"/>
      <c r="Q28" s="72"/>
      <c r="R28" s="61"/>
      <c r="S28" s="61"/>
    </row>
    <row r="29" spans="1:19">
      <c r="A29" s="61"/>
      <c r="B29" s="81">
        <f t="shared" si="2"/>
        <v>5.6618181818181811E-2</v>
      </c>
      <c r="C29" s="81">
        <f t="shared" si="2"/>
        <v>6.2236363636363666E-2</v>
      </c>
      <c r="D29" s="81">
        <f t="shared" si="2"/>
        <v>4.3909090909090863E-2</v>
      </c>
      <c r="E29" s="81">
        <f t="shared" si="2"/>
        <v>4.6763429752066224E-2</v>
      </c>
      <c r="F29" s="81">
        <f t="shared" si="2"/>
        <v>3.8308264462809861E-2</v>
      </c>
      <c r="G29" s="81">
        <f t="shared" si="2"/>
        <v>4.9030578512396741E-2</v>
      </c>
      <c r="H29" s="81">
        <f t="shared" si="4"/>
        <v>5.4999999999999959E-2</v>
      </c>
      <c r="I29" s="81">
        <f t="shared" si="5"/>
        <v>7.9631578947368428E-2</v>
      </c>
      <c r="J29" s="81">
        <f t="shared" si="5"/>
        <v>6.4006170598911047E-2</v>
      </c>
      <c r="K29" s="71"/>
      <c r="L29" s="71"/>
      <c r="M29" s="71"/>
      <c r="N29" s="71"/>
      <c r="O29" s="71"/>
      <c r="P29" s="71"/>
      <c r="Q29" s="72"/>
      <c r="R29" s="61"/>
      <c r="S29" s="61"/>
    </row>
    <row r="30" spans="1:19">
      <c r="A30" s="61"/>
      <c r="B30" s="81">
        <f t="shared" si="2"/>
        <v>6.7854545454545515E-2</v>
      </c>
      <c r="C30" s="81">
        <f t="shared" si="2"/>
        <v>3.7554545454545382E-2</v>
      </c>
      <c r="D30" s="81">
        <f t="shared" si="2"/>
        <v>4.3478512396694362E-2</v>
      </c>
      <c r="E30" s="81">
        <f t="shared" si="2"/>
        <v>3.3730785123966878E-2</v>
      </c>
      <c r="F30" s="81">
        <f t="shared" si="2"/>
        <v>4.7513057851239729E-2</v>
      </c>
      <c r="G30" s="81">
        <f t="shared" si="2"/>
        <v>5.4852892561983432E-2</v>
      </c>
      <c r="H30" s="81">
        <f t="shared" si="4"/>
        <v>0.10426315789473689</v>
      </c>
      <c r="I30" s="81">
        <f>(J29*J$19 - $H29*$H$19)/(J$19-$H$19)</f>
        <v>6.8509255898366581E-2</v>
      </c>
      <c r="J30" s="61"/>
      <c r="K30" s="61"/>
      <c r="L30" s="61"/>
      <c r="M30" s="61"/>
      <c r="N30" s="61"/>
      <c r="O30" s="61"/>
      <c r="P30" s="61"/>
      <c r="Q30" s="61"/>
      <c r="R30" s="61"/>
      <c r="S30" s="61"/>
    </row>
    <row r="31" spans="1:19">
      <c r="A31" s="61"/>
      <c r="B31" s="81">
        <f t="shared" si="2"/>
        <v>7.2545454545452498E-3</v>
      </c>
      <c r="C31" s="81">
        <f t="shared" si="2"/>
        <v>3.1290495867768782E-2</v>
      </c>
      <c r="D31" s="81">
        <f t="shared" si="2"/>
        <v>2.235619834710733E-2</v>
      </c>
      <c r="E31" s="81">
        <f t="shared" si="2"/>
        <v>4.2427685950413283E-2</v>
      </c>
      <c r="F31" s="81">
        <f t="shared" si="2"/>
        <v>5.2252561983471009E-2</v>
      </c>
      <c r="G31" s="81">
        <f t="shared" si="2"/>
        <v>0.10757303175293612</v>
      </c>
      <c r="H31" s="81">
        <f t="shared" si="4"/>
        <v>3.275535390199627E-2</v>
      </c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</row>
    <row r="32" spans="1:19">
      <c r="A32" s="61"/>
      <c r="B32" s="81">
        <f t="shared" si="2"/>
        <v>5.5326446280992307E-2</v>
      </c>
      <c r="C32" s="81">
        <f t="shared" si="2"/>
        <v>2.9907024793388366E-2</v>
      </c>
      <c r="D32" s="81">
        <f t="shared" si="2"/>
        <v>5.4152066115702627E-2</v>
      </c>
      <c r="E32" s="81">
        <f t="shared" si="2"/>
        <v>6.3502066115702444E-2</v>
      </c>
      <c r="F32" s="81">
        <f t="shared" si="2"/>
        <v>0.12763672901261428</v>
      </c>
      <c r="G32" s="81">
        <f t="shared" si="2"/>
        <v>3.5073609215400904E-2</v>
      </c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</row>
    <row r="33" spans="1:19">
      <c r="A33" s="61"/>
      <c r="B33" s="81">
        <f t="shared" si="2"/>
        <v>4.4876033057844218E-3</v>
      </c>
      <c r="C33" s="81">
        <f t="shared" si="2"/>
        <v>5.3564876033057783E-2</v>
      </c>
      <c r="D33" s="81">
        <f t="shared" si="2"/>
        <v>6.6227272727272496E-2</v>
      </c>
      <c r="E33" s="81">
        <f t="shared" si="2"/>
        <v>0.14571429969551977</v>
      </c>
      <c r="F33" s="81">
        <f t="shared" si="2"/>
        <v>3.1023041802282623E-2</v>
      </c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</row>
    <row r="34" spans="1:19">
      <c r="A34" s="61"/>
      <c r="B34" s="81">
        <f t="shared" si="2"/>
        <v>0.10264214876033112</v>
      </c>
      <c r="C34" s="81">
        <f t="shared" si="2"/>
        <v>9.7097107438016514E-2</v>
      </c>
      <c r="D34" s="81">
        <f t="shared" si="2"/>
        <v>0.19278986515876487</v>
      </c>
      <c r="E34" s="81">
        <f t="shared" si="2"/>
        <v>3.7656901426407173E-2</v>
      </c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</row>
    <row r="35" spans="1:19">
      <c r="A35" s="61"/>
      <c r="B35" s="81">
        <f t="shared" si="2"/>
        <v>9.1552066115701894E-2</v>
      </c>
      <c r="C35" s="81">
        <f t="shared" si="2"/>
        <v>0.23786372335798173</v>
      </c>
      <c r="D35" s="81">
        <f t="shared" si="2"/>
        <v>1.5995152315099188E-2</v>
      </c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</row>
    <row r="36" spans="1:19">
      <c r="A36" s="61"/>
      <c r="B36" s="81">
        <f t="shared" si="2"/>
        <v>0.38417538060026146</v>
      </c>
      <c r="C36" s="81">
        <f t="shared" si="2"/>
        <v>-2.1783304585202161E-2</v>
      </c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</row>
    <row r="37" spans="1:19">
      <c r="A37" s="61"/>
      <c r="B37" s="81">
        <f t="shared" ref="B37" si="6">(C36*C$19-$B36*$B$19)/(C$19-$B$19)</f>
        <v>-0.4277419897706658</v>
      </c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8"/>
  <dimension ref="A1:H30"/>
  <sheetViews>
    <sheetView showGridLines="0" workbookViewId="0">
      <selection activeCell="V36" sqref="V36"/>
    </sheetView>
  </sheetViews>
  <sheetFormatPr defaultRowHeight="15"/>
  <cols>
    <col min="1" max="1" width="9.85546875" bestFit="1" customWidth="1"/>
  </cols>
  <sheetData>
    <row r="1" spans="1:8" ht="15.75">
      <c r="A1" s="28" t="s">
        <v>32</v>
      </c>
    </row>
    <row r="3" spans="1:8">
      <c r="A3" s="54" t="s">
        <v>4</v>
      </c>
      <c r="B3" s="55">
        <v>1</v>
      </c>
      <c r="C3" s="55">
        <v>2</v>
      </c>
      <c r="D3" s="55">
        <v>3</v>
      </c>
      <c r="E3" s="55">
        <v>4</v>
      </c>
      <c r="F3" s="55">
        <v>5</v>
      </c>
      <c r="G3" s="55">
        <v>6</v>
      </c>
      <c r="H3" s="55">
        <v>7</v>
      </c>
    </row>
    <row r="4" spans="1:8">
      <c r="A4" s="56" t="s">
        <v>10</v>
      </c>
      <c r="B4" s="57">
        <v>5.5709999999999997</v>
      </c>
      <c r="C4" s="57">
        <v>6.0880000000000001</v>
      </c>
      <c r="D4" s="57">
        <v>6.5549999999999997</v>
      </c>
      <c r="E4" s="57">
        <v>6.9779999999999998</v>
      </c>
      <c r="F4" s="57">
        <v>7.3609999999999998</v>
      </c>
      <c r="G4" s="57">
        <v>7.7069999999999999</v>
      </c>
      <c r="H4" s="57">
        <v>8.02</v>
      </c>
    </row>
    <row r="5" spans="1:8">
      <c r="A5" s="58" t="s">
        <v>11</v>
      </c>
      <c r="B5" s="59">
        <f t="shared" ref="B5:B10" si="0">(C4*$C$3-B4*$B$3)/($C$3-$B$3)</f>
        <v>6.6050000000000004</v>
      </c>
      <c r="C5" s="60">
        <f>(D4*$D$3-B4*$B$3)/($D$3-$B$3)</f>
        <v>7.0469999999999997</v>
      </c>
      <c r="D5" s="60">
        <f>(E4*$E$3-B4*$B$3)/($E$3-$B$3)</f>
        <v>7.4470000000000001</v>
      </c>
      <c r="E5" s="60">
        <f>(F4*$F$3-B4*$B$3)/($F$3-$B$3)</f>
        <v>7.8085000000000004</v>
      </c>
      <c r="F5" s="60">
        <f>(G4*$G$3-B4*$B$3)/($G$3-$B$3)</f>
        <v>8.1341999999999999</v>
      </c>
      <c r="G5" s="60">
        <f>(H4*$H$3-B4*$B$3)/($H$3-$B$3)</f>
        <v>8.4281666666666677</v>
      </c>
      <c r="H5" s="61"/>
    </row>
    <row r="6" spans="1:8">
      <c r="A6" s="62"/>
      <c r="B6" s="59">
        <f t="shared" si="0"/>
        <v>7.488999999999999</v>
      </c>
      <c r="C6" s="60">
        <f t="shared" ref="C6:C9" si="1">(D5*$D$3-B5*$B$3)/($D$3-$B$3)</f>
        <v>7.8680000000000003</v>
      </c>
      <c r="D6" s="60">
        <f t="shared" ref="D6:D8" si="2">(E5*$E$3-B5*$B$3)/($E$3-$B$3)</f>
        <v>8.2096666666666671</v>
      </c>
      <c r="E6" s="60">
        <f t="shared" ref="E6:E7" si="3">(F5*$F$3-B5*$B$3)/($F$3-$B$3)</f>
        <v>8.5165000000000006</v>
      </c>
      <c r="F6" s="60">
        <f>(G5*$G$3-B5*$B$3)/($G$3-$B$3)</f>
        <v>8.7927999999999997</v>
      </c>
      <c r="G6" s="60"/>
      <c r="H6" s="61"/>
    </row>
    <row r="7" spans="1:8">
      <c r="A7" s="62"/>
      <c r="B7" s="59">
        <f t="shared" si="0"/>
        <v>8.2470000000000017</v>
      </c>
      <c r="C7" s="60">
        <f t="shared" si="1"/>
        <v>8.57</v>
      </c>
      <c r="D7" s="60">
        <f t="shared" si="2"/>
        <v>8.8590000000000018</v>
      </c>
      <c r="E7" s="60">
        <f t="shared" si="3"/>
        <v>9.1187500000000004</v>
      </c>
      <c r="F7" s="63"/>
      <c r="G7" s="63"/>
      <c r="H7" s="61"/>
    </row>
    <row r="8" spans="1:8">
      <c r="A8" s="62"/>
      <c r="B8" s="59">
        <f t="shared" si="0"/>
        <v>8.8929999999999989</v>
      </c>
      <c r="C8" s="60">
        <f t="shared" si="1"/>
        <v>9.1650000000000027</v>
      </c>
      <c r="D8" s="60">
        <f t="shared" si="2"/>
        <v>9.4093333333333344</v>
      </c>
      <c r="E8" s="63"/>
      <c r="F8" s="63"/>
      <c r="G8" s="63"/>
      <c r="H8" s="61"/>
    </row>
    <row r="9" spans="1:8">
      <c r="A9" s="62"/>
      <c r="B9" s="59">
        <f t="shared" si="0"/>
        <v>9.4370000000000065</v>
      </c>
      <c r="C9" s="60">
        <f t="shared" si="1"/>
        <v>9.6675000000000004</v>
      </c>
      <c r="D9" s="63"/>
      <c r="E9" s="63"/>
      <c r="F9" s="63"/>
      <c r="G9" s="63"/>
      <c r="H9" s="61"/>
    </row>
    <row r="10" spans="1:8">
      <c r="A10" s="62"/>
      <c r="B10" s="59">
        <f t="shared" si="0"/>
        <v>9.8979999999999944</v>
      </c>
      <c r="C10" s="63"/>
      <c r="D10" s="63"/>
      <c r="E10" s="63"/>
      <c r="F10" s="63"/>
      <c r="G10" s="63"/>
      <c r="H10" s="61"/>
    </row>
    <row r="11" spans="1:8">
      <c r="B11" s="6"/>
      <c r="C11" s="6"/>
      <c r="D11" s="6"/>
      <c r="E11" s="6"/>
      <c r="F11" s="6"/>
      <c r="G11" s="6"/>
      <c r="H11" s="6"/>
    </row>
    <row r="12" spans="1:8" ht="15.75">
      <c r="A12" s="28" t="s">
        <v>33</v>
      </c>
      <c r="B12" s="6"/>
      <c r="C12" s="6"/>
      <c r="D12" s="6"/>
      <c r="E12" s="6"/>
      <c r="F12" s="6"/>
      <c r="G12" s="6"/>
      <c r="H12" s="6"/>
    </row>
    <row r="13" spans="1:8">
      <c r="B13" s="6"/>
      <c r="C13" s="6"/>
      <c r="D13" s="6"/>
      <c r="E13" s="6"/>
      <c r="F13" s="6"/>
      <c r="G13" s="6"/>
      <c r="H13" s="6"/>
    </row>
    <row r="14" spans="1:8">
      <c r="A14" s="51" t="s">
        <v>21</v>
      </c>
      <c r="B14" s="52"/>
      <c r="C14" s="53">
        <v>0</v>
      </c>
      <c r="D14" s="53">
        <v>1</v>
      </c>
      <c r="E14" s="53">
        <v>2</v>
      </c>
      <c r="F14" s="53">
        <v>3</v>
      </c>
      <c r="G14" s="53">
        <v>4</v>
      </c>
      <c r="H14" s="53">
        <v>5</v>
      </c>
    </row>
    <row r="15" spans="1:8">
      <c r="A15" s="51" t="s">
        <v>17</v>
      </c>
      <c r="B15" s="6"/>
      <c r="C15" s="6">
        <v>-400</v>
      </c>
      <c r="D15" s="6">
        <v>100</v>
      </c>
      <c r="E15" s="6">
        <v>100</v>
      </c>
      <c r="F15" s="6">
        <v>100</v>
      </c>
      <c r="G15" s="6">
        <v>100</v>
      </c>
      <c r="H15" s="6">
        <v>100</v>
      </c>
    </row>
    <row r="16" spans="1:8">
      <c r="A16" s="51" t="s">
        <v>18</v>
      </c>
      <c r="B16" s="6"/>
      <c r="C16" s="12">
        <f>(1+B4/100)^-1</f>
        <v>0.94722982637277287</v>
      </c>
      <c r="D16" s="12">
        <f>(1+B5/100)^-1</f>
        <v>0.93804230570798752</v>
      </c>
      <c r="E16" s="12">
        <f>(1+B6/100)^-1</f>
        <v>0.93032775446789917</v>
      </c>
      <c r="F16" s="12">
        <f>(1+B7/100)^-1</f>
        <v>0.92381313107984508</v>
      </c>
      <c r="G16" s="12">
        <f>(1+B8/100)^-1</f>
        <v>0.91833267519491613</v>
      </c>
      <c r="H16" s="6">
        <v>1</v>
      </c>
    </row>
    <row r="17" spans="1:8">
      <c r="A17" s="51" t="s">
        <v>22</v>
      </c>
      <c r="B17" s="6"/>
      <c r="C17" s="15">
        <f t="shared" ref="C17:G17" si="4">C16*D17+C15</f>
        <v>12.735313201353449</v>
      </c>
      <c r="D17" s="13">
        <f t="shared" si="4"/>
        <v>435.72879749980081</v>
      </c>
      <c r="E17" s="13">
        <f t="shared" si="4"/>
        <v>357.90368457466263</v>
      </c>
      <c r="F17" s="13">
        <f t="shared" si="4"/>
        <v>277.21809151245907</v>
      </c>
      <c r="G17" s="13">
        <f t="shared" si="4"/>
        <v>191.83326751949161</v>
      </c>
      <c r="H17" s="6">
        <f>H16*Q26+H15</f>
        <v>100</v>
      </c>
    </row>
    <row r="18" spans="1:8">
      <c r="A18" s="48"/>
      <c r="B18" s="6"/>
      <c r="C18" s="6"/>
      <c r="D18" s="6"/>
      <c r="E18" s="6"/>
      <c r="F18" s="6"/>
      <c r="G18" s="6"/>
      <c r="H18" s="6"/>
    </row>
    <row r="19" spans="1:8">
      <c r="B19" s="6"/>
      <c r="C19" s="6"/>
      <c r="D19" s="6"/>
      <c r="E19" s="6"/>
      <c r="F19" s="6"/>
      <c r="G19" s="6"/>
      <c r="H19" s="6"/>
    </row>
    <row r="20" spans="1:8">
      <c r="A20" s="51" t="s">
        <v>21</v>
      </c>
      <c r="B20" s="52">
        <v>0</v>
      </c>
      <c r="C20" s="53">
        <v>1</v>
      </c>
      <c r="D20" s="53">
        <v>2</v>
      </c>
      <c r="E20" s="53">
        <v>3</v>
      </c>
      <c r="F20" s="53">
        <v>4</v>
      </c>
      <c r="G20" s="53">
        <v>5</v>
      </c>
      <c r="H20" s="6"/>
    </row>
    <row r="21" spans="1:8">
      <c r="A21" s="51" t="s">
        <v>19</v>
      </c>
      <c r="B21" s="6">
        <v>-400</v>
      </c>
      <c r="C21" s="6">
        <v>100</v>
      </c>
      <c r="D21" s="6">
        <v>100</v>
      </c>
      <c r="E21" s="6">
        <v>100</v>
      </c>
      <c r="F21" s="6">
        <v>100</v>
      </c>
      <c r="G21" s="6">
        <v>100</v>
      </c>
      <c r="H21" s="6"/>
    </row>
    <row r="22" spans="1:8">
      <c r="A22" s="51" t="s">
        <v>18</v>
      </c>
      <c r="B22" s="6">
        <v>1</v>
      </c>
      <c r="C22" s="12">
        <f>(1+B4/100)^-B3</f>
        <v>0.94722982637277287</v>
      </c>
      <c r="D22" s="12">
        <f>(1+C4/100)^-C3</f>
        <v>0.88852054823327098</v>
      </c>
      <c r="E22" s="12">
        <f>(1+D4/100)^-D3</f>
        <v>0.82656783229737951</v>
      </c>
      <c r="F22" s="12">
        <f>(1+E4/100)^-E3</f>
        <v>0.76352296252777596</v>
      </c>
      <c r="G22" s="12">
        <f>(1+F4/100)^-F3</f>
        <v>0.70107948648536333</v>
      </c>
      <c r="H22" s="6"/>
    </row>
    <row r="23" spans="1:8">
      <c r="A23" s="51" t="s">
        <v>20</v>
      </c>
      <c r="B23" s="6">
        <f>B22*B21</f>
        <v>-400</v>
      </c>
      <c r="C23" s="13">
        <f t="shared" ref="C23:G23" si="5">C22*C21</f>
        <v>94.722982637277283</v>
      </c>
      <c r="D23" s="13">
        <f t="shared" si="5"/>
        <v>88.852054823327094</v>
      </c>
      <c r="E23" s="13">
        <f t="shared" si="5"/>
        <v>82.656783229737954</v>
      </c>
      <c r="F23" s="13">
        <f t="shared" si="5"/>
        <v>76.352296252777592</v>
      </c>
      <c r="G23" s="13">
        <f t="shared" si="5"/>
        <v>70.107948648536336</v>
      </c>
      <c r="H23" s="15">
        <f>SUM(B23:G23)</f>
        <v>12.692065591656217</v>
      </c>
    </row>
    <row r="28" spans="1:8">
      <c r="A28" s="46" t="s">
        <v>4</v>
      </c>
      <c r="B28" s="49">
        <v>1</v>
      </c>
      <c r="C28" s="49">
        <v>2</v>
      </c>
      <c r="D28" s="49">
        <v>3</v>
      </c>
      <c r="E28" s="49">
        <v>4</v>
      </c>
      <c r="F28" s="49">
        <v>5</v>
      </c>
      <c r="G28" s="49">
        <v>6</v>
      </c>
      <c r="H28" s="49">
        <v>7</v>
      </c>
    </row>
    <row r="29" spans="1:8">
      <c r="A29" s="47" t="s">
        <v>10</v>
      </c>
      <c r="B29" s="50">
        <v>5.5709999999999997</v>
      </c>
      <c r="C29" s="50">
        <v>6.0880000000000001</v>
      </c>
      <c r="D29" s="50">
        <v>6.5549999999999997</v>
      </c>
      <c r="E29" s="50">
        <v>6.9779999999999998</v>
      </c>
      <c r="F29" s="50">
        <v>7.3609999999999998</v>
      </c>
      <c r="G29" s="50">
        <v>7.7069999999999999</v>
      </c>
      <c r="H29" s="50">
        <v>8.02</v>
      </c>
    </row>
    <row r="30" spans="1:8">
      <c r="A30" s="48" t="s">
        <v>18</v>
      </c>
      <c r="B30" s="12">
        <f>(1+B29/100)^-B28</f>
        <v>0.94722982637277287</v>
      </c>
      <c r="C30" s="12">
        <f t="shared" ref="C30:H30" si="6">(1+C29/100)^-C28</f>
        <v>0.88852054823327098</v>
      </c>
      <c r="D30" s="12">
        <f t="shared" si="6"/>
        <v>0.82656783229737951</v>
      </c>
      <c r="E30" s="12">
        <f t="shared" si="6"/>
        <v>0.76352296252777596</v>
      </c>
      <c r="F30" s="12">
        <f t="shared" si="6"/>
        <v>0.70107948648536333</v>
      </c>
      <c r="G30" s="12">
        <f t="shared" si="6"/>
        <v>0.64052549825377691</v>
      </c>
      <c r="H30" s="12">
        <f t="shared" si="6"/>
        <v>0.58273457879155233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Example 3.1</vt:lpstr>
      <vt:lpstr>Example 3.2</vt:lpstr>
      <vt:lpstr>Example 3.3</vt:lpstr>
      <vt:lpstr>Graphics</vt:lpstr>
      <vt:lpstr>Yields</vt:lpstr>
      <vt:lpstr>Example 3.5</vt:lpstr>
      <vt:lpstr>Short rates</vt:lpstr>
      <vt:lpstr>Forward rates</vt:lpstr>
      <vt:lpstr>Example 3.4</vt:lpstr>
      <vt:lpstr>A</vt:lpstr>
      <vt:lpstr>b</vt:lpstr>
    </vt:vector>
  </TitlesOfParts>
  <Company>VRS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jwhite</dc:creator>
  <cp:lastModifiedBy>speterson</cp:lastModifiedBy>
  <dcterms:created xsi:type="dcterms:W3CDTF">2010-01-09T16:56:01Z</dcterms:created>
  <dcterms:modified xsi:type="dcterms:W3CDTF">2011-07-25T12:07:17Z</dcterms:modified>
</cp:coreProperties>
</file>